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Ten_skoroszyt" defaultThemeVersion="124226"/>
  <mc:AlternateContent xmlns:mc="http://schemas.openxmlformats.org/markup-compatibility/2006">
    <mc:Choice Requires="x15">
      <x15ac:absPath xmlns:x15ac="http://schemas.microsoft.com/office/spreadsheetml/2010/11/ac" url="D:\Polonia\Budget\BUDGET\"/>
    </mc:Choice>
  </mc:AlternateContent>
  <xr:revisionPtr revIDLastSave="0" documentId="13_ncr:1_{57612314-4380-47E0-88B2-E6A0029E2D5F}" xr6:coauthVersionLast="47" xr6:coauthVersionMax="47" xr10:uidLastSave="{00000000-0000-0000-0000-000000000000}"/>
  <bookViews>
    <workbookView xWindow="38280" yWindow="-120" windowWidth="29040" windowHeight="15720" tabRatio="708" xr2:uid="{00000000-000D-0000-FFFF-FFFF00000000}"/>
  </bookViews>
  <sheets>
    <sheet name="Włocławek Budget" sheetId="1" r:id="rId1"/>
    <sheet name="Arkusz2" sheetId="17" r:id="rId2"/>
    <sheet name="KM" sheetId="12" state="hidden" r:id="rId3"/>
    <sheet name="CF - nowe KM HRF UMOWA" sheetId="15" state="hidden" r:id="rId4"/>
    <sheet name="Arkusz1" sheetId="16" state="hidden" r:id="rId5"/>
    <sheet name="CF - stare KM" sheetId="13" state="hidden" r:id="rId6"/>
    <sheet name="arkusz pomocniczy" sheetId="14" state="hidden" r:id="rId7"/>
  </sheets>
  <externalReferences>
    <externalReference r:id="rId8"/>
    <externalReference r:id="rId9"/>
    <externalReference r:id="rId10"/>
    <externalReference r:id="rId11"/>
    <externalReference r:id="rId12"/>
  </externalReferences>
  <definedNames>
    <definedName name="_xlnm._FilterDatabase" localSheetId="2" hidden="1">KM!$A$2:$O$56</definedName>
    <definedName name="_xlnm._FilterDatabase" localSheetId="0" hidden="1">'Włocławek Budget'!$A$1:$EP$5038</definedName>
    <definedName name="_od2">#REF!</definedName>
    <definedName name="_od3">#REF!</definedName>
    <definedName name="_od4">#REF!</definedName>
    <definedName name="_ods1">#REF!</definedName>
    <definedName name="_ods2">#REF!</definedName>
    <definedName name="_ods3">#REF!</definedName>
    <definedName name="_ods4">#REF!</definedName>
    <definedName name="_xleta.N" hidden="1" xlm="1">#NAME?</definedName>
    <definedName name="eur">[1]Aufwand_neu!$H$8</definedName>
    <definedName name="Harmonogram" localSheetId="0">#REF!</definedName>
    <definedName name="Harmonogram">#REF!</definedName>
    <definedName name="Pos._Nr.">#REF!</definedName>
    <definedName name="posz1">#REF!</definedName>
    <definedName name="posz2">#REF!</definedName>
    <definedName name="posz3">#REF!</definedName>
    <definedName name="Pozycja" localSheetId="0">[2]Arkusz1!$A$1:$A$5</definedName>
    <definedName name="_xlnm.Print_Area" localSheetId="0">'Włocławek Budget'!$A$1:$CG$482</definedName>
    <definedName name="_xlnm.Print_Area">#REF!</definedName>
    <definedName name="_xlnm.Print_Titles" localSheetId="0">'Włocławek Budget'!$A:$C,'Włocławek Budget'!$8:$9</definedName>
    <definedName name="_xlnm.Print_Titles">#REF!</definedName>
    <definedName name="suma">#REF!</definedName>
    <definedName name="waluta">[3]Opcje!$B$2</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202" i="1" l="1"/>
  <c r="AB202" i="1" s="1"/>
  <c r="CA202" i="1"/>
  <c r="CL202" i="1" s="1"/>
  <c r="CA203" i="1"/>
  <c r="CL203" i="1" s="1"/>
  <c r="AI202" i="1"/>
  <c r="AH202" i="1"/>
  <c r="S202" i="1"/>
  <c r="BW384" i="1"/>
  <c r="AH387" i="1"/>
  <c r="AI387" i="1"/>
  <c r="BW51" i="1"/>
  <c r="BW304" i="1"/>
  <c r="BW309" i="1"/>
  <c r="CA129" i="1"/>
  <c r="CL129" i="1" s="1"/>
  <c r="CA130" i="1"/>
  <c r="CL130" i="1" s="1"/>
  <c r="CA131" i="1"/>
  <c r="CL131" i="1" s="1"/>
  <c r="CA134" i="1"/>
  <c r="CL134" i="1" s="1"/>
  <c r="CA135" i="1"/>
  <c r="CL135" i="1" s="1"/>
  <c r="CA137" i="1"/>
  <c r="CL137" i="1" s="1"/>
  <c r="CA138" i="1"/>
  <c r="CL138" i="1" s="1"/>
  <c r="CA139" i="1"/>
  <c r="CL139" i="1" s="1"/>
  <c r="AS360" i="1"/>
  <c r="AP381" i="1"/>
  <c r="CB202" i="1" l="1"/>
  <c r="CC202" i="1" s="1"/>
  <c r="CM202" i="1"/>
  <c r="AJ202" i="1"/>
  <c r="S134" i="1"/>
  <c r="W134" i="1" s="1"/>
  <c r="AH134" i="1"/>
  <c r="AB134" i="1"/>
  <c r="BJ132" i="1"/>
  <c r="CM134" i="1" l="1"/>
  <c r="CB134" i="1"/>
  <c r="CC134" i="1" s="1"/>
  <c r="AJ134" i="1"/>
  <c r="CM467" i="1" l="1"/>
  <c r="CM470" i="1"/>
  <c r="CM471" i="1"/>
  <c r="O432" i="1"/>
  <c r="W432" i="1" s="1"/>
  <c r="O39" i="1"/>
  <c r="O38" i="1"/>
  <c r="I38" i="1"/>
  <c r="AB41" i="1"/>
  <c r="AB42" i="1"/>
  <c r="CL443" i="1"/>
  <c r="AR212" i="1"/>
  <c r="BK212" i="1"/>
  <c r="BK220" i="1"/>
  <c r="BG212" i="1"/>
  <c r="AT192" i="1"/>
  <c r="AU192" i="1"/>
  <c r="BA415" i="1"/>
  <c r="AP415" i="1"/>
  <c r="CA30" i="1"/>
  <c r="CA31" i="1"/>
  <c r="BW410" i="1"/>
  <c r="BW414" i="1"/>
  <c r="BW277" i="1"/>
  <c r="BW66" i="1"/>
  <c r="BW54" i="1"/>
  <c r="AY189" i="1" l="1"/>
  <c r="BC189" i="1"/>
  <c r="BB189" i="1"/>
  <c r="BA189" i="1"/>
  <c r="AR29" i="1"/>
  <c r="CA29" i="1" s="1"/>
  <c r="AQ16" i="1" l="1"/>
  <c r="AX16" i="1"/>
  <c r="AP16" i="1"/>
  <c r="CA416" i="1"/>
  <c r="CA417" i="1"/>
  <c r="AI416" i="1"/>
  <c r="AH416" i="1"/>
  <c r="AB416" i="1"/>
  <c r="O416" i="1"/>
  <c r="W416" i="1" s="1"/>
  <c r="CD416" i="1" s="1"/>
  <c r="AQ327" i="1"/>
  <c r="BE351" i="1"/>
  <c r="AZ325" i="1"/>
  <c r="AR327" i="1"/>
  <c r="AV329" i="1"/>
  <c r="AQ317" i="1"/>
  <c r="AZ294" i="1"/>
  <c r="AP363" i="1"/>
  <c r="AP312" i="1"/>
  <c r="AO46" i="1"/>
  <c r="AX46" i="1"/>
  <c r="AZ14" i="1"/>
  <c r="BC16" i="1"/>
  <c r="BA16" i="1"/>
  <c r="AZ16" i="1"/>
  <c r="BA306" i="1"/>
  <c r="AT360" i="1"/>
  <c r="AS352" i="1"/>
  <c r="AS404" i="1"/>
  <c r="AS403" i="1"/>
  <c r="CB416" i="1" l="1"/>
  <c r="CC416" i="1" s="1"/>
  <c r="CE416" i="1"/>
  <c r="AJ416" i="1"/>
  <c r="CM416" i="1"/>
  <c r="CL416" i="1"/>
  <c r="AB70" i="1" l="1"/>
  <c r="AB69" i="1"/>
  <c r="AB68" i="1"/>
  <c r="AB67" i="1"/>
  <c r="AB66" i="1"/>
  <c r="AB65" i="1"/>
  <c r="CA418" i="1"/>
  <c r="CA419" i="1"/>
  <c r="CA420" i="1"/>
  <c r="CA421" i="1"/>
  <c r="CA422" i="1"/>
  <c r="CA423" i="1"/>
  <c r="CA260" i="1"/>
  <c r="CL260" i="1" s="1"/>
  <c r="CA261" i="1"/>
  <c r="CA262" i="1"/>
  <c r="CL262" i="1" s="1"/>
  <c r="CA263" i="1"/>
  <c r="CL263" i="1" s="1"/>
  <c r="CA264" i="1"/>
  <c r="CL264" i="1" s="1"/>
  <c r="CA265" i="1"/>
  <c r="CL265" i="1" s="1"/>
  <c r="CA266" i="1"/>
  <c r="CL266" i="1" s="1"/>
  <c r="CA267" i="1"/>
  <c r="CA268" i="1"/>
  <c r="CL268" i="1" s="1"/>
  <c r="CA269" i="1"/>
  <c r="CL269" i="1" s="1"/>
  <c r="CA270" i="1"/>
  <c r="CL270" i="1" s="1"/>
  <c r="CA271" i="1"/>
  <c r="CL271" i="1" s="1"/>
  <c r="CA273" i="1"/>
  <c r="CL273" i="1" s="1"/>
  <c r="CA208" i="1"/>
  <c r="CL208" i="1" s="1"/>
  <c r="CA209" i="1"/>
  <c r="CA210" i="1"/>
  <c r="CL210" i="1" s="1"/>
  <c r="CA211" i="1"/>
  <c r="CA213" i="1"/>
  <c r="CL213" i="1" s="1"/>
  <c r="CA214" i="1"/>
  <c r="CL214" i="1" s="1"/>
  <c r="CA215" i="1"/>
  <c r="CL215" i="1" s="1"/>
  <c r="CA216" i="1"/>
  <c r="CL216" i="1" s="1"/>
  <c r="CA217" i="1"/>
  <c r="CA218" i="1"/>
  <c r="CL218" i="1" s="1"/>
  <c r="CA219" i="1"/>
  <c r="CL219" i="1" s="1"/>
  <c r="CA221" i="1"/>
  <c r="CL221" i="1" s="1"/>
  <c r="CA222" i="1"/>
  <c r="CA223" i="1"/>
  <c r="CL223" i="1" s="1"/>
  <c r="CA224" i="1"/>
  <c r="CL224" i="1" s="1"/>
  <c r="CA225" i="1"/>
  <c r="CA226" i="1"/>
  <c r="CA227" i="1"/>
  <c r="CL227" i="1" s="1"/>
  <c r="CA228" i="1"/>
  <c r="CL228" i="1" s="1"/>
  <c r="CA229" i="1"/>
  <c r="CL229" i="1" s="1"/>
  <c r="CA230" i="1"/>
  <c r="CL230" i="1" s="1"/>
  <c r="CA231" i="1"/>
  <c r="CL231" i="1" s="1"/>
  <c r="CA232" i="1"/>
  <c r="CL232" i="1" s="1"/>
  <c r="CA233" i="1"/>
  <c r="CL233" i="1" s="1"/>
  <c r="CA234" i="1"/>
  <c r="CL234" i="1" s="1"/>
  <c r="CA235" i="1"/>
  <c r="CL235" i="1" s="1"/>
  <c r="CA236" i="1"/>
  <c r="CL236" i="1" s="1"/>
  <c r="CA237" i="1"/>
  <c r="CL237" i="1" s="1"/>
  <c r="CA238" i="1"/>
  <c r="CL238" i="1" s="1"/>
  <c r="CA239" i="1"/>
  <c r="CL239" i="1" s="1"/>
  <c r="CA240" i="1"/>
  <c r="CL240" i="1" s="1"/>
  <c r="CA241" i="1"/>
  <c r="CA242" i="1"/>
  <c r="CA243" i="1"/>
  <c r="CL243" i="1" s="1"/>
  <c r="CA244" i="1"/>
  <c r="CA245" i="1"/>
  <c r="CL245" i="1" s="1"/>
  <c r="CA246" i="1"/>
  <c r="CL246" i="1" s="1"/>
  <c r="CA247" i="1"/>
  <c r="CL247" i="1" s="1"/>
  <c r="CA248" i="1"/>
  <c r="CL248" i="1" s="1"/>
  <c r="CA249" i="1"/>
  <c r="CL249" i="1" s="1"/>
  <c r="CA250" i="1"/>
  <c r="CL250" i="1" s="1"/>
  <c r="CA251" i="1"/>
  <c r="CL251" i="1" s="1"/>
  <c r="CA252" i="1"/>
  <c r="CL252" i="1" s="1"/>
  <c r="CA254" i="1"/>
  <c r="CL254" i="1" s="1"/>
  <c r="CA255" i="1"/>
  <c r="CL255" i="1" s="1"/>
  <c r="CA256" i="1"/>
  <c r="CL256" i="1" s="1"/>
  <c r="CA193" i="1"/>
  <c r="CL193" i="1" s="1"/>
  <c r="CA194" i="1"/>
  <c r="CL194" i="1" s="1"/>
  <c r="CA195" i="1"/>
  <c r="CL195" i="1" s="1"/>
  <c r="CA196" i="1"/>
  <c r="CL196" i="1" s="1"/>
  <c r="CA197" i="1"/>
  <c r="CL197" i="1" s="1"/>
  <c r="CA198" i="1"/>
  <c r="CA199" i="1"/>
  <c r="CL199" i="1" s="1"/>
  <c r="CA200" i="1"/>
  <c r="CL200" i="1" s="1"/>
  <c r="CA201" i="1"/>
  <c r="CL201" i="1" s="1"/>
  <c r="CA204" i="1"/>
  <c r="CL204" i="1" s="1"/>
  <c r="CA205" i="1"/>
  <c r="CL205" i="1" s="1"/>
  <c r="CA206" i="1"/>
  <c r="CA207" i="1"/>
  <c r="CL207" i="1" s="1"/>
  <c r="CA188" i="1"/>
  <c r="CL188" i="1" s="1"/>
  <c r="CA190" i="1"/>
  <c r="CA191" i="1"/>
  <c r="CA170" i="1"/>
  <c r="CL170" i="1" s="1"/>
  <c r="CA171" i="1"/>
  <c r="CL171" i="1" s="1"/>
  <c r="CA172" i="1"/>
  <c r="CA173" i="1"/>
  <c r="CL173" i="1" s="1"/>
  <c r="CA174" i="1"/>
  <c r="CL174" i="1" s="1"/>
  <c r="CA175" i="1"/>
  <c r="CL175" i="1" s="1"/>
  <c r="CA176" i="1"/>
  <c r="CL176" i="1" s="1"/>
  <c r="CA177" i="1"/>
  <c r="CL177" i="1" s="1"/>
  <c r="CA178" i="1"/>
  <c r="CL178" i="1" s="1"/>
  <c r="CA179" i="1"/>
  <c r="CL179" i="1" s="1"/>
  <c r="CA180" i="1"/>
  <c r="CL180" i="1" s="1"/>
  <c r="CA181" i="1"/>
  <c r="CL181" i="1" s="1"/>
  <c r="CA182" i="1"/>
  <c r="CA183" i="1"/>
  <c r="CL183" i="1" s="1"/>
  <c r="CA184" i="1"/>
  <c r="CL184" i="1" s="1"/>
  <c r="CA162" i="1"/>
  <c r="CL162" i="1" s="1"/>
  <c r="CA163" i="1"/>
  <c r="CL163" i="1" s="1"/>
  <c r="CA164" i="1"/>
  <c r="CA165" i="1"/>
  <c r="CL165" i="1" s="1"/>
  <c r="CA166" i="1"/>
  <c r="CL166" i="1" s="1"/>
  <c r="CA167" i="1"/>
  <c r="CL167" i="1" s="1"/>
  <c r="CA168" i="1"/>
  <c r="CL168" i="1" s="1"/>
  <c r="CA169" i="1"/>
  <c r="CL169" i="1" s="1"/>
  <c r="CA145" i="1"/>
  <c r="CL145" i="1" s="1"/>
  <c r="CA147" i="1"/>
  <c r="CL147" i="1" s="1"/>
  <c r="CA148" i="1"/>
  <c r="CL148" i="1" s="1"/>
  <c r="CA149" i="1"/>
  <c r="CL149" i="1" s="1"/>
  <c r="CA150" i="1"/>
  <c r="CL150" i="1" s="1"/>
  <c r="CA151" i="1"/>
  <c r="CL151" i="1" s="1"/>
  <c r="CA152" i="1"/>
  <c r="CL152" i="1" s="1"/>
  <c r="CA155" i="1"/>
  <c r="CL155" i="1" s="1"/>
  <c r="CA105" i="1"/>
  <c r="CL105" i="1" s="1"/>
  <c r="CA106" i="1"/>
  <c r="CL106" i="1" s="1"/>
  <c r="CA107" i="1"/>
  <c r="CL107" i="1" s="1"/>
  <c r="CA108" i="1"/>
  <c r="CL108" i="1" s="1"/>
  <c r="CA109" i="1"/>
  <c r="CA110" i="1"/>
  <c r="CL110" i="1" s="1"/>
  <c r="CA112" i="1"/>
  <c r="CL112" i="1" s="1"/>
  <c r="CA114" i="1"/>
  <c r="CL114" i="1" s="1"/>
  <c r="CA115" i="1"/>
  <c r="CL115" i="1" s="1"/>
  <c r="CA116" i="1"/>
  <c r="CL116" i="1" s="1"/>
  <c r="CA117" i="1"/>
  <c r="CL117" i="1" s="1"/>
  <c r="CA118" i="1"/>
  <c r="CL118" i="1" s="1"/>
  <c r="CA119" i="1"/>
  <c r="CL119" i="1" s="1"/>
  <c r="CA120" i="1"/>
  <c r="CL120" i="1" s="1"/>
  <c r="CA121" i="1"/>
  <c r="CL121" i="1" s="1"/>
  <c r="CA122" i="1"/>
  <c r="CA123" i="1"/>
  <c r="CL123" i="1" s="1"/>
  <c r="CA124" i="1"/>
  <c r="CL124" i="1" s="1"/>
  <c r="CA125" i="1"/>
  <c r="CL125" i="1" s="1"/>
  <c r="CA94" i="1"/>
  <c r="CL94" i="1" s="1"/>
  <c r="CA95" i="1"/>
  <c r="CL95" i="1" s="1"/>
  <c r="CA96" i="1"/>
  <c r="CL96" i="1" s="1"/>
  <c r="CA97" i="1"/>
  <c r="CL97" i="1" s="1"/>
  <c r="CA98" i="1"/>
  <c r="CA99" i="1"/>
  <c r="CL99" i="1" s="1"/>
  <c r="CA100" i="1"/>
  <c r="CL100" i="1" s="1"/>
  <c r="CA101" i="1"/>
  <c r="CL101" i="1" s="1"/>
  <c r="CA78" i="1"/>
  <c r="CL78" i="1" s="1"/>
  <c r="CA79" i="1"/>
  <c r="CL79" i="1" s="1"/>
  <c r="CA80" i="1"/>
  <c r="CA81" i="1"/>
  <c r="CL81" i="1" s="1"/>
  <c r="CA82" i="1"/>
  <c r="CL82" i="1" s="1"/>
  <c r="CA83" i="1"/>
  <c r="CL83" i="1" s="1"/>
  <c r="CA84" i="1"/>
  <c r="CA85" i="1"/>
  <c r="CA86" i="1"/>
  <c r="CL86" i="1" s="1"/>
  <c r="CA87" i="1"/>
  <c r="CL87" i="1" s="1"/>
  <c r="CA69" i="1"/>
  <c r="CL69" i="1" s="1"/>
  <c r="CA70" i="1"/>
  <c r="CA71" i="1"/>
  <c r="CL71" i="1" s="1"/>
  <c r="CA75" i="1"/>
  <c r="CL75" i="1" s="1"/>
  <c r="CA76" i="1"/>
  <c r="CL76" i="1" s="1"/>
  <c r="CA77" i="1"/>
  <c r="CL77" i="1" s="1"/>
  <c r="CA62" i="1"/>
  <c r="CL62" i="1" s="1"/>
  <c r="CA63" i="1"/>
  <c r="CL63" i="1" s="1"/>
  <c r="CA64" i="1"/>
  <c r="CL64" i="1" s="1"/>
  <c r="CA65" i="1"/>
  <c r="CL65" i="1" s="1"/>
  <c r="CA66" i="1"/>
  <c r="CA67" i="1"/>
  <c r="CL67" i="1" s="1"/>
  <c r="CA68" i="1"/>
  <c r="CL68" i="1" s="1"/>
  <c r="CA49" i="1"/>
  <c r="CL49" i="1" s="1"/>
  <c r="CA50" i="1"/>
  <c r="CL50" i="1" s="1"/>
  <c r="CA52" i="1"/>
  <c r="CA53" i="1"/>
  <c r="CL53" i="1" s="1"/>
  <c r="CB53" i="1"/>
  <c r="CC53" i="1"/>
  <c r="CA56" i="1"/>
  <c r="CL56" i="1" s="1"/>
  <c r="CA57" i="1"/>
  <c r="CL57" i="1" s="1"/>
  <c r="CA36" i="1"/>
  <c r="CL36" i="1" s="1"/>
  <c r="CA37" i="1"/>
  <c r="CD12" i="1"/>
  <c r="CG12" i="1"/>
  <c r="CJ12" i="1"/>
  <c r="CL29" i="1"/>
  <c r="CL191" i="1"/>
  <c r="CL217" i="1"/>
  <c r="CL424" i="1"/>
  <c r="CL431" i="1"/>
  <c r="CM431" i="1"/>
  <c r="CM443" i="1"/>
  <c r="CM444" i="1"/>
  <c r="CL449" i="1"/>
  <c r="CM449" i="1"/>
  <c r="CL467" i="1"/>
  <c r="CL470" i="1"/>
  <c r="CL471" i="1"/>
  <c r="CL478" i="1"/>
  <c r="CM478" i="1"/>
  <c r="CL480" i="1"/>
  <c r="CM480" i="1"/>
  <c r="CL481" i="1"/>
  <c r="CM481" i="1"/>
  <c r="CL109" i="1" l="1"/>
  <c r="CL80" i="1"/>
  <c r="CL122" i="1"/>
  <c r="CL267" i="1"/>
  <c r="CL261" i="1"/>
  <c r="CL244" i="1"/>
  <c r="CL242" i="1"/>
  <c r="CL241" i="1"/>
  <c r="CL225" i="1"/>
  <c r="CL209" i="1"/>
  <c r="CL211" i="1"/>
  <c r="CL226" i="1"/>
  <c r="CL222" i="1"/>
  <c r="CL206" i="1"/>
  <c r="CL198" i="1"/>
  <c r="CL190" i="1"/>
  <c r="CL172" i="1"/>
  <c r="CL182" i="1"/>
  <c r="CL164" i="1"/>
  <c r="CL98" i="1"/>
  <c r="CL85" i="1"/>
  <c r="CL84" i="1"/>
  <c r="CL70" i="1"/>
  <c r="CL66" i="1"/>
  <c r="CL52" i="1"/>
  <c r="CL37" i="1"/>
  <c r="AO415" i="1" l="1"/>
  <c r="AO344" i="1"/>
  <c r="BP415" i="1"/>
  <c r="AP386" i="1"/>
  <c r="AO386" i="1"/>
  <c r="AF386" i="1"/>
  <c r="AU113" i="1" l="1"/>
  <c r="AV72" i="1"/>
  <c r="AI72" i="1"/>
  <c r="AH72" i="1"/>
  <c r="S72" i="1"/>
  <c r="W72" i="1" s="1"/>
  <c r="AB72" i="1" l="1"/>
  <c r="AJ72" i="1" s="1"/>
  <c r="CA72" i="1"/>
  <c r="CL72" i="1" s="1"/>
  <c r="CM72" i="1" l="1"/>
  <c r="CB72" i="1"/>
  <c r="CC72" i="1" s="1"/>
  <c r="AH29" i="1"/>
  <c r="AI29" i="1"/>
  <c r="AB29" i="1"/>
  <c r="CB29" i="1" s="1"/>
  <c r="CC29" i="1" s="1"/>
  <c r="S29" i="1"/>
  <c r="W29" i="1" s="1"/>
  <c r="AI386" i="1"/>
  <c r="AH386" i="1"/>
  <c r="CM29" i="1" l="1"/>
  <c r="AJ29" i="1"/>
  <c r="H22" i="17"/>
  <c r="H21" i="17"/>
  <c r="F21" i="17"/>
  <c r="F22" i="17"/>
  <c r="D18" i="17"/>
  <c r="AB402" i="1"/>
  <c r="AB401" i="1"/>
  <c r="AB400" i="1"/>
  <c r="AB398" i="1"/>
  <c r="AB397" i="1"/>
  <c r="AB396" i="1"/>
  <c r="AB395" i="1"/>
  <c r="AB394" i="1"/>
  <c r="AB393" i="1"/>
  <c r="AB392" i="1"/>
  <c r="AB391" i="1"/>
  <c r="AB314" i="1"/>
  <c r="AB411" i="1"/>
  <c r="AB417" i="1"/>
  <c r="CA302" i="1"/>
  <c r="CA307" i="1"/>
  <c r="CC417" i="1" l="1"/>
  <c r="CB417" i="1"/>
  <c r="AB328" i="1"/>
  <c r="CA304" i="1"/>
  <c r="BE113" i="1"/>
  <c r="AB80" i="1"/>
  <c r="CB80" i="1" s="1"/>
  <c r="CC80" i="1" s="1"/>
  <c r="AB81" i="1"/>
  <c r="CB81" i="1" s="1"/>
  <c r="CC81" i="1" s="1"/>
  <c r="AB82" i="1"/>
  <c r="AB83" i="1"/>
  <c r="AB84" i="1"/>
  <c r="CB84" i="1" s="1"/>
  <c r="CC84" i="1" s="1"/>
  <c r="AB85" i="1"/>
  <c r="CB85" i="1" s="1"/>
  <c r="CC85" i="1" s="1"/>
  <c r="AB86" i="1"/>
  <c r="CB86" i="1" s="1"/>
  <c r="CC86" i="1" s="1"/>
  <c r="AB87" i="1"/>
  <c r="CB87" i="1" s="1"/>
  <c r="CC87" i="1" s="1"/>
  <c r="AB88" i="1"/>
  <c r="AB89" i="1"/>
  <c r="AQ278" i="1"/>
  <c r="AI278" i="1"/>
  <c r="AI47" i="1"/>
  <c r="AI46" i="1"/>
  <c r="CB83" i="1" l="1"/>
  <c r="CC83" i="1"/>
  <c r="CC82" i="1"/>
  <c r="CB82" i="1"/>
  <c r="AR294" i="1"/>
  <c r="AR317" i="1"/>
  <c r="AR315" i="1" s="1"/>
  <c r="AW295" i="1"/>
  <c r="AH302" i="1"/>
  <c r="AB302" i="1"/>
  <c r="CM302" i="1" s="1"/>
  <c r="O302" i="1"/>
  <c r="CL302" i="1" s="1"/>
  <c r="CA140" i="1"/>
  <c r="CL140" i="1" s="1"/>
  <c r="CA141" i="1"/>
  <c r="CL141" i="1" s="1"/>
  <c r="CA142" i="1"/>
  <c r="CL142" i="1" s="1"/>
  <c r="BE132" i="1"/>
  <c r="S133" i="1"/>
  <c r="W133" i="1" s="1"/>
  <c r="S135" i="1"/>
  <c r="W135" i="1" s="1"/>
  <c r="AQ133" i="1"/>
  <c r="CA133" i="1" s="1"/>
  <c r="CL133" i="1" s="1"/>
  <c r="AH133" i="1"/>
  <c r="AI133" i="1"/>
  <c r="AB135" i="1"/>
  <c r="CB135" i="1" s="1"/>
  <c r="CC135" i="1" s="1"/>
  <c r="AB137" i="1"/>
  <c r="AB138" i="1"/>
  <c r="AB139" i="1"/>
  <c r="CA42" i="1"/>
  <c r="CL42" i="1" s="1"/>
  <c r="CA44" i="1"/>
  <c r="CA47" i="1"/>
  <c r="CA48" i="1"/>
  <c r="BN40" i="1"/>
  <c r="CA43" i="1"/>
  <c r="CL43" i="1" s="1"/>
  <c r="AH43" i="1"/>
  <c r="AI43" i="1"/>
  <c r="S43" i="1"/>
  <c r="W43" i="1" s="1"/>
  <c r="AB132" i="1" l="1"/>
  <c r="CA132" i="1"/>
  <c r="CL132" i="1" s="1"/>
  <c r="CB138" i="1"/>
  <c r="CC138" i="1"/>
  <c r="CB137" i="1"/>
  <c r="CC137" i="1"/>
  <c r="CB139" i="1"/>
  <c r="CC139" i="1" s="1"/>
  <c r="CL48" i="1"/>
  <c r="CL44" i="1"/>
  <c r="CL47" i="1"/>
  <c r="W302" i="1"/>
  <c r="CB302" i="1"/>
  <c r="CC302" i="1" s="1"/>
  <c r="AB133" i="1"/>
  <c r="AB43" i="1"/>
  <c r="AJ43" i="1" s="1"/>
  <c r="AQ301" i="1"/>
  <c r="AH301" i="1"/>
  <c r="O301" i="1"/>
  <c r="CB132" i="1" l="1"/>
  <c r="CC132" i="1" s="1"/>
  <c r="CB133" i="1"/>
  <c r="CC133" i="1"/>
  <c r="CM133" i="1"/>
  <c r="CM43" i="1"/>
  <c r="W301" i="1"/>
  <c r="AB301" i="1"/>
  <c r="CA301" i="1"/>
  <c r="CM301" i="1" s="1"/>
  <c r="AJ133" i="1"/>
  <c r="CD302" i="1"/>
  <c r="CE302" i="1"/>
  <c r="CB43" i="1"/>
  <c r="CC43" i="1" s="1"/>
  <c r="CN133" i="1"/>
  <c r="CL301" i="1" l="1"/>
  <c r="CB301" i="1"/>
  <c r="CC301" i="1" s="1"/>
  <c r="CD301" i="1"/>
  <c r="CE301" i="1"/>
  <c r="J10" i="17"/>
  <c r="AS253" i="1" l="1"/>
  <c r="AV113" i="1"/>
  <c r="AX113" i="1"/>
  <c r="AU61" i="1"/>
  <c r="CA61" i="1" s="1"/>
  <c r="CL61" i="1" s="1"/>
  <c r="AV61" i="1"/>
  <c r="BB58" i="1"/>
  <c r="BB34" i="1"/>
  <c r="BA32" i="1"/>
  <c r="AR17" i="1"/>
  <c r="AY14" i="1"/>
  <c r="AV14" i="1"/>
  <c r="AU14" i="1"/>
  <c r="AT14" i="1"/>
  <c r="BB14" i="1"/>
  <c r="BA14" i="1"/>
  <c r="AX14" i="1"/>
  <c r="AZ192" i="1"/>
  <c r="AP192" i="1"/>
  <c r="AW212" i="1"/>
  <c r="AV212" i="1"/>
  <c r="AU212" i="1"/>
  <c r="AQ192" i="1"/>
  <c r="AS14" i="1"/>
  <c r="AR14" i="1"/>
  <c r="AQ14" i="1"/>
  <c r="AR21" i="1"/>
  <c r="CA192" i="1" l="1"/>
  <c r="CL192" i="1" s="1"/>
  <c r="CA113" i="1"/>
  <c r="CL113" i="1" s="1"/>
  <c r="AP413" i="1"/>
  <c r="BE407" i="1"/>
  <c r="AB407" i="1" s="1"/>
  <c r="AO382" i="1"/>
  <c r="CA382" i="1"/>
  <c r="CA383" i="1"/>
  <c r="CA384" i="1"/>
  <c r="CD385" i="1"/>
  <c r="CA386" i="1"/>
  <c r="CD386" i="1"/>
  <c r="AP362" i="1"/>
  <c r="CL386" i="1" l="1"/>
  <c r="CA387" i="1"/>
  <c r="CD387" i="1"/>
  <c r="CA388" i="1"/>
  <c r="CA389" i="1"/>
  <c r="CA390" i="1"/>
  <c r="CA391" i="1"/>
  <c r="CA392" i="1"/>
  <c r="CA393" i="1"/>
  <c r="CA394" i="1"/>
  <c r="CA395" i="1"/>
  <c r="CA396" i="1"/>
  <c r="CA397" i="1"/>
  <c r="CA368" i="1"/>
  <c r="CA369" i="1"/>
  <c r="CA370" i="1"/>
  <c r="CD371" i="1"/>
  <c r="CA372" i="1"/>
  <c r="CA374" i="1"/>
  <c r="CA375" i="1"/>
  <c r="CA376" i="1"/>
  <c r="CA377" i="1"/>
  <c r="CA379" i="1"/>
  <c r="CA380" i="1"/>
  <c r="CL387" i="1" l="1"/>
  <c r="CA15" i="1"/>
  <c r="CL15" i="1" s="1"/>
  <c r="CA17" i="1"/>
  <c r="CL17" i="1" s="1"/>
  <c r="CA20" i="1"/>
  <c r="CL20" i="1" s="1"/>
  <c r="CA21" i="1"/>
  <c r="CL21" i="1" s="1"/>
  <c r="CA23" i="1"/>
  <c r="CL23" i="1" s="1"/>
  <c r="CA25" i="1"/>
  <c r="CL25" i="1" s="1"/>
  <c r="CL30" i="1"/>
  <c r="CL31" i="1"/>
  <c r="CA32" i="1"/>
  <c r="CL32" i="1" s="1"/>
  <c r="BS334" i="1"/>
  <c r="AU360" i="1"/>
  <c r="AR360" i="1"/>
  <c r="AQ360" i="1"/>
  <c r="AO360" i="1"/>
  <c r="AO192" i="1"/>
  <c r="CA381" i="1"/>
  <c r="AY362" i="1"/>
  <c r="AZ305" i="1"/>
  <c r="CA305" i="1" s="1"/>
  <c r="AO371" i="1"/>
  <c r="CA371" i="1" s="1"/>
  <c r="CL371" i="1" l="1"/>
  <c r="AO45" i="1"/>
  <c r="AI45" i="1" s="1"/>
  <c r="AQ413" i="1"/>
  <c r="AB413" i="1" s="1"/>
  <c r="BN415" i="1"/>
  <c r="BO415" i="1"/>
  <c r="AN415" i="1"/>
  <c r="CA400" i="1"/>
  <c r="CA401" i="1"/>
  <c r="CA402" i="1"/>
  <c r="AU399" i="1"/>
  <c r="AH400" i="1"/>
  <c r="AI400" i="1"/>
  <c r="O400" i="1"/>
  <c r="CA293" i="1"/>
  <c r="CA296" i="1"/>
  <c r="CA297" i="1"/>
  <c r="CA298" i="1"/>
  <c r="CA299" i="1"/>
  <c r="CA300" i="1"/>
  <c r="CA309" i="1"/>
  <c r="CA310" i="1"/>
  <c r="CA311" i="1"/>
  <c r="CA313" i="1"/>
  <c r="CA314" i="1"/>
  <c r="CA318" i="1"/>
  <c r="CA319" i="1"/>
  <c r="CA321" i="1"/>
  <c r="CA323" i="1"/>
  <c r="CA324" i="1"/>
  <c r="CA326" i="1"/>
  <c r="CA328" i="1"/>
  <c r="CA330" i="1"/>
  <c r="CA331" i="1"/>
  <c r="CA332" i="1"/>
  <c r="CA333" i="1"/>
  <c r="CA335" i="1"/>
  <c r="CA338" i="1"/>
  <c r="CA339" i="1"/>
  <c r="CA341" i="1"/>
  <c r="CA342" i="1"/>
  <c r="CA343" i="1"/>
  <c r="CA345" i="1"/>
  <c r="CA346" i="1"/>
  <c r="CA347" i="1"/>
  <c r="CA348" i="1"/>
  <c r="CA349" i="1"/>
  <c r="CA353" i="1"/>
  <c r="CA354" i="1"/>
  <c r="CA357" i="1"/>
  <c r="CA359" i="1"/>
  <c r="CA361" i="1"/>
  <c r="CA362" i="1"/>
  <c r="CA364" i="1"/>
  <c r="CA365" i="1"/>
  <c r="CA366" i="1"/>
  <c r="CA367" i="1"/>
  <c r="CA398" i="1"/>
  <c r="CA405" i="1"/>
  <c r="CA406" i="1"/>
  <c r="CA407" i="1"/>
  <c r="CA411" i="1"/>
  <c r="CD418" i="1"/>
  <c r="CD419" i="1"/>
  <c r="CD420" i="1"/>
  <c r="CD421" i="1"/>
  <c r="CA295" i="1"/>
  <c r="AH300" i="1"/>
  <c r="AI300" i="1"/>
  <c r="AB300" i="1"/>
  <c r="O300" i="1"/>
  <c r="AH397" i="1"/>
  <c r="AI397" i="1"/>
  <c r="CM397" i="1" s="1"/>
  <c r="O397" i="1"/>
  <c r="CL397" i="1" s="1"/>
  <c r="CL300" i="1" l="1"/>
  <c r="CM400" i="1"/>
  <c r="CM300" i="1"/>
  <c r="CL318" i="1"/>
  <c r="CL400" i="1"/>
  <c r="CA45" i="1"/>
  <c r="AB415" i="1"/>
  <c r="W300" i="1"/>
  <c r="CD300" i="1" s="1"/>
  <c r="CB397" i="1"/>
  <c r="CC397" i="1" s="1"/>
  <c r="AJ300" i="1"/>
  <c r="W400" i="1"/>
  <c r="CD400" i="1" s="1"/>
  <c r="CB400" i="1"/>
  <c r="CC400" i="1" s="1"/>
  <c r="W397" i="1"/>
  <c r="CD397" i="1" s="1"/>
  <c r="AJ400" i="1"/>
  <c r="AJ397" i="1"/>
  <c r="CB300" i="1"/>
  <c r="CC300" i="1" s="1"/>
  <c r="AQ24" i="1"/>
  <c r="CA51" i="1"/>
  <c r="CL51" i="1" s="1"/>
  <c r="BR427" i="1"/>
  <c r="CA189" i="1"/>
  <c r="CL189" i="1" s="1"/>
  <c r="BD46" i="1"/>
  <c r="AY46" i="1"/>
  <c r="CA46" i="1"/>
  <c r="BK24" i="1"/>
  <c r="CL46" i="1" l="1"/>
  <c r="CL45" i="1"/>
  <c r="CA24" i="1"/>
  <c r="CA373" i="1"/>
  <c r="CE300" i="1"/>
  <c r="CE397" i="1"/>
  <c r="CE400" i="1"/>
  <c r="CB68" i="1"/>
  <c r="CC68" i="1" s="1"/>
  <c r="AT60" i="1"/>
  <c r="AB60" i="1" s="1"/>
  <c r="BE111" i="1"/>
  <c r="BF111" i="1"/>
  <c r="BD111" i="1"/>
  <c r="BC111" i="1"/>
  <c r="BB111" i="1"/>
  <c r="BA111" i="1"/>
  <c r="AZ111" i="1"/>
  <c r="CA111" i="1" s="1"/>
  <c r="CL111" i="1" s="1"/>
  <c r="AH114" i="1"/>
  <c r="AI114" i="1"/>
  <c r="AH115" i="1"/>
  <c r="AI115" i="1"/>
  <c r="S114" i="1"/>
  <c r="W114" i="1" s="1"/>
  <c r="S115" i="1"/>
  <c r="W115" i="1" s="1"/>
  <c r="AB114" i="1"/>
  <c r="CB114" i="1" s="1"/>
  <c r="CC114" i="1" s="1"/>
  <c r="AB115" i="1"/>
  <c r="BC220" i="1"/>
  <c r="BB220" i="1"/>
  <c r="BA220" i="1"/>
  <c r="AY220" i="1"/>
  <c r="AW220" i="1"/>
  <c r="AU220" i="1"/>
  <c r="AT220" i="1"/>
  <c r="AI67" i="1"/>
  <c r="AI68" i="1"/>
  <c r="AI69" i="1"/>
  <c r="AH67" i="1"/>
  <c r="AH68" i="1"/>
  <c r="AH69" i="1"/>
  <c r="CB67" i="1"/>
  <c r="CC67" i="1" s="1"/>
  <c r="S67" i="1"/>
  <c r="W67" i="1" s="1"/>
  <c r="S68" i="1"/>
  <c r="W68" i="1" s="1"/>
  <c r="CA59" i="1"/>
  <c r="CL59" i="1" s="1"/>
  <c r="CA54" i="1"/>
  <c r="CL54" i="1" s="1"/>
  <c r="AI59" i="1"/>
  <c r="AI60" i="1"/>
  <c r="AI61" i="1"/>
  <c r="AH57" i="1"/>
  <c r="AH58" i="1"/>
  <c r="AH59" i="1"/>
  <c r="AH60" i="1"/>
  <c r="AB59" i="1"/>
  <c r="S59" i="1"/>
  <c r="W59" i="1" s="1"/>
  <c r="S60" i="1"/>
  <c r="W60" i="1" s="1"/>
  <c r="S61" i="1"/>
  <c r="W61" i="1" s="1"/>
  <c r="AB51" i="1"/>
  <c r="S51" i="1"/>
  <c r="W51" i="1" s="1"/>
  <c r="AZ356" i="1"/>
  <c r="BQ350" i="1"/>
  <c r="AZ350" i="1"/>
  <c r="CA350" i="1" s="1"/>
  <c r="BE315" i="1"/>
  <c r="AY315" i="1"/>
  <c r="BD315" i="1"/>
  <c r="BC315" i="1"/>
  <c r="BB315" i="1"/>
  <c r="BA315" i="1"/>
  <c r="AZ315" i="1"/>
  <c r="AX315" i="1"/>
  <c r="AW315" i="1"/>
  <c r="AV315" i="1"/>
  <c r="AU315" i="1"/>
  <c r="AT315" i="1"/>
  <c r="AS315" i="1"/>
  <c r="AZ340" i="1"/>
  <c r="CA340" i="1" s="1"/>
  <c r="AX356" i="1"/>
  <c r="AW356" i="1"/>
  <c r="AV356" i="1"/>
  <c r="AU356" i="1"/>
  <c r="BC358" i="1"/>
  <c r="BB358" i="1"/>
  <c r="BA358" i="1"/>
  <c r="AZ358" i="1"/>
  <c r="AY358" i="1"/>
  <c r="AT358" i="1"/>
  <c r="AS358" i="1"/>
  <c r="AR358" i="1"/>
  <c r="AQ358" i="1"/>
  <c r="AP358" i="1"/>
  <c r="BH146" i="1"/>
  <c r="BH157" i="1"/>
  <c r="BH153" i="1"/>
  <c r="BK157" i="1"/>
  <c r="BG146" i="1"/>
  <c r="BD146" i="1"/>
  <c r="CA146" i="1" s="1"/>
  <c r="CL146" i="1" s="1"/>
  <c r="BJ153" i="1"/>
  <c r="AT19" i="1"/>
  <c r="CA19" i="1" s="1"/>
  <c r="CL19" i="1" s="1"/>
  <c r="CA58" i="1"/>
  <c r="CL58" i="1" s="1"/>
  <c r="CA153" i="1" l="1"/>
  <c r="CL153" i="1" s="1"/>
  <c r="CA220" i="1"/>
  <c r="CL220" i="1" s="1"/>
  <c r="CM59" i="1"/>
  <c r="CB115" i="1"/>
  <c r="CC115" i="1" s="1"/>
  <c r="CL24" i="1"/>
  <c r="CM114" i="1"/>
  <c r="CB51" i="1"/>
  <c r="CC51" i="1" s="1"/>
  <c r="CM51" i="1"/>
  <c r="CM115" i="1"/>
  <c r="CM67" i="1"/>
  <c r="CM68" i="1"/>
  <c r="CA356" i="1"/>
  <c r="CA358" i="1"/>
  <c r="CA60" i="1"/>
  <c r="CL60" i="1" s="1"/>
  <c r="AJ114" i="1"/>
  <c r="AJ59" i="1"/>
  <c r="AJ67" i="1"/>
  <c r="CB59" i="1"/>
  <c r="CC59" i="1" s="1"/>
  <c r="CM60" i="1" l="1"/>
  <c r="CB60" i="1"/>
  <c r="CC60" i="1" s="1"/>
  <c r="CA413" i="1"/>
  <c r="AV412" i="1" l="1"/>
  <c r="AB357" i="1"/>
  <c r="CB357" i="1" s="1"/>
  <c r="CC357" i="1" s="1"/>
  <c r="CA322" i="1"/>
  <c r="O307" i="1"/>
  <c r="CL307" i="1" s="1"/>
  <c r="O308" i="1"/>
  <c r="O309" i="1"/>
  <c r="CL309" i="1" s="1"/>
  <c r="O310" i="1"/>
  <c r="CL310" i="1" s="1"/>
  <c r="O311" i="1"/>
  <c r="CL311" i="1" s="1"/>
  <c r="O312" i="1"/>
  <c r="O296" i="1"/>
  <c r="CL296" i="1" s="1"/>
  <c r="O297" i="1"/>
  <c r="CL297" i="1" s="1"/>
  <c r="O298" i="1"/>
  <c r="CL298" i="1" s="1"/>
  <c r="O299" i="1"/>
  <c r="CL299" i="1" s="1"/>
  <c r="AB210" i="1"/>
  <c r="AB211" i="1"/>
  <c r="CB211" i="1" s="1"/>
  <c r="CC211" i="1" s="1"/>
  <c r="AB213" i="1"/>
  <c r="AB214" i="1"/>
  <c r="CB214" i="1" s="1"/>
  <c r="CC214" i="1" s="1"/>
  <c r="AB215" i="1"/>
  <c r="AB216" i="1"/>
  <c r="AB217" i="1"/>
  <c r="CB217" i="1" s="1"/>
  <c r="CC217" i="1" s="1"/>
  <c r="AB218" i="1"/>
  <c r="AB219" i="1"/>
  <c r="AB195" i="1"/>
  <c r="CB195" i="1" s="1"/>
  <c r="CC195" i="1" s="1"/>
  <c r="AB196" i="1"/>
  <c r="CB196" i="1" s="1"/>
  <c r="CC196" i="1" s="1"/>
  <c r="AB197" i="1"/>
  <c r="CB197" i="1" s="1"/>
  <c r="CC197" i="1" s="1"/>
  <c r="AB198" i="1"/>
  <c r="CB198" i="1" s="1"/>
  <c r="CC198" i="1" s="1"/>
  <c r="AB199" i="1"/>
  <c r="AB200" i="1"/>
  <c r="AB201" i="1"/>
  <c r="CB201" i="1" s="1"/>
  <c r="CC201" i="1" s="1"/>
  <c r="AB203" i="1"/>
  <c r="CB203" i="1" s="1"/>
  <c r="CC203" i="1" s="1"/>
  <c r="AB204" i="1"/>
  <c r="CB204" i="1" s="1"/>
  <c r="CC204" i="1" s="1"/>
  <c r="AB205" i="1"/>
  <c r="AB206" i="1"/>
  <c r="CB206" i="1" s="1"/>
  <c r="CC206" i="1" s="1"/>
  <c r="AB207" i="1"/>
  <c r="AB208" i="1"/>
  <c r="CB208" i="1" s="1"/>
  <c r="CC208" i="1" s="1"/>
  <c r="AB209" i="1"/>
  <c r="CB209" i="1" s="1"/>
  <c r="CC209" i="1" s="1"/>
  <c r="AB188" i="1"/>
  <c r="AB189" i="1"/>
  <c r="AB190" i="1"/>
  <c r="CB190" i="1" s="1"/>
  <c r="CC190" i="1" s="1"/>
  <c r="AB191" i="1"/>
  <c r="AB192" i="1"/>
  <c r="CB192" i="1" s="1"/>
  <c r="CC192" i="1" s="1"/>
  <c r="AB193" i="1"/>
  <c r="CB193" i="1" s="1"/>
  <c r="CC193" i="1" s="1"/>
  <c r="AB194" i="1"/>
  <c r="AB172" i="1"/>
  <c r="CB172" i="1" s="1"/>
  <c r="CC172" i="1" s="1"/>
  <c r="AB173" i="1"/>
  <c r="AB174" i="1"/>
  <c r="CB174" i="1" s="1"/>
  <c r="CC174" i="1" s="1"/>
  <c r="AB175" i="1"/>
  <c r="AB176" i="1"/>
  <c r="AB177" i="1"/>
  <c r="CB177" i="1" s="1"/>
  <c r="CC177" i="1" s="1"/>
  <c r="AB178" i="1"/>
  <c r="CB178" i="1" s="1"/>
  <c r="CC178" i="1" s="1"/>
  <c r="AB179" i="1"/>
  <c r="AB180" i="1"/>
  <c r="AB181" i="1"/>
  <c r="CB181" i="1" s="1"/>
  <c r="CC181" i="1" s="1"/>
  <c r="AB182" i="1"/>
  <c r="CB182" i="1" s="1"/>
  <c r="CC182" i="1" s="1"/>
  <c r="AB183" i="1"/>
  <c r="AB184" i="1"/>
  <c r="AB163" i="1"/>
  <c r="CB163" i="1" s="1"/>
  <c r="CC163" i="1" s="1"/>
  <c r="AB164" i="1"/>
  <c r="CB164" i="1" s="1"/>
  <c r="CC164" i="1" s="1"/>
  <c r="AB165" i="1"/>
  <c r="CB165" i="1" s="1"/>
  <c r="CC165" i="1" s="1"/>
  <c r="AB166" i="1"/>
  <c r="CB166" i="1" s="1"/>
  <c r="CC166" i="1" s="1"/>
  <c r="AB167" i="1"/>
  <c r="CB167" i="1" s="1"/>
  <c r="CC167" i="1" s="1"/>
  <c r="AB168" i="1"/>
  <c r="AB169" i="1"/>
  <c r="CB169" i="1" s="1"/>
  <c r="CC169" i="1" s="1"/>
  <c r="AB170" i="1"/>
  <c r="AB171" i="1"/>
  <c r="CB171" i="1" s="1"/>
  <c r="CC171" i="1" s="1"/>
  <c r="AB151" i="1"/>
  <c r="CA274" i="1"/>
  <c r="CL274" i="1" s="1"/>
  <c r="CA126" i="1"/>
  <c r="CL126" i="1" s="1"/>
  <c r="CA127" i="1"/>
  <c r="CL127" i="1" s="1"/>
  <c r="CA128" i="1"/>
  <c r="CL128" i="1" s="1"/>
  <c r="CA93" i="1"/>
  <c r="CL93" i="1" s="1"/>
  <c r="CA102" i="1"/>
  <c r="CL102" i="1" s="1"/>
  <c r="CA103" i="1"/>
  <c r="CL103" i="1" s="1"/>
  <c r="CA104" i="1"/>
  <c r="CL104" i="1" s="1"/>
  <c r="CA88" i="1"/>
  <c r="CL88" i="1" s="1"/>
  <c r="CA89" i="1"/>
  <c r="CL89" i="1" s="1"/>
  <c r="CA90" i="1"/>
  <c r="CL90" i="1" s="1"/>
  <c r="CA91" i="1"/>
  <c r="CL91" i="1" s="1"/>
  <c r="CA92" i="1"/>
  <c r="CL92" i="1" s="1"/>
  <c r="CA41" i="1"/>
  <c r="CL41" i="1" s="1"/>
  <c r="CA34" i="1"/>
  <c r="CL34" i="1" s="1"/>
  <c r="CB401" i="1"/>
  <c r="CC401" i="1" s="1"/>
  <c r="AB386" i="1"/>
  <c r="CM386" i="1" s="1"/>
  <c r="AB387" i="1"/>
  <c r="AB388" i="1"/>
  <c r="O13" i="1"/>
  <c r="CA352" i="1"/>
  <c r="CA320" i="1"/>
  <c r="CA317" i="1"/>
  <c r="CA344" i="1"/>
  <c r="BS315" i="1"/>
  <c r="BP336" i="1"/>
  <c r="CA336" i="1" s="1"/>
  <c r="CA327" i="1"/>
  <c r="CA329" i="1"/>
  <c r="BB308" i="1"/>
  <c r="BP315" i="1"/>
  <c r="CA306" i="1"/>
  <c r="AP385" i="1"/>
  <c r="CA385" i="1" s="1"/>
  <c r="AP412" i="1"/>
  <c r="CA294" i="1"/>
  <c r="AW253" i="1"/>
  <c r="CA253" i="1" s="1"/>
  <c r="CL253" i="1" s="1"/>
  <c r="BQ404" i="1"/>
  <c r="BQ403" i="1"/>
  <c r="CM387" i="1" l="1"/>
  <c r="AJ387" i="1"/>
  <c r="CB194" i="1"/>
  <c r="CC194" i="1" s="1"/>
  <c r="CB210" i="1"/>
  <c r="CC210" i="1"/>
  <c r="CB168" i="1"/>
  <c r="CC168" i="1" s="1"/>
  <c r="CB189" i="1"/>
  <c r="CC189" i="1" s="1"/>
  <c r="CC219" i="1"/>
  <c r="CB219" i="1"/>
  <c r="CB175" i="1"/>
  <c r="CC175" i="1" s="1"/>
  <c r="CB199" i="1"/>
  <c r="CC199" i="1" s="1"/>
  <c r="CB188" i="1"/>
  <c r="CC188" i="1"/>
  <c r="CB218" i="1"/>
  <c r="CC218" i="1" s="1"/>
  <c r="CD218" i="1" s="1"/>
  <c r="CE218" i="1" s="1"/>
  <c r="CF218" i="1" s="1"/>
  <c r="CB191" i="1"/>
  <c r="CC191" i="1"/>
  <c r="CB180" i="1"/>
  <c r="CC180" i="1" s="1"/>
  <c r="CB200" i="1"/>
  <c r="CC200" i="1"/>
  <c r="CL385" i="1"/>
  <c r="CB179" i="1"/>
  <c r="CC179" i="1" s="1"/>
  <c r="CB216" i="1"/>
  <c r="CC216" i="1" s="1"/>
  <c r="CB173" i="1"/>
  <c r="CC173" i="1"/>
  <c r="CL317" i="1"/>
  <c r="CB151" i="1"/>
  <c r="CC151" i="1"/>
  <c r="CB207" i="1"/>
  <c r="CC207" i="1" s="1"/>
  <c r="CB215" i="1"/>
  <c r="CC215" i="1"/>
  <c r="CB184" i="1"/>
  <c r="CC184" i="1"/>
  <c r="CB183" i="1"/>
  <c r="CC183" i="1"/>
  <c r="CB170" i="1"/>
  <c r="CC170" i="1" s="1"/>
  <c r="CB176" i="1"/>
  <c r="CC176" i="1" s="1"/>
  <c r="CB205" i="1"/>
  <c r="CC205" i="1" s="1"/>
  <c r="CB213" i="1"/>
  <c r="CC213" i="1" s="1"/>
  <c r="AB404" i="1"/>
  <c r="AJ386" i="1"/>
  <c r="CA412" i="1"/>
  <c r="AB412" i="1"/>
  <c r="CB386" i="1"/>
  <c r="CC386" i="1" s="1"/>
  <c r="CE386" i="1"/>
  <c r="CB388" i="1"/>
  <c r="CC388" i="1" s="1"/>
  <c r="CB387" i="1"/>
  <c r="CC387" i="1" s="1"/>
  <c r="CE387" i="1"/>
  <c r="CA404" i="1"/>
  <c r="CD219" i="1"/>
  <c r="CF219" i="1"/>
  <c r="CE219" i="1"/>
  <c r="W298" i="1"/>
  <c r="W297" i="1"/>
  <c r="W296" i="1"/>
  <c r="W299" i="1"/>
  <c r="W307" i="1"/>
  <c r="CA312" i="1"/>
  <c r="CL312" i="1" s="1"/>
  <c r="BJ16" i="1"/>
  <c r="BK16" i="1"/>
  <c r="CD307" i="1" l="1"/>
  <c r="CD298" i="1"/>
  <c r="CD296" i="1"/>
  <c r="CD297" i="1"/>
  <c r="CD299" i="1"/>
  <c r="BQ408" i="1"/>
  <c r="AH408" i="1"/>
  <c r="AI408" i="1"/>
  <c r="O408" i="1"/>
  <c r="CA408" i="1" l="1"/>
  <c r="AB408" i="1"/>
  <c r="W408" i="1"/>
  <c r="CM408" i="1" l="1"/>
  <c r="CL408" i="1"/>
  <c r="CB408" i="1"/>
  <c r="CC408" i="1" s="1"/>
  <c r="CD408" i="1"/>
  <c r="CE408" i="1"/>
  <c r="AJ408" i="1"/>
  <c r="AH78" i="1"/>
  <c r="AI78" i="1"/>
  <c r="S78" i="1"/>
  <c r="W78" i="1" s="1"/>
  <c r="AB78" i="1" l="1"/>
  <c r="CB78" i="1" l="1"/>
  <c r="CC78" i="1"/>
  <c r="CM78" i="1"/>
  <c r="AJ78" i="1"/>
  <c r="AY351" i="1" l="1"/>
  <c r="AB311" i="1"/>
  <c r="CB311" i="1" s="1"/>
  <c r="CC311" i="1" s="1"/>
  <c r="AH77" i="1"/>
  <c r="AI77" i="1"/>
  <c r="S77" i="1"/>
  <c r="W77" i="1" s="1"/>
  <c r="AB77" i="1" l="1"/>
  <c r="CB77" i="1" l="1"/>
  <c r="CC77" i="1" s="1"/>
  <c r="CM77" i="1"/>
  <c r="AJ77" i="1"/>
  <c r="AI330" i="1"/>
  <c r="AH330" i="1"/>
  <c r="AB329" i="1"/>
  <c r="CB329" i="1" s="1"/>
  <c r="CC329" i="1" s="1"/>
  <c r="AB330" i="1"/>
  <c r="CB330" i="1" s="1"/>
  <c r="CC330" i="1" s="1"/>
  <c r="O330" i="1"/>
  <c r="CL330" i="1" s="1"/>
  <c r="CA351" i="1"/>
  <c r="AI353" i="1"/>
  <c r="AH353" i="1"/>
  <c r="AB353" i="1"/>
  <c r="CB353" i="1" s="1"/>
  <c r="CC353" i="1" s="1"/>
  <c r="O353" i="1"/>
  <c r="CL353" i="1" s="1"/>
  <c r="AI299" i="1"/>
  <c r="AH299" i="1"/>
  <c r="AB299" i="1"/>
  <c r="CM299" i="1" l="1"/>
  <c r="CM353" i="1"/>
  <c r="CM330" i="1"/>
  <c r="CB394" i="1"/>
  <c r="CC394" i="1" s="1"/>
  <c r="CB299" i="1"/>
  <c r="CC299" i="1" s="1"/>
  <c r="CE299" i="1"/>
  <c r="W353" i="1"/>
  <c r="W330" i="1"/>
  <c r="AJ330" i="1"/>
  <c r="AJ353" i="1"/>
  <c r="AJ299" i="1"/>
  <c r="CD330" i="1" l="1"/>
  <c r="CE330" i="1"/>
  <c r="CD353" i="1"/>
  <c r="CE353" i="1"/>
  <c r="CA275" i="1"/>
  <c r="CL275" i="1" s="1"/>
  <c r="AB358" i="1"/>
  <c r="CB358" i="1" s="1"/>
  <c r="CC358" i="1" s="1"/>
  <c r="AH358" i="1"/>
  <c r="AI358" i="1"/>
  <c r="CM358" i="1" s="1"/>
  <c r="O358" i="1"/>
  <c r="CL358" i="1" s="1"/>
  <c r="W358" i="1" l="1"/>
  <c r="CP358" i="1"/>
  <c r="AJ358" i="1"/>
  <c r="AH339" i="1"/>
  <c r="AI339" i="1"/>
  <c r="AB339" i="1"/>
  <c r="CB339" i="1" s="1"/>
  <c r="CC339" i="1" s="1"/>
  <c r="O339" i="1"/>
  <c r="CL339" i="1" s="1"/>
  <c r="AI307" i="1"/>
  <c r="AH307" i="1"/>
  <c r="AI313" i="1"/>
  <c r="AH313" i="1"/>
  <c r="O313" i="1"/>
  <c r="CL313" i="1" s="1"/>
  <c r="AI112" i="1"/>
  <c r="AH112" i="1"/>
  <c r="AB112" i="1"/>
  <c r="S112" i="1"/>
  <c r="W112" i="1" s="1"/>
  <c r="AB71" i="1"/>
  <c r="CB71" i="1" s="1"/>
  <c r="CC71" i="1" s="1"/>
  <c r="AI113" i="1"/>
  <c r="AI116" i="1"/>
  <c r="AH113" i="1"/>
  <c r="AH116" i="1"/>
  <c r="S113" i="1"/>
  <c r="W113" i="1" s="1"/>
  <c r="S116" i="1"/>
  <c r="W116" i="1" s="1"/>
  <c r="CM112" i="1" l="1"/>
  <c r="CM339" i="1"/>
  <c r="CB112" i="1"/>
  <c r="CC112" i="1"/>
  <c r="CD358" i="1"/>
  <c r="CE358" i="1"/>
  <c r="W339" i="1"/>
  <c r="AB307" i="1"/>
  <c r="CM307" i="1" s="1"/>
  <c r="AB313" i="1"/>
  <c r="CM313" i="1" s="1"/>
  <c r="W313" i="1"/>
  <c r="AJ339" i="1"/>
  <c r="AJ112" i="1"/>
  <c r="AB113" i="1"/>
  <c r="CB113" i="1" s="1"/>
  <c r="CC113" i="1" s="1"/>
  <c r="CM113" i="1" l="1"/>
  <c r="CB307" i="1"/>
  <c r="CC307" i="1" s="1"/>
  <c r="CE307" i="1"/>
  <c r="CD313" i="1"/>
  <c r="CE313" i="1"/>
  <c r="AJ313" i="1"/>
  <c r="CB313" i="1"/>
  <c r="CC313" i="1" s="1"/>
  <c r="AJ307" i="1"/>
  <c r="CD339" i="1"/>
  <c r="CE339" i="1"/>
  <c r="AJ113" i="1"/>
  <c r="CA415" i="1" l="1"/>
  <c r="AN381" i="1"/>
  <c r="AI381" i="1" s="1"/>
  <c r="AH291" i="1"/>
  <c r="AN463" i="1"/>
  <c r="AS355" i="1"/>
  <c r="CA355" i="1" s="1"/>
  <c r="AO378" i="1"/>
  <c r="CA378" i="1" s="1"/>
  <c r="AN382" i="1"/>
  <c r="AO291" i="1"/>
  <c r="CA281" i="1"/>
  <c r="CL281" i="1" s="1"/>
  <c r="CA290" i="1"/>
  <c r="CA282" i="1"/>
  <c r="CL282" i="1" s="1"/>
  <c r="AF157" i="1"/>
  <c r="CA157" i="1" s="1"/>
  <c r="CL157" i="1" s="1"/>
  <c r="CA156" i="1"/>
  <c r="CL156" i="1" s="1"/>
  <c r="AH151" i="1"/>
  <c r="AI151" i="1"/>
  <c r="CM151" i="1" s="1"/>
  <c r="AJ151" i="1"/>
  <c r="AH152" i="1"/>
  <c r="AI152" i="1"/>
  <c r="AH153" i="1"/>
  <c r="AI153" i="1"/>
  <c r="BP272" i="1"/>
  <c r="CA272" i="1" s="1"/>
  <c r="CL272" i="1" s="1"/>
  <c r="BQ272" i="1"/>
  <c r="AH273" i="1"/>
  <c r="AI273" i="1"/>
  <c r="AH274" i="1"/>
  <c r="AI274" i="1"/>
  <c r="AB273" i="1"/>
  <c r="S273" i="1"/>
  <c r="W273" i="1" s="1"/>
  <c r="AH146" i="1"/>
  <c r="AI146" i="1"/>
  <c r="AI345" i="1"/>
  <c r="CM345" i="1" s="1"/>
  <c r="AH345" i="1"/>
  <c r="AB345" i="1"/>
  <c r="CB345" i="1" s="1"/>
  <c r="CC345" i="1" s="1"/>
  <c r="O345" i="1"/>
  <c r="CL345" i="1" s="1"/>
  <c r="AI329" i="1"/>
  <c r="CM329" i="1" s="1"/>
  <c r="AH328" i="1"/>
  <c r="AH329" i="1"/>
  <c r="AH331" i="1"/>
  <c r="AH332" i="1"/>
  <c r="AH333" i="1"/>
  <c r="O329" i="1"/>
  <c r="CL329" i="1" s="1"/>
  <c r="AT280" i="1"/>
  <c r="AH281" i="1"/>
  <c r="AI281" i="1"/>
  <c r="AH282" i="1"/>
  <c r="AI282" i="1"/>
  <c r="S281" i="1"/>
  <c r="W281" i="1" s="1"/>
  <c r="AB281" i="1"/>
  <c r="AW337" i="1"/>
  <c r="CA337" i="1" s="1"/>
  <c r="AH338" i="1"/>
  <c r="AI338" i="1"/>
  <c r="AB338" i="1"/>
  <c r="CB338" i="1" s="1"/>
  <c r="CC338" i="1" s="1"/>
  <c r="O338" i="1"/>
  <c r="CL338" i="1" s="1"/>
  <c r="CM281" i="1" l="1"/>
  <c r="CM338" i="1"/>
  <c r="CB273" i="1"/>
  <c r="CC273" i="1" s="1"/>
  <c r="CM273" i="1"/>
  <c r="CA291" i="1"/>
  <c r="CB328" i="1"/>
  <c r="CC328" i="1" s="1"/>
  <c r="CP329" i="1"/>
  <c r="AB146" i="1"/>
  <c r="CB146" i="1" s="1"/>
  <c r="CC146" i="1" s="1"/>
  <c r="W345" i="1"/>
  <c r="AB153" i="1"/>
  <c r="CM153" i="1" s="1"/>
  <c r="W338" i="1"/>
  <c r="AN425" i="1"/>
  <c r="W329" i="1"/>
  <c r="CB281" i="1"/>
  <c r="CC281" i="1" s="1"/>
  <c r="AJ273" i="1"/>
  <c r="AJ281" i="1"/>
  <c r="AJ345" i="1"/>
  <c r="AJ338" i="1"/>
  <c r="AJ153" i="1" l="1"/>
  <c r="CB153" i="1"/>
  <c r="CC153" i="1" s="1"/>
  <c r="CM146" i="1"/>
  <c r="CD329" i="1"/>
  <c r="CE329" i="1"/>
  <c r="CD338" i="1"/>
  <c r="CE338" i="1"/>
  <c r="CD345" i="1"/>
  <c r="CE345" i="1"/>
  <c r="AJ146" i="1"/>
  <c r="BS360" i="1"/>
  <c r="CA360" i="1" s="1"/>
  <c r="AB360" i="1" l="1"/>
  <c r="CB41" i="1"/>
  <c r="CC41" i="1" s="1"/>
  <c r="AI41" i="1"/>
  <c r="CM41" i="1" s="1"/>
  <c r="AI42" i="1"/>
  <c r="AH41" i="1"/>
  <c r="AH42" i="1"/>
  <c r="S41" i="1"/>
  <c r="W41" i="1" s="1"/>
  <c r="CA316" i="1"/>
  <c r="S57" i="1"/>
  <c r="W57" i="1" s="1"/>
  <c r="S58" i="1"/>
  <c r="W58" i="1" s="1"/>
  <c r="AV399" i="1"/>
  <c r="BS325" i="1"/>
  <c r="CA325" i="1" s="1"/>
  <c r="BR315" i="1"/>
  <c r="BS308" i="1"/>
  <c r="CA308" i="1" s="1"/>
  <c r="AO292" i="1"/>
  <c r="AW14" i="1"/>
  <c r="AR363" i="1"/>
  <c r="CA363" i="1" s="1"/>
  <c r="CA16" i="1"/>
  <c r="CL16" i="1" s="1"/>
  <c r="AH327" i="1"/>
  <c r="AI327" i="1"/>
  <c r="O327" i="1"/>
  <c r="CL327" i="1" s="1"/>
  <c r="AH61" i="1"/>
  <c r="AH394" i="1"/>
  <c r="AI394" i="1"/>
  <c r="CM394" i="1" s="1"/>
  <c r="O394" i="1"/>
  <c r="CL394" i="1" s="1"/>
  <c r="AI298" i="1"/>
  <c r="AH298" i="1"/>
  <c r="AB298" i="1"/>
  <c r="AB352" i="1"/>
  <c r="CB352" i="1" s="1"/>
  <c r="CC352" i="1" s="1"/>
  <c r="AH352" i="1"/>
  <c r="AI352" i="1"/>
  <c r="O352" i="1"/>
  <c r="CL352" i="1" s="1"/>
  <c r="AQ334" i="1"/>
  <c r="CA334" i="1" s="1"/>
  <c r="AI334" i="1"/>
  <c r="AH334" i="1"/>
  <c r="AB346" i="1"/>
  <c r="CB346" i="1" s="1"/>
  <c r="CC346" i="1" s="1"/>
  <c r="O334" i="1"/>
  <c r="AI375" i="1"/>
  <c r="AH375" i="1"/>
  <c r="AB375" i="1"/>
  <c r="O375" i="1"/>
  <c r="CL375" i="1" s="1"/>
  <c r="AB24" i="1"/>
  <c r="CM24" i="1" s="1"/>
  <c r="AH24" i="1"/>
  <c r="S24" i="1"/>
  <c r="W24" i="1" s="1"/>
  <c r="CM375" i="1" l="1"/>
  <c r="CL334" i="1"/>
  <c r="CM352" i="1"/>
  <c r="CM298" i="1"/>
  <c r="CL316" i="1"/>
  <c r="CL308" i="1"/>
  <c r="CA399" i="1"/>
  <c r="AB399" i="1"/>
  <c r="CA292" i="1"/>
  <c r="AO425" i="1"/>
  <c r="CB375" i="1"/>
  <c r="CC375" i="1" s="1"/>
  <c r="CB24" i="1"/>
  <c r="CC24" i="1" s="1"/>
  <c r="AJ394" i="1"/>
  <c r="CB298" i="1"/>
  <c r="CC298" i="1" s="1"/>
  <c r="CE298" i="1"/>
  <c r="CB360" i="1"/>
  <c r="CC360" i="1" s="1"/>
  <c r="W327" i="1"/>
  <c r="AB334" i="1"/>
  <c r="CB334" i="1" s="1"/>
  <c r="CC334" i="1" s="1"/>
  <c r="AB327" i="1"/>
  <c r="CM327" i="1" s="1"/>
  <c r="W375" i="1"/>
  <c r="CP327" i="1"/>
  <c r="W394" i="1"/>
  <c r="W334" i="1"/>
  <c r="CP352" i="1"/>
  <c r="AJ298" i="1"/>
  <c r="AJ375" i="1"/>
  <c r="AJ352" i="1"/>
  <c r="W352" i="1"/>
  <c r="CM334" i="1" l="1"/>
  <c r="CB399" i="1"/>
  <c r="CC399" i="1" s="1"/>
  <c r="CD394" i="1"/>
  <c r="CE394" i="1"/>
  <c r="CD375" i="1"/>
  <c r="CE375" i="1"/>
  <c r="CD334" i="1"/>
  <c r="CE334" i="1"/>
  <c r="CB327" i="1"/>
  <c r="CC327" i="1" s="1"/>
  <c r="CD327" i="1"/>
  <c r="CE327" i="1"/>
  <c r="CD352" i="1"/>
  <c r="CE352" i="1"/>
  <c r="AJ327" i="1"/>
  <c r="AJ334" i="1"/>
  <c r="AH393" i="1" l="1"/>
  <c r="AI393" i="1"/>
  <c r="CM393" i="1" s="1"/>
  <c r="O393" i="1"/>
  <c r="CL393" i="1" s="1"/>
  <c r="CB393" i="1" l="1"/>
  <c r="CC393" i="1" s="1"/>
  <c r="W393" i="1"/>
  <c r="CD393" i="1" s="1"/>
  <c r="AJ393" i="1"/>
  <c r="AB58" i="1"/>
  <c r="CB58" i="1" s="1"/>
  <c r="CC58" i="1" s="1"/>
  <c r="AB57" i="1"/>
  <c r="CB57" i="1" s="1"/>
  <c r="CC57" i="1" s="1"/>
  <c r="AI57" i="1"/>
  <c r="CM57" i="1" s="1"/>
  <c r="AI58" i="1"/>
  <c r="CM58" i="1" s="1"/>
  <c r="CE393" i="1" l="1"/>
  <c r="AJ58" i="1"/>
  <c r="AJ57" i="1"/>
  <c r="O344" i="1"/>
  <c r="CL344" i="1" s="1"/>
  <c r="AH311" i="1"/>
  <c r="AI311" i="1"/>
  <c r="CM311" i="1" s="1"/>
  <c r="W311" i="1" l="1"/>
  <c r="AJ311" i="1"/>
  <c r="CP344" i="1"/>
  <c r="AB322" i="1"/>
  <c r="CB322" i="1" s="1"/>
  <c r="CC322" i="1" s="1"/>
  <c r="AH322" i="1"/>
  <c r="AI322" i="1"/>
  <c r="CM322" i="1" s="1"/>
  <c r="O322" i="1"/>
  <c r="CL322" i="1" s="1"/>
  <c r="AI396" i="1"/>
  <c r="CM396" i="1" s="1"/>
  <c r="AH396" i="1"/>
  <c r="O396" i="1"/>
  <c r="CL396" i="1" s="1"/>
  <c r="AI333" i="1"/>
  <c r="CM333" i="1" s="1"/>
  <c r="AB333" i="1"/>
  <c r="O333" i="1"/>
  <c r="CL333" i="1" s="1"/>
  <c r="AF318" i="1"/>
  <c r="CB396" i="1" l="1"/>
  <c r="CC396" i="1" s="1"/>
  <c r="CB333" i="1"/>
  <c r="CC333" i="1" s="1"/>
  <c r="CD311" i="1"/>
  <c r="CE311" i="1"/>
  <c r="W322" i="1"/>
  <c r="W396" i="1"/>
  <c r="CD396" i="1" s="1"/>
  <c r="W333" i="1"/>
  <c r="AJ322" i="1"/>
  <c r="AJ396" i="1"/>
  <c r="AJ333" i="1"/>
  <c r="BQ315" i="1"/>
  <c r="BO315" i="1"/>
  <c r="BN315" i="1"/>
  <c r="BM315" i="1"/>
  <c r="BL315" i="1"/>
  <c r="BK315" i="1"/>
  <c r="BJ315" i="1"/>
  <c r="BI315" i="1"/>
  <c r="BH315" i="1"/>
  <c r="BG315" i="1"/>
  <c r="BF315" i="1"/>
  <c r="AI318" i="1"/>
  <c r="AH318" i="1"/>
  <c r="AB318" i="1"/>
  <c r="CB318" i="1" s="1"/>
  <c r="CC318" i="1" s="1"/>
  <c r="W318" i="1"/>
  <c r="CM318" i="1" l="1"/>
  <c r="CE396" i="1"/>
  <c r="CD333" i="1"/>
  <c r="CE333" i="1"/>
  <c r="CE318" i="1"/>
  <c r="CD318" i="1"/>
  <c r="CA315" i="1"/>
  <c r="CE322" i="1"/>
  <c r="CD322" i="1"/>
  <c r="CN318" i="1"/>
  <c r="AJ318" i="1"/>
  <c r="AB61" i="1" l="1"/>
  <c r="CB61" i="1" l="1"/>
  <c r="CC61" i="1" s="1"/>
  <c r="CM61" i="1"/>
  <c r="AJ61" i="1"/>
  <c r="AH305" i="1"/>
  <c r="AI305" i="1"/>
  <c r="AH306" i="1"/>
  <c r="AI306" i="1"/>
  <c r="AB305" i="1"/>
  <c r="CB305" i="1" s="1"/>
  <c r="CC305" i="1" s="1"/>
  <c r="AB306" i="1"/>
  <c r="CB306" i="1" s="1"/>
  <c r="CC306" i="1" s="1"/>
  <c r="O305" i="1"/>
  <c r="CL305" i="1" s="1"/>
  <c r="O306" i="1"/>
  <c r="CL306" i="1" s="1"/>
  <c r="CM306" i="1" l="1"/>
  <c r="CM305" i="1"/>
  <c r="W306" i="1"/>
  <c r="W305" i="1"/>
  <c r="AJ306" i="1"/>
  <c r="AJ305" i="1"/>
  <c r="CD305" i="1" l="1"/>
  <c r="CE305" i="1"/>
  <c r="CD306" i="1"/>
  <c r="CE306" i="1"/>
  <c r="AO276" i="1"/>
  <c r="AP276" i="1"/>
  <c r="AQ276" i="1"/>
  <c r="AR276" i="1"/>
  <c r="AS276" i="1"/>
  <c r="AT276" i="1"/>
  <c r="AU276" i="1"/>
  <c r="AV276" i="1"/>
  <c r="AW276" i="1"/>
  <c r="AX276" i="1"/>
  <c r="AY276" i="1"/>
  <c r="AZ276" i="1"/>
  <c r="BA276" i="1"/>
  <c r="BB276" i="1"/>
  <c r="BC276" i="1"/>
  <c r="BD276" i="1"/>
  <c r="BE276" i="1"/>
  <c r="BF276" i="1"/>
  <c r="BG276" i="1"/>
  <c r="BH276" i="1"/>
  <c r="BI276" i="1"/>
  <c r="BJ276" i="1"/>
  <c r="BK276" i="1"/>
  <c r="BL276" i="1"/>
  <c r="BM276" i="1"/>
  <c r="BN276" i="1"/>
  <c r="BO276" i="1"/>
  <c r="BP276" i="1"/>
  <c r="BQ276" i="1"/>
  <c r="BR276" i="1"/>
  <c r="BS276" i="1"/>
  <c r="BT276" i="1"/>
  <c r="BU276" i="1"/>
  <c r="BV276" i="1"/>
  <c r="BW276" i="1"/>
  <c r="BX276" i="1"/>
  <c r="BY276" i="1"/>
  <c r="BZ276" i="1"/>
  <c r="AN276" i="1"/>
  <c r="CN431" i="1" l="1"/>
  <c r="CN444" i="1"/>
  <c r="CN467" i="1"/>
  <c r="CN470" i="1"/>
  <c r="CN471" i="1"/>
  <c r="CN478" i="1"/>
  <c r="W344" i="1"/>
  <c r="AA279" i="1"/>
  <c r="AA276" i="1" s="1"/>
  <c r="AA257" i="1" s="1"/>
  <c r="AA185" i="1" s="1"/>
  <c r="AA160" i="1" s="1"/>
  <c r="AA143" i="1" s="1"/>
  <c r="CD344" i="1" l="1"/>
  <c r="AB410" i="1"/>
  <c r="CA414" i="1" l="1"/>
  <c r="AB414" i="1"/>
  <c r="CA410" i="1"/>
  <c r="CA259" i="1"/>
  <c r="CL259" i="1" s="1"/>
  <c r="AM451" i="1"/>
  <c r="CB410" i="1" l="1"/>
  <c r="CC410" i="1" s="1"/>
  <c r="AM439" i="1"/>
  <c r="AM440" i="1"/>
  <c r="AM442" i="1" s="1"/>
  <c r="W316" i="1"/>
  <c r="W317" i="1"/>
  <c r="AH317" i="1"/>
  <c r="AI317" i="1"/>
  <c r="AB317" i="1"/>
  <c r="AM463" i="1"/>
  <c r="CM317" i="1" l="1"/>
  <c r="CD317" i="1"/>
  <c r="CE317" i="1"/>
  <c r="CD316" i="1"/>
  <c r="CB317" i="1"/>
  <c r="CC317" i="1" s="1"/>
  <c r="AJ317" i="1"/>
  <c r="CN317" i="1"/>
  <c r="AH65" i="1" l="1"/>
  <c r="AH362" i="1" l="1"/>
  <c r="AI362" i="1"/>
  <c r="O360" i="1"/>
  <c r="CL360" i="1" s="1"/>
  <c r="O362" i="1"/>
  <c r="CL362" i="1" s="1"/>
  <c r="AI355" i="1"/>
  <c r="AH355" i="1"/>
  <c r="O355" i="1"/>
  <c r="CL355" i="1" s="1"/>
  <c r="AB355" i="1" l="1"/>
  <c r="CM355" i="1" s="1"/>
  <c r="CP355" i="1"/>
  <c r="CP362" i="1"/>
  <c r="CP360" i="1"/>
  <c r="AB362" i="1"/>
  <c r="CB362" i="1" s="1"/>
  <c r="CC362" i="1" s="1"/>
  <c r="CN362" i="1"/>
  <c r="W360" i="1"/>
  <c r="W362" i="1"/>
  <c r="W355" i="1"/>
  <c r="CM362" i="1" l="1"/>
  <c r="CD360" i="1"/>
  <c r="CE360" i="1"/>
  <c r="CD355" i="1"/>
  <c r="CE355" i="1"/>
  <c r="CE362" i="1"/>
  <c r="CD362" i="1"/>
  <c r="AJ355" i="1"/>
  <c r="CB355" i="1"/>
  <c r="CC355" i="1" s="1"/>
  <c r="AJ362" i="1"/>
  <c r="CN355" i="1"/>
  <c r="AM385" i="1"/>
  <c r="AM425" i="1" s="1"/>
  <c r="AH385" i="1"/>
  <c r="AI385" i="1"/>
  <c r="AB385" i="1" l="1"/>
  <c r="CM385" i="1" s="1"/>
  <c r="CE385" i="1" l="1"/>
  <c r="CB385" i="1"/>
  <c r="CC385" i="1" s="1"/>
  <c r="CN385" i="1"/>
  <c r="AJ385" i="1"/>
  <c r="AM276" i="1" l="1"/>
  <c r="AI297" i="1"/>
  <c r="AH297" i="1"/>
  <c r="AB297" i="1"/>
  <c r="CM297" i="1" l="1"/>
  <c r="CB297" i="1"/>
  <c r="CC297" i="1" s="1"/>
  <c r="CE297" i="1"/>
  <c r="CN297" i="1"/>
  <c r="AJ297" i="1"/>
  <c r="AI382" i="1" l="1"/>
  <c r="AB382" i="1"/>
  <c r="AH382" i="1"/>
  <c r="O382" i="1"/>
  <c r="CL382" i="1" s="1"/>
  <c r="O379" i="1"/>
  <c r="CL379" i="1" s="1"/>
  <c r="AI379" i="1"/>
  <c r="AH379" i="1"/>
  <c r="AB378" i="1"/>
  <c r="CB378" i="1" s="1"/>
  <c r="CC378" i="1" s="1"/>
  <c r="AB379" i="1"/>
  <c r="CB379" i="1" s="1"/>
  <c r="CC379" i="1" s="1"/>
  <c r="CM379" i="1" l="1"/>
  <c r="CM382" i="1"/>
  <c r="CB382" i="1"/>
  <c r="CC382" i="1" s="1"/>
  <c r="W379" i="1"/>
  <c r="W382" i="1"/>
  <c r="CD382" i="1" s="1"/>
  <c r="CN382" i="1"/>
  <c r="CN379" i="1"/>
  <c r="AJ379" i="1"/>
  <c r="AJ382" i="1"/>
  <c r="CE382" i="1" l="1"/>
  <c r="CD379" i="1"/>
  <c r="CE379" i="1"/>
  <c r="AQ409" i="1"/>
  <c r="AU409" i="1"/>
  <c r="AT409" i="1"/>
  <c r="AS409" i="1"/>
  <c r="AR409" i="1"/>
  <c r="BO409" i="1"/>
  <c r="BN409" i="1"/>
  <c r="BM409" i="1"/>
  <c r="BL409" i="1"/>
  <c r="BK409" i="1"/>
  <c r="BJ409" i="1"/>
  <c r="BI409" i="1"/>
  <c r="BH409" i="1"/>
  <c r="BG409" i="1"/>
  <c r="BF409" i="1"/>
  <c r="BE409" i="1"/>
  <c r="BD409" i="1"/>
  <c r="BC409" i="1"/>
  <c r="BB409" i="1"/>
  <c r="BA409" i="1"/>
  <c r="AZ409" i="1"/>
  <c r="AY409" i="1"/>
  <c r="AX409" i="1"/>
  <c r="AW409" i="1"/>
  <c r="AV409" i="1"/>
  <c r="BP409" i="1"/>
  <c r="AH409" i="1"/>
  <c r="AI409" i="1"/>
  <c r="O409" i="1"/>
  <c r="AB409" i="1" l="1"/>
  <c r="CA409" i="1"/>
  <c r="W409" i="1"/>
  <c r="CM409" i="1" l="1"/>
  <c r="CL409" i="1"/>
  <c r="CE409" i="1"/>
  <c r="CD409" i="1" s="1"/>
  <c r="CB409" i="1"/>
  <c r="CC409" i="1" s="1"/>
  <c r="CN409" i="1"/>
  <c r="AJ409" i="1"/>
  <c r="AB20" i="1" l="1"/>
  <c r="CB20" i="1" s="1"/>
  <c r="CC20" i="1" s="1"/>
  <c r="AB21" i="1"/>
  <c r="CB21" i="1" s="1"/>
  <c r="CC21" i="1" s="1"/>
  <c r="AR13" i="1"/>
  <c r="AT13" i="1"/>
  <c r="AU13" i="1"/>
  <c r="AV13" i="1"/>
  <c r="AH21" i="1"/>
  <c r="AI21" i="1"/>
  <c r="CM21" i="1" s="1"/>
  <c r="S21" i="1"/>
  <c r="W21" i="1" s="1"/>
  <c r="AH320" i="1"/>
  <c r="AI320" i="1"/>
  <c r="O320" i="1"/>
  <c r="CL320" i="1" s="1"/>
  <c r="AI426" i="1"/>
  <c r="W320" i="1" l="1"/>
  <c r="CN320" i="1"/>
  <c r="CN21" i="1"/>
  <c r="AB320" i="1"/>
  <c r="CB320" i="1" s="1"/>
  <c r="CC320" i="1" s="1"/>
  <c r="AJ21" i="1"/>
  <c r="BW425" i="1"/>
  <c r="CM320" i="1" l="1"/>
  <c r="CD320" i="1"/>
  <c r="CE320" i="1"/>
  <c r="AJ320" i="1"/>
  <c r="BL403" i="1"/>
  <c r="CA403" i="1" l="1"/>
  <c r="AB403" i="1"/>
  <c r="O403" i="1"/>
  <c r="O404" i="1"/>
  <c r="CL404" i="1" s="1"/>
  <c r="AH403" i="1"/>
  <c r="AI403" i="1"/>
  <c r="AH404" i="1"/>
  <c r="AI404" i="1"/>
  <c r="CM404" i="1" s="1"/>
  <c r="CB404" i="1"/>
  <c r="CC404" i="1" s="1"/>
  <c r="AH253" i="1"/>
  <c r="CL403" i="1" l="1"/>
  <c r="CM403" i="1"/>
  <c r="CB403" i="1"/>
  <c r="CC403" i="1" s="1"/>
  <c r="W404" i="1"/>
  <c r="W403" i="1"/>
  <c r="CN404" i="1"/>
  <c r="CN403" i="1"/>
  <c r="AJ404" i="1"/>
  <c r="AJ403" i="1"/>
  <c r="AH344" i="1"/>
  <c r="AI344" i="1"/>
  <c r="CM344" i="1" s="1"/>
  <c r="AB344" i="1"/>
  <c r="S280" i="1"/>
  <c r="W280" i="1" s="1"/>
  <c r="O279" i="1"/>
  <c r="CA280" i="1"/>
  <c r="CL280" i="1" s="1"/>
  <c r="AO279" i="1"/>
  <c r="AP279" i="1"/>
  <c r="AQ279" i="1"/>
  <c r="AR279" i="1"/>
  <c r="AS279" i="1"/>
  <c r="AT279" i="1"/>
  <c r="AU279" i="1"/>
  <c r="AV279" i="1"/>
  <c r="AW279" i="1"/>
  <c r="AX279" i="1"/>
  <c r="AY279" i="1"/>
  <c r="AZ279" i="1"/>
  <c r="BA279" i="1"/>
  <c r="BB279" i="1"/>
  <c r="BC279" i="1"/>
  <c r="BD279" i="1"/>
  <c r="BE279" i="1"/>
  <c r="BF279" i="1"/>
  <c r="BG279" i="1"/>
  <c r="BH279" i="1"/>
  <c r="BI279" i="1"/>
  <c r="BJ279" i="1"/>
  <c r="BK279" i="1"/>
  <c r="BL279" i="1"/>
  <c r="BM279" i="1"/>
  <c r="BN279" i="1"/>
  <c r="BO279" i="1"/>
  <c r="BP279" i="1"/>
  <c r="BQ279" i="1"/>
  <c r="BR279" i="1"/>
  <c r="BS279" i="1"/>
  <c r="BT279" i="1"/>
  <c r="BU279" i="1"/>
  <c r="BV279" i="1"/>
  <c r="BW279" i="1"/>
  <c r="BX279" i="1"/>
  <c r="BY279" i="1"/>
  <c r="BZ279" i="1"/>
  <c r="AN279" i="1"/>
  <c r="AB280" i="1"/>
  <c r="AI280" i="1"/>
  <c r="AH280" i="1"/>
  <c r="CM280" i="1" l="1"/>
  <c r="CB344" i="1"/>
  <c r="CC344" i="1" s="1"/>
  <c r="CE344" i="1"/>
  <c r="CE403" i="1"/>
  <c r="CD403" i="1"/>
  <c r="CD404" i="1"/>
  <c r="CE404" i="1"/>
  <c r="CN344" i="1"/>
  <c r="CN280" i="1"/>
  <c r="AJ344" i="1"/>
  <c r="CB280" i="1"/>
  <c r="CC280" i="1" s="1"/>
  <c r="AJ280" i="1"/>
  <c r="CA158" i="1" l="1"/>
  <c r="CL158" i="1" s="1"/>
  <c r="AH157" i="1"/>
  <c r="AI157" i="1"/>
  <c r="S157" i="1"/>
  <c r="CN157" i="1" l="1"/>
  <c r="S253" i="1" l="1"/>
  <c r="W253" i="1" s="1"/>
  <c r="AI253" i="1" l="1"/>
  <c r="AB253" i="1"/>
  <c r="AS55" i="1"/>
  <c r="CA55" i="1" s="1"/>
  <c r="CL55" i="1" s="1"/>
  <c r="CO461" i="1"/>
  <c r="CP461" i="1"/>
  <c r="CQ461" i="1"/>
  <c r="CR461" i="1"/>
  <c r="AJ53" i="1"/>
  <c r="CM253" i="1" l="1"/>
  <c r="CB253" i="1"/>
  <c r="CC253" i="1" s="1"/>
  <c r="CN253" i="1"/>
  <c r="AJ253" i="1"/>
  <c r="AI332" i="1"/>
  <c r="AH335" i="1"/>
  <c r="AI335" i="1"/>
  <c r="AI25" i="1"/>
  <c r="AI23" i="1"/>
  <c r="AI22" i="1"/>
  <c r="AI20" i="1"/>
  <c r="CM20" i="1" s="1"/>
  <c r="AI19" i="1"/>
  <c r="AI18" i="1"/>
  <c r="AI17" i="1"/>
  <c r="AI16" i="1"/>
  <c r="AI15" i="1"/>
  <c r="AI14" i="1"/>
  <c r="AI37" i="1"/>
  <c r="AI36" i="1"/>
  <c r="AI35" i="1"/>
  <c r="AI34" i="1"/>
  <c r="AI33" i="1"/>
  <c r="AI32" i="1"/>
  <c r="AI31" i="1"/>
  <c r="AI30" i="1"/>
  <c r="AI28" i="1"/>
  <c r="AI27" i="1"/>
  <c r="AI40" i="1"/>
  <c r="AI49" i="1"/>
  <c r="AI52" i="1"/>
  <c r="AI142" i="1"/>
  <c r="AI141" i="1"/>
  <c r="AI140" i="1"/>
  <c r="AI139" i="1"/>
  <c r="CM139" i="1" s="1"/>
  <c r="AI138" i="1"/>
  <c r="CM138" i="1" s="1"/>
  <c r="AI137" i="1"/>
  <c r="CM137" i="1" s="1"/>
  <c r="AI136" i="1"/>
  <c r="AI135" i="1"/>
  <c r="CM135" i="1" s="1"/>
  <c r="AI132" i="1"/>
  <c r="CM132" i="1" s="1"/>
  <c r="AI131" i="1"/>
  <c r="AI130" i="1"/>
  <c r="AI129" i="1"/>
  <c r="AI128" i="1"/>
  <c r="AI127" i="1"/>
  <c r="AI126" i="1"/>
  <c r="AI125" i="1"/>
  <c r="AI124" i="1"/>
  <c r="AI123" i="1"/>
  <c r="AI122" i="1"/>
  <c r="AI121" i="1"/>
  <c r="AI120" i="1"/>
  <c r="AI119" i="1"/>
  <c r="AI118" i="1"/>
  <c r="AI117" i="1"/>
  <c r="AI111" i="1"/>
  <c r="AI110" i="1"/>
  <c r="AI109" i="1"/>
  <c r="AI108" i="1"/>
  <c r="AI107" i="1"/>
  <c r="AI106" i="1"/>
  <c r="AI105" i="1"/>
  <c r="AI104" i="1"/>
  <c r="AI103" i="1"/>
  <c r="AI102" i="1"/>
  <c r="AI101" i="1"/>
  <c r="AI100" i="1"/>
  <c r="AI99" i="1"/>
  <c r="AI98" i="1"/>
  <c r="AI97" i="1"/>
  <c r="AI96" i="1"/>
  <c r="AI95" i="1"/>
  <c r="AI94" i="1"/>
  <c r="AI93" i="1"/>
  <c r="AI92" i="1"/>
  <c r="AI91" i="1"/>
  <c r="AI90" i="1"/>
  <c r="AI89" i="1"/>
  <c r="CM89" i="1" s="1"/>
  <c r="AI88" i="1"/>
  <c r="CM88" i="1" s="1"/>
  <c r="AI87" i="1"/>
  <c r="CM87" i="1" s="1"/>
  <c r="AI86" i="1"/>
  <c r="CM86" i="1" s="1"/>
  <c r="AI85" i="1"/>
  <c r="CM85" i="1" s="1"/>
  <c r="AI84" i="1"/>
  <c r="CM84" i="1" s="1"/>
  <c r="AI83" i="1"/>
  <c r="CM83" i="1" s="1"/>
  <c r="AI82" i="1"/>
  <c r="CM82" i="1" s="1"/>
  <c r="AI81" i="1"/>
  <c r="CM81" i="1" s="1"/>
  <c r="AI80" i="1"/>
  <c r="CM80" i="1" s="1"/>
  <c r="AI79" i="1"/>
  <c r="AI76" i="1"/>
  <c r="AI75" i="1"/>
  <c r="AI74" i="1"/>
  <c r="AI73" i="1"/>
  <c r="AI71" i="1"/>
  <c r="CM71" i="1" s="1"/>
  <c r="AI70" i="1"/>
  <c r="AI66" i="1"/>
  <c r="AI65" i="1"/>
  <c r="AI64" i="1"/>
  <c r="AI63" i="1"/>
  <c r="AI62" i="1"/>
  <c r="AI56" i="1"/>
  <c r="AI55" i="1"/>
  <c r="AI54" i="1"/>
  <c r="AI159" i="1"/>
  <c r="AI158" i="1"/>
  <c r="AI156" i="1"/>
  <c r="AI155" i="1"/>
  <c r="AI154" i="1"/>
  <c r="AI150" i="1"/>
  <c r="AI149" i="1"/>
  <c r="AI148" i="1"/>
  <c r="AI147" i="1"/>
  <c r="AI145" i="1"/>
  <c r="AI144" i="1"/>
  <c r="AI184" i="1"/>
  <c r="CM184" i="1" s="1"/>
  <c r="AI183" i="1"/>
  <c r="CM183" i="1" s="1"/>
  <c r="AI182" i="1"/>
  <c r="CM182" i="1" s="1"/>
  <c r="AI181" i="1"/>
  <c r="CM181" i="1" s="1"/>
  <c r="AI180" i="1"/>
  <c r="CM180" i="1" s="1"/>
  <c r="AI179" i="1"/>
  <c r="CM179" i="1" s="1"/>
  <c r="AI178" i="1"/>
  <c r="CM178" i="1" s="1"/>
  <c r="AI177" i="1"/>
  <c r="CM177" i="1" s="1"/>
  <c r="AI176" i="1"/>
  <c r="CM176" i="1" s="1"/>
  <c r="AI175" i="1"/>
  <c r="CM175" i="1" s="1"/>
  <c r="AI174" i="1"/>
  <c r="CM174" i="1" s="1"/>
  <c r="AI173" i="1"/>
  <c r="CM173" i="1" s="1"/>
  <c r="AI172" i="1"/>
  <c r="CM172" i="1" s="1"/>
  <c r="AI171" i="1"/>
  <c r="CM171" i="1" s="1"/>
  <c r="AI170" i="1"/>
  <c r="CM170" i="1" s="1"/>
  <c r="AI169" i="1"/>
  <c r="CM169" i="1" s="1"/>
  <c r="AI168" i="1"/>
  <c r="CM168" i="1" s="1"/>
  <c r="AI167" i="1"/>
  <c r="CM167" i="1" s="1"/>
  <c r="AI166" i="1"/>
  <c r="CM166" i="1" s="1"/>
  <c r="AI165" i="1"/>
  <c r="CM165" i="1" s="1"/>
  <c r="AI164" i="1"/>
  <c r="CM164" i="1" s="1"/>
  <c r="AI163" i="1"/>
  <c r="CM163" i="1" s="1"/>
  <c r="AI162" i="1"/>
  <c r="AI161" i="1"/>
  <c r="AI256" i="1"/>
  <c r="AI255" i="1"/>
  <c r="AI254" i="1"/>
  <c r="AI252" i="1"/>
  <c r="AI251" i="1"/>
  <c r="AI250" i="1"/>
  <c r="AI249" i="1"/>
  <c r="AI248" i="1"/>
  <c r="AI247" i="1"/>
  <c r="AI246" i="1"/>
  <c r="AI245" i="1"/>
  <c r="AI244" i="1"/>
  <c r="AI243" i="1"/>
  <c r="AI242" i="1"/>
  <c r="AI241" i="1"/>
  <c r="AI240" i="1"/>
  <c r="AI239" i="1"/>
  <c r="AI238" i="1"/>
  <c r="AI237" i="1"/>
  <c r="AI236" i="1"/>
  <c r="AI235" i="1"/>
  <c r="AI234" i="1"/>
  <c r="AI233" i="1"/>
  <c r="AI232" i="1"/>
  <c r="AI231" i="1"/>
  <c r="AI230" i="1"/>
  <c r="AI229" i="1"/>
  <c r="AI228" i="1"/>
  <c r="AI227" i="1"/>
  <c r="AI226" i="1"/>
  <c r="AI225" i="1"/>
  <c r="AI224" i="1"/>
  <c r="AI223" i="1"/>
  <c r="AI222" i="1"/>
  <c r="AI221" i="1"/>
  <c r="AI220" i="1"/>
  <c r="AI219" i="1"/>
  <c r="CM219" i="1" s="1"/>
  <c r="AI218" i="1"/>
  <c r="CM218" i="1" s="1"/>
  <c r="AI217" i="1"/>
  <c r="CM217" i="1" s="1"/>
  <c r="AI216" i="1"/>
  <c r="CM216" i="1" s="1"/>
  <c r="AI215" i="1"/>
  <c r="CM215" i="1" s="1"/>
  <c r="AI214" i="1"/>
  <c r="CM214" i="1" s="1"/>
  <c r="AI213" i="1"/>
  <c r="CM213" i="1" s="1"/>
  <c r="AI212" i="1"/>
  <c r="AI211" i="1"/>
  <c r="CM211" i="1" s="1"/>
  <c r="AI210" i="1"/>
  <c r="CM210" i="1" s="1"/>
  <c r="AI209" i="1"/>
  <c r="CM209" i="1" s="1"/>
  <c r="AI208" i="1"/>
  <c r="CM208" i="1" s="1"/>
  <c r="AI207" i="1"/>
  <c r="CM207" i="1" s="1"/>
  <c r="AI206" i="1"/>
  <c r="CM206" i="1" s="1"/>
  <c r="AI205" i="1"/>
  <c r="CM205" i="1" s="1"/>
  <c r="AI204" i="1"/>
  <c r="CM204" i="1" s="1"/>
  <c r="AI203" i="1"/>
  <c r="CM203" i="1" s="1"/>
  <c r="AI201" i="1"/>
  <c r="CM201" i="1" s="1"/>
  <c r="AI200" i="1"/>
  <c r="CM200" i="1" s="1"/>
  <c r="AI199" i="1"/>
  <c r="CM199" i="1" s="1"/>
  <c r="AI198" i="1"/>
  <c r="CM198" i="1" s="1"/>
  <c r="AI197" i="1"/>
  <c r="CM197" i="1" s="1"/>
  <c r="AI196" i="1"/>
  <c r="CM196" i="1" s="1"/>
  <c r="AI195" i="1"/>
  <c r="CM195" i="1" s="1"/>
  <c r="AI194" i="1"/>
  <c r="CM194" i="1" s="1"/>
  <c r="AI193" i="1"/>
  <c r="CM193" i="1" s="1"/>
  <c r="AI192" i="1"/>
  <c r="CM192" i="1" s="1"/>
  <c r="AI191" i="1"/>
  <c r="CM191" i="1" s="1"/>
  <c r="AI190" i="1"/>
  <c r="CM190" i="1" s="1"/>
  <c r="AI189" i="1"/>
  <c r="CM189" i="1" s="1"/>
  <c r="AI188" i="1"/>
  <c r="CM188" i="1" s="1"/>
  <c r="AI187" i="1"/>
  <c r="AI186" i="1"/>
  <c r="AI275" i="1"/>
  <c r="AI272" i="1"/>
  <c r="AI271" i="1"/>
  <c r="AI270" i="1"/>
  <c r="AI269" i="1"/>
  <c r="AI268" i="1"/>
  <c r="AI267" i="1"/>
  <c r="AI266" i="1"/>
  <c r="AI265" i="1"/>
  <c r="AI264" i="1"/>
  <c r="AI263" i="1"/>
  <c r="AI262" i="1"/>
  <c r="AI261" i="1"/>
  <c r="AI260" i="1"/>
  <c r="AI259" i="1"/>
  <c r="AI258" i="1"/>
  <c r="AI277" i="1"/>
  <c r="AI326" i="1"/>
  <c r="AI325" i="1"/>
  <c r="AI324" i="1"/>
  <c r="AI323" i="1"/>
  <c r="AI321" i="1"/>
  <c r="AI319" i="1"/>
  <c r="AI316" i="1"/>
  <c r="AI315" i="1"/>
  <c r="AI314" i="1"/>
  <c r="CM314" i="1" s="1"/>
  <c r="AI312" i="1"/>
  <c r="AI310" i="1"/>
  <c r="AI309" i="1"/>
  <c r="AI308" i="1"/>
  <c r="AI304" i="1"/>
  <c r="AI296" i="1"/>
  <c r="AI295" i="1"/>
  <c r="AI294" i="1"/>
  <c r="AI293" i="1"/>
  <c r="AI292" i="1"/>
  <c r="AI291" i="1"/>
  <c r="AI290" i="1"/>
  <c r="AI473" i="1"/>
  <c r="AI474" i="1"/>
  <c r="AI475" i="1"/>
  <c r="AI472" i="1"/>
  <c r="AI445" i="1"/>
  <c r="AI441" i="1"/>
  <c r="AI433" i="1"/>
  <c r="AI434" i="1"/>
  <c r="AI435" i="1"/>
  <c r="AI436" i="1"/>
  <c r="AI437" i="1"/>
  <c r="AI438" i="1"/>
  <c r="AI432" i="1"/>
  <c r="AI427" i="1"/>
  <c r="AI424" i="1"/>
  <c r="CM424" i="1" s="1"/>
  <c r="AI423" i="1"/>
  <c r="AI422" i="1"/>
  <c r="AI421" i="1"/>
  <c r="AI420" i="1"/>
  <c r="AI419" i="1"/>
  <c r="AI418" i="1"/>
  <c r="AI417" i="1"/>
  <c r="CM417" i="1" s="1"/>
  <c r="AI415" i="1"/>
  <c r="CM415" i="1" s="1"/>
  <c r="AI414" i="1"/>
  <c r="CM414" i="1" s="1"/>
  <c r="AI413" i="1"/>
  <c r="CM413" i="1" s="1"/>
  <c r="AI412" i="1"/>
  <c r="CM412" i="1" s="1"/>
  <c r="AI411" i="1"/>
  <c r="CM411" i="1" s="1"/>
  <c r="AI410" i="1"/>
  <c r="CM410" i="1" s="1"/>
  <c r="AI407" i="1"/>
  <c r="CM407" i="1" s="1"/>
  <c r="AI406" i="1"/>
  <c r="AI405" i="1"/>
  <c r="AI402" i="1"/>
  <c r="CM402" i="1" s="1"/>
  <c r="AI401" i="1"/>
  <c r="CM401" i="1" s="1"/>
  <c r="AI399" i="1"/>
  <c r="CM399" i="1" s="1"/>
  <c r="AI398" i="1"/>
  <c r="CM398" i="1" s="1"/>
  <c r="AI395" i="1"/>
  <c r="CM395" i="1" s="1"/>
  <c r="AI392" i="1"/>
  <c r="CM392" i="1" s="1"/>
  <c r="AI391" i="1"/>
  <c r="CM391" i="1" s="1"/>
  <c r="AI390" i="1"/>
  <c r="AI389" i="1"/>
  <c r="AI388" i="1"/>
  <c r="CM388" i="1" s="1"/>
  <c r="AI384" i="1"/>
  <c r="AI383" i="1"/>
  <c r="AI380" i="1"/>
  <c r="AI378" i="1"/>
  <c r="CM378" i="1" s="1"/>
  <c r="AI377" i="1"/>
  <c r="AI376" i="1"/>
  <c r="AI374" i="1"/>
  <c r="AI373" i="1"/>
  <c r="AI372" i="1"/>
  <c r="AI371" i="1"/>
  <c r="AI370" i="1"/>
  <c r="AI369" i="1"/>
  <c r="AI368" i="1"/>
  <c r="AI367" i="1"/>
  <c r="AI366" i="1"/>
  <c r="AI365" i="1"/>
  <c r="AI364" i="1"/>
  <c r="AI363" i="1"/>
  <c r="AI361" i="1"/>
  <c r="AI360" i="1"/>
  <c r="CM360" i="1" s="1"/>
  <c r="AI359" i="1"/>
  <c r="AI357" i="1"/>
  <c r="CM357" i="1" s="1"/>
  <c r="AI356" i="1"/>
  <c r="AI354" i="1"/>
  <c r="AI351" i="1"/>
  <c r="AI350" i="1"/>
  <c r="AI349" i="1"/>
  <c r="AI328" i="1"/>
  <c r="CM328" i="1" s="1"/>
  <c r="AI331" i="1"/>
  <c r="AI336" i="1"/>
  <c r="AI337" i="1"/>
  <c r="AI340" i="1"/>
  <c r="AI341" i="1"/>
  <c r="AI342" i="1"/>
  <c r="AI343" i="1"/>
  <c r="AI346" i="1"/>
  <c r="CM346" i="1" s="1"/>
  <c r="AI347" i="1"/>
  <c r="AI348" i="1"/>
  <c r="AB332" i="1"/>
  <c r="CB332" i="1" s="1"/>
  <c r="CC332" i="1" s="1"/>
  <c r="O332" i="1"/>
  <c r="CL332" i="1" s="1"/>
  <c r="CM332" i="1" l="1"/>
  <c r="CN141" i="1"/>
  <c r="CN129" i="1"/>
  <c r="CN130" i="1"/>
  <c r="CN131" i="1"/>
  <c r="CN132" i="1"/>
  <c r="CN135" i="1"/>
  <c r="CN137" i="1"/>
  <c r="CN138" i="1"/>
  <c r="CN139" i="1"/>
  <c r="CN140" i="1"/>
  <c r="W332" i="1"/>
  <c r="AI185" i="1"/>
  <c r="AI143" i="1"/>
  <c r="AI26" i="1"/>
  <c r="AI13" i="1"/>
  <c r="CN413" i="1"/>
  <c r="CN414" i="1"/>
  <c r="CN337" i="1"/>
  <c r="CN336" i="1"/>
  <c r="CN357" i="1"/>
  <c r="CN335" i="1"/>
  <c r="CN424" i="1"/>
  <c r="CN406" i="1"/>
  <c r="CN319" i="1"/>
  <c r="CN332" i="1"/>
  <c r="CN415" i="1"/>
  <c r="CN405" i="1"/>
  <c r="CN380" i="1"/>
  <c r="CN407" i="1"/>
  <c r="CN321" i="1"/>
  <c r="CN410" i="1"/>
  <c r="CN323" i="1"/>
  <c r="CN383" i="1"/>
  <c r="CN411" i="1"/>
  <c r="CN324" i="1"/>
  <c r="CN356" i="1"/>
  <c r="CN325" i="1"/>
  <c r="CN251" i="1"/>
  <c r="CN252" i="1"/>
  <c r="CN254" i="1"/>
  <c r="CN255" i="1"/>
  <c r="CN158" i="1"/>
  <c r="CN282" i="1"/>
  <c r="AJ332" i="1"/>
  <c r="CA454" i="1"/>
  <c r="AH453" i="1"/>
  <c r="AH454" i="1"/>
  <c r="AH455" i="1"/>
  <c r="AH456" i="1"/>
  <c r="AH457" i="1"/>
  <c r="CL454" i="1" l="1"/>
  <c r="CE332" i="1"/>
  <c r="CD332" i="1"/>
  <c r="O378" i="1"/>
  <c r="CL378" i="1" s="1"/>
  <c r="O380" i="1"/>
  <c r="CL380" i="1" s="1"/>
  <c r="O381" i="1"/>
  <c r="CL381" i="1" s="1"/>
  <c r="O383" i="1"/>
  <c r="CL383" i="1" s="1"/>
  <c r="O384" i="1"/>
  <c r="CL384" i="1" s="1"/>
  <c r="AH381" i="1"/>
  <c r="AH278" i="1"/>
  <c r="AB278" i="1"/>
  <c r="CA278" i="1"/>
  <c r="AA9" i="15"/>
  <c r="AI19" i="16"/>
  <c r="Z9" i="15"/>
  <c r="Y9" i="15"/>
  <c r="X9" i="15"/>
  <c r="W9" i="15"/>
  <c r="V9" i="15"/>
  <c r="U9" i="15"/>
  <c r="T9" i="15"/>
  <c r="S9" i="15"/>
  <c r="R9" i="15"/>
  <c r="Q9" i="15"/>
  <c r="P9" i="15"/>
  <c r="O9" i="15"/>
  <c r="N9" i="15"/>
  <c r="M9" i="15"/>
  <c r="L9" i="15"/>
  <c r="K9" i="15"/>
  <c r="J9" i="15"/>
  <c r="I9" i="15"/>
  <c r="H9" i="15"/>
  <c r="G9" i="15"/>
  <c r="F9" i="15"/>
  <c r="E9" i="15"/>
  <c r="D9" i="15"/>
  <c r="C9" i="15"/>
  <c r="AI10" i="16"/>
  <c r="AH10" i="16"/>
  <c r="AC10" i="16"/>
  <c r="AB10" i="16"/>
  <c r="X10" i="16"/>
  <c r="W10" i="16"/>
  <c r="U10" i="16"/>
  <c r="S10" i="16"/>
  <c r="R10" i="16"/>
  <c r="H10" i="16"/>
  <c r="E10" i="16"/>
  <c r="C10" i="16"/>
  <c r="AI8" i="16"/>
  <c r="AJ10" i="16" s="1"/>
  <c r="AH8" i="16"/>
  <c r="AG8" i="16"/>
  <c r="AF8" i="16"/>
  <c r="AG10" i="16" s="1"/>
  <c r="AE8" i="16"/>
  <c r="AF10" i="16" s="1"/>
  <c r="AD8" i="16"/>
  <c r="AE10" i="16" s="1"/>
  <c r="AC8" i="16"/>
  <c r="AD10" i="16" s="1"/>
  <c r="AB8" i="16"/>
  <c r="AA8" i="16"/>
  <c r="Z8" i="16"/>
  <c r="AA10" i="16" s="1"/>
  <c r="Y8" i="16"/>
  <c r="Z10" i="16" s="1"/>
  <c r="X8" i="16"/>
  <c r="Y10" i="16" s="1"/>
  <c r="W8" i="16"/>
  <c r="V8" i="16"/>
  <c r="U8" i="16"/>
  <c r="V10" i="16" s="1"/>
  <c r="T8" i="16"/>
  <c r="S8" i="16"/>
  <c r="T10" i="16" s="1"/>
  <c r="R8" i="16"/>
  <c r="Q8" i="16"/>
  <c r="P8" i="16"/>
  <c r="Q10" i="16" s="1"/>
  <c r="O8" i="16"/>
  <c r="P10" i="16" s="1"/>
  <c r="N8" i="16"/>
  <c r="O10" i="16" s="1"/>
  <c r="M8" i="16"/>
  <c r="N10" i="16" s="1"/>
  <c r="L8" i="16"/>
  <c r="M10" i="16" s="1"/>
  <c r="K8" i="16"/>
  <c r="L10" i="16" s="1"/>
  <c r="J8" i="16"/>
  <c r="K10" i="16" s="1"/>
  <c r="I8" i="16"/>
  <c r="J10" i="16" s="1"/>
  <c r="H8" i="16"/>
  <c r="I10" i="16" s="1"/>
  <c r="G8" i="16"/>
  <c r="F8" i="16"/>
  <c r="AI13" i="16" s="1"/>
  <c r="AI14" i="16" s="1"/>
  <c r="E8" i="16"/>
  <c r="F10" i="16" s="1"/>
  <c r="D8" i="16"/>
  <c r="C8" i="16"/>
  <c r="D10" i="16" s="1"/>
  <c r="B8" i="16"/>
  <c r="CL278" i="1" l="1"/>
  <c r="CM278" i="1"/>
  <c r="CN278" i="1"/>
  <c r="CN384" i="1"/>
  <c r="CN381" i="1"/>
  <c r="AJ278" i="1"/>
  <c r="W380" i="1"/>
  <c r="W383" i="1"/>
  <c r="W378" i="1"/>
  <c r="W381" i="1"/>
  <c r="CB278" i="1"/>
  <c r="CC278" i="1" s="1"/>
  <c r="G10" i="16"/>
  <c r="CD378" i="1" l="1"/>
  <c r="CE378" i="1"/>
  <c r="CD381" i="1"/>
  <c r="CO278" i="1"/>
  <c r="CP278" i="1" s="1"/>
  <c r="AA11" i="15" l="1"/>
  <c r="H13" i="1" l="1"/>
  <c r="BZ13" i="1"/>
  <c r="BY13" i="1"/>
  <c r="BX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I457" i="1" l="1"/>
  <c r="AI456" i="1"/>
  <c r="AI455" i="1"/>
  <c r="AI454" i="1"/>
  <c r="AI453" i="1"/>
  <c r="AI452" i="1"/>
  <c r="AI451" i="1"/>
  <c r="AI450" i="1"/>
  <c r="AB434" i="1"/>
  <c r="AB435" i="1"/>
  <c r="AB436" i="1"/>
  <c r="AB437" i="1"/>
  <c r="AB438" i="1"/>
  <c r="AB433" i="1"/>
  <c r="O433" i="1"/>
  <c r="S17" i="1"/>
  <c r="P287" i="1"/>
  <c r="Q287" i="1"/>
  <c r="R287" i="1"/>
  <c r="T287" i="1"/>
  <c r="U287" i="1"/>
  <c r="V287" i="1"/>
  <c r="AM476" i="1"/>
  <c r="AM38" i="1"/>
  <c r="AM26" i="1"/>
  <c r="CN454" i="1" l="1"/>
  <c r="CA441" i="1"/>
  <c r="CL441" i="1" s="1"/>
  <c r="CA433" i="1"/>
  <c r="CA434" i="1"/>
  <c r="CA435" i="1"/>
  <c r="CA436" i="1"/>
  <c r="CA437" i="1"/>
  <c r="CA438" i="1"/>
  <c r="CA277" i="1"/>
  <c r="CA258" i="1"/>
  <c r="CA187" i="1"/>
  <c r="CA186" i="1"/>
  <c r="CA161" i="1"/>
  <c r="CA159" i="1"/>
  <c r="CA144" i="1"/>
  <c r="CA39" i="1"/>
  <c r="Q143" i="1"/>
  <c r="Q160" i="1"/>
  <c r="W284" i="1"/>
  <c r="W285" i="1"/>
  <c r="K12" i="1"/>
  <c r="BJ212" i="1"/>
  <c r="BI212" i="1"/>
  <c r="AB54" i="1"/>
  <c r="O26" i="1"/>
  <c r="AR185" i="1"/>
  <c r="AN288" i="1"/>
  <c r="AB220" i="1"/>
  <c r="AH70" i="1"/>
  <c r="AB48" i="1"/>
  <c r="CB48" i="1" s="1"/>
  <c r="CC48" i="1" s="1"/>
  <c r="AB46" i="1"/>
  <c r="CM46" i="1" s="1"/>
  <c r="CA40" i="1"/>
  <c r="BB35" i="1"/>
  <c r="CA35" i="1" s="1"/>
  <c r="CL35" i="1" s="1"/>
  <c r="AR33" i="1"/>
  <c r="CA33" i="1" s="1"/>
  <c r="AQ18" i="1"/>
  <c r="CA18" i="1" s="1"/>
  <c r="AS27" i="1"/>
  <c r="CA27" i="1" s="1"/>
  <c r="CA28" i="1"/>
  <c r="AS22" i="1"/>
  <c r="CA22" i="1" s="1"/>
  <c r="AM284" i="1"/>
  <c r="AM285" i="1"/>
  <c r="AM286" i="1"/>
  <c r="AM288" i="1"/>
  <c r="AM257" i="1"/>
  <c r="AM185" i="1"/>
  <c r="AM160" i="1"/>
  <c r="AM143" i="1"/>
  <c r="AB423" i="1"/>
  <c r="AB422" i="1"/>
  <c r="AB418" i="1"/>
  <c r="AB419" i="1"/>
  <c r="AB420" i="1"/>
  <c r="AB421" i="1"/>
  <c r="AB406" i="1"/>
  <c r="CM406" i="1" s="1"/>
  <c r="AB390" i="1"/>
  <c r="CM390" i="1" s="1"/>
  <c r="AB389" i="1"/>
  <c r="CM389" i="1" s="1"/>
  <c r="AB384" i="1"/>
  <c r="CM384" i="1" s="1"/>
  <c r="AB383" i="1"/>
  <c r="CM383" i="1" s="1"/>
  <c r="AB380" i="1"/>
  <c r="CM380" i="1" s="1"/>
  <c r="AB373" i="1"/>
  <c r="CM373" i="1" s="1"/>
  <c r="AB374" i="1"/>
  <c r="CM374" i="1" s="1"/>
  <c r="AB376" i="1"/>
  <c r="CM376" i="1" s="1"/>
  <c r="AB377" i="1"/>
  <c r="CM377" i="1" s="1"/>
  <c r="AB372" i="1"/>
  <c r="CM372" i="1" s="1"/>
  <c r="AB371" i="1"/>
  <c r="CM371" i="1" s="1"/>
  <c r="AB370" i="1"/>
  <c r="CM370" i="1" s="1"/>
  <c r="AB369" i="1"/>
  <c r="CM369" i="1" s="1"/>
  <c r="AB351" i="1"/>
  <c r="CM351" i="1" s="1"/>
  <c r="AB354" i="1"/>
  <c r="CM354" i="1" s="1"/>
  <c r="AB356" i="1"/>
  <c r="CM356" i="1" s="1"/>
  <c r="AB359" i="1"/>
  <c r="CM359" i="1" s="1"/>
  <c r="AB361" i="1"/>
  <c r="CM361" i="1" s="1"/>
  <c r="AB363" i="1"/>
  <c r="CM363" i="1" s="1"/>
  <c r="AB364" i="1"/>
  <c r="CM364" i="1" s="1"/>
  <c r="AB365" i="1"/>
  <c r="CM365" i="1" s="1"/>
  <c r="AB366" i="1"/>
  <c r="CM366" i="1" s="1"/>
  <c r="AB367" i="1"/>
  <c r="CM367" i="1" s="1"/>
  <c r="AB368" i="1"/>
  <c r="CM368" i="1" s="1"/>
  <c r="AB350" i="1"/>
  <c r="CM350" i="1" s="1"/>
  <c r="AB349" i="1"/>
  <c r="CM349" i="1" s="1"/>
  <c r="AB321" i="1"/>
  <c r="CM321" i="1" s="1"/>
  <c r="AB323" i="1"/>
  <c r="CM323" i="1" s="1"/>
  <c r="AB324" i="1"/>
  <c r="CM324" i="1" s="1"/>
  <c r="AB325" i="1"/>
  <c r="CM325" i="1" s="1"/>
  <c r="AB326" i="1"/>
  <c r="CM326" i="1" s="1"/>
  <c r="AB331" i="1"/>
  <c r="CM331" i="1" s="1"/>
  <c r="AB335" i="1"/>
  <c r="CM335" i="1" s="1"/>
  <c r="AB336" i="1"/>
  <c r="CM336" i="1" s="1"/>
  <c r="AB337" i="1"/>
  <c r="CM337" i="1" s="1"/>
  <c r="AB340" i="1"/>
  <c r="CM340" i="1" s="1"/>
  <c r="AB341" i="1"/>
  <c r="CM341" i="1" s="1"/>
  <c r="AB342" i="1"/>
  <c r="CM342" i="1" s="1"/>
  <c r="AB347" i="1"/>
  <c r="CM347" i="1" s="1"/>
  <c r="AB348" i="1"/>
  <c r="CM348" i="1" s="1"/>
  <c r="AB319" i="1"/>
  <c r="CM319" i="1" s="1"/>
  <c r="AB316" i="1"/>
  <c r="CM316" i="1" s="1"/>
  <c r="AB296" i="1"/>
  <c r="CM296" i="1" s="1"/>
  <c r="AB304" i="1"/>
  <c r="CM304" i="1" s="1"/>
  <c r="AB308" i="1"/>
  <c r="CM308" i="1" s="1"/>
  <c r="AB309" i="1"/>
  <c r="CM309" i="1" s="1"/>
  <c r="AB310" i="1"/>
  <c r="CM310" i="1" s="1"/>
  <c r="AB312" i="1"/>
  <c r="CM312" i="1" s="1"/>
  <c r="AB294" i="1"/>
  <c r="CM294" i="1" s="1"/>
  <c r="AB293" i="1"/>
  <c r="CM293" i="1" s="1"/>
  <c r="AB291" i="1"/>
  <c r="CM291" i="1" s="1"/>
  <c r="AB282" i="1"/>
  <c r="CM282" i="1" s="1"/>
  <c r="AB277" i="1"/>
  <c r="AB276" i="1" s="1"/>
  <c r="AB259" i="1"/>
  <c r="AB260" i="1"/>
  <c r="AB261" i="1"/>
  <c r="AB262" i="1"/>
  <c r="AB263" i="1"/>
  <c r="AB264" i="1"/>
  <c r="AB265" i="1"/>
  <c r="AB266" i="1"/>
  <c r="AB267" i="1"/>
  <c r="AB268" i="1"/>
  <c r="AB269" i="1"/>
  <c r="AB270" i="1"/>
  <c r="AB271" i="1"/>
  <c r="AB272" i="1"/>
  <c r="AB274" i="1"/>
  <c r="CM274" i="1" s="1"/>
  <c r="AB275" i="1"/>
  <c r="CM275" i="1" s="1"/>
  <c r="AB258" i="1"/>
  <c r="AJ258" i="1" s="1"/>
  <c r="AB187" i="1"/>
  <c r="AJ187" i="1" s="1"/>
  <c r="AJ188" i="1"/>
  <c r="AJ189" i="1"/>
  <c r="AJ190" i="1"/>
  <c r="AJ191" i="1"/>
  <c r="AJ193" i="1"/>
  <c r="AJ194" i="1"/>
  <c r="AJ195" i="1"/>
  <c r="AJ196" i="1"/>
  <c r="AJ197" i="1"/>
  <c r="AJ198" i="1"/>
  <c r="AJ199" i="1"/>
  <c r="AJ200" i="1"/>
  <c r="AJ201" i="1"/>
  <c r="AJ203" i="1"/>
  <c r="AJ204" i="1"/>
  <c r="AJ205" i="1"/>
  <c r="AJ206" i="1"/>
  <c r="AJ207" i="1"/>
  <c r="AJ208" i="1"/>
  <c r="AJ209" i="1"/>
  <c r="AJ210" i="1"/>
  <c r="AJ211" i="1"/>
  <c r="AJ213" i="1"/>
  <c r="AJ214" i="1"/>
  <c r="AJ215" i="1"/>
  <c r="AJ216" i="1"/>
  <c r="AJ217" i="1"/>
  <c r="AJ218" i="1"/>
  <c r="AJ219" i="1"/>
  <c r="AB221" i="1"/>
  <c r="AB222" i="1"/>
  <c r="AB223" i="1"/>
  <c r="AB224" i="1"/>
  <c r="AB225" i="1"/>
  <c r="AB226" i="1"/>
  <c r="AB227" i="1"/>
  <c r="AB228" i="1"/>
  <c r="AB229" i="1"/>
  <c r="AB230" i="1"/>
  <c r="AB232" i="1"/>
  <c r="AB233" i="1"/>
  <c r="AB234" i="1"/>
  <c r="AB235" i="1"/>
  <c r="AB236" i="1"/>
  <c r="AB237" i="1"/>
  <c r="AB238" i="1"/>
  <c r="AB239" i="1"/>
  <c r="AB240" i="1"/>
  <c r="AB241" i="1"/>
  <c r="AB242" i="1"/>
  <c r="AB243" i="1"/>
  <c r="AB244" i="1"/>
  <c r="AB245" i="1"/>
  <c r="AB246" i="1"/>
  <c r="AB247" i="1"/>
  <c r="AB248" i="1"/>
  <c r="AB249" i="1"/>
  <c r="AB250" i="1"/>
  <c r="AB251" i="1"/>
  <c r="AB254" i="1"/>
  <c r="AB255" i="1"/>
  <c r="AB256" i="1"/>
  <c r="AB186" i="1"/>
  <c r="AB162" i="1"/>
  <c r="AJ163" i="1"/>
  <c r="AJ164" i="1"/>
  <c r="AJ165" i="1"/>
  <c r="AJ166" i="1"/>
  <c r="AJ167" i="1"/>
  <c r="AJ168" i="1"/>
  <c r="AJ169" i="1"/>
  <c r="AJ170" i="1"/>
  <c r="AJ171" i="1"/>
  <c r="AJ172" i="1"/>
  <c r="AJ173" i="1"/>
  <c r="AJ174" i="1"/>
  <c r="AJ175" i="1"/>
  <c r="AJ176" i="1"/>
  <c r="AJ177" i="1"/>
  <c r="AJ178" i="1"/>
  <c r="AJ179" i="1"/>
  <c r="AJ180" i="1"/>
  <c r="AJ181" i="1"/>
  <c r="AJ182" i="1"/>
  <c r="AJ183" i="1"/>
  <c r="AJ184" i="1"/>
  <c r="AB161" i="1"/>
  <c r="AJ161" i="1" s="1"/>
  <c r="AB144" i="1"/>
  <c r="AJ144" i="1" s="1"/>
  <c r="AB142" i="1"/>
  <c r="CM142" i="1" s="1"/>
  <c r="AB141" i="1"/>
  <c r="CM141" i="1" s="1"/>
  <c r="AB140" i="1"/>
  <c r="CM140" i="1" s="1"/>
  <c r="AB131" i="1"/>
  <c r="AB130" i="1"/>
  <c r="AB129" i="1"/>
  <c r="AB128" i="1"/>
  <c r="CM128" i="1" s="1"/>
  <c r="AB127" i="1"/>
  <c r="CM127" i="1" s="1"/>
  <c r="AB126" i="1"/>
  <c r="CM126" i="1" s="1"/>
  <c r="AB125" i="1"/>
  <c r="AB124" i="1"/>
  <c r="AB123" i="1"/>
  <c r="AB122" i="1"/>
  <c r="AB121" i="1"/>
  <c r="AB120" i="1"/>
  <c r="AB119" i="1"/>
  <c r="AB118" i="1"/>
  <c r="AB117" i="1"/>
  <c r="AB116" i="1"/>
  <c r="AB111" i="1"/>
  <c r="AB110" i="1"/>
  <c r="AB109" i="1"/>
  <c r="AB108" i="1"/>
  <c r="AB107" i="1"/>
  <c r="AB106" i="1"/>
  <c r="AB105" i="1"/>
  <c r="AB104" i="1"/>
  <c r="CM104" i="1" s="1"/>
  <c r="AB103" i="1"/>
  <c r="CM103" i="1" s="1"/>
  <c r="AB102" i="1"/>
  <c r="CM102" i="1" s="1"/>
  <c r="AB101" i="1"/>
  <c r="AB100" i="1"/>
  <c r="AB99" i="1"/>
  <c r="AB98" i="1"/>
  <c r="AB97" i="1"/>
  <c r="AB96" i="1"/>
  <c r="AB95" i="1"/>
  <c r="AB94" i="1"/>
  <c r="AB93" i="1"/>
  <c r="CM93" i="1" s="1"/>
  <c r="AB92" i="1"/>
  <c r="CM92" i="1" s="1"/>
  <c r="AB91" i="1"/>
  <c r="CM91" i="1" s="1"/>
  <c r="AB90" i="1"/>
  <c r="CM90" i="1" s="1"/>
  <c r="AB79" i="1"/>
  <c r="AB75" i="1"/>
  <c r="AJ71" i="1"/>
  <c r="AB64" i="1"/>
  <c r="AB63" i="1"/>
  <c r="AB62" i="1"/>
  <c r="AB55" i="1"/>
  <c r="AB52" i="1"/>
  <c r="AB49" i="1"/>
  <c r="AB47" i="1"/>
  <c r="AB44" i="1"/>
  <c r="CM42" i="1"/>
  <c r="AB37" i="1"/>
  <c r="AB25" i="1"/>
  <c r="CM25" i="1" s="1"/>
  <c r="AB16" i="1"/>
  <c r="CM16" i="1" s="1"/>
  <c r="AB15" i="1"/>
  <c r="CM15" i="1" s="1"/>
  <c r="S277" i="1"/>
  <c r="S145" i="1"/>
  <c r="W145" i="1" s="1"/>
  <c r="S147" i="1"/>
  <c r="W147" i="1" s="1"/>
  <c r="S148" i="1"/>
  <c r="W148" i="1" s="1"/>
  <c r="S149" i="1"/>
  <c r="W149" i="1" s="1"/>
  <c r="S150" i="1"/>
  <c r="W150" i="1" s="1"/>
  <c r="S152" i="1"/>
  <c r="W152" i="1" s="1"/>
  <c r="S154" i="1"/>
  <c r="W154" i="1" s="1"/>
  <c r="AZ154" i="1" s="1"/>
  <c r="CA154" i="1" s="1"/>
  <c r="S155" i="1"/>
  <c r="W155" i="1" s="1"/>
  <c r="S156" i="1"/>
  <c r="W156" i="1" s="1"/>
  <c r="S158" i="1"/>
  <c r="W158" i="1" s="1"/>
  <c r="S159" i="1"/>
  <c r="W159" i="1" s="1"/>
  <c r="AH163" i="1"/>
  <c r="AH164" i="1"/>
  <c r="AH165" i="1"/>
  <c r="AH166" i="1"/>
  <c r="AH167" i="1"/>
  <c r="AH168" i="1"/>
  <c r="AH169" i="1"/>
  <c r="AH170" i="1"/>
  <c r="AH171" i="1"/>
  <c r="AH172" i="1"/>
  <c r="AH173" i="1"/>
  <c r="AH174" i="1"/>
  <c r="AH175" i="1"/>
  <c r="AH176" i="1"/>
  <c r="AH177" i="1"/>
  <c r="AH178" i="1"/>
  <c r="AH179" i="1"/>
  <c r="AH180" i="1"/>
  <c r="AH181" i="1"/>
  <c r="AH182" i="1"/>
  <c r="AH183" i="1"/>
  <c r="AH184" i="1"/>
  <c r="X287" i="1"/>
  <c r="I185" i="1"/>
  <c r="P276" i="1"/>
  <c r="Q276" i="1"/>
  <c r="R276" i="1"/>
  <c r="T276" i="1"/>
  <c r="U276" i="1"/>
  <c r="V276" i="1"/>
  <c r="O276" i="1"/>
  <c r="O257" i="1"/>
  <c r="P185" i="1"/>
  <c r="Q185" i="1"/>
  <c r="R185" i="1"/>
  <c r="T185" i="1"/>
  <c r="U185" i="1"/>
  <c r="V185" i="1"/>
  <c r="O185" i="1"/>
  <c r="P160" i="1"/>
  <c r="R160" i="1"/>
  <c r="T160" i="1"/>
  <c r="U160" i="1"/>
  <c r="V160" i="1"/>
  <c r="O160" i="1"/>
  <c r="P143" i="1"/>
  <c r="R143" i="1"/>
  <c r="T143" i="1"/>
  <c r="U143" i="1"/>
  <c r="V143" i="1"/>
  <c r="O143" i="1"/>
  <c r="CC130" i="1" l="1"/>
  <c r="CB130" i="1"/>
  <c r="CM130" i="1"/>
  <c r="CB129" i="1"/>
  <c r="CC129" i="1"/>
  <c r="CM129" i="1"/>
  <c r="CB131" i="1"/>
  <c r="CC131" i="1" s="1"/>
  <c r="CM131" i="1"/>
  <c r="CM47" i="1"/>
  <c r="AJ47" i="1"/>
  <c r="CA212" i="1"/>
  <c r="CL212" i="1" s="1"/>
  <c r="CB107" i="1"/>
  <c r="CC107" i="1" s="1"/>
  <c r="CM107" i="1"/>
  <c r="CB241" i="1"/>
  <c r="CC241" i="1" s="1"/>
  <c r="CM241" i="1"/>
  <c r="AJ224" i="1"/>
  <c r="CB224" i="1"/>
  <c r="CC224" i="1" s="1"/>
  <c r="CM224" i="1"/>
  <c r="CB261" i="1"/>
  <c r="CC261" i="1" s="1"/>
  <c r="CM261" i="1"/>
  <c r="CL144" i="1"/>
  <c r="CM144" i="1"/>
  <c r="AJ162" i="1"/>
  <c r="CB162" i="1"/>
  <c r="CC162" i="1"/>
  <c r="CM162" i="1"/>
  <c r="CB240" i="1"/>
  <c r="CC240" i="1"/>
  <c r="CM240" i="1"/>
  <c r="AJ223" i="1"/>
  <c r="CB223" i="1"/>
  <c r="CC223" i="1" s="1"/>
  <c r="CM223" i="1"/>
  <c r="CB260" i="1"/>
  <c r="CC260" i="1" s="1"/>
  <c r="CM260" i="1"/>
  <c r="CB220" i="1"/>
  <c r="CC220" i="1" s="1"/>
  <c r="CD220" i="1" s="1"/>
  <c r="CE220" i="1" s="1"/>
  <c r="CF220" i="1" s="1"/>
  <c r="CM220" i="1"/>
  <c r="CL159" i="1"/>
  <c r="CL161" i="1"/>
  <c r="CM161" i="1"/>
  <c r="CL186" i="1"/>
  <c r="CM186" i="1"/>
  <c r="CL187" i="1"/>
  <c r="CM187" i="1"/>
  <c r="CB108" i="1"/>
  <c r="CC108" i="1" s="1"/>
  <c r="CM108" i="1"/>
  <c r="CB54" i="1"/>
  <c r="CC54" i="1" s="1"/>
  <c r="CM54" i="1"/>
  <c r="CL258" i="1"/>
  <c r="CM258" i="1"/>
  <c r="CB94" i="1"/>
  <c r="CC94" i="1" s="1"/>
  <c r="CM94" i="1"/>
  <c r="AJ238" i="1"/>
  <c r="CB238" i="1"/>
  <c r="CC238" i="1" s="1"/>
  <c r="CM238" i="1"/>
  <c r="CB116" i="1"/>
  <c r="CC116" i="1" s="1"/>
  <c r="CM116" i="1"/>
  <c r="AJ236" i="1"/>
  <c r="CB236" i="1"/>
  <c r="CC236" i="1" s="1"/>
  <c r="CM236" i="1"/>
  <c r="CB251" i="1"/>
  <c r="CC251" i="1"/>
  <c r="CM251" i="1"/>
  <c r="CL277" i="1"/>
  <c r="CM277" i="1"/>
  <c r="CB222" i="1"/>
  <c r="CC222" i="1" s="1"/>
  <c r="CD222" i="1" s="1"/>
  <c r="CE222" i="1" s="1"/>
  <c r="CF222" i="1" s="1"/>
  <c r="CM222" i="1"/>
  <c r="CB52" i="1"/>
  <c r="CC52" i="1" s="1"/>
  <c r="CM52" i="1"/>
  <c r="CB118" i="1"/>
  <c r="CC118" i="1" s="1"/>
  <c r="CM118" i="1"/>
  <c r="CB250" i="1"/>
  <c r="CC250" i="1" s="1"/>
  <c r="CM250" i="1"/>
  <c r="AJ234" i="1"/>
  <c r="CB234" i="1"/>
  <c r="CC234" i="1" s="1"/>
  <c r="CM234" i="1"/>
  <c r="CB270" i="1"/>
  <c r="CC270" i="1" s="1"/>
  <c r="CM270" i="1"/>
  <c r="CL22" i="1"/>
  <c r="CB259" i="1"/>
  <c r="CC259" i="1" s="1"/>
  <c r="CM259" i="1"/>
  <c r="CB111" i="1"/>
  <c r="CC111" i="1" s="1"/>
  <c r="CM111" i="1"/>
  <c r="CB62" i="1"/>
  <c r="CC62" i="1"/>
  <c r="CM62" i="1"/>
  <c r="CB249" i="1"/>
  <c r="CC249" i="1" s="1"/>
  <c r="CM249" i="1"/>
  <c r="AJ233" i="1"/>
  <c r="CB233" i="1"/>
  <c r="CC233" i="1" s="1"/>
  <c r="CM233" i="1"/>
  <c r="CB269" i="1"/>
  <c r="CC269" i="1" s="1"/>
  <c r="CM269" i="1"/>
  <c r="CL28" i="1"/>
  <c r="AJ239" i="1"/>
  <c r="CB239" i="1"/>
  <c r="CC239" i="1" s="1"/>
  <c r="CM239" i="1"/>
  <c r="CB255" i="1"/>
  <c r="CC255" i="1" s="1"/>
  <c r="CM255" i="1"/>
  <c r="CB97" i="1"/>
  <c r="CC97" i="1"/>
  <c r="CM97" i="1"/>
  <c r="AJ235" i="1"/>
  <c r="CB235" i="1"/>
  <c r="CC235" i="1" s="1"/>
  <c r="CM235" i="1"/>
  <c r="CB248" i="1"/>
  <c r="CC248" i="1" s="1"/>
  <c r="CM248" i="1"/>
  <c r="AJ232" i="1"/>
  <c r="CB232" i="1"/>
  <c r="CC232" i="1"/>
  <c r="CM232" i="1"/>
  <c r="CB268" i="1"/>
  <c r="CC268" i="1" s="1"/>
  <c r="CM268" i="1"/>
  <c r="CC421" i="1"/>
  <c r="CB421" i="1"/>
  <c r="CM421" i="1"/>
  <c r="CL27" i="1"/>
  <c r="CB109" i="1"/>
  <c r="CC109" i="1" s="1"/>
  <c r="CM109" i="1"/>
  <c r="CB49" i="1"/>
  <c r="CC49" i="1"/>
  <c r="CM49" i="1"/>
  <c r="CB55" i="1"/>
  <c r="CC55" i="1" s="1"/>
  <c r="CM55" i="1"/>
  <c r="CB254" i="1"/>
  <c r="CC254" i="1" s="1"/>
  <c r="CM254" i="1"/>
  <c r="CB271" i="1"/>
  <c r="CC271" i="1" s="1"/>
  <c r="CM271" i="1"/>
  <c r="CB98" i="1"/>
  <c r="CC98" i="1" s="1"/>
  <c r="CM98" i="1"/>
  <c r="CB64" i="1"/>
  <c r="CC64" i="1"/>
  <c r="CM64" i="1"/>
  <c r="CB69" i="1"/>
  <c r="CC69" i="1"/>
  <c r="CM69" i="1"/>
  <c r="CB101" i="1"/>
  <c r="CC101" i="1" s="1"/>
  <c r="CM101" i="1"/>
  <c r="CB121" i="1"/>
  <c r="CC121" i="1" s="1"/>
  <c r="CM121" i="1"/>
  <c r="CB247" i="1"/>
  <c r="CC247" i="1" s="1"/>
  <c r="CM247" i="1"/>
  <c r="AJ230" i="1"/>
  <c r="CB230" i="1"/>
  <c r="CC230" i="1" s="1"/>
  <c r="CM230" i="1"/>
  <c r="CB267" i="1"/>
  <c r="CC267" i="1" s="1"/>
  <c r="CM267" i="1"/>
  <c r="CB420" i="1"/>
  <c r="CC420" i="1"/>
  <c r="CM420" i="1"/>
  <c r="CL18" i="1"/>
  <c r="AJ256" i="1"/>
  <c r="CB256" i="1"/>
  <c r="CC256" i="1" s="1"/>
  <c r="CM256" i="1"/>
  <c r="CB96" i="1"/>
  <c r="CC96" i="1" s="1"/>
  <c r="CM96" i="1"/>
  <c r="CB119" i="1"/>
  <c r="CC119" i="1" s="1"/>
  <c r="CM119" i="1"/>
  <c r="CB122" i="1"/>
  <c r="CC122" i="1" s="1"/>
  <c r="CM122" i="1"/>
  <c r="CB419" i="1"/>
  <c r="CC419" i="1"/>
  <c r="CM419" i="1"/>
  <c r="CL33" i="1"/>
  <c r="CB272" i="1"/>
  <c r="CC272" i="1" s="1"/>
  <c r="CM272" i="1"/>
  <c r="CB117" i="1"/>
  <c r="CC117" i="1" s="1"/>
  <c r="CM117" i="1"/>
  <c r="CB66" i="1"/>
  <c r="CC66" i="1" s="1"/>
  <c r="CM66" i="1"/>
  <c r="CB70" i="1"/>
  <c r="CC70" i="1" s="1"/>
  <c r="CM70" i="1"/>
  <c r="AJ228" i="1"/>
  <c r="CB228" i="1"/>
  <c r="CC228" i="1" s="1"/>
  <c r="CM228" i="1"/>
  <c r="CB265" i="1"/>
  <c r="CC265" i="1" s="1"/>
  <c r="CM265" i="1"/>
  <c r="CB418" i="1"/>
  <c r="CC418" i="1"/>
  <c r="CM418" i="1"/>
  <c r="CL154" i="1"/>
  <c r="CB120" i="1"/>
  <c r="CC120" i="1" s="1"/>
  <c r="CM120" i="1"/>
  <c r="CB266" i="1"/>
  <c r="CC266" i="1" s="1"/>
  <c r="CM266" i="1"/>
  <c r="CB123" i="1"/>
  <c r="CC123" i="1" s="1"/>
  <c r="CM123" i="1"/>
  <c r="CB75" i="1"/>
  <c r="CC75" i="1"/>
  <c r="CM75" i="1"/>
  <c r="CB124" i="1"/>
  <c r="CC124" i="1" s="1"/>
  <c r="CM124" i="1"/>
  <c r="CB244" i="1"/>
  <c r="CC244" i="1" s="1"/>
  <c r="CM244" i="1"/>
  <c r="AJ227" i="1"/>
  <c r="CB227" i="1"/>
  <c r="CC227" i="1" s="1"/>
  <c r="CM227" i="1"/>
  <c r="CB264" i="1"/>
  <c r="CC264" i="1" s="1"/>
  <c r="CM264" i="1"/>
  <c r="CB422" i="1"/>
  <c r="CC422" i="1"/>
  <c r="CM422" i="1"/>
  <c r="CL40" i="1"/>
  <c r="CM441" i="1"/>
  <c r="CB110" i="1"/>
  <c r="CC110" i="1" s="1"/>
  <c r="CM110" i="1"/>
  <c r="CB221" i="1"/>
  <c r="CC221" i="1" s="1"/>
  <c r="CD221" i="1" s="1"/>
  <c r="CE221" i="1" s="1"/>
  <c r="CF221" i="1" s="1"/>
  <c r="CM221" i="1"/>
  <c r="CB100" i="1"/>
  <c r="CC100" i="1" s="1"/>
  <c r="CM100" i="1"/>
  <c r="CB246" i="1"/>
  <c r="CC246" i="1" s="1"/>
  <c r="CM246" i="1"/>
  <c r="CB79" i="1"/>
  <c r="CC79" i="1" s="1"/>
  <c r="CM79" i="1"/>
  <c r="CB105" i="1"/>
  <c r="CC105" i="1"/>
  <c r="CM105" i="1"/>
  <c r="CC125" i="1"/>
  <c r="CB125" i="1"/>
  <c r="CM125" i="1"/>
  <c r="CB243" i="1"/>
  <c r="CC243" i="1" s="1"/>
  <c r="CM243" i="1"/>
  <c r="AJ226" i="1"/>
  <c r="CB226" i="1"/>
  <c r="CC226" i="1" s="1"/>
  <c r="CM226" i="1"/>
  <c r="CB263" i="1"/>
  <c r="CC263" i="1"/>
  <c r="CM263" i="1"/>
  <c r="CC423" i="1"/>
  <c r="CM423" i="1"/>
  <c r="CB95" i="1"/>
  <c r="CC95" i="1" s="1"/>
  <c r="CM95" i="1"/>
  <c r="AJ237" i="1"/>
  <c r="CB237" i="1"/>
  <c r="CC237" i="1" s="1"/>
  <c r="CM237" i="1"/>
  <c r="CC63" i="1"/>
  <c r="CB63" i="1"/>
  <c r="CM63" i="1"/>
  <c r="CB99" i="1"/>
  <c r="CC99" i="1" s="1"/>
  <c r="CM99" i="1"/>
  <c r="AJ229" i="1"/>
  <c r="CB229" i="1"/>
  <c r="CC229" i="1" s="1"/>
  <c r="CM229" i="1"/>
  <c r="CB245" i="1"/>
  <c r="CC245" i="1" s="1"/>
  <c r="CM245" i="1"/>
  <c r="CB37" i="1"/>
  <c r="CC37" i="1" s="1"/>
  <c r="CM37" i="1"/>
  <c r="CB106" i="1"/>
  <c r="CC106" i="1"/>
  <c r="CM106" i="1"/>
  <c r="CB242" i="1"/>
  <c r="CC242" i="1" s="1"/>
  <c r="CM242" i="1"/>
  <c r="AJ225" i="1"/>
  <c r="CB225" i="1"/>
  <c r="CC225" i="1" s="1"/>
  <c r="CM225" i="1"/>
  <c r="CB262" i="1"/>
  <c r="CC262" i="1" s="1"/>
  <c r="CM262" i="1"/>
  <c r="CL39" i="1"/>
  <c r="CM39" i="1"/>
  <c r="CM438" i="1"/>
  <c r="CM437" i="1"/>
  <c r="CM436" i="1"/>
  <c r="CM435" i="1"/>
  <c r="CM434" i="1"/>
  <c r="CM433" i="1"/>
  <c r="CL433" i="1"/>
  <c r="CB304" i="1"/>
  <c r="CC304" i="1" s="1"/>
  <c r="CB141" i="1"/>
  <c r="CC141" i="1"/>
  <c r="CB140" i="1"/>
  <c r="CC140" i="1" s="1"/>
  <c r="CC142" i="1"/>
  <c r="CB142" i="1"/>
  <c r="CB47" i="1"/>
  <c r="CC47" i="1" s="1"/>
  <c r="CB46" i="1"/>
  <c r="CC46" i="1" s="1"/>
  <c r="CB44" i="1"/>
  <c r="CC44" i="1"/>
  <c r="CB42" i="1"/>
  <c r="CC42" i="1" s="1"/>
  <c r="CB383" i="1"/>
  <c r="CC383" i="1" s="1"/>
  <c r="CE383" i="1"/>
  <c r="CD383" i="1" s="1"/>
  <c r="CB384" i="1"/>
  <c r="CC384" i="1" s="1"/>
  <c r="CB373" i="1"/>
  <c r="CC373" i="1" s="1"/>
  <c r="CB380" i="1"/>
  <c r="CC380" i="1"/>
  <c r="CE380" i="1"/>
  <c r="CD380" i="1" s="1"/>
  <c r="CB391" i="1"/>
  <c r="CC391" i="1" s="1"/>
  <c r="CB369" i="1"/>
  <c r="CC369" i="1"/>
  <c r="CB392" i="1"/>
  <c r="CC392" i="1" s="1"/>
  <c r="CB370" i="1"/>
  <c r="CC370" i="1"/>
  <c r="CB15" i="1"/>
  <c r="CC15" i="1" s="1"/>
  <c r="CE371" i="1"/>
  <c r="CB371" i="1"/>
  <c r="CC371" i="1" s="1"/>
  <c r="CB390" i="1"/>
  <c r="CC390" i="1"/>
  <c r="CB372" i="1"/>
  <c r="CC372" i="1" s="1"/>
  <c r="CB377" i="1"/>
  <c r="CC377" i="1"/>
  <c r="CB16" i="1"/>
  <c r="CC16" i="1" s="1"/>
  <c r="CB368" i="1"/>
  <c r="CC368" i="1"/>
  <c r="CC376" i="1"/>
  <c r="CB376" i="1"/>
  <c r="CB389" i="1"/>
  <c r="CC389" i="1" s="1"/>
  <c r="CB25" i="1"/>
  <c r="CC25" i="1"/>
  <c r="CB374" i="1"/>
  <c r="CC374" i="1" s="1"/>
  <c r="CB395" i="1"/>
  <c r="CC395" i="1" s="1"/>
  <c r="AB212" i="1"/>
  <c r="CB348" i="1"/>
  <c r="CC348" i="1" s="1"/>
  <c r="CB366" i="1"/>
  <c r="CC366" i="1" s="1"/>
  <c r="CB294" i="1"/>
  <c r="CC294" i="1" s="1"/>
  <c r="CB336" i="1"/>
  <c r="CC336" i="1" s="1"/>
  <c r="CB361" i="1"/>
  <c r="CC361" i="1" s="1"/>
  <c r="CB335" i="1"/>
  <c r="CC335" i="1"/>
  <c r="CB310" i="1"/>
  <c r="CC310" i="1" s="1"/>
  <c r="CB356" i="1"/>
  <c r="CC356" i="1" s="1"/>
  <c r="CB309" i="1"/>
  <c r="CC309" i="1" s="1"/>
  <c r="CB326" i="1"/>
  <c r="CC326" i="1" s="1"/>
  <c r="CB354" i="1"/>
  <c r="CC354" i="1" s="1"/>
  <c r="CB398" i="1"/>
  <c r="CC398" i="1" s="1"/>
  <c r="CB367" i="1"/>
  <c r="CC367" i="1" s="1"/>
  <c r="CB364" i="1"/>
  <c r="CC364" i="1" s="1"/>
  <c r="CB363" i="1"/>
  <c r="CC363" i="1" s="1"/>
  <c r="CB312" i="1"/>
  <c r="CC312" i="1" s="1"/>
  <c r="CB359" i="1"/>
  <c r="CC359" i="1" s="1"/>
  <c r="CB331" i="1"/>
  <c r="CC331" i="1" s="1"/>
  <c r="CB308" i="1"/>
  <c r="CC308" i="1" s="1"/>
  <c r="CB325" i="1"/>
  <c r="CC325" i="1" s="1"/>
  <c r="CB351" i="1"/>
  <c r="CC351" i="1" s="1"/>
  <c r="CB342" i="1"/>
  <c r="CC342" i="1" s="1"/>
  <c r="CB340" i="1"/>
  <c r="CC340" i="1" s="1"/>
  <c r="CB411" i="1"/>
  <c r="CC411" i="1"/>
  <c r="CB337" i="1"/>
  <c r="CC337" i="1" s="1"/>
  <c r="CB314" i="1"/>
  <c r="CC314" i="1"/>
  <c r="CB321" i="1"/>
  <c r="CC321" i="1" s="1"/>
  <c r="CE421" i="1"/>
  <c r="CB365" i="1"/>
  <c r="CC365" i="1" s="1"/>
  <c r="CB414" i="1"/>
  <c r="CC414" i="1" s="1"/>
  <c r="CB324" i="1"/>
  <c r="CC324" i="1" s="1"/>
  <c r="CB296" i="1"/>
  <c r="CC296" i="1" s="1"/>
  <c r="CE296" i="1"/>
  <c r="CB323" i="1"/>
  <c r="CC323" i="1" s="1"/>
  <c r="CB406" i="1"/>
  <c r="CC406" i="1"/>
  <c r="CE418" i="1"/>
  <c r="CB347" i="1"/>
  <c r="CC347" i="1" s="1"/>
  <c r="CB415" i="1"/>
  <c r="CC415" i="1" s="1"/>
  <c r="CB341" i="1"/>
  <c r="CC341" i="1" s="1"/>
  <c r="CB293" i="1"/>
  <c r="CC293" i="1"/>
  <c r="CB316" i="1"/>
  <c r="CC316" i="1" s="1"/>
  <c r="CE316" i="1"/>
  <c r="CC349" i="1"/>
  <c r="CB349" i="1"/>
  <c r="CE420" i="1"/>
  <c r="CB319" i="1"/>
  <c r="CC319" i="1" s="1"/>
  <c r="CB350" i="1"/>
  <c r="CC350" i="1" s="1"/>
  <c r="CE419" i="1"/>
  <c r="AJ222" i="1"/>
  <c r="AJ221" i="1"/>
  <c r="AJ220" i="1"/>
  <c r="AJ69" i="1"/>
  <c r="CB93" i="1"/>
  <c r="CC93" i="1" s="1"/>
  <c r="CB91" i="1"/>
  <c r="CC91" i="1" s="1"/>
  <c r="AJ186" i="1"/>
  <c r="AJ106" i="1"/>
  <c r="AJ126" i="1"/>
  <c r="CB126" i="1"/>
  <c r="CC126" i="1" s="1"/>
  <c r="AJ246" i="1"/>
  <c r="AJ266" i="1"/>
  <c r="AJ245" i="1"/>
  <c r="AJ265" i="1"/>
  <c r="AJ70" i="1"/>
  <c r="AJ92" i="1"/>
  <c r="CB92" i="1"/>
  <c r="CC92" i="1" s="1"/>
  <c r="AJ108" i="1"/>
  <c r="CB128" i="1"/>
  <c r="CC128" i="1" s="1"/>
  <c r="AJ244" i="1"/>
  <c r="AJ264" i="1"/>
  <c r="AJ109" i="1"/>
  <c r="AJ243" i="1"/>
  <c r="AJ263" i="1"/>
  <c r="AJ107" i="1"/>
  <c r="AJ94" i="1"/>
  <c r="AJ110" i="1"/>
  <c r="AJ242" i="1"/>
  <c r="AJ262" i="1"/>
  <c r="AJ261" i="1"/>
  <c r="AJ260" i="1"/>
  <c r="AJ241" i="1"/>
  <c r="AJ259" i="1"/>
  <c r="AJ90" i="1"/>
  <c r="CB90" i="1"/>
  <c r="CC90" i="1" s="1"/>
  <c r="AJ66" i="1"/>
  <c r="AJ240" i="1"/>
  <c r="AJ81" i="1"/>
  <c r="CB127" i="1"/>
  <c r="CC127" i="1" s="1"/>
  <c r="AJ97" i="1"/>
  <c r="AJ99" i="1"/>
  <c r="AJ84" i="1"/>
  <c r="AJ100" i="1"/>
  <c r="AJ55" i="1"/>
  <c r="AJ85" i="1"/>
  <c r="AJ101" i="1"/>
  <c r="AJ121" i="1"/>
  <c r="AJ86" i="1"/>
  <c r="AJ102" i="1"/>
  <c r="CB102" i="1"/>
  <c r="CC102" i="1" s="1"/>
  <c r="CB274" i="1"/>
  <c r="CC274" i="1" s="1"/>
  <c r="AJ120" i="1"/>
  <c r="AJ87" i="1"/>
  <c r="AJ103" i="1"/>
  <c r="CB103" i="1"/>
  <c r="CC103" i="1" s="1"/>
  <c r="AJ123" i="1"/>
  <c r="AJ249" i="1"/>
  <c r="AQ13" i="1"/>
  <c r="AJ98" i="1"/>
  <c r="AJ49" i="1"/>
  <c r="AJ63" i="1"/>
  <c r="AJ88" i="1"/>
  <c r="CB88" i="1"/>
  <c r="CC88" i="1" s="1"/>
  <c r="AJ104" i="1"/>
  <c r="CB104" i="1"/>
  <c r="CC104" i="1" s="1"/>
  <c r="AJ124" i="1"/>
  <c r="AJ248" i="1"/>
  <c r="AJ268" i="1"/>
  <c r="AB19" i="1"/>
  <c r="CM19" i="1" s="1"/>
  <c r="AJ64" i="1"/>
  <c r="AJ89" i="1"/>
  <c r="CB89" i="1"/>
  <c r="CC89" i="1" s="1"/>
  <c r="AJ105" i="1"/>
  <c r="AJ125" i="1"/>
  <c r="AJ267" i="1"/>
  <c r="AJ79" i="1"/>
  <c r="AJ119" i="1"/>
  <c r="AJ80" i="1"/>
  <c r="AJ116" i="1"/>
  <c r="AJ117" i="1"/>
  <c r="AJ118" i="1"/>
  <c r="AJ137" i="1"/>
  <c r="AJ138" i="1"/>
  <c r="AJ274" i="1"/>
  <c r="AJ139" i="1"/>
  <c r="AJ272" i="1"/>
  <c r="AJ140" i="1"/>
  <c r="AJ271" i="1"/>
  <c r="AJ270" i="1"/>
  <c r="AJ269" i="1"/>
  <c r="AJ131" i="1"/>
  <c r="AJ132" i="1"/>
  <c r="AJ141" i="1"/>
  <c r="AJ130" i="1"/>
  <c r="AJ135" i="1"/>
  <c r="AJ128" i="1"/>
  <c r="AJ275" i="1"/>
  <c r="CB275" i="1"/>
  <c r="CC275" i="1" s="1"/>
  <c r="AJ129" i="1"/>
  <c r="CB282" i="1"/>
  <c r="CC282" i="1" s="1"/>
  <c r="CB291" i="1"/>
  <c r="CC291" i="1" s="1"/>
  <c r="AJ282" i="1"/>
  <c r="AJ42" i="1"/>
  <c r="AJ62" i="1"/>
  <c r="AB50" i="1"/>
  <c r="CB50" i="1" s="1"/>
  <c r="CC50" i="1" s="1"/>
  <c r="CN23" i="1"/>
  <c r="CN37" i="1"/>
  <c r="CN61" i="1"/>
  <c r="CN85" i="1"/>
  <c r="CN101" i="1"/>
  <c r="CN121" i="1"/>
  <c r="CN179" i="1"/>
  <c r="CN163" i="1"/>
  <c r="CN240" i="1"/>
  <c r="CN223" i="1"/>
  <c r="CN206" i="1"/>
  <c r="CN188" i="1"/>
  <c r="CN261" i="1"/>
  <c r="CN390" i="1"/>
  <c r="CN364" i="1"/>
  <c r="CN328" i="1"/>
  <c r="CN34" i="1"/>
  <c r="CN162" i="1"/>
  <c r="CN31" i="1"/>
  <c r="CN177" i="1"/>
  <c r="CN186" i="1"/>
  <c r="CN238" i="1"/>
  <c r="CN221" i="1"/>
  <c r="CN204" i="1"/>
  <c r="CN258" i="1"/>
  <c r="CN259" i="1"/>
  <c r="CN388" i="1"/>
  <c r="CN361" i="1"/>
  <c r="CN316" i="1"/>
  <c r="CN102" i="1"/>
  <c r="CN32" i="1"/>
  <c r="CN103" i="1"/>
  <c r="CN30" i="1"/>
  <c r="CN64" i="1"/>
  <c r="CN88" i="1"/>
  <c r="CN104" i="1"/>
  <c r="CN124" i="1"/>
  <c r="CN144" i="1"/>
  <c r="CN176" i="1"/>
  <c r="CN256" i="1"/>
  <c r="CN237" i="1"/>
  <c r="CN220" i="1"/>
  <c r="CN203" i="1"/>
  <c r="CN275" i="1"/>
  <c r="CA276" i="1"/>
  <c r="CL276" i="1" s="1"/>
  <c r="CN277" i="1"/>
  <c r="CN378" i="1"/>
  <c r="CN360" i="1"/>
  <c r="CN314" i="1"/>
  <c r="CN239" i="1"/>
  <c r="CN87" i="1"/>
  <c r="CN27" i="1"/>
  <c r="CN39" i="1"/>
  <c r="CN89" i="1"/>
  <c r="CN105" i="1"/>
  <c r="CN125" i="1"/>
  <c r="CN159" i="1"/>
  <c r="CN175" i="1"/>
  <c r="CN236" i="1"/>
  <c r="CN219" i="1"/>
  <c r="CN201" i="1"/>
  <c r="CN274" i="1"/>
  <c r="CN291" i="1"/>
  <c r="CN377" i="1"/>
  <c r="CN359" i="1"/>
  <c r="CN312" i="1"/>
  <c r="CN441" i="1"/>
  <c r="CN28" i="1"/>
  <c r="CN205" i="1"/>
  <c r="CN142" i="1"/>
  <c r="CN42" i="1"/>
  <c r="CN66" i="1"/>
  <c r="CN90" i="1"/>
  <c r="CN106" i="1"/>
  <c r="CN126" i="1"/>
  <c r="CN155" i="1"/>
  <c r="CN174" i="1"/>
  <c r="CN235" i="1"/>
  <c r="CN218" i="1"/>
  <c r="CN200" i="1"/>
  <c r="CN272" i="1"/>
  <c r="CN421" i="1"/>
  <c r="CN376" i="1"/>
  <c r="CN354" i="1"/>
  <c r="CN310" i="1"/>
  <c r="CN86" i="1"/>
  <c r="CN123" i="1"/>
  <c r="CN69" i="1"/>
  <c r="CN91" i="1"/>
  <c r="CN107" i="1"/>
  <c r="CN127" i="1"/>
  <c r="CN150" i="1"/>
  <c r="CN173" i="1"/>
  <c r="CN250" i="1"/>
  <c r="CN234" i="1"/>
  <c r="CN217" i="1"/>
  <c r="CN199" i="1"/>
  <c r="CN271" i="1"/>
  <c r="CN420" i="1"/>
  <c r="CN374" i="1"/>
  <c r="CN351" i="1"/>
  <c r="CN309" i="1"/>
  <c r="CN62" i="1"/>
  <c r="CN122" i="1"/>
  <c r="CN63" i="1"/>
  <c r="CN33" i="1"/>
  <c r="CN231" i="1"/>
  <c r="CN45" i="1"/>
  <c r="CN70" i="1"/>
  <c r="CN92" i="1"/>
  <c r="CN108" i="1"/>
  <c r="CN128" i="1"/>
  <c r="CN149" i="1"/>
  <c r="CN172" i="1"/>
  <c r="CN249" i="1"/>
  <c r="CN233" i="1"/>
  <c r="CN216" i="1"/>
  <c r="CN198" i="1"/>
  <c r="CN270" i="1"/>
  <c r="CN419" i="1"/>
  <c r="CN373" i="1"/>
  <c r="CN350" i="1"/>
  <c r="CN308" i="1"/>
  <c r="CN187" i="1"/>
  <c r="CN35" i="1"/>
  <c r="CN46" i="1"/>
  <c r="CN71" i="1"/>
  <c r="CN93" i="1"/>
  <c r="CN109" i="1"/>
  <c r="CN148" i="1"/>
  <c r="CN171" i="1"/>
  <c r="CN248" i="1"/>
  <c r="CN232" i="1"/>
  <c r="CN215" i="1"/>
  <c r="CN197" i="1"/>
  <c r="CN269" i="1"/>
  <c r="CN418" i="1"/>
  <c r="CN372" i="1"/>
  <c r="CN349" i="1"/>
  <c r="CN304" i="1"/>
  <c r="CN260" i="1"/>
  <c r="CN36" i="1"/>
  <c r="CN152" i="1"/>
  <c r="CN47" i="1"/>
  <c r="CN75" i="1"/>
  <c r="CN94" i="1"/>
  <c r="CN110" i="1"/>
  <c r="CN147" i="1"/>
  <c r="CN170" i="1"/>
  <c r="CN247" i="1"/>
  <c r="CN230" i="1"/>
  <c r="CN214" i="1"/>
  <c r="CN196" i="1"/>
  <c r="CN268" i="1"/>
  <c r="CN417" i="1"/>
  <c r="CN371" i="1"/>
  <c r="CN348" i="1"/>
  <c r="CN296" i="1"/>
  <c r="CN178" i="1"/>
  <c r="CN161" i="1"/>
  <c r="CN195" i="1"/>
  <c r="CN294" i="1"/>
  <c r="CN49" i="1"/>
  <c r="CN80" i="1"/>
  <c r="CN96" i="1"/>
  <c r="CN116" i="1"/>
  <c r="CN184" i="1"/>
  <c r="CN168" i="1"/>
  <c r="CN245" i="1"/>
  <c r="CN228" i="1"/>
  <c r="CN211" i="1"/>
  <c r="CN194" i="1"/>
  <c r="CN266" i="1"/>
  <c r="CN399" i="1"/>
  <c r="CN369" i="1"/>
  <c r="CN346" i="1"/>
  <c r="CN293" i="1"/>
  <c r="CN326" i="1"/>
  <c r="CN40" i="1"/>
  <c r="CN213" i="1"/>
  <c r="CN267" i="1"/>
  <c r="CN52" i="1"/>
  <c r="CN81" i="1"/>
  <c r="CN97" i="1"/>
  <c r="CN117" i="1"/>
  <c r="CN183" i="1"/>
  <c r="CN167" i="1"/>
  <c r="CN244" i="1"/>
  <c r="CN227" i="1"/>
  <c r="CN210" i="1"/>
  <c r="CN193" i="1"/>
  <c r="CN265" i="1"/>
  <c r="CN398" i="1"/>
  <c r="CN368" i="1"/>
  <c r="CN342" i="1"/>
  <c r="CN422" i="1"/>
  <c r="CN363" i="1"/>
  <c r="CN111" i="1"/>
  <c r="CN229" i="1"/>
  <c r="CN401" i="1"/>
  <c r="CN156" i="1"/>
  <c r="CN25" i="1"/>
  <c r="CN82" i="1"/>
  <c r="CN98" i="1"/>
  <c r="CN118" i="1"/>
  <c r="CN182" i="1"/>
  <c r="CN166" i="1"/>
  <c r="CN243" i="1"/>
  <c r="CN226" i="1"/>
  <c r="CN209" i="1"/>
  <c r="CN191" i="1"/>
  <c r="CN264" i="1"/>
  <c r="CN395" i="1"/>
  <c r="CN367" i="1"/>
  <c r="CN341" i="1"/>
  <c r="CN423" i="1"/>
  <c r="CN222" i="1"/>
  <c r="CN95" i="1"/>
  <c r="CN246" i="1"/>
  <c r="CN347" i="1"/>
  <c r="CN56" i="1"/>
  <c r="CN16" i="1"/>
  <c r="CN54" i="1"/>
  <c r="CN83" i="1"/>
  <c r="CN99" i="1"/>
  <c r="CN119" i="1"/>
  <c r="CN181" i="1"/>
  <c r="CN165" i="1"/>
  <c r="CN242" i="1"/>
  <c r="CN225" i="1"/>
  <c r="CN208" i="1"/>
  <c r="CN190" i="1"/>
  <c r="CN263" i="1"/>
  <c r="CN392" i="1"/>
  <c r="CN366" i="1"/>
  <c r="CN340" i="1"/>
  <c r="CN389" i="1"/>
  <c r="CN79" i="1"/>
  <c r="CN169" i="1"/>
  <c r="CN370" i="1"/>
  <c r="CN15" i="1"/>
  <c r="CN55" i="1"/>
  <c r="CN84" i="1"/>
  <c r="CN100" i="1"/>
  <c r="CN120" i="1"/>
  <c r="CN180" i="1"/>
  <c r="CN164" i="1"/>
  <c r="CN241" i="1"/>
  <c r="CN224" i="1"/>
  <c r="CN207" i="1"/>
  <c r="CN189" i="1"/>
  <c r="CN262" i="1"/>
  <c r="CN391" i="1"/>
  <c r="CN365" i="1"/>
  <c r="CN331" i="1"/>
  <c r="CN438" i="1"/>
  <c r="CN437" i="1"/>
  <c r="CN436" i="1"/>
  <c r="CN435" i="1"/>
  <c r="CN434" i="1"/>
  <c r="CN433" i="1"/>
  <c r="AJ54" i="1"/>
  <c r="AJ254" i="1"/>
  <c r="AJ255" i="1"/>
  <c r="AJ95" i="1"/>
  <c r="AJ111" i="1"/>
  <c r="AJ122" i="1"/>
  <c r="AJ91" i="1"/>
  <c r="AJ127" i="1"/>
  <c r="AJ96" i="1"/>
  <c r="AJ142" i="1"/>
  <c r="AJ93" i="1"/>
  <c r="AJ247" i="1"/>
  <c r="AP13" i="1"/>
  <c r="AJ411" i="1"/>
  <c r="AJ25" i="1"/>
  <c r="AS13" i="1"/>
  <c r="AB279" i="1"/>
  <c r="AJ251" i="1"/>
  <c r="AJ250" i="1"/>
  <c r="AB252" i="1"/>
  <c r="AJ37" i="1"/>
  <c r="AJ75" i="1"/>
  <c r="AJ82" i="1"/>
  <c r="AJ277" i="1"/>
  <c r="AJ83" i="1"/>
  <c r="AJ335" i="1"/>
  <c r="AJ336" i="1"/>
  <c r="AJ192" i="1"/>
  <c r="AB40" i="1"/>
  <c r="AB23" i="1"/>
  <c r="CM23" i="1" s="1"/>
  <c r="AJ39" i="1"/>
  <c r="AB231" i="1"/>
  <c r="AJ44" i="1"/>
  <c r="AB22" i="1"/>
  <c r="CB22" i="1" s="1"/>
  <c r="CC22" i="1" s="1"/>
  <c r="CC186" i="1"/>
  <c r="AB17" i="1"/>
  <c r="CM17" i="1" s="1"/>
  <c r="AN13" i="1"/>
  <c r="CC258" i="1"/>
  <c r="AB18" i="1"/>
  <c r="CB18" i="1" s="1"/>
  <c r="CC18" i="1" s="1"/>
  <c r="AO13" i="1"/>
  <c r="CC144" i="1"/>
  <c r="AB160" i="1"/>
  <c r="AB76" i="1"/>
  <c r="W277" i="1"/>
  <c r="S276" i="1"/>
  <c r="CB277" i="1"/>
  <c r="CC277" i="1" s="1"/>
  <c r="CM40" i="1" l="1"/>
  <c r="CM22" i="1"/>
  <c r="CB252" i="1"/>
  <c r="CC252" i="1" s="1"/>
  <c r="CM252" i="1"/>
  <c r="CB76" i="1"/>
  <c r="CC76" i="1" s="1"/>
  <c r="CM76" i="1"/>
  <c r="CM18" i="1"/>
  <c r="AJ231" i="1"/>
  <c r="CB231" i="1"/>
  <c r="CC231" i="1" s="1"/>
  <c r="CM231" i="1"/>
  <c r="AJ212" i="1"/>
  <c r="CB212" i="1"/>
  <c r="CC212" i="1" s="1"/>
  <c r="CM212" i="1"/>
  <c r="CB19" i="1"/>
  <c r="CC19" i="1" s="1"/>
  <c r="CB17" i="1"/>
  <c r="CC17" i="1" s="1"/>
  <c r="CB23" i="1"/>
  <c r="CC23" i="1" s="1"/>
  <c r="AB185" i="1"/>
  <c r="AJ76" i="1"/>
  <c r="CA13" i="1"/>
  <c r="CN19" i="1"/>
  <c r="CN18" i="1"/>
  <c r="CN192" i="1"/>
  <c r="CN22" i="1"/>
  <c r="CN154" i="1"/>
  <c r="CN212" i="1"/>
  <c r="CN145" i="1"/>
  <c r="CN20" i="1"/>
  <c r="CN17" i="1"/>
  <c r="CN76" i="1"/>
  <c r="W276" i="1"/>
  <c r="AJ252" i="1"/>
  <c r="P257" i="1"/>
  <c r="Q257" i="1"/>
  <c r="R257" i="1"/>
  <c r="T257" i="1"/>
  <c r="T12" i="1" s="1"/>
  <c r="U257" i="1"/>
  <c r="U12" i="1" s="1"/>
  <c r="V257" i="1"/>
  <c r="V12" i="1" s="1"/>
  <c r="I276" i="1"/>
  <c r="I257" i="1"/>
  <c r="BZ257" i="1"/>
  <c r="BY257" i="1"/>
  <c r="BX257" i="1"/>
  <c r="BW257" i="1"/>
  <c r="BV257" i="1"/>
  <c r="BU257" i="1"/>
  <c r="BT257" i="1"/>
  <c r="BS257" i="1"/>
  <c r="BR257" i="1"/>
  <c r="BQ257" i="1"/>
  <c r="BP257" i="1"/>
  <c r="BO257" i="1"/>
  <c r="BN257" i="1"/>
  <c r="BM257" i="1"/>
  <c r="BL257" i="1"/>
  <c r="BK257" i="1"/>
  <c r="BJ257" i="1"/>
  <c r="BI257" i="1"/>
  <c r="BH257" i="1"/>
  <c r="BG257" i="1"/>
  <c r="BF257" i="1"/>
  <c r="BE257" i="1"/>
  <c r="BD257" i="1"/>
  <c r="BC257" i="1"/>
  <c r="BB257" i="1"/>
  <c r="BA257" i="1"/>
  <c r="AZ257" i="1"/>
  <c r="AY257" i="1"/>
  <c r="AX257" i="1"/>
  <c r="AW257" i="1"/>
  <c r="AV257" i="1"/>
  <c r="AU257" i="1"/>
  <c r="AT257" i="1"/>
  <c r="AS257" i="1"/>
  <c r="AR257" i="1"/>
  <c r="AQ257" i="1"/>
  <c r="AP257" i="1"/>
  <c r="AO257" i="1"/>
  <c r="AN257" i="1"/>
  <c r="BZ185" i="1"/>
  <c r="BY185" i="1"/>
  <c r="BX185" i="1"/>
  <c r="BW185" i="1"/>
  <c r="BV185" i="1"/>
  <c r="BU185" i="1"/>
  <c r="BT185" i="1"/>
  <c r="BS185" i="1"/>
  <c r="BR185" i="1"/>
  <c r="BQ185" i="1"/>
  <c r="BP185" i="1"/>
  <c r="BO185" i="1"/>
  <c r="BN185" i="1"/>
  <c r="BM185" i="1"/>
  <c r="BL185" i="1"/>
  <c r="BK185" i="1"/>
  <c r="BJ185" i="1"/>
  <c r="BI185" i="1"/>
  <c r="BH185" i="1"/>
  <c r="BG185" i="1"/>
  <c r="BF185" i="1"/>
  <c r="BE185" i="1"/>
  <c r="BD185" i="1"/>
  <c r="BC185" i="1"/>
  <c r="BB185" i="1"/>
  <c r="BA185" i="1"/>
  <c r="AZ185" i="1"/>
  <c r="AY185" i="1"/>
  <c r="AX185" i="1"/>
  <c r="AW185" i="1"/>
  <c r="AV185" i="1"/>
  <c r="AU185" i="1"/>
  <c r="AT185" i="1"/>
  <c r="AS185" i="1"/>
  <c r="AQ185" i="1"/>
  <c r="AP185" i="1"/>
  <c r="AO185" i="1"/>
  <c r="AN185" i="1"/>
  <c r="BZ160" i="1"/>
  <c r="BY160" i="1"/>
  <c r="BX160" i="1"/>
  <c r="BW160" i="1"/>
  <c r="BV160" i="1"/>
  <c r="BU160" i="1"/>
  <c r="BT160" i="1"/>
  <c r="BS160" i="1"/>
  <c r="BR160" i="1"/>
  <c r="BQ160" i="1"/>
  <c r="BP160" i="1"/>
  <c r="BO160" i="1"/>
  <c r="BN160" i="1"/>
  <c r="BM160" i="1"/>
  <c r="BL160" i="1"/>
  <c r="BK160" i="1"/>
  <c r="BJ160" i="1"/>
  <c r="BI160" i="1"/>
  <c r="BH160" i="1"/>
  <c r="BG160" i="1"/>
  <c r="BF160" i="1"/>
  <c r="BE160" i="1"/>
  <c r="BD160" i="1"/>
  <c r="BC160" i="1"/>
  <c r="BB160" i="1"/>
  <c r="BA160" i="1"/>
  <c r="AZ160" i="1"/>
  <c r="AY160" i="1"/>
  <c r="AX160" i="1"/>
  <c r="AW160" i="1"/>
  <c r="AV160" i="1"/>
  <c r="AU160" i="1"/>
  <c r="AT160" i="1"/>
  <c r="AS160" i="1"/>
  <c r="AR160" i="1"/>
  <c r="AQ160" i="1"/>
  <c r="AP160" i="1"/>
  <c r="AO160" i="1"/>
  <c r="AN160" i="1"/>
  <c r="BZ143" i="1"/>
  <c r="BY143" i="1"/>
  <c r="BX143" i="1"/>
  <c r="BW143" i="1"/>
  <c r="BV143" i="1"/>
  <c r="BU143" i="1"/>
  <c r="BT143" i="1"/>
  <c r="BS143" i="1"/>
  <c r="BR143" i="1"/>
  <c r="BQ143" i="1"/>
  <c r="BP143" i="1"/>
  <c r="BO143" i="1"/>
  <c r="BN143" i="1"/>
  <c r="BM143" i="1"/>
  <c r="BL143" i="1"/>
  <c r="BK143" i="1"/>
  <c r="BJ143" i="1"/>
  <c r="BI143" i="1"/>
  <c r="BH143" i="1"/>
  <c r="BG143" i="1"/>
  <c r="BF143" i="1"/>
  <c r="BE143" i="1"/>
  <c r="BD143" i="1"/>
  <c r="BC143" i="1"/>
  <c r="BB143" i="1"/>
  <c r="BA143" i="1"/>
  <c r="AZ143" i="1"/>
  <c r="AY143" i="1"/>
  <c r="AX143" i="1"/>
  <c r="AW143" i="1"/>
  <c r="AV143" i="1"/>
  <c r="AU143" i="1"/>
  <c r="AT143" i="1"/>
  <c r="AS143" i="1"/>
  <c r="AR143" i="1"/>
  <c r="AQ143" i="1"/>
  <c r="AP143" i="1"/>
  <c r="BZ38" i="1"/>
  <c r="BY38" i="1"/>
  <c r="BX38" i="1"/>
  <c r="BW38" i="1"/>
  <c r="BV38" i="1"/>
  <c r="BU38" i="1"/>
  <c r="BT38" i="1"/>
  <c r="BS38" i="1"/>
  <c r="BR38" i="1"/>
  <c r="BQ38" i="1"/>
  <c r="BP38" i="1"/>
  <c r="BO38" i="1"/>
  <c r="BN38" i="1"/>
  <c r="BM38" i="1"/>
  <c r="BL38" i="1"/>
  <c r="BK38" i="1"/>
  <c r="BJ38" i="1"/>
  <c r="BI38" i="1"/>
  <c r="BH38" i="1"/>
  <c r="BG38" i="1"/>
  <c r="BF38" i="1"/>
  <c r="BD38" i="1"/>
  <c r="BC38" i="1"/>
  <c r="BB38" i="1"/>
  <c r="BA38" i="1"/>
  <c r="AY38" i="1"/>
  <c r="AX38" i="1"/>
  <c r="AW38" i="1"/>
  <c r="AV38" i="1"/>
  <c r="AU38" i="1"/>
  <c r="AR38" i="1"/>
  <c r="AQ38" i="1"/>
  <c r="AO38" i="1"/>
  <c r="BZ26" i="1"/>
  <c r="BY26" i="1"/>
  <c r="BX26" i="1"/>
  <c r="BW26" i="1"/>
  <c r="BV26" i="1"/>
  <c r="BU26" i="1"/>
  <c r="BT26" i="1"/>
  <c r="BS26" i="1"/>
  <c r="BR26" i="1"/>
  <c r="BQ26" i="1"/>
  <c r="BP26" i="1"/>
  <c r="BO26" i="1"/>
  <c r="BN26" i="1"/>
  <c r="BM26" i="1"/>
  <c r="BL26" i="1"/>
  <c r="BK26" i="1"/>
  <c r="BJ26" i="1"/>
  <c r="BI26" i="1"/>
  <c r="BH26" i="1"/>
  <c r="BG26" i="1"/>
  <c r="BF26" i="1"/>
  <c r="BE26" i="1"/>
  <c r="BD26" i="1"/>
  <c r="BC26" i="1"/>
  <c r="BB26" i="1"/>
  <c r="BA26" i="1"/>
  <c r="AZ26" i="1"/>
  <c r="AY26" i="1"/>
  <c r="AX26" i="1"/>
  <c r="AW26" i="1"/>
  <c r="AV26" i="1"/>
  <c r="AU26" i="1"/>
  <c r="AT26" i="1"/>
  <c r="AS26" i="1"/>
  <c r="AR26" i="1"/>
  <c r="AQ26" i="1"/>
  <c r="AP26" i="1"/>
  <c r="AO26" i="1"/>
  <c r="S163" i="1"/>
  <c r="W163" i="1" s="1"/>
  <c r="S164" i="1"/>
  <c r="W164" i="1" s="1"/>
  <c r="S165" i="1"/>
  <c r="W165" i="1" s="1"/>
  <c r="S166" i="1"/>
  <c r="W166" i="1" s="1"/>
  <c r="S167" i="1"/>
  <c r="W167" i="1" s="1"/>
  <c r="S168" i="1"/>
  <c r="W168" i="1" s="1"/>
  <c r="S169" i="1"/>
  <c r="W169" i="1" s="1"/>
  <c r="S170" i="1"/>
  <c r="W170" i="1" s="1"/>
  <c r="S171" i="1"/>
  <c r="W171" i="1" s="1"/>
  <c r="S172" i="1"/>
  <c r="W172" i="1" s="1"/>
  <c r="S173" i="1"/>
  <c r="W173" i="1" s="1"/>
  <c r="S174" i="1"/>
  <c r="W174" i="1" s="1"/>
  <c r="S175" i="1"/>
  <c r="W175" i="1" s="1"/>
  <c r="S176" i="1"/>
  <c r="W176" i="1" s="1"/>
  <c r="S177" i="1"/>
  <c r="W177" i="1" s="1"/>
  <c r="S178" i="1"/>
  <c r="W178" i="1" s="1"/>
  <c r="S179" i="1"/>
  <c r="W179" i="1" s="1"/>
  <c r="S180" i="1"/>
  <c r="W180" i="1" s="1"/>
  <c r="S181" i="1"/>
  <c r="W181" i="1" s="1"/>
  <c r="S182" i="1"/>
  <c r="W182" i="1" s="1"/>
  <c r="S183" i="1"/>
  <c r="W183" i="1" s="1"/>
  <c r="S184" i="1"/>
  <c r="W184" i="1" s="1"/>
  <c r="AN143" i="1"/>
  <c r="S13" i="1"/>
  <c r="Y38" i="1"/>
  <c r="Z38" i="1"/>
  <c r="P38" i="1"/>
  <c r="Q38" i="1"/>
  <c r="R38" i="1"/>
  <c r="CL13" i="1" l="1"/>
  <c r="CA26" i="1"/>
  <c r="BZ12" i="1"/>
  <c r="BK12" i="1"/>
  <c r="AQ12" i="1"/>
  <c r="BI12" i="1"/>
  <c r="BY12" i="1"/>
  <c r="BB12" i="1"/>
  <c r="BR12" i="1"/>
  <c r="BJ12" i="1"/>
  <c r="BL12" i="1"/>
  <c r="AW12" i="1"/>
  <c r="BM12" i="1"/>
  <c r="BN12" i="1"/>
  <c r="AY12" i="1"/>
  <c r="AV12" i="1"/>
  <c r="AX12" i="1"/>
  <c r="BO12" i="1"/>
  <c r="BP12" i="1"/>
  <c r="AU12" i="1"/>
  <c r="BQ12" i="1"/>
  <c r="BC12" i="1"/>
  <c r="BD12" i="1"/>
  <c r="BT12" i="1"/>
  <c r="BA12" i="1"/>
  <c r="BS12" i="1"/>
  <c r="BU12" i="1"/>
  <c r="BV12" i="1"/>
  <c r="BF12" i="1"/>
  <c r="BG12" i="1"/>
  <c r="BW12" i="1"/>
  <c r="AR12" i="1"/>
  <c r="BH12" i="1"/>
  <c r="BX12" i="1"/>
  <c r="CA185" i="1"/>
  <c r="CA279" i="1"/>
  <c r="CL279" i="1" s="1"/>
  <c r="CA257" i="1"/>
  <c r="CA160" i="1"/>
  <c r="CB276" i="1"/>
  <c r="CC276" i="1" s="1"/>
  <c r="S38" i="1"/>
  <c r="W38" i="1" s="1"/>
  <c r="I13" i="1"/>
  <c r="I160" i="1"/>
  <c r="I143" i="1"/>
  <c r="AH104" i="1"/>
  <c r="AH105" i="1"/>
  <c r="AH106" i="1"/>
  <c r="AH107" i="1"/>
  <c r="AH108" i="1"/>
  <c r="AH109" i="1"/>
  <c r="AH110" i="1"/>
  <c r="AH111" i="1"/>
  <c r="AH117" i="1"/>
  <c r="AH118" i="1"/>
  <c r="AH119" i="1"/>
  <c r="AH120" i="1"/>
  <c r="AH121" i="1"/>
  <c r="AH122" i="1"/>
  <c r="AH123" i="1"/>
  <c r="AH124" i="1"/>
  <c r="AH125" i="1"/>
  <c r="AH126" i="1"/>
  <c r="AH127" i="1"/>
  <c r="AH128" i="1"/>
  <c r="AH129" i="1"/>
  <c r="AH130" i="1"/>
  <c r="AH131" i="1"/>
  <c r="AH132" i="1"/>
  <c r="AH135" i="1"/>
  <c r="AH136" i="1"/>
  <c r="AH137" i="1"/>
  <c r="AH138" i="1"/>
  <c r="AH139" i="1"/>
  <c r="AH140" i="1"/>
  <c r="AH141" i="1"/>
  <c r="S54" i="1"/>
  <c r="W54" i="1" s="1"/>
  <c r="AH66" i="1"/>
  <c r="AH55" i="1"/>
  <c r="S55" i="1"/>
  <c r="W55" i="1" s="1"/>
  <c r="S65" i="1"/>
  <c r="W65" i="1" s="1"/>
  <c r="S66" i="1"/>
  <c r="W66" i="1" s="1"/>
  <c r="S69" i="1"/>
  <c r="W69" i="1" s="1"/>
  <c r="S70" i="1"/>
  <c r="W70" i="1" s="1"/>
  <c r="S71" i="1"/>
  <c r="W71" i="1" s="1"/>
  <c r="S73" i="1"/>
  <c r="W73" i="1" s="1"/>
  <c r="S74" i="1"/>
  <c r="W74" i="1" s="1"/>
  <c r="S75" i="1"/>
  <c r="W75" i="1" s="1"/>
  <c r="AH312" i="1"/>
  <c r="O372" i="1"/>
  <c r="CL372" i="1" s="1"/>
  <c r="O376" i="1"/>
  <c r="CL376" i="1" s="1"/>
  <c r="Y285" i="1"/>
  <c r="AH310" i="1"/>
  <c r="AJ17" i="1"/>
  <c r="AJ19" i="1"/>
  <c r="AJ20" i="1"/>
  <c r="AJ22" i="1"/>
  <c r="AH27" i="1"/>
  <c r="AH28" i="1"/>
  <c r="AH30" i="1"/>
  <c r="AH31" i="1"/>
  <c r="AH32" i="1"/>
  <c r="AH33" i="1"/>
  <c r="AH34" i="1"/>
  <c r="AH35" i="1"/>
  <c r="AH36" i="1"/>
  <c r="S39" i="1"/>
  <c r="W39" i="1" s="1"/>
  <c r="S15" i="1"/>
  <c r="W15" i="1" s="1"/>
  <c r="S16" i="1"/>
  <c r="W16" i="1" s="1"/>
  <c r="AH40" i="1"/>
  <c r="AJ40" i="1"/>
  <c r="S42" i="1"/>
  <c r="W42" i="1" s="1"/>
  <c r="S40" i="1"/>
  <c r="W40" i="1" s="1"/>
  <c r="CB40" i="1"/>
  <c r="CC40" i="1" s="1"/>
  <c r="L26" i="1"/>
  <c r="L12" i="1" s="1"/>
  <c r="M26" i="1"/>
  <c r="M12" i="1" s="1"/>
  <c r="N26" i="1"/>
  <c r="N12" i="1" s="1"/>
  <c r="O287" i="1"/>
  <c r="P26" i="1"/>
  <c r="P12" i="1" s="1"/>
  <c r="Q26" i="1"/>
  <c r="Q12" i="1" s="1"/>
  <c r="R26" i="1"/>
  <c r="R12" i="1" s="1"/>
  <c r="S14" i="1"/>
  <c r="W17" i="1"/>
  <c r="S18" i="1"/>
  <c r="W18" i="1" s="1"/>
  <c r="S19" i="1"/>
  <c r="W19" i="1" s="1"/>
  <c r="S20" i="1"/>
  <c r="W20" i="1" s="1"/>
  <c r="S22" i="1"/>
  <c r="W22" i="1" s="1"/>
  <c r="S23" i="1"/>
  <c r="W23" i="1" s="1"/>
  <c r="S27" i="1"/>
  <c r="W27" i="1" s="1"/>
  <c r="S28" i="1"/>
  <c r="W28" i="1" s="1"/>
  <c r="S30" i="1"/>
  <c r="W30" i="1" s="1"/>
  <c r="S31" i="1"/>
  <c r="W31" i="1" s="1"/>
  <c r="S32" i="1"/>
  <c r="W32" i="1" s="1"/>
  <c r="S33" i="1"/>
  <c r="W33" i="1" s="1"/>
  <c r="S34" i="1"/>
  <c r="W34" i="1" s="1"/>
  <c r="S35" i="1"/>
  <c r="W35" i="1" s="1"/>
  <c r="S36" i="1"/>
  <c r="W36" i="1" s="1"/>
  <c r="S37" i="1"/>
  <c r="W37" i="1" s="1"/>
  <c r="S186" i="1"/>
  <c r="S187" i="1"/>
  <c r="S188" i="1"/>
  <c r="W188" i="1" s="1"/>
  <c r="S189" i="1"/>
  <c r="W189" i="1" s="1"/>
  <c r="S190" i="1"/>
  <c r="W190" i="1" s="1"/>
  <c r="S191" i="1"/>
  <c r="W191" i="1" s="1"/>
  <c r="S192" i="1"/>
  <c r="W192" i="1" s="1"/>
  <c r="S193" i="1"/>
  <c r="W193" i="1" s="1"/>
  <c r="S194" i="1"/>
  <c r="W194" i="1" s="1"/>
  <c r="S195" i="1"/>
  <c r="W195" i="1" s="1"/>
  <c r="S196" i="1"/>
  <c r="W196" i="1" s="1"/>
  <c r="S197" i="1"/>
  <c r="W197" i="1" s="1"/>
  <c r="S198" i="1"/>
  <c r="W198" i="1" s="1"/>
  <c r="S199" i="1"/>
  <c r="W199" i="1" s="1"/>
  <c r="S200" i="1"/>
  <c r="W200" i="1" s="1"/>
  <c r="S201" i="1"/>
  <c r="W201" i="1" s="1"/>
  <c r="S203" i="1"/>
  <c r="W203" i="1" s="1"/>
  <c r="S204" i="1"/>
  <c r="W204" i="1" s="1"/>
  <c r="S205" i="1"/>
  <c r="W205" i="1" s="1"/>
  <c r="S206" i="1"/>
  <c r="W206" i="1" s="1"/>
  <c r="S207" i="1"/>
  <c r="W207" i="1" s="1"/>
  <c r="S208" i="1"/>
  <c r="W208" i="1" s="1"/>
  <c r="S209" i="1"/>
  <c r="W209" i="1" s="1"/>
  <c r="S210" i="1"/>
  <c r="W210" i="1" s="1"/>
  <c r="S211" i="1"/>
  <c r="W211" i="1" s="1"/>
  <c r="S212" i="1"/>
  <c r="W212" i="1" s="1"/>
  <c r="S213" i="1"/>
  <c r="W213" i="1" s="1"/>
  <c r="S214" i="1"/>
  <c r="W214" i="1" s="1"/>
  <c r="S215" i="1"/>
  <c r="W215" i="1" s="1"/>
  <c r="S216" i="1"/>
  <c r="W216" i="1" s="1"/>
  <c r="S217" i="1"/>
  <c r="W217" i="1" s="1"/>
  <c r="S218" i="1"/>
  <c r="W218" i="1" s="1"/>
  <c r="S219" i="1"/>
  <c r="W219" i="1" s="1"/>
  <c r="S220" i="1"/>
  <c r="W220" i="1" s="1"/>
  <c r="S221" i="1"/>
  <c r="W221" i="1" s="1"/>
  <c r="S222" i="1"/>
  <c r="W222" i="1" s="1"/>
  <c r="S223" i="1"/>
  <c r="W223" i="1" s="1"/>
  <c r="S224" i="1"/>
  <c r="W224" i="1" s="1"/>
  <c r="S225" i="1"/>
  <c r="W225" i="1" s="1"/>
  <c r="S226" i="1"/>
  <c r="W226" i="1" s="1"/>
  <c r="S227" i="1"/>
  <c r="W227" i="1" s="1"/>
  <c r="S228" i="1"/>
  <c r="W228" i="1" s="1"/>
  <c r="S229" i="1"/>
  <c r="W229" i="1" s="1"/>
  <c r="S230" i="1"/>
  <c r="W230" i="1" s="1"/>
  <c r="S231" i="1"/>
  <c r="W231" i="1" s="1"/>
  <c r="S232" i="1"/>
  <c r="W232" i="1" s="1"/>
  <c r="S233" i="1"/>
  <c r="W233" i="1" s="1"/>
  <c r="S234" i="1"/>
  <c r="W234" i="1" s="1"/>
  <c r="S235" i="1"/>
  <c r="W235" i="1" s="1"/>
  <c r="S236" i="1"/>
  <c r="W236" i="1" s="1"/>
  <c r="S237" i="1"/>
  <c r="W237" i="1" s="1"/>
  <c r="S238" i="1"/>
  <c r="W238" i="1" s="1"/>
  <c r="S239" i="1"/>
  <c r="W239" i="1" s="1"/>
  <c r="S240" i="1"/>
  <c r="W240" i="1" s="1"/>
  <c r="S241" i="1"/>
  <c r="W241" i="1" s="1"/>
  <c r="S242" i="1"/>
  <c r="W242" i="1" s="1"/>
  <c r="S243" i="1"/>
  <c r="W243" i="1" s="1"/>
  <c r="S244" i="1"/>
  <c r="W244" i="1" s="1"/>
  <c r="S245" i="1"/>
  <c r="W245" i="1" s="1"/>
  <c r="S246" i="1"/>
  <c r="W246" i="1" s="1"/>
  <c r="S247" i="1"/>
  <c r="W247" i="1" s="1"/>
  <c r="S248" i="1"/>
  <c r="W248" i="1" s="1"/>
  <c r="S249" i="1"/>
  <c r="W249" i="1" s="1"/>
  <c r="S250" i="1"/>
  <c r="W250" i="1" s="1"/>
  <c r="S251" i="1"/>
  <c r="W251" i="1" s="1"/>
  <c r="S252" i="1"/>
  <c r="W252" i="1" s="1"/>
  <c r="S254" i="1"/>
  <c r="W254" i="1" s="1"/>
  <c r="S255" i="1"/>
  <c r="W255" i="1" s="1"/>
  <c r="S256" i="1"/>
  <c r="W256" i="1" s="1"/>
  <c r="S258" i="1"/>
  <c r="S259" i="1"/>
  <c r="W259" i="1" s="1"/>
  <c r="S260" i="1"/>
  <c r="W260" i="1" s="1"/>
  <c r="S261" i="1"/>
  <c r="W261" i="1" s="1"/>
  <c r="S262" i="1"/>
  <c r="W262" i="1" s="1"/>
  <c r="S263" i="1"/>
  <c r="W263" i="1" s="1"/>
  <c r="S264" i="1"/>
  <c r="W264" i="1" s="1"/>
  <c r="S265" i="1"/>
  <c r="W265" i="1" s="1"/>
  <c r="S266" i="1"/>
  <c r="W266" i="1" s="1"/>
  <c r="S267" i="1"/>
  <c r="W267" i="1" s="1"/>
  <c r="S268" i="1"/>
  <c r="W268" i="1" s="1"/>
  <c r="S269" i="1"/>
  <c r="W269" i="1" s="1"/>
  <c r="S270" i="1"/>
  <c r="W270" i="1" s="1"/>
  <c r="S271" i="1"/>
  <c r="W271" i="1" s="1"/>
  <c r="S272" i="1"/>
  <c r="W272" i="1" s="1"/>
  <c r="S274" i="1"/>
  <c r="W274" i="1" s="1"/>
  <c r="S275" i="1"/>
  <c r="W275" i="1" s="1"/>
  <c r="S144" i="1"/>
  <c r="S161" i="1"/>
  <c r="S162" i="1"/>
  <c r="W162" i="1" s="1"/>
  <c r="S282" i="1"/>
  <c r="W282" i="1" s="1"/>
  <c r="AN286" i="1"/>
  <c r="Y26" i="1"/>
  <c r="Z26" i="1"/>
  <c r="AA26" i="1"/>
  <c r="CB186" i="1"/>
  <c r="CD211" i="1"/>
  <c r="CE211" i="1" s="1"/>
  <c r="CF211" i="1" s="1"/>
  <c r="CD213" i="1"/>
  <c r="CE213" i="1" s="1"/>
  <c r="CD231" i="1"/>
  <c r="CE231" i="1" s="1"/>
  <c r="CF231" i="1" s="1"/>
  <c r="CD232" i="1"/>
  <c r="AB145" i="1"/>
  <c r="AB147" i="1"/>
  <c r="AB148" i="1"/>
  <c r="AB149" i="1"/>
  <c r="AB150" i="1"/>
  <c r="AB152" i="1"/>
  <c r="AB154" i="1"/>
  <c r="AB155" i="1"/>
  <c r="AB156" i="1"/>
  <c r="CM156" i="1" s="1"/>
  <c r="AB158" i="1"/>
  <c r="CM158" i="1" s="1"/>
  <c r="AB159" i="1"/>
  <c r="CM159" i="1" s="1"/>
  <c r="I26" i="1"/>
  <c r="S56" i="1"/>
  <c r="W56" i="1" s="1"/>
  <c r="S62" i="1"/>
  <c r="W62" i="1" s="1"/>
  <c r="S63" i="1"/>
  <c r="W63" i="1" s="1"/>
  <c r="S64" i="1"/>
  <c r="W64" i="1" s="1"/>
  <c r="S76" i="1"/>
  <c r="W76" i="1" s="1"/>
  <c r="S79" i="1"/>
  <c r="W79" i="1" s="1"/>
  <c r="S80" i="1"/>
  <c r="W80" i="1" s="1"/>
  <c r="S81" i="1"/>
  <c r="W81" i="1" s="1"/>
  <c r="S82" i="1"/>
  <c r="W82" i="1" s="1"/>
  <c r="S83" i="1"/>
  <c r="W83" i="1" s="1"/>
  <c r="S84" i="1"/>
  <c r="W84" i="1" s="1"/>
  <c r="S85" i="1"/>
  <c r="W85" i="1" s="1"/>
  <c r="S86" i="1"/>
  <c r="W86" i="1" s="1"/>
  <c r="S87" i="1"/>
  <c r="W87" i="1" s="1"/>
  <c r="S88" i="1"/>
  <c r="W88" i="1" s="1"/>
  <c r="S89" i="1"/>
  <c r="W89" i="1" s="1"/>
  <c r="S90" i="1"/>
  <c r="W90" i="1" s="1"/>
  <c r="S91" i="1"/>
  <c r="S92" i="1"/>
  <c r="W92" i="1" s="1"/>
  <c r="S93" i="1"/>
  <c r="S94" i="1"/>
  <c r="W94" i="1" s="1"/>
  <c r="S95" i="1"/>
  <c r="S96" i="1"/>
  <c r="S97" i="1"/>
  <c r="W97" i="1" s="1"/>
  <c r="S98" i="1"/>
  <c r="W98" i="1" s="1"/>
  <c r="S99" i="1"/>
  <c r="W99" i="1" s="1"/>
  <c r="S100" i="1"/>
  <c r="W100" i="1" s="1"/>
  <c r="S101" i="1"/>
  <c r="W101" i="1" s="1"/>
  <c r="S102" i="1"/>
  <c r="W102" i="1" s="1"/>
  <c r="S103" i="1"/>
  <c r="W103" i="1" s="1"/>
  <c r="S104" i="1"/>
  <c r="W104" i="1" s="1"/>
  <c r="S105" i="1"/>
  <c r="W105" i="1" s="1"/>
  <c r="S106" i="1"/>
  <c r="W106" i="1" s="1"/>
  <c r="S107" i="1"/>
  <c r="W107" i="1" s="1"/>
  <c r="S108" i="1"/>
  <c r="W108" i="1" s="1"/>
  <c r="S109" i="1"/>
  <c r="W109" i="1" s="1"/>
  <c r="S110" i="1"/>
  <c r="W110" i="1" s="1"/>
  <c r="S111" i="1"/>
  <c r="W111" i="1" s="1"/>
  <c r="S117" i="1"/>
  <c r="W117" i="1" s="1"/>
  <c r="S118" i="1"/>
  <c r="W118" i="1" s="1"/>
  <c r="S119" i="1"/>
  <c r="W119" i="1" s="1"/>
  <c r="S120" i="1"/>
  <c r="W120" i="1" s="1"/>
  <c r="S121" i="1"/>
  <c r="W121" i="1" s="1"/>
  <c r="S122" i="1"/>
  <c r="W122" i="1" s="1"/>
  <c r="S123" i="1"/>
  <c r="W123" i="1" s="1"/>
  <c r="S124" i="1"/>
  <c r="W124" i="1" s="1"/>
  <c r="S125" i="1"/>
  <c r="W125" i="1" s="1"/>
  <c r="S126" i="1"/>
  <c r="W126" i="1" s="1"/>
  <c r="S127" i="1"/>
  <c r="S128" i="1"/>
  <c r="W128" i="1" s="1"/>
  <c r="S129" i="1"/>
  <c r="W129" i="1" s="1"/>
  <c r="S130" i="1"/>
  <c r="W130" i="1" s="1"/>
  <c r="S131" i="1"/>
  <c r="W131" i="1" s="1"/>
  <c r="S132" i="1"/>
  <c r="S136" i="1"/>
  <c r="W136" i="1" s="1"/>
  <c r="S137" i="1"/>
  <c r="W137" i="1" s="1"/>
  <c r="S138" i="1"/>
  <c r="W138" i="1" s="1"/>
  <c r="S139" i="1"/>
  <c r="W139" i="1" s="1"/>
  <c r="S140" i="1"/>
  <c r="W140" i="1" s="1"/>
  <c r="S141" i="1"/>
  <c r="W141" i="1" s="1"/>
  <c r="AH15" i="1"/>
  <c r="AH17" i="1"/>
  <c r="AH18" i="1"/>
  <c r="AH19" i="1"/>
  <c r="AH20" i="1"/>
  <c r="AH22" i="1"/>
  <c r="AH23" i="1"/>
  <c r="AH25" i="1"/>
  <c r="AH16" i="1"/>
  <c r="AB454" i="1"/>
  <c r="CM454" i="1" s="1"/>
  <c r="CA455" i="1"/>
  <c r="AB455" i="1"/>
  <c r="Z455" i="1" s="1"/>
  <c r="CA456" i="1"/>
  <c r="AB456" i="1"/>
  <c r="Z456" i="1" s="1"/>
  <c r="CA457" i="1"/>
  <c r="AB457" i="1"/>
  <c r="Z457" i="1" s="1"/>
  <c r="CA458" i="1"/>
  <c r="AI458" i="1"/>
  <c r="AB458" i="1"/>
  <c r="AJ458" i="1" s="1"/>
  <c r="CA459" i="1"/>
  <c r="AI459" i="1"/>
  <c r="AB459" i="1"/>
  <c r="AJ459" i="1" s="1"/>
  <c r="CA460" i="1"/>
  <c r="CA461" i="1"/>
  <c r="AI461" i="1"/>
  <c r="AB461" i="1"/>
  <c r="CA462" i="1"/>
  <c r="AI462" i="1"/>
  <c r="AB462" i="1"/>
  <c r="AJ462" i="1" s="1"/>
  <c r="DP407" i="1"/>
  <c r="AP425" i="1"/>
  <c r="AQ425" i="1"/>
  <c r="AS425" i="1"/>
  <c r="AT425" i="1"/>
  <c r="AU425" i="1"/>
  <c r="AW425" i="1"/>
  <c r="AX425" i="1"/>
  <c r="AY425" i="1"/>
  <c r="AZ425" i="1"/>
  <c r="BA425" i="1"/>
  <c r="BB425" i="1"/>
  <c r="BC425" i="1"/>
  <c r="BD425" i="1"/>
  <c r="BE288" i="1"/>
  <c r="BE425" i="1"/>
  <c r="BF425" i="1"/>
  <c r="BG425" i="1"/>
  <c r="BH425" i="1"/>
  <c r="BI425" i="1"/>
  <c r="BJ425" i="1"/>
  <c r="BK425" i="1"/>
  <c r="BL425" i="1"/>
  <c r="BM425" i="1"/>
  <c r="BN425" i="1"/>
  <c r="BO286" i="1"/>
  <c r="BQ425" i="1"/>
  <c r="BR425" i="1"/>
  <c r="BS425" i="1"/>
  <c r="BT425" i="1"/>
  <c r="BU425" i="1"/>
  <c r="BV425" i="1"/>
  <c r="BY425" i="1"/>
  <c r="BZ425" i="1"/>
  <c r="AH446" i="1"/>
  <c r="BY476" i="1"/>
  <c r="BZ476" i="1"/>
  <c r="AB290" i="1"/>
  <c r="CM290" i="1" s="1"/>
  <c r="AJ370" i="1"/>
  <c r="AB405" i="1"/>
  <c r="CM405" i="1" s="1"/>
  <c r="AJ417" i="1"/>
  <c r="O290" i="1"/>
  <c r="CL290" i="1" s="1"/>
  <c r="O291" i="1"/>
  <c r="CL291" i="1" s="1"/>
  <c r="O292" i="1"/>
  <c r="CL292" i="1" s="1"/>
  <c r="O293" i="1"/>
  <c r="CL293" i="1" s="1"/>
  <c r="O294" i="1"/>
  <c r="CL294" i="1" s="1"/>
  <c r="O295" i="1"/>
  <c r="CL295" i="1" s="1"/>
  <c r="O304" i="1"/>
  <c r="CL304" i="1" s="1"/>
  <c r="O314" i="1"/>
  <c r="CL314" i="1" s="1"/>
  <c r="O315" i="1"/>
  <c r="CL315" i="1" s="1"/>
  <c r="O319" i="1"/>
  <c r="CL319" i="1" s="1"/>
  <c r="O321" i="1"/>
  <c r="CL321" i="1" s="1"/>
  <c r="O323" i="1"/>
  <c r="CL323" i="1" s="1"/>
  <c r="O324" i="1"/>
  <c r="CL324" i="1" s="1"/>
  <c r="O325" i="1"/>
  <c r="CL325" i="1" s="1"/>
  <c r="O326" i="1"/>
  <c r="CL326" i="1" s="1"/>
  <c r="O328" i="1"/>
  <c r="CL328" i="1" s="1"/>
  <c r="O331" i="1"/>
  <c r="CL331" i="1" s="1"/>
  <c r="O335" i="1"/>
  <c r="CL335" i="1" s="1"/>
  <c r="O336" i="1"/>
  <c r="CL336" i="1" s="1"/>
  <c r="O337" i="1"/>
  <c r="CL337" i="1" s="1"/>
  <c r="O340" i="1"/>
  <c r="CL340" i="1" s="1"/>
  <c r="O341" i="1"/>
  <c r="CL341" i="1" s="1"/>
  <c r="O342" i="1"/>
  <c r="CL342" i="1" s="1"/>
  <c r="O343" i="1"/>
  <c r="CL343" i="1" s="1"/>
  <c r="O346" i="1"/>
  <c r="CL346" i="1" s="1"/>
  <c r="O347" i="1"/>
  <c r="CL347" i="1" s="1"/>
  <c r="O348" i="1"/>
  <c r="CL348" i="1" s="1"/>
  <c r="O349" i="1"/>
  <c r="CL349" i="1" s="1"/>
  <c r="O350" i="1"/>
  <c r="CL350" i="1" s="1"/>
  <c r="O351" i="1"/>
  <c r="CL351" i="1" s="1"/>
  <c r="O354" i="1"/>
  <c r="CL354" i="1" s="1"/>
  <c r="O356" i="1"/>
  <c r="CL356" i="1" s="1"/>
  <c r="O357" i="1"/>
  <c r="CL357" i="1" s="1"/>
  <c r="O359" i="1"/>
  <c r="CL359" i="1" s="1"/>
  <c r="O361" i="1"/>
  <c r="CL361" i="1" s="1"/>
  <c r="O363" i="1"/>
  <c r="CL363" i="1" s="1"/>
  <c r="O364" i="1"/>
  <c r="CL364" i="1" s="1"/>
  <c r="O365" i="1"/>
  <c r="CL365" i="1" s="1"/>
  <c r="O366" i="1"/>
  <c r="CL366" i="1" s="1"/>
  <c r="O367" i="1"/>
  <c r="CL367" i="1" s="1"/>
  <c r="O368" i="1"/>
  <c r="CL368" i="1" s="1"/>
  <c r="O369" i="1"/>
  <c r="CL369" i="1" s="1"/>
  <c r="O370" i="1"/>
  <c r="CL370" i="1" s="1"/>
  <c r="O373" i="1"/>
  <c r="CL373" i="1" s="1"/>
  <c r="O377" i="1"/>
  <c r="CL377" i="1" s="1"/>
  <c r="O388" i="1"/>
  <c r="CL388" i="1" s="1"/>
  <c r="O374" i="1"/>
  <c r="CL374" i="1" s="1"/>
  <c r="O389" i="1"/>
  <c r="CL389" i="1" s="1"/>
  <c r="O390" i="1"/>
  <c r="CL390" i="1" s="1"/>
  <c r="O391" i="1"/>
  <c r="CL391" i="1" s="1"/>
  <c r="O392" i="1"/>
  <c r="CL392" i="1" s="1"/>
  <c r="O395" i="1"/>
  <c r="CL395" i="1" s="1"/>
  <c r="O398" i="1"/>
  <c r="CL398" i="1" s="1"/>
  <c r="O399" i="1"/>
  <c r="CL399" i="1" s="1"/>
  <c r="O401" i="1"/>
  <c r="CL401" i="1" s="1"/>
  <c r="O402" i="1"/>
  <c r="CL402" i="1" s="1"/>
  <c r="O405" i="1"/>
  <c r="CL405" i="1" s="1"/>
  <c r="O406" i="1"/>
  <c r="CL406" i="1" s="1"/>
  <c r="O407" i="1"/>
  <c r="CL407" i="1" s="1"/>
  <c r="O410" i="1"/>
  <c r="CL410" i="1" s="1"/>
  <c r="O411" i="1"/>
  <c r="CL411" i="1" s="1"/>
  <c r="O412" i="1"/>
  <c r="CL412" i="1" s="1"/>
  <c r="O413" i="1"/>
  <c r="CL413" i="1" s="1"/>
  <c r="O414" i="1"/>
  <c r="CL414" i="1" s="1"/>
  <c r="O415" i="1"/>
  <c r="CL415" i="1" s="1"/>
  <c r="O417" i="1"/>
  <c r="CL417" i="1" s="1"/>
  <c r="O418" i="1"/>
  <c r="CL418" i="1" s="1"/>
  <c r="O419" i="1"/>
  <c r="CL419" i="1" s="1"/>
  <c r="O420" i="1"/>
  <c r="CL420" i="1" s="1"/>
  <c r="O421" i="1"/>
  <c r="CL421" i="1" s="1"/>
  <c r="O422" i="1"/>
  <c r="CL422" i="1" s="1"/>
  <c r="O434" i="1"/>
  <c r="CL434" i="1" s="1"/>
  <c r="O435" i="1"/>
  <c r="CL435" i="1" s="1"/>
  <c r="O436" i="1"/>
  <c r="CL436" i="1" s="1"/>
  <c r="O437" i="1"/>
  <c r="CL437" i="1" s="1"/>
  <c r="AO476" i="1"/>
  <c r="S49" i="1"/>
  <c r="W49" i="1" s="1"/>
  <c r="S50" i="1"/>
  <c r="W50" i="1" s="1"/>
  <c r="S44" i="1"/>
  <c r="W44" i="1" s="1"/>
  <c r="S45" i="1"/>
  <c r="W45" i="1" s="1"/>
  <c r="S46" i="1"/>
  <c r="W46" i="1" s="1"/>
  <c r="S47" i="1"/>
  <c r="W47" i="1" s="1"/>
  <c r="S48" i="1"/>
  <c r="W48" i="1" s="1"/>
  <c r="S52" i="1"/>
  <c r="W52" i="1" s="1"/>
  <c r="W427" i="1"/>
  <c r="I425" i="1"/>
  <c r="AI50" i="1"/>
  <c r="CM50" i="1" s="1"/>
  <c r="AI44" i="1"/>
  <c r="CM44" i="1" s="1"/>
  <c r="AI48" i="1"/>
  <c r="CM48" i="1" s="1"/>
  <c r="AI53" i="1"/>
  <c r="CM53" i="1" s="1"/>
  <c r="AI257" i="1"/>
  <c r="AI276" i="1"/>
  <c r="CM276" i="1" s="1"/>
  <c r="AI160" i="1"/>
  <c r="AJ160" i="1" s="1"/>
  <c r="AI288" i="1"/>
  <c r="AJ296" i="1"/>
  <c r="AH360" i="1"/>
  <c r="AH359" i="1"/>
  <c r="I439" i="1"/>
  <c r="AH290" i="1"/>
  <c r="AH292" i="1"/>
  <c r="AH293" i="1"/>
  <c r="AH294" i="1"/>
  <c r="AH295" i="1"/>
  <c r="AH296" i="1"/>
  <c r="AH304" i="1"/>
  <c r="AH308" i="1"/>
  <c r="AH309" i="1"/>
  <c r="AH314" i="1"/>
  <c r="AH315" i="1"/>
  <c r="AH316" i="1"/>
  <c r="AH319" i="1"/>
  <c r="AH321" i="1"/>
  <c r="AH323" i="1"/>
  <c r="AH324" i="1"/>
  <c r="AH325" i="1"/>
  <c r="AH326" i="1"/>
  <c r="AH336" i="1"/>
  <c r="AH337" i="1"/>
  <c r="AH340" i="1"/>
  <c r="AH341" i="1"/>
  <c r="AH376" i="1"/>
  <c r="AH342" i="1"/>
  <c r="AH343" i="1"/>
  <c r="AH346" i="1"/>
  <c r="AH347" i="1"/>
  <c r="AH348" i="1"/>
  <c r="AH349" i="1"/>
  <c r="AH350" i="1"/>
  <c r="AH351" i="1"/>
  <c r="AH354" i="1"/>
  <c r="AH356" i="1"/>
  <c r="AH357" i="1"/>
  <c r="AH361" i="1"/>
  <c r="AH363" i="1"/>
  <c r="AH364" i="1"/>
  <c r="AH365" i="1"/>
  <c r="AH366" i="1"/>
  <c r="AH367" i="1"/>
  <c r="AH368" i="1"/>
  <c r="AH369" i="1"/>
  <c r="AH370" i="1"/>
  <c r="AH371" i="1"/>
  <c r="AH373" i="1"/>
  <c r="AH380" i="1"/>
  <c r="AH377" i="1"/>
  <c r="AH378" i="1"/>
  <c r="AH383" i="1"/>
  <c r="AH384" i="1"/>
  <c r="AH388" i="1"/>
  <c r="AH374" i="1"/>
  <c r="AH389" i="1"/>
  <c r="AH390" i="1"/>
  <c r="AH391" i="1"/>
  <c r="AH392" i="1"/>
  <c r="AH395" i="1"/>
  <c r="AH398" i="1"/>
  <c r="AH399" i="1"/>
  <c r="AH401" i="1"/>
  <c r="AH402" i="1"/>
  <c r="AH405" i="1"/>
  <c r="AH406" i="1"/>
  <c r="AH407" i="1"/>
  <c r="AH410" i="1"/>
  <c r="AH411" i="1"/>
  <c r="AH412" i="1"/>
  <c r="AH413" i="1"/>
  <c r="AH414" i="1"/>
  <c r="AH415" i="1"/>
  <c r="AH417" i="1"/>
  <c r="AH418" i="1"/>
  <c r="AH419" i="1"/>
  <c r="AH420" i="1"/>
  <c r="AH421" i="1"/>
  <c r="O438" i="1"/>
  <c r="CL438" i="1" s="1"/>
  <c r="AH14" i="1"/>
  <c r="AH37" i="1"/>
  <c r="AH186" i="1"/>
  <c r="AH187" i="1"/>
  <c r="AH188" i="1"/>
  <c r="AH189" i="1"/>
  <c r="AH190" i="1"/>
  <c r="AH191" i="1"/>
  <c r="AH192" i="1"/>
  <c r="AH193" i="1"/>
  <c r="AH194" i="1"/>
  <c r="AH195" i="1"/>
  <c r="AH196" i="1"/>
  <c r="AH197" i="1"/>
  <c r="AH198" i="1"/>
  <c r="AH199" i="1"/>
  <c r="AH200" i="1"/>
  <c r="AH201" i="1"/>
  <c r="AH203" i="1"/>
  <c r="AH204" i="1"/>
  <c r="AH205" i="1"/>
  <c r="AH206" i="1"/>
  <c r="AH207" i="1"/>
  <c r="AH208" i="1"/>
  <c r="AH209" i="1"/>
  <c r="AH210" i="1"/>
  <c r="AH211" i="1"/>
  <c r="AH212" i="1"/>
  <c r="AH213" i="1"/>
  <c r="AH214" i="1"/>
  <c r="AH215" i="1"/>
  <c r="AH216" i="1"/>
  <c r="AH217" i="1"/>
  <c r="AH218" i="1"/>
  <c r="AH219" i="1"/>
  <c r="AH220" i="1"/>
  <c r="AH221" i="1"/>
  <c r="AH222" i="1"/>
  <c r="AH223"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4" i="1"/>
  <c r="AH255" i="1"/>
  <c r="AH256" i="1"/>
  <c r="AH258" i="1"/>
  <c r="AH259" i="1"/>
  <c r="AH260" i="1"/>
  <c r="AH261" i="1"/>
  <c r="AH262" i="1"/>
  <c r="AH263" i="1"/>
  <c r="AH264" i="1"/>
  <c r="AH265" i="1"/>
  <c r="AH266" i="1"/>
  <c r="AH267" i="1"/>
  <c r="AH268" i="1"/>
  <c r="AH269" i="1"/>
  <c r="AH270" i="1"/>
  <c r="AH271" i="1"/>
  <c r="AH272" i="1"/>
  <c r="AH275" i="1"/>
  <c r="AH277" i="1"/>
  <c r="AH276" i="1" s="1"/>
  <c r="AH144" i="1"/>
  <c r="AH145" i="1"/>
  <c r="AH147" i="1"/>
  <c r="AH148" i="1"/>
  <c r="AH149" i="1"/>
  <c r="AH150" i="1"/>
  <c r="AH154" i="1"/>
  <c r="AH155" i="1"/>
  <c r="AH156" i="1"/>
  <c r="AH158" i="1"/>
  <c r="AH159" i="1"/>
  <c r="AH160" i="1"/>
  <c r="AH161" i="1"/>
  <c r="AH162" i="1"/>
  <c r="AH279" i="1"/>
  <c r="AH44" i="1"/>
  <c r="AH45" i="1"/>
  <c r="AH46" i="1"/>
  <c r="AH47" i="1"/>
  <c r="AH48" i="1"/>
  <c r="AH49" i="1"/>
  <c r="AH50" i="1"/>
  <c r="AH52" i="1"/>
  <c r="AH53" i="1"/>
  <c r="AH54" i="1"/>
  <c r="AH56" i="1"/>
  <c r="AH62" i="1"/>
  <c r="AH63" i="1"/>
  <c r="AH64" i="1"/>
  <c r="AH71" i="1"/>
  <c r="AH73" i="1"/>
  <c r="AH74" i="1"/>
  <c r="AH75" i="1"/>
  <c r="AH76"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X429" i="1"/>
  <c r="Y429" i="1"/>
  <c r="Z429" i="1"/>
  <c r="AA429" i="1"/>
  <c r="BX476" i="1"/>
  <c r="BU476" i="1"/>
  <c r="BV476" i="1"/>
  <c r="BW476" i="1"/>
  <c r="AB1" i="1"/>
  <c r="AB445" i="1"/>
  <c r="CB445" i="1" s="1"/>
  <c r="CA445" i="1"/>
  <c r="CL445" i="1" s="1"/>
  <c r="BT476" i="1"/>
  <c r="BS476" i="1"/>
  <c r="BR476" i="1"/>
  <c r="BQ476" i="1"/>
  <c r="BP476" i="1"/>
  <c r="BO476" i="1"/>
  <c r="BN476" i="1"/>
  <c r="BM476" i="1"/>
  <c r="BL476" i="1"/>
  <c r="BK476" i="1"/>
  <c r="BJ476" i="1"/>
  <c r="BI476" i="1"/>
  <c r="BH476" i="1"/>
  <c r="BG476" i="1"/>
  <c r="BF476" i="1"/>
  <c r="BE476" i="1"/>
  <c r="BD476" i="1"/>
  <c r="BC476" i="1"/>
  <c r="BB476" i="1"/>
  <c r="BA476" i="1"/>
  <c r="AZ476" i="1"/>
  <c r="AB9" i="15"/>
  <c r="W433" i="1"/>
  <c r="Q10" i="13"/>
  <c r="Q11" i="13" s="1"/>
  <c r="C10" i="13"/>
  <c r="T8" i="14"/>
  <c r="B9" i="13" s="1"/>
  <c r="T5" i="14"/>
  <c r="O11" i="12"/>
  <c r="O12" i="12" s="1"/>
  <c r="N11" i="12"/>
  <c r="L47" i="12"/>
  <c r="M47" i="12"/>
  <c r="AL440" i="1"/>
  <c r="D47" i="12"/>
  <c r="E47" i="12"/>
  <c r="E48" i="12" s="1"/>
  <c r="DG293" i="1"/>
  <c r="DH293" i="1"/>
  <c r="DI293" i="1"/>
  <c r="DJ293" i="1"/>
  <c r="DK293" i="1"/>
  <c r="DL293" i="1"/>
  <c r="DM293" i="1"/>
  <c r="DN293" i="1"/>
  <c r="DO293" i="1"/>
  <c r="DP293" i="1"/>
  <c r="DQ293" i="1"/>
  <c r="DR293" i="1"/>
  <c r="DS293" i="1"/>
  <c r="DT293" i="1"/>
  <c r="DU293" i="1"/>
  <c r="DV293" i="1"/>
  <c r="DW293" i="1"/>
  <c r="DX293" i="1"/>
  <c r="DY293" i="1"/>
  <c r="DZ293" i="1"/>
  <c r="EA293" i="1"/>
  <c r="EB293" i="1"/>
  <c r="EC293" i="1"/>
  <c r="ED293" i="1"/>
  <c r="EE293" i="1"/>
  <c r="EF293" i="1"/>
  <c r="EG293" i="1"/>
  <c r="DG294" i="1"/>
  <c r="DH294" i="1"/>
  <c r="DI294" i="1"/>
  <c r="DJ294" i="1"/>
  <c r="DK294" i="1"/>
  <c r="DL294" i="1"/>
  <c r="DM294" i="1"/>
  <c r="DN294" i="1"/>
  <c r="DO294" i="1"/>
  <c r="DP294" i="1"/>
  <c r="DQ294" i="1"/>
  <c r="DR294" i="1"/>
  <c r="DS294" i="1"/>
  <c r="DT294" i="1"/>
  <c r="DU294" i="1"/>
  <c r="DV294" i="1"/>
  <c r="DW294" i="1"/>
  <c r="DX294" i="1"/>
  <c r="DY294" i="1"/>
  <c r="DZ294" i="1"/>
  <c r="EA294" i="1"/>
  <c r="EB294" i="1"/>
  <c r="EC294" i="1"/>
  <c r="ED294" i="1"/>
  <c r="EE294" i="1"/>
  <c r="EF294" i="1"/>
  <c r="EG294" i="1"/>
  <c r="AJ390" i="1"/>
  <c r="CA475" i="1"/>
  <c r="CA474" i="1"/>
  <c r="CA473" i="1"/>
  <c r="CA472" i="1"/>
  <c r="CD184" i="1"/>
  <c r="CE184" i="1"/>
  <c r="EA351" i="1"/>
  <c r="AN520" i="1"/>
  <c r="AP520" i="1"/>
  <c r="AQ520" i="1"/>
  <c r="AS520" i="1"/>
  <c r="AT520" i="1"/>
  <c r="AU520" i="1"/>
  <c r="AV520" i="1"/>
  <c r="AW520" i="1"/>
  <c r="AX520" i="1"/>
  <c r="AY520" i="1"/>
  <c r="AZ520" i="1"/>
  <c r="AR520" i="1"/>
  <c r="BA520" i="1"/>
  <c r="DS359" i="1"/>
  <c r="AO520" i="1"/>
  <c r="DQ411" i="1"/>
  <c r="AH451" i="1"/>
  <c r="EE399" i="1"/>
  <c r="O10" i="13"/>
  <c r="O11" i="13" s="1"/>
  <c r="P10" i="13"/>
  <c r="P11" i="13" s="1"/>
  <c r="R11" i="13"/>
  <c r="CP424" i="1"/>
  <c r="CP427" i="1"/>
  <c r="CP431" i="1"/>
  <c r="CP441" i="1"/>
  <c r="CP445" i="1"/>
  <c r="CP447" i="1"/>
  <c r="CP449" i="1"/>
  <c r="CP454" i="1"/>
  <c r="CP455" i="1"/>
  <c r="CP456" i="1"/>
  <c r="CP457" i="1"/>
  <c r="CP458" i="1"/>
  <c r="CP459" i="1"/>
  <c r="CP460" i="1"/>
  <c r="CP462" i="1"/>
  <c r="CP464" i="1"/>
  <c r="CP467" i="1"/>
  <c r="CP470" i="1"/>
  <c r="CP471" i="1"/>
  <c r="CP476" i="1"/>
  <c r="EG292" i="1"/>
  <c r="EF292" i="1"/>
  <c r="EE292" i="1"/>
  <c r="DM292" i="1"/>
  <c r="DL292" i="1"/>
  <c r="DK292" i="1"/>
  <c r="DJ292" i="1"/>
  <c r="DI292" i="1"/>
  <c r="DH292" i="1"/>
  <c r="DG292" i="1"/>
  <c r="EG291" i="1"/>
  <c r="EF291" i="1"/>
  <c r="DM291" i="1"/>
  <c r="DL291" i="1"/>
  <c r="DK291" i="1"/>
  <c r="DJ291" i="1"/>
  <c r="DI291" i="1"/>
  <c r="DH291" i="1"/>
  <c r="DG291" i="1"/>
  <c r="AC283" i="1"/>
  <c r="AD283" i="1"/>
  <c r="AE283" i="1"/>
  <c r="AF283" i="1"/>
  <c r="AG283" i="1"/>
  <c r="EG357" i="1"/>
  <c r="EF357" i="1"/>
  <c r="EE357" i="1"/>
  <c r="DM357" i="1"/>
  <c r="DL357" i="1"/>
  <c r="DK357" i="1"/>
  <c r="DJ357" i="1"/>
  <c r="DI357" i="1"/>
  <c r="DH357" i="1"/>
  <c r="DG357" i="1"/>
  <c r="DD357" i="1"/>
  <c r="DD421" i="1" s="1"/>
  <c r="DD422" i="1" s="1"/>
  <c r="EG354" i="1"/>
  <c r="EF354" i="1"/>
  <c r="EE354" i="1"/>
  <c r="DM354" i="1"/>
  <c r="DL354" i="1"/>
  <c r="DK354" i="1"/>
  <c r="DJ354" i="1"/>
  <c r="DI354" i="1"/>
  <c r="DH354" i="1"/>
  <c r="DG354" i="1"/>
  <c r="EG350" i="1"/>
  <c r="EF350" i="1"/>
  <c r="EE350" i="1"/>
  <c r="DM350" i="1"/>
  <c r="DL350" i="1"/>
  <c r="DK350" i="1"/>
  <c r="DJ350" i="1"/>
  <c r="DI350" i="1"/>
  <c r="DH350" i="1"/>
  <c r="DG350" i="1"/>
  <c r="EG290" i="1"/>
  <c r="EG314" i="1"/>
  <c r="EG315" i="1"/>
  <c r="EG349" i="1"/>
  <c r="EG390" i="1"/>
  <c r="EG391" i="1"/>
  <c r="EG398" i="1"/>
  <c r="EG407" i="1"/>
  <c r="EG410" i="1"/>
  <c r="EG413" i="1"/>
  <c r="EG414" i="1"/>
  <c r="EG415" i="1"/>
  <c r="EG417" i="1"/>
  <c r="EG418" i="1"/>
  <c r="EG419" i="1"/>
  <c r="EG420" i="1"/>
  <c r="EG421" i="1"/>
  <c r="DG314" i="1"/>
  <c r="DH314" i="1"/>
  <c r="DI314" i="1"/>
  <c r="DJ314" i="1"/>
  <c r="DK314" i="1"/>
  <c r="DL314" i="1"/>
  <c r="DM314" i="1"/>
  <c r="DN314" i="1"/>
  <c r="DO314" i="1"/>
  <c r="DP314" i="1"/>
  <c r="DQ314" i="1"/>
  <c r="DR314" i="1"/>
  <c r="DS314" i="1"/>
  <c r="DT314" i="1"/>
  <c r="DU314" i="1"/>
  <c r="DV314" i="1"/>
  <c r="DW314" i="1"/>
  <c r="DX314" i="1"/>
  <c r="DY314" i="1"/>
  <c r="DZ314" i="1"/>
  <c r="EA314" i="1"/>
  <c r="EB314" i="1"/>
  <c r="EC314" i="1"/>
  <c r="ED314" i="1"/>
  <c r="EE314" i="1"/>
  <c r="EF314" i="1"/>
  <c r="DG315" i="1"/>
  <c r="DH315" i="1"/>
  <c r="DI315" i="1"/>
  <c r="DJ315" i="1"/>
  <c r="DK315" i="1"/>
  <c r="DL315" i="1"/>
  <c r="DM315" i="1"/>
  <c r="EE315" i="1"/>
  <c r="EF315" i="1"/>
  <c r="DG349" i="1"/>
  <c r="DH349" i="1"/>
  <c r="DI349" i="1"/>
  <c r="DJ349" i="1"/>
  <c r="DK349" i="1"/>
  <c r="DL349" i="1"/>
  <c r="DM349" i="1"/>
  <c r="DN349" i="1"/>
  <c r="DO349" i="1"/>
  <c r="DP349" i="1"/>
  <c r="DQ349" i="1"/>
  <c r="DR349" i="1"/>
  <c r="DS349" i="1"/>
  <c r="DT349" i="1"/>
  <c r="DU349" i="1"/>
  <c r="DV349" i="1"/>
  <c r="DW349" i="1"/>
  <c r="DX349" i="1"/>
  <c r="DY349" i="1"/>
  <c r="DZ349" i="1"/>
  <c r="EA349" i="1"/>
  <c r="EB349" i="1"/>
  <c r="EC349" i="1"/>
  <c r="ED349" i="1"/>
  <c r="EE349" i="1"/>
  <c r="EF349" i="1"/>
  <c r="DG390" i="1"/>
  <c r="DH390" i="1"/>
  <c r="DI390" i="1"/>
  <c r="DJ390" i="1"/>
  <c r="DK390" i="1"/>
  <c r="DL390" i="1"/>
  <c r="DM390" i="1"/>
  <c r="DN390" i="1"/>
  <c r="DO390" i="1"/>
  <c r="DP390" i="1"/>
  <c r="DQ390" i="1"/>
  <c r="DR390" i="1"/>
  <c r="DS390" i="1"/>
  <c r="DT390" i="1"/>
  <c r="DU390" i="1"/>
  <c r="DV390" i="1"/>
  <c r="DW390" i="1"/>
  <c r="DX390" i="1"/>
  <c r="DY390" i="1"/>
  <c r="DZ390" i="1"/>
  <c r="EA390" i="1"/>
  <c r="EB390" i="1"/>
  <c r="EC390" i="1"/>
  <c r="ED390" i="1"/>
  <c r="EE390" i="1"/>
  <c r="EF390" i="1"/>
  <c r="DG391" i="1"/>
  <c r="DH391" i="1"/>
  <c r="DI391" i="1"/>
  <c r="DJ391" i="1"/>
  <c r="DK391" i="1"/>
  <c r="DL391" i="1"/>
  <c r="DM391" i="1"/>
  <c r="EE391" i="1"/>
  <c r="EF391" i="1"/>
  <c r="DG398" i="1"/>
  <c r="DH398" i="1"/>
  <c r="DI398" i="1"/>
  <c r="DJ398" i="1"/>
  <c r="DK398" i="1"/>
  <c r="DL398" i="1"/>
  <c r="DM398" i="1"/>
  <c r="DN398" i="1"/>
  <c r="DO398" i="1"/>
  <c r="DP398" i="1"/>
  <c r="DQ398" i="1"/>
  <c r="DR398" i="1"/>
  <c r="DS398" i="1"/>
  <c r="DT398" i="1"/>
  <c r="DU398" i="1"/>
  <c r="DV398" i="1"/>
  <c r="DW398" i="1"/>
  <c r="DX398" i="1"/>
  <c r="DY398" i="1"/>
  <c r="DZ398" i="1"/>
  <c r="EA398" i="1"/>
  <c r="EB398" i="1"/>
  <c r="EC398" i="1"/>
  <c r="ED398" i="1"/>
  <c r="EE398" i="1"/>
  <c r="EF398" i="1"/>
  <c r="DG407" i="1"/>
  <c r="DH407" i="1"/>
  <c r="DI407" i="1"/>
  <c r="DJ407" i="1"/>
  <c r="DK407" i="1"/>
  <c r="DL407" i="1"/>
  <c r="DM407" i="1"/>
  <c r="EE407" i="1"/>
  <c r="EF407" i="1"/>
  <c r="DG410" i="1"/>
  <c r="DH410" i="1"/>
  <c r="DI410" i="1"/>
  <c r="DJ410" i="1"/>
  <c r="DK410" i="1"/>
  <c r="DL410" i="1"/>
  <c r="DM410" i="1"/>
  <c r="EE410" i="1"/>
  <c r="EF410" i="1"/>
  <c r="DG413" i="1"/>
  <c r="DH413" i="1"/>
  <c r="DI413" i="1"/>
  <c r="DJ413" i="1"/>
  <c r="DK413" i="1"/>
  <c r="DL413" i="1"/>
  <c r="DM413" i="1"/>
  <c r="EE413" i="1"/>
  <c r="EF413" i="1"/>
  <c r="DG414" i="1"/>
  <c r="DH414" i="1"/>
  <c r="DI414" i="1"/>
  <c r="DJ414" i="1"/>
  <c r="DK414" i="1"/>
  <c r="DL414" i="1"/>
  <c r="DM414" i="1"/>
  <c r="EE414" i="1"/>
  <c r="EF414" i="1"/>
  <c r="DG415" i="1"/>
  <c r="DH415" i="1"/>
  <c r="DI415" i="1"/>
  <c r="DJ415" i="1"/>
  <c r="DK415" i="1"/>
  <c r="DL415" i="1"/>
  <c r="DM415" i="1"/>
  <c r="EE415" i="1"/>
  <c r="EF415" i="1"/>
  <c r="DG417" i="1"/>
  <c r="DH417" i="1"/>
  <c r="DI417" i="1"/>
  <c r="DJ417" i="1"/>
  <c r="DK417" i="1"/>
  <c r="DL417" i="1"/>
  <c r="DM417" i="1"/>
  <c r="EE417" i="1"/>
  <c r="EF417" i="1"/>
  <c r="DG418" i="1"/>
  <c r="DH418" i="1"/>
  <c r="DI418" i="1"/>
  <c r="DJ418" i="1"/>
  <c r="DK418" i="1"/>
  <c r="DL418" i="1"/>
  <c r="DM418" i="1"/>
  <c r="EE418" i="1"/>
  <c r="EF418" i="1"/>
  <c r="DG419" i="1"/>
  <c r="DH419" i="1"/>
  <c r="DI419" i="1"/>
  <c r="DJ419" i="1"/>
  <c r="DK419" i="1"/>
  <c r="DL419" i="1"/>
  <c r="DM419" i="1"/>
  <c r="DN419" i="1"/>
  <c r="DO419" i="1"/>
  <c r="DP419" i="1"/>
  <c r="DQ419" i="1"/>
  <c r="DR419" i="1"/>
  <c r="DS419" i="1"/>
  <c r="DT419" i="1"/>
  <c r="DU419" i="1"/>
  <c r="DV419" i="1"/>
  <c r="DW419" i="1"/>
  <c r="DX419" i="1"/>
  <c r="DY419" i="1"/>
  <c r="DZ419" i="1"/>
  <c r="EA419" i="1"/>
  <c r="EB419" i="1"/>
  <c r="EC419" i="1"/>
  <c r="ED419" i="1"/>
  <c r="EE419" i="1"/>
  <c r="EF419" i="1"/>
  <c r="DG420" i="1"/>
  <c r="DH420" i="1"/>
  <c r="DI420" i="1"/>
  <c r="DJ420" i="1"/>
  <c r="DK420" i="1"/>
  <c r="DL420" i="1"/>
  <c r="DM420" i="1"/>
  <c r="DN420" i="1"/>
  <c r="DO420" i="1"/>
  <c r="DP420" i="1"/>
  <c r="DQ420" i="1"/>
  <c r="DR420" i="1"/>
  <c r="DS420" i="1"/>
  <c r="DT420" i="1"/>
  <c r="DU420" i="1"/>
  <c r="DV420" i="1"/>
  <c r="DW420" i="1"/>
  <c r="DX420" i="1"/>
  <c r="DY420" i="1"/>
  <c r="DZ420" i="1"/>
  <c r="EA420" i="1"/>
  <c r="EB420" i="1"/>
  <c r="EC420" i="1"/>
  <c r="ED420" i="1"/>
  <c r="EE420" i="1"/>
  <c r="EF420" i="1"/>
  <c r="DG421" i="1"/>
  <c r="DH421" i="1"/>
  <c r="DI421" i="1"/>
  <c r="DJ421" i="1"/>
  <c r="DK421" i="1"/>
  <c r="DL421" i="1"/>
  <c r="DM421" i="1"/>
  <c r="DN421" i="1"/>
  <c r="DO421" i="1"/>
  <c r="DP421" i="1"/>
  <c r="DQ421" i="1"/>
  <c r="DR421" i="1"/>
  <c r="DS421" i="1"/>
  <c r="DT421" i="1"/>
  <c r="DU421" i="1"/>
  <c r="DV421" i="1"/>
  <c r="DW421" i="1"/>
  <c r="DX421" i="1"/>
  <c r="DY421" i="1"/>
  <c r="DZ421" i="1"/>
  <c r="EA421" i="1"/>
  <c r="EB421" i="1"/>
  <c r="EC421" i="1"/>
  <c r="ED421" i="1"/>
  <c r="EE421" i="1"/>
  <c r="EF421" i="1"/>
  <c r="DH290" i="1"/>
  <c r="DI290" i="1"/>
  <c r="DJ290" i="1"/>
  <c r="DK290" i="1"/>
  <c r="DL290" i="1"/>
  <c r="DM290" i="1"/>
  <c r="DN290" i="1"/>
  <c r="DO290" i="1"/>
  <c r="DP290" i="1"/>
  <c r="DQ290" i="1"/>
  <c r="DR290" i="1"/>
  <c r="DS290" i="1"/>
  <c r="DT290" i="1"/>
  <c r="DU290" i="1"/>
  <c r="DV290" i="1"/>
  <c r="DW290" i="1"/>
  <c r="DX290" i="1"/>
  <c r="DY290" i="1"/>
  <c r="DZ290" i="1"/>
  <c r="EA290" i="1"/>
  <c r="EB290" i="1"/>
  <c r="EC290" i="1"/>
  <c r="ED290" i="1"/>
  <c r="EE290" i="1"/>
  <c r="EF290" i="1"/>
  <c r="DG290" i="1"/>
  <c r="Y287" i="1"/>
  <c r="Z287" i="1"/>
  <c r="Q288" i="1"/>
  <c r="X288" i="1"/>
  <c r="Y288" i="1"/>
  <c r="Z288" i="1"/>
  <c r="AL288" i="1"/>
  <c r="DB431" i="1"/>
  <c r="S441" i="1"/>
  <c r="W441" i="1" s="1"/>
  <c r="AH452" i="1"/>
  <c r="AH450" i="1"/>
  <c r="U432" i="1"/>
  <c r="U433" i="1"/>
  <c r="U434" i="1"/>
  <c r="U435" i="1"/>
  <c r="U436" i="1"/>
  <c r="U437" i="1"/>
  <c r="AH422" i="1"/>
  <c r="O423" i="1"/>
  <c r="CL423" i="1" s="1"/>
  <c r="S423" i="1"/>
  <c r="H425" i="1"/>
  <c r="S425" i="1"/>
  <c r="P426" i="1"/>
  <c r="Q426" i="1"/>
  <c r="R426" i="1"/>
  <c r="T426" i="1"/>
  <c r="U426" i="1"/>
  <c r="V426" i="1"/>
  <c r="P427" i="1"/>
  <c r="Q427" i="1"/>
  <c r="R427" i="1"/>
  <c r="O472" i="1"/>
  <c r="S472" i="1"/>
  <c r="O473" i="1"/>
  <c r="S473" i="1"/>
  <c r="O474" i="1"/>
  <c r="S474" i="1"/>
  <c r="O475" i="1"/>
  <c r="S475" i="1"/>
  <c r="AN476" i="1"/>
  <c r="AP476" i="1"/>
  <c r="AQ476" i="1"/>
  <c r="AR476" i="1"/>
  <c r="AS476" i="1"/>
  <c r="AT476" i="1"/>
  <c r="AU476" i="1"/>
  <c r="AV476" i="1"/>
  <c r="AW476" i="1"/>
  <c r="AX476" i="1"/>
  <c r="AY476" i="1"/>
  <c r="V478" i="1"/>
  <c r="U478" i="1"/>
  <c r="T478" i="1"/>
  <c r="CB476" i="1"/>
  <c r="AJ476" i="1"/>
  <c r="W476" i="1"/>
  <c r="AH475" i="1"/>
  <c r="V475" i="1"/>
  <c r="U475" i="1"/>
  <c r="AH474" i="1"/>
  <c r="V474" i="1"/>
  <c r="U474" i="1"/>
  <c r="AH473" i="1"/>
  <c r="V473" i="1"/>
  <c r="U473" i="1"/>
  <c r="AH472" i="1"/>
  <c r="V472" i="1"/>
  <c r="U472" i="1"/>
  <c r="AG468" i="1"/>
  <c r="AF468" i="1"/>
  <c r="AE468" i="1"/>
  <c r="AD468" i="1"/>
  <c r="AC468" i="1"/>
  <c r="AA468" i="1"/>
  <c r="Z468" i="1"/>
  <c r="Y468" i="1"/>
  <c r="X468" i="1"/>
  <c r="AA448" i="1"/>
  <c r="Z448" i="1"/>
  <c r="Y448" i="1"/>
  <c r="X448" i="1"/>
  <c r="AL442" i="1"/>
  <c r="AH442" i="1"/>
  <c r="AJ441" i="1"/>
  <c r="S439" i="1"/>
  <c r="S440" i="1" s="1"/>
  <c r="S426" i="1" s="1"/>
  <c r="V437" i="1"/>
  <c r="V436" i="1"/>
  <c r="V435" i="1"/>
  <c r="V434" i="1"/>
  <c r="V433" i="1"/>
  <c r="V432" i="1"/>
  <c r="CJ422" i="1"/>
  <c r="CI422" i="1"/>
  <c r="CH422" i="1"/>
  <c r="CE424" i="1"/>
  <c r="CB441" i="1"/>
  <c r="S463" i="1"/>
  <c r="DD425" i="1"/>
  <c r="CP432" i="1"/>
  <c r="CP433" i="1"/>
  <c r="EB417" i="1"/>
  <c r="EC417" i="1"/>
  <c r="ED417" i="1"/>
  <c r="DZ417" i="1"/>
  <c r="EA417" i="1"/>
  <c r="DT417" i="1"/>
  <c r="DU417" i="1"/>
  <c r="DV417" i="1"/>
  <c r="DO417" i="1"/>
  <c r="DW417" i="1"/>
  <c r="DP417" i="1"/>
  <c r="DX417" i="1"/>
  <c r="DQ417" i="1"/>
  <c r="DR417" i="1"/>
  <c r="DS417" i="1"/>
  <c r="DY417" i="1"/>
  <c r="DS410" i="1"/>
  <c r="DZ410" i="1"/>
  <c r="DT410" i="1"/>
  <c r="EA410" i="1"/>
  <c r="DU410" i="1"/>
  <c r="EB410" i="1"/>
  <c r="DV410" i="1"/>
  <c r="ED410" i="1"/>
  <c r="DQ410" i="1"/>
  <c r="DY410" i="1"/>
  <c r="DR410" i="1"/>
  <c r="DO410" i="1"/>
  <c r="EC410" i="1"/>
  <c r="DW410" i="1"/>
  <c r="DX410" i="1"/>
  <c r="DZ414" i="1"/>
  <c r="EA414" i="1"/>
  <c r="EB414" i="1"/>
  <c r="ED414" i="1"/>
  <c r="DO414" i="1"/>
  <c r="DW414" i="1"/>
  <c r="DT414" i="1"/>
  <c r="DP414" i="1"/>
  <c r="DX414" i="1"/>
  <c r="DQ414" i="1"/>
  <c r="DY414" i="1"/>
  <c r="EC414" i="1"/>
  <c r="DR414" i="1"/>
  <c r="DS414" i="1"/>
  <c r="DU414" i="1"/>
  <c r="DV414" i="1"/>
  <c r="EB391" i="1"/>
  <c r="DP391" i="1"/>
  <c r="DX391" i="1"/>
  <c r="EC391" i="1"/>
  <c r="DQ391" i="1"/>
  <c r="DY391" i="1"/>
  <c r="ED391" i="1"/>
  <c r="DR391" i="1"/>
  <c r="DS391" i="1"/>
  <c r="DZ391" i="1"/>
  <c r="DV391" i="1"/>
  <c r="EA391" i="1"/>
  <c r="DO391" i="1"/>
  <c r="DW391" i="1"/>
  <c r="DT391" i="1"/>
  <c r="DU391" i="1"/>
  <c r="DZ415" i="1"/>
  <c r="EA415" i="1"/>
  <c r="EB415" i="1"/>
  <c r="ED415" i="1"/>
  <c r="EC415" i="1"/>
  <c r="DW415" i="1"/>
  <c r="DP415" i="1"/>
  <c r="DX415" i="1"/>
  <c r="DQ415" i="1"/>
  <c r="DY415" i="1"/>
  <c r="DR415" i="1"/>
  <c r="DS415" i="1"/>
  <c r="DU415" i="1"/>
  <c r="DV415" i="1"/>
  <c r="DT415" i="1"/>
  <c r="EB413" i="1"/>
  <c r="DP413" i="1"/>
  <c r="DX413" i="1"/>
  <c r="EC413" i="1"/>
  <c r="DQ413" i="1"/>
  <c r="DY413" i="1"/>
  <c r="ED413" i="1"/>
  <c r="DR413" i="1"/>
  <c r="DS413" i="1"/>
  <c r="DZ413" i="1"/>
  <c r="DV413" i="1"/>
  <c r="EA413" i="1"/>
  <c r="DW413" i="1"/>
  <c r="DU413" i="1"/>
  <c r="DT413" i="1"/>
  <c r="ED407" i="1"/>
  <c r="DV407" i="1"/>
  <c r="DO407" i="1"/>
  <c r="DW407" i="1"/>
  <c r="DX407" i="1"/>
  <c r="DQ407" i="1"/>
  <c r="DY407" i="1"/>
  <c r="EA407" i="1"/>
  <c r="EB407" i="1"/>
  <c r="DT407" i="1"/>
  <c r="EC407" i="1"/>
  <c r="DU407" i="1"/>
  <c r="DZ407" i="1"/>
  <c r="DS407" i="1"/>
  <c r="DR407" i="1"/>
  <c r="DO315" i="1"/>
  <c r="DW315" i="1"/>
  <c r="DX315" i="1"/>
  <c r="DQ315" i="1"/>
  <c r="DY315" i="1"/>
  <c r="DR315" i="1"/>
  <c r="DZ315" i="1"/>
  <c r="DS315" i="1"/>
  <c r="EA315" i="1"/>
  <c r="DT315" i="1"/>
  <c r="DU315" i="1"/>
  <c r="DV315" i="1"/>
  <c r="EB315" i="1"/>
  <c r="EC315" i="1"/>
  <c r="ED315" i="1"/>
  <c r="DZ418" i="1"/>
  <c r="EB418" i="1"/>
  <c r="EC418" i="1"/>
  <c r="ED418" i="1"/>
  <c r="DQ418" i="1"/>
  <c r="DY418" i="1"/>
  <c r="EA418" i="1"/>
  <c r="DR418" i="1"/>
  <c r="DS418" i="1"/>
  <c r="DT418" i="1"/>
  <c r="DU418" i="1"/>
  <c r="DV418" i="1"/>
  <c r="DW418" i="1"/>
  <c r="DX418" i="1"/>
  <c r="DO418" i="1"/>
  <c r="DP418" i="1"/>
  <c r="ED350" i="1"/>
  <c r="DV350" i="1"/>
  <c r="DO350" i="1"/>
  <c r="DW350" i="1"/>
  <c r="DP350" i="1"/>
  <c r="DX350" i="1"/>
  <c r="DQ350" i="1"/>
  <c r="DY350" i="1"/>
  <c r="EA350" i="1"/>
  <c r="DS350" i="1"/>
  <c r="EB350" i="1"/>
  <c r="DT350" i="1"/>
  <c r="EC350" i="1"/>
  <c r="DU350" i="1"/>
  <c r="DR350" i="1"/>
  <c r="DZ350" i="1"/>
  <c r="DS354" i="1"/>
  <c r="DZ354" i="1"/>
  <c r="DT354" i="1"/>
  <c r="EA354" i="1"/>
  <c r="DU354" i="1"/>
  <c r="EB354" i="1"/>
  <c r="DV354" i="1"/>
  <c r="ED354" i="1"/>
  <c r="DP354" i="1"/>
  <c r="DX354" i="1"/>
  <c r="DQ354" i="1"/>
  <c r="DY354" i="1"/>
  <c r="DR354" i="1"/>
  <c r="DO354" i="1"/>
  <c r="DW354" i="1"/>
  <c r="EC354" i="1"/>
  <c r="EB357" i="1"/>
  <c r="DP357" i="1"/>
  <c r="DX357" i="1"/>
  <c r="EC357" i="1"/>
  <c r="DQ357" i="1"/>
  <c r="DY357" i="1"/>
  <c r="ED357" i="1"/>
  <c r="DR357" i="1"/>
  <c r="DS357" i="1"/>
  <c r="DU357" i="1"/>
  <c r="DZ357" i="1"/>
  <c r="DV357" i="1"/>
  <c r="EA357" i="1"/>
  <c r="DO357" i="1"/>
  <c r="DW357" i="1"/>
  <c r="DT357" i="1"/>
  <c r="DS292" i="1"/>
  <c r="EA292" i="1"/>
  <c r="DT292" i="1"/>
  <c r="EB292" i="1"/>
  <c r="DU292" i="1"/>
  <c r="EC292" i="1"/>
  <c r="DV292" i="1"/>
  <c r="ED292" i="1"/>
  <c r="DO292" i="1"/>
  <c r="DW292" i="1"/>
  <c r="DR292" i="1"/>
  <c r="DX292" i="1"/>
  <c r="DY292" i="1"/>
  <c r="DQ292" i="1"/>
  <c r="DZ292" i="1"/>
  <c r="DP292" i="1"/>
  <c r="DC420" i="1"/>
  <c r="DN291" i="1"/>
  <c r="DT291" i="1"/>
  <c r="DN350" i="1"/>
  <c r="DN413" i="1"/>
  <c r="DN417" i="1"/>
  <c r="DU291" i="1"/>
  <c r="DN391" i="1"/>
  <c r="DN414" i="1"/>
  <c r="EB291" i="1"/>
  <c r="DN418" i="1"/>
  <c r="DN410" i="1"/>
  <c r="DN292" i="1"/>
  <c r="DY291" i="1"/>
  <c r="EA291" i="1"/>
  <c r="DO291" i="1"/>
  <c r="DN354" i="1"/>
  <c r="DW291" i="1"/>
  <c r="DX291" i="1"/>
  <c r="DS291" i="1"/>
  <c r="DN415" i="1"/>
  <c r="ED291" i="1"/>
  <c r="DZ291" i="1"/>
  <c r="DN315" i="1"/>
  <c r="DQ291" i="1"/>
  <c r="DV291" i="1"/>
  <c r="DR291" i="1"/>
  <c r="DN357" i="1"/>
  <c r="DP291" i="1"/>
  <c r="EC291" i="1"/>
  <c r="DN407" i="1"/>
  <c r="AH286" i="1"/>
  <c r="K10" i="13"/>
  <c r="K11" i="13" s="1"/>
  <c r="L10" i="13"/>
  <c r="L11" i="13" s="1"/>
  <c r="M10" i="13"/>
  <c r="M11" i="13" s="1"/>
  <c r="C11" i="13"/>
  <c r="EE291" i="1"/>
  <c r="N10" i="13"/>
  <c r="N11" i="13" s="1"/>
  <c r="DG428" i="1"/>
  <c r="DG427" i="1" s="1"/>
  <c r="CE215" i="1"/>
  <c r="CF215" i="1"/>
  <c r="CD215" i="1"/>
  <c r="AJ354" i="1"/>
  <c r="CF184" i="1"/>
  <c r="CF210" i="1"/>
  <c r="CE210" i="1"/>
  <c r="CD210" i="1"/>
  <c r="DO413" i="1"/>
  <c r="AJ406" i="1"/>
  <c r="AJ376" i="1"/>
  <c r="DO415" i="1"/>
  <c r="AN519" i="1"/>
  <c r="AN521" i="1" s="1"/>
  <c r="W132" i="1" l="1"/>
  <c r="AA38" i="1" s="1"/>
  <c r="AA12" i="1" s="1"/>
  <c r="CL473" i="1"/>
  <c r="CL475" i="1"/>
  <c r="CL474" i="1"/>
  <c r="CB148" i="1"/>
  <c r="CC148" i="1" s="1"/>
  <c r="CM148" i="1"/>
  <c r="CB147" i="1"/>
  <c r="CC147" i="1" s="1"/>
  <c r="CM147" i="1"/>
  <c r="CL461" i="1"/>
  <c r="CM461" i="1"/>
  <c r="CB145" i="1"/>
  <c r="CC145" i="1" s="1"/>
  <c r="CM145" i="1"/>
  <c r="CL460" i="1"/>
  <c r="CL472" i="1"/>
  <c r="CL459" i="1"/>
  <c r="CM459" i="1"/>
  <c r="CM445" i="1"/>
  <c r="CM160" i="1"/>
  <c r="CL160" i="1"/>
  <c r="CL458" i="1"/>
  <c r="CM458" i="1"/>
  <c r="CL257" i="1"/>
  <c r="CL457" i="1"/>
  <c r="CM457" i="1"/>
  <c r="CB155" i="1"/>
  <c r="CC155" i="1"/>
  <c r="CM155" i="1"/>
  <c r="CM185" i="1"/>
  <c r="CL185" i="1"/>
  <c r="CB154" i="1"/>
  <c r="CC154" i="1" s="1"/>
  <c r="CM154" i="1"/>
  <c r="CL26" i="1"/>
  <c r="CL456" i="1"/>
  <c r="CM456" i="1"/>
  <c r="CB152" i="1"/>
  <c r="CC152" i="1"/>
  <c r="CM152" i="1"/>
  <c r="CB150" i="1"/>
  <c r="CC150" i="1" s="1"/>
  <c r="CM150" i="1"/>
  <c r="CL462" i="1"/>
  <c r="CM462" i="1"/>
  <c r="CL455" i="1"/>
  <c r="CM455" i="1"/>
  <c r="CB149" i="1"/>
  <c r="CC149" i="1" s="1"/>
  <c r="CM149" i="1"/>
  <c r="CB405" i="1"/>
  <c r="CC405" i="1"/>
  <c r="AH143" i="1"/>
  <c r="CB156" i="1"/>
  <c r="CC156" i="1" s="1"/>
  <c r="W331" i="1"/>
  <c r="W328" i="1"/>
  <c r="CE328" i="1" s="1"/>
  <c r="CD328" i="1" s="1"/>
  <c r="W326" i="1"/>
  <c r="CE326" i="1" s="1"/>
  <c r="CD326" i="1" s="1"/>
  <c r="W325" i="1"/>
  <c r="W324" i="1"/>
  <c r="CE324" i="1" s="1"/>
  <c r="CD324" i="1" s="1"/>
  <c r="W323" i="1"/>
  <c r="CE323" i="1" s="1"/>
  <c r="CD323" i="1" s="1"/>
  <c r="W321" i="1"/>
  <c r="CB290" i="1"/>
  <c r="CC290" i="1"/>
  <c r="AJ152" i="1"/>
  <c r="AJ149" i="1"/>
  <c r="AJ148" i="1"/>
  <c r="AJ147" i="1"/>
  <c r="CP398" i="1"/>
  <c r="CP349" i="1"/>
  <c r="CP347" i="1"/>
  <c r="W346" i="1"/>
  <c r="CE346" i="1" s="1"/>
  <c r="CD346" i="1" s="1"/>
  <c r="CP422" i="1"/>
  <c r="CP376" i="1"/>
  <c r="CP293" i="1"/>
  <c r="CP326" i="1"/>
  <c r="CN473" i="1"/>
  <c r="CP473" i="1"/>
  <c r="CN475" i="1"/>
  <c r="CN461" i="1"/>
  <c r="CP474" i="1"/>
  <c r="CN53" i="1"/>
  <c r="CN48" i="1"/>
  <c r="CP437" i="1"/>
  <c r="CN474" i="1"/>
  <c r="AH257" i="1"/>
  <c r="AI38" i="1"/>
  <c r="CN44" i="1"/>
  <c r="CN290" i="1"/>
  <c r="CN50" i="1"/>
  <c r="CP472" i="1"/>
  <c r="CN459" i="1"/>
  <c r="CN472" i="1"/>
  <c r="CN412" i="1"/>
  <c r="AH185" i="1"/>
  <c r="CN455" i="1"/>
  <c r="CN458" i="1"/>
  <c r="CN445" i="1"/>
  <c r="AH287" i="1"/>
  <c r="AH13" i="1"/>
  <c r="W438" i="1"/>
  <c r="CN457" i="1"/>
  <c r="CP475" i="1"/>
  <c r="CN462" i="1"/>
  <c r="CN456" i="1"/>
  <c r="AJ276" i="1"/>
  <c r="CN276" i="1"/>
  <c r="CN315" i="1"/>
  <c r="CN295" i="1"/>
  <c r="CN160" i="1"/>
  <c r="CN257" i="1"/>
  <c r="AJ159" i="1"/>
  <c r="AJ156" i="1"/>
  <c r="AJ155" i="1"/>
  <c r="CA74" i="1"/>
  <c r="BE136" i="1"/>
  <c r="CA136" i="1" s="1"/>
  <c r="AJ154" i="1"/>
  <c r="AZ73" i="1"/>
  <c r="CA73" i="1" s="1"/>
  <c r="AB45" i="1"/>
  <c r="AJ145" i="1"/>
  <c r="AJ150" i="1"/>
  <c r="CP436" i="1"/>
  <c r="CP319" i="1"/>
  <c r="W319" i="1"/>
  <c r="CE319" i="1" s="1"/>
  <c r="CD319" i="1" s="1"/>
  <c r="AH425" i="1"/>
  <c r="W435" i="1"/>
  <c r="W434" i="1"/>
  <c r="CP323" i="1"/>
  <c r="CP321" i="1"/>
  <c r="AJ48" i="1"/>
  <c r="AJ50" i="1"/>
  <c r="AJ457" i="1"/>
  <c r="S279" i="1"/>
  <c r="CB456" i="1"/>
  <c r="CB158" i="1"/>
  <c r="CC158" i="1" s="1"/>
  <c r="AJ158" i="1"/>
  <c r="CB462" i="1"/>
  <c r="Z462" i="1"/>
  <c r="CP434" i="1"/>
  <c r="AJ455" i="1"/>
  <c r="CB457" i="1"/>
  <c r="Z461" i="1"/>
  <c r="CB454" i="1"/>
  <c r="Z454" i="1"/>
  <c r="AJ454" i="1"/>
  <c r="I279" i="1"/>
  <c r="I12" i="1" s="1"/>
  <c r="I287" i="1"/>
  <c r="B11" i="15"/>
  <c r="B12" i="15" s="1"/>
  <c r="Z459" i="1"/>
  <c r="CP435" i="1"/>
  <c r="CD228" i="1"/>
  <c r="CE228" i="1" s="1"/>
  <c r="CF228" i="1" s="1"/>
  <c r="CD227" i="1"/>
  <c r="CE227" i="1" s="1"/>
  <c r="CF227" i="1" s="1"/>
  <c r="CD226" i="1"/>
  <c r="CE226" i="1" s="1"/>
  <c r="CF226" i="1" s="1"/>
  <c r="CD225" i="1"/>
  <c r="CE225" i="1" s="1"/>
  <c r="CF225" i="1" s="1"/>
  <c r="AH38" i="1"/>
  <c r="AJ321" i="1"/>
  <c r="AB292" i="1"/>
  <c r="CM292" i="1" s="1"/>
  <c r="CD212" i="1"/>
  <c r="CE212" i="1" s="1"/>
  <c r="CF212" i="1" s="1"/>
  <c r="W14" i="1"/>
  <c r="S287" i="1"/>
  <c r="AH26" i="1"/>
  <c r="AJ316" i="1"/>
  <c r="CD209" i="1"/>
  <c r="CE209" i="1" s="1"/>
  <c r="CF209" i="1" s="1"/>
  <c r="U288" i="1"/>
  <c r="V288" i="1"/>
  <c r="T288" i="1"/>
  <c r="X286" i="1"/>
  <c r="Z285" i="1"/>
  <c r="CB159" i="1"/>
  <c r="CC159" i="1" s="1"/>
  <c r="AJ46" i="1"/>
  <c r="DP410" i="1"/>
  <c r="AJ410" i="1"/>
  <c r="AB343" i="1"/>
  <c r="CM343" i="1" s="1"/>
  <c r="AB315" i="1"/>
  <c r="CM315" i="1" s="1"/>
  <c r="AB295" i="1"/>
  <c r="CM295" i="1" s="1"/>
  <c r="AN26" i="1"/>
  <c r="AJ290" i="1"/>
  <c r="AJ23" i="1"/>
  <c r="AJ18" i="1"/>
  <c r="CD230" i="1"/>
  <c r="CE230" i="1" s="1"/>
  <c r="CF230" i="1" s="1"/>
  <c r="AJ384" i="1"/>
  <c r="CD214" i="1"/>
  <c r="CE214" i="1" s="1"/>
  <c r="CF214" i="1" s="1"/>
  <c r="AJ461" i="1"/>
  <c r="AJ418" i="1"/>
  <c r="AJ361" i="1"/>
  <c r="W436" i="1"/>
  <c r="CF213" i="1"/>
  <c r="W354" i="1"/>
  <c r="CE354" i="1" s="1"/>
  <c r="CD354" i="1" s="1"/>
  <c r="CP290" i="1"/>
  <c r="W161" i="1"/>
  <c r="S160" i="1"/>
  <c r="AJ328" i="1"/>
  <c r="W407" i="1"/>
  <c r="W377" i="1"/>
  <c r="CE377" i="1" s="1"/>
  <c r="CD377" i="1" s="1"/>
  <c r="W351" i="1"/>
  <c r="CE351" i="1" s="1"/>
  <c r="CD351" i="1" s="1"/>
  <c r="W144" i="1"/>
  <c r="S143" i="1"/>
  <c r="W372" i="1"/>
  <c r="CE372" i="1" s="1"/>
  <c r="CD372" i="1" s="1"/>
  <c r="W406" i="1"/>
  <c r="W405" i="1"/>
  <c r="W373" i="1"/>
  <c r="W349" i="1"/>
  <c r="W350" i="1"/>
  <c r="CE350" i="1" s="1"/>
  <c r="CD350" i="1" s="1"/>
  <c r="W402" i="1"/>
  <c r="W370" i="1"/>
  <c r="CE370" i="1" s="1"/>
  <c r="CD370" i="1" s="1"/>
  <c r="W348" i="1"/>
  <c r="W366" i="1"/>
  <c r="CE366" i="1" s="1"/>
  <c r="CD366" i="1" s="1"/>
  <c r="W422" i="1"/>
  <c r="W401" i="1"/>
  <c r="W369" i="1"/>
  <c r="W347" i="1"/>
  <c r="W309" i="1"/>
  <c r="CE309" i="1" s="1"/>
  <c r="CD309" i="1" s="1"/>
  <c r="W258" i="1"/>
  <c r="S257" i="1"/>
  <c r="W312" i="1"/>
  <c r="CP309" i="1"/>
  <c r="CP294" i="1"/>
  <c r="CP324" i="1"/>
  <c r="CP421" i="1"/>
  <c r="W399" i="1"/>
  <c r="W368" i="1"/>
  <c r="CP315" i="1"/>
  <c r="CB144" i="1"/>
  <c r="CP420" i="1"/>
  <c r="W398" i="1"/>
  <c r="CE398" i="1" s="1"/>
  <c r="CD398" i="1" s="1"/>
  <c r="W367" i="1"/>
  <c r="CE367" i="1" s="1"/>
  <c r="CD367" i="1" s="1"/>
  <c r="W343" i="1"/>
  <c r="W314" i="1"/>
  <c r="AB257" i="1"/>
  <c r="AJ257" i="1" s="1"/>
  <c r="CB258" i="1"/>
  <c r="S185" i="1"/>
  <c r="W395" i="1"/>
  <c r="CE395" i="1" s="1"/>
  <c r="CD395" i="1" s="1"/>
  <c r="W310" i="1"/>
  <c r="W341" i="1"/>
  <c r="CB279" i="1"/>
  <c r="CC279" i="1" s="1"/>
  <c r="W392" i="1"/>
  <c r="CE392" i="1" s="1"/>
  <c r="CD392" i="1" s="1"/>
  <c r="W365" i="1"/>
  <c r="W308" i="1"/>
  <c r="CE308" i="1" s="1"/>
  <c r="CD308" i="1" s="1"/>
  <c r="CD229" i="1"/>
  <c r="CE229" i="1" s="1"/>
  <c r="CF229" i="1" s="1"/>
  <c r="CP423" i="1"/>
  <c r="W417" i="1"/>
  <c r="W391" i="1"/>
  <c r="W364" i="1"/>
  <c r="W340" i="1"/>
  <c r="CE340" i="1" s="1"/>
  <c r="CD340" i="1" s="1"/>
  <c r="CB161" i="1"/>
  <c r="CC161" i="1" s="1"/>
  <c r="W390" i="1"/>
  <c r="CP363" i="1"/>
  <c r="W337" i="1"/>
  <c r="W295" i="1"/>
  <c r="CB187" i="1"/>
  <c r="CC187" i="1" s="1"/>
  <c r="CP414" i="1"/>
  <c r="W413" i="1"/>
  <c r="W374" i="1"/>
  <c r="W359" i="1"/>
  <c r="CE359" i="1" s="1"/>
  <c r="CD359" i="1" s="1"/>
  <c r="W335" i="1"/>
  <c r="W293" i="1"/>
  <c r="CD250" i="1"/>
  <c r="CE250" i="1" s="1"/>
  <c r="CF250" i="1" s="1"/>
  <c r="CG250" i="1" s="1"/>
  <c r="CH250" i="1" s="1"/>
  <c r="CI250" i="1" s="1"/>
  <c r="CJ250" i="1" s="1"/>
  <c r="CK250" i="1" s="1"/>
  <c r="M288" i="1"/>
  <c r="N288" i="1"/>
  <c r="I284" i="1"/>
  <c r="I285" i="1"/>
  <c r="I288" i="1"/>
  <c r="K288" i="1"/>
  <c r="L288" i="1"/>
  <c r="J288" i="1"/>
  <c r="W342" i="1"/>
  <c r="CE342" i="1" s="1"/>
  <c r="CD342" i="1" s="1"/>
  <c r="W412" i="1"/>
  <c r="W388" i="1"/>
  <c r="CE388" i="1" s="1"/>
  <c r="CD388" i="1" s="1"/>
  <c r="CP357" i="1"/>
  <c r="CP342" i="1"/>
  <c r="W411" i="1"/>
  <c r="W384" i="1"/>
  <c r="CE384" i="1" s="1"/>
  <c r="CD384" i="1" s="1"/>
  <c r="W356" i="1"/>
  <c r="CE356" i="1" s="1"/>
  <c r="CD356" i="1" s="1"/>
  <c r="W291" i="1"/>
  <c r="CE291" i="1" s="1"/>
  <c r="CD291" i="1" s="1"/>
  <c r="AJ293" i="1"/>
  <c r="W376" i="1"/>
  <c r="CB39" i="1"/>
  <c r="CC39" i="1" s="1"/>
  <c r="AJ325" i="1"/>
  <c r="AJ380" i="1"/>
  <c r="AJ456" i="1"/>
  <c r="CP354" i="1"/>
  <c r="S9" i="13"/>
  <c r="AJ365" i="1"/>
  <c r="T11" i="14"/>
  <c r="W186" i="1"/>
  <c r="AN38" i="1"/>
  <c r="AJ323" i="1"/>
  <c r="AJ351" i="1"/>
  <c r="AJ350" i="1"/>
  <c r="S26" i="1"/>
  <c r="CP314" i="1"/>
  <c r="CB459" i="1"/>
  <c r="R288" i="1"/>
  <c r="X285" i="1"/>
  <c r="P288" i="1"/>
  <c r="CD223" i="1"/>
  <c r="CE223" i="1" s="1"/>
  <c r="CF223" i="1" s="1"/>
  <c r="CP282" i="1"/>
  <c r="AJ308" i="1"/>
  <c r="CP346" i="1"/>
  <c r="CD208" i="1"/>
  <c r="CE208" i="1" s="1"/>
  <c r="CF208" i="1" s="1"/>
  <c r="AJ405" i="1"/>
  <c r="O288" i="1"/>
  <c r="CP343" i="1"/>
  <c r="AJ371" i="1"/>
  <c r="Z286" i="1"/>
  <c r="BF287" i="1"/>
  <c r="S288" i="1"/>
  <c r="Y286" i="1"/>
  <c r="CP335" i="1"/>
  <c r="CP413" i="1"/>
  <c r="AJ342" i="1"/>
  <c r="DP315" i="1"/>
  <c r="DB350" i="1"/>
  <c r="AJ392" i="1"/>
  <c r="AJ314" i="1"/>
  <c r="AJ391" i="1"/>
  <c r="CP340" i="1"/>
  <c r="AJ422" i="1"/>
  <c r="CB458" i="1"/>
  <c r="DB314" i="1"/>
  <c r="AJ324" i="1"/>
  <c r="AS288" i="1"/>
  <c r="CB461" i="1"/>
  <c r="AJ291" i="1"/>
  <c r="AI284" i="1"/>
  <c r="BN288" i="1"/>
  <c r="AJ326" i="1"/>
  <c r="BU287" i="1"/>
  <c r="BN287" i="1"/>
  <c r="AJ388" i="1"/>
  <c r="CP328" i="1"/>
  <c r="CD235" i="1"/>
  <c r="CE235" i="1" s="1"/>
  <c r="CF235" i="1" s="1"/>
  <c r="W475" i="1"/>
  <c r="AB475" i="1" s="1"/>
  <c r="CB475" i="1" s="1"/>
  <c r="AJ294" i="1"/>
  <c r="AJ367" i="1"/>
  <c r="W288" i="1"/>
  <c r="BT284" i="1"/>
  <c r="BM287" i="1"/>
  <c r="BA286" i="1"/>
  <c r="CP291" i="1"/>
  <c r="AI286" i="1"/>
  <c r="CB455" i="1"/>
  <c r="DB349" i="1"/>
  <c r="AJ347" i="1"/>
  <c r="BR287" i="1"/>
  <c r="AW286" i="1"/>
  <c r="AJ419" i="1"/>
  <c r="AH288" i="1"/>
  <c r="CP351" i="1"/>
  <c r="BG286" i="1"/>
  <c r="AV284" i="1"/>
  <c r="BZ284" i="1"/>
  <c r="AH476" i="1"/>
  <c r="AH477" i="1" s="1"/>
  <c r="Z458" i="1"/>
  <c r="CE232" i="1"/>
  <c r="AJ16" i="1"/>
  <c r="AJ366" i="1"/>
  <c r="CF232" i="1"/>
  <c r="AJ304" i="1"/>
  <c r="CP391" i="1"/>
  <c r="AJ15" i="1"/>
  <c r="AJ356" i="1"/>
  <c r="AJ364" i="1"/>
  <c r="AJ340" i="1"/>
  <c r="CP13" i="1"/>
  <c r="CP417" i="1"/>
  <c r="DB438" i="1"/>
  <c r="AJ415" i="1"/>
  <c r="CP348" i="1"/>
  <c r="CP364" i="1"/>
  <c r="CP359" i="1"/>
  <c r="AJ346" i="1"/>
  <c r="AJ309" i="1"/>
  <c r="BN286" i="1"/>
  <c r="AT288" i="1"/>
  <c r="W473" i="1"/>
  <c r="AB473" i="1" s="1"/>
  <c r="AJ473" i="1" s="1"/>
  <c r="AJ421" i="1"/>
  <c r="BY288" i="1"/>
  <c r="BR285" i="1"/>
  <c r="DB291" i="1"/>
  <c r="CP325" i="1"/>
  <c r="DB354" i="1"/>
  <c r="CP407" i="1"/>
  <c r="AH285" i="1"/>
  <c r="AB286" i="1"/>
  <c r="BX288" i="1"/>
  <c r="BQ287" i="1"/>
  <c r="DB420" i="1"/>
  <c r="CD93" i="1"/>
  <c r="CE93" i="1" s="1"/>
  <c r="CF93" i="1" s="1"/>
  <c r="BX286" i="1"/>
  <c r="BQ284" i="1"/>
  <c r="AZ288" i="1"/>
  <c r="CP356" i="1"/>
  <c r="CP350" i="1"/>
  <c r="AZ285" i="1"/>
  <c r="BW287" i="1"/>
  <c r="BH284" i="1"/>
  <c r="AP284" i="1"/>
  <c r="AJ399" i="1"/>
  <c r="AJ337" i="1"/>
  <c r="AJ363" i="1"/>
  <c r="BV288" i="1"/>
  <c r="BG288" i="1"/>
  <c r="AJ312" i="1"/>
  <c r="CP143" i="1"/>
  <c r="BQ285" i="1"/>
  <c r="AI285" i="1"/>
  <c r="BV286" i="1"/>
  <c r="BL287" i="1"/>
  <c r="BE284" i="1"/>
  <c r="AY288" i="1"/>
  <c r="AS286" i="1"/>
  <c r="DB434" i="1"/>
  <c r="BL285" i="1"/>
  <c r="CP418" i="1"/>
  <c r="DB433" i="1"/>
  <c r="W315" i="1"/>
  <c r="BD287" i="1"/>
  <c r="AX288" i="1"/>
  <c r="AR288" i="1"/>
  <c r="BU286" i="1"/>
  <c r="BP287" i="1"/>
  <c r="BK285" i="1"/>
  <c r="BD286" i="1"/>
  <c r="AN285" i="1"/>
  <c r="CP308" i="1"/>
  <c r="BU285" i="1"/>
  <c r="BD284" i="1"/>
  <c r="AW288" i="1"/>
  <c r="AN284" i="1"/>
  <c r="BZ286" i="1"/>
  <c r="AW287" i="1"/>
  <c r="AQ284" i="1"/>
  <c r="AJ383" i="1"/>
  <c r="BH286" i="1"/>
  <c r="BB288" i="1"/>
  <c r="AW284" i="1"/>
  <c r="AP288" i="1"/>
  <c r="CP341" i="1"/>
  <c r="AU284" i="1"/>
  <c r="AO288" i="1"/>
  <c r="AZ286" i="1"/>
  <c r="AO284" i="1"/>
  <c r="AJ369" i="1"/>
  <c r="AI476" i="1"/>
  <c r="DB315" i="1"/>
  <c r="W304" i="1"/>
  <c r="CP304" i="1"/>
  <c r="AJ368" i="1"/>
  <c r="CD217" i="1"/>
  <c r="CE217" i="1" s="1"/>
  <c r="CF217" i="1" s="1"/>
  <c r="W361" i="1"/>
  <c r="CE361" i="1" s="1"/>
  <c r="CD361" i="1" s="1"/>
  <c r="CP361" i="1"/>
  <c r="W357" i="1"/>
  <c r="CP331" i="1"/>
  <c r="W292" i="1"/>
  <c r="CP292" i="1"/>
  <c r="AJ420" i="1"/>
  <c r="AJ395" i="1"/>
  <c r="DB294" i="1"/>
  <c r="CP415" i="1"/>
  <c r="DB390" i="1"/>
  <c r="DB391" i="1"/>
  <c r="W410" i="1"/>
  <c r="CP410" i="1"/>
  <c r="DB290" i="1"/>
  <c r="AJ341" i="1"/>
  <c r="AJ374" i="1"/>
  <c r="AH463" i="1"/>
  <c r="AH465" i="1" s="1"/>
  <c r="AH466" i="1" s="1"/>
  <c r="W363" i="1"/>
  <c r="AJ377" i="1"/>
  <c r="AV425" i="1"/>
  <c r="W474" i="1"/>
  <c r="AB474" i="1" s="1"/>
  <c r="CM474" i="1" s="1"/>
  <c r="CP295" i="1"/>
  <c r="CP390" i="1"/>
  <c r="AJ348" i="1"/>
  <c r="CP337" i="1"/>
  <c r="DB398" i="1"/>
  <c r="W415" i="1"/>
  <c r="CE415" i="1" s="1"/>
  <c r="CD415" i="1" s="1"/>
  <c r="AJ414" i="1"/>
  <c r="CP419" i="1"/>
  <c r="AJ349" i="1"/>
  <c r="BW285" i="1"/>
  <c r="BP285" i="1"/>
  <c r="BM286" i="1"/>
  <c r="BI288" i="1"/>
  <c r="BF286" i="1"/>
  <c r="BC285" i="1"/>
  <c r="AY286" i="1"/>
  <c r="AV287" i="1"/>
  <c r="AR286" i="1"/>
  <c r="W286" i="1"/>
  <c r="AB284" i="1"/>
  <c r="BW284" i="1"/>
  <c r="BS288" i="1"/>
  <c r="BP284" i="1"/>
  <c r="BM285" i="1"/>
  <c r="BI287" i="1"/>
  <c r="BF284" i="1"/>
  <c r="BC284" i="1"/>
  <c r="AY284" i="1"/>
  <c r="AV286" i="1"/>
  <c r="AR285" i="1"/>
  <c r="AO286" i="1"/>
  <c r="AJ331" i="1"/>
  <c r="AJ378" i="1"/>
  <c r="BS287" i="1"/>
  <c r="BO425" i="1"/>
  <c r="BM284" i="1"/>
  <c r="BI286" i="1"/>
  <c r="AV285" i="1"/>
  <c r="AR284" i="1"/>
  <c r="AO285" i="1"/>
  <c r="AJ310" i="1"/>
  <c r="AJ359" i="1"/>
  <c r="BV287" i="1"/>
  <c r="BO288" i="1"/>
  <c r="BH288" i="1"/>
  <c r="AX287" i="1"/>
  <c r="BE286" i="1"/>
  <c r="BA288" i="1"/>
  <c r="AX286" i="1"/>
  <c r="AQ288" i="1"/>
  <c r="W423" i="1"/>
  <c r="AB288" i="1"/>
  <c r="BZ285" i="1"/>
  <c r="BV284" i="1"/>
  <c r="BR286" i="1"/>
  <c r="BO284" i="1"/>
  <c r="BL286" i="1"/>
  <c r="BH285" i="1"/>
  <c r="BE285" i="1"/>
  <c r="BA287" i="1"/>
  <c r="AX284" i="1"/>
  <c r="AU285" i="1"/>
  <c r="AQ286" i="1"/>
  <c r="AB285" i="1"/>
  <c r="BU288" i="1"/>
  <c r="BL284" i="1"/>
  <c r="BX287" i="1"/>
  <c r="BU284" i="1"/>
  <c r="BP425" i="1"/>
  <c r="BN284" i="1"/>
  <c r="BK284" i="1"/>
  <c r="BG284" i="1"/>
  <c r="BD285" i="1"/>
  <c r="AZ284" i="1"/>
  <c r="AW285" i="1"/>
  <c r="AP286" i="1"/>
  <c r="BT285" i="1"/>
  <c r="BM288" i="1"/>
  <c r="BJ288" i="1"/>
  <c r="BF288" i="1"/>
  <c r="CA476" i="1"/>
  <c r="AJ401" i="1"/>
  <c r="DB437" i="1"/>
  <c r="AJ389" i="1"/>
  <c r="I440" i="1"/>
  <c r="CD441" i="1"/>
  <c r="CE441" i="1"/>
  <c r="AH444" i="1"/>
  <c r="AJ373" i="1"/>
  <c r="O439" i="1"/>
  <c r="O440" i="1" s="1"/>
  <c r="W437" i="1"/>
  <c r="CK422" i="1"/>
  <c r="W472" i="1"/>
  <c r="AB472" i="1" s="1"/>
  <c r="CM472" i="1" s="1"/>
  <c r="AJ357" i="1"/>
  <c r="DB357" i="1"/>
  <c r="S442" i="1"/>
  <c r="DB436" i="1"/>
  <c r="DB435" i="1"/>
  <c r="DB293" i="1"/>
  <c r="CP438" i="1"/>
  <c r="AJ398" i="1"/>
  <c r="AJ319" i="1"/>
  <c r="W414" i="1"/>
  <c r="W389" i="1"/>
  <c r="CE389" i="1" s="1"/>
  <c r="CD389" i="1" s="1"/>
  <c r="W336" i="1"/>
  <c r="CP336" i="1"/>
  <c r="W294" i="1"/>
  <c r="CE294" i="1" s="1"/>
  <c r="CD294" i="1" s="1"/>
  <c r="AJ360" i="1"/>
  <c r="O425" i="1"/>
  <c r="W290" i="1"/>
  <c r="W187" i="1"/>
  <c r="BX425" i="1"/>
  <c r="BW288" i="1"/>
  <c r="BV285" i="1"/>
  <c r="BQ288" i="1"/>
  <c r="BP288" i="1"/>
  <c r="BO287" i="1"/>
  <c r="BN285" i="1"/>
  <c r="BG287" i="1"/>
  <c r="BF285" i="1"/>
  <c r="AY287" i="1"/>
  <c r="AX285" i="1"/>
  <c r="AQ287" i="1"/>
  <c r="AP285" i="1"/>
  <c r="BW286" i="1"/>
  <c r="BR288" i="1"/>
  <c r="BQ286" i="1"/>
  <c r="BP286" i="1"/>
  <c r="BO285" i="1"/>
  <c r="BH287" i="1"/>
  <c r="BG285" i="1"/>
  <c r="AY285" i="1"/>
  <c r="AR287" i="1"/>
  <c r="AQ285" i="1"/>
  <c r="BY287" i="1"/>
  <c r="BX285" i="1"/>
  <c r="BS286" i="1"/>
  <c r="BR284" i="1"/>
  <c r="BJ287" i="1"/>
  <c r="BI285" i="1"/>
  <c r="BB287" i="1"/>
  <c r="BA285" i="1"/>
  <c r="AS285" i="1"/>
  <c r="BY286" i="1"/>
  <c r="BX284" i="1"/>
  <c r="BT288" i="1"/>
  <c r="BS285" i="1"/>
  <c r="BK288" i="1"/>
  <c r="BJ286" i="1"/>
  <c r="BI284" i="1"/>
  <c r="BC288" i="1"/>
  <c r="BB286" i="1"/>
  <c r="BA284" i="1"/>
  <c r="AU288" i="1"/>
  <c r="AT286" i="1"/>
  <c r="AS284" i="1"/>
  <c r="BZ288" i="1"/>
  <c r="BY285" i="1"/>
  <c r="BT287" i="1"/>
  <c r="BS284" i="1"/>
  <c r="BK287" i="1"/>
  <c r="BJ285" i="1"/>
  <c r="BC287" i="1"/>
  <c r="BB285" i="1"/>
  <c r="AU287" i="1"/>
  <c r="AT285" i="1"/>
  <c r="AN287" i="1"/>
  <c r="BZ287" i="1"/>
  <c r="BY284" i="1"/>
  <c r="BT286" i="1"/>
  <c r="BL288" i="1"/>
  <c r="BK286" i="1"/>
  <c r="BJ284" i="1"/>
  <c r="BD288" i="1"/>
  <c r="BC286" i="1"/>
  <c r="BB284" i="1"/>
  <c r="AV288" i="1"/>
  <c r="AU286" i="1"/>
  <c r="AT284" i="1"/>
  <c r="AI463" i="1"/>
  <c r="AI279" i="1"/>
  <c r="CM279" i="1" s="1"/>
  <c r="CL136" i="1" l="1"/>
  <c r="CM475" i="1"/>
  <c r="CM473" i="1"/>
  <c r="CD417" i="1"/>
  <c r="CE417" i="1"/>
  <c r="CM45" i="1"/>
  <c r="CL476" i="1"/>
  <c r="CM476" i="1"/>
  <c r="CL73" i="1"/>
  <c r="CM257" i="1"/>
  <c r="CL74" i="1"/>
  <c r="AZ287" i="1"/>
  <c r="AZ283" i="1" s="1"/>
  <c r="AZ428" i="1" s="1"/>
  <c r="AZ432" i="1" s="1"/>
  <c r="CE304" i="1"/>
  <c r="CD304" i="1" s="1"/>
  <c r="AB136" i="1"/>
  <c r="CB45" i="1"/>
  <c r="CC45" i="1" s="1"/>
  <c r="CE410" i="1"/>
  <c r="CD410" i="1" s="1"/>
  <c r="AD410" i="1"/>
  <c r="CD368" i="1"/>
  <c r="CE368" i="1"/>
  <c r="CE390" i="1"/>
  <c r="CD390" i="1"/>
  <c r="CD373" i="1"/>
  <c r="CE373" i="1"/>
  <c r="CD374" i="1"/>
  <c r="CE374" i="1"/>
  <c r="CE391" i="1"/>
  <c r="CD391" i="1" s="1"/>
  <c r="CE376" i="1"/>
  <c r="CD376" i="1"/>
  <c r="CE369" i="1"/>
  <c r="CD369" i="1"/>
  <c r="CE407" i="1"/>
  <c r="CD407" i="1" s="1"/>
  <c r="CE401" i="1"/>
  <c r="CD401" i="1" s="1"/>
  <c r="CE295" i="1"/>
  <c r="CD295" i="1" s="1"/>
  <c r="CE399" i="1"/>
  <c r="CD399" i="1" s="1"/>
  <c r="CD310" i="1"/>
  <c r="CE310" i="1"/>
  <c r="CD314" i="1"/>
  <c r="CE314" i="1"/>
  <c r="CD411" i="1"/>
  <c r="CE411" i="1"/>
  <c r="CE348" i="1"/>
  <c r="CD348" i="1" s="1"/>
  <c r="CB315" i="1"/>
  <c r="CC315" i="1" s="1"/>
  <c r="CE341" i="1"/>
  <c r="CD341" i="1" s="1"/>
  <c r="CB343" i="1"/>
  <c r="CC343" i="1" s="1"/>
  <c r="CE336" i="1"/>
  <c r="CD336" i="1" s="1"/>
  <c r="CE347" i="1"/>
  <c r="CD347" i="1" s="1"/>
  <c r="CE337" i="1"/>
  <c r="CD337" i="1" s="1"/>
  <c r="CD349" i="1"/>
  <c r="CE349" i="1"/>
  <c r="CB412" i="1"/>
  <c r="CC412" i="1" s="1"/>
  <c r="CD335" i="1"/>
  <c r="CE335" i="1"/>
  <c r="CE414" i="1"/>
  <c r="CD414" i="1" s="1"/>
  <c r="CE365" i="1"/>
  <c r="CD365" i="1" s="1"/>
  <c r="CE363" i="1"/>
  <c r="CD363" i="1" s="1"/>
  <c r="CE412" i="1"/>
  <c r="CD412" i="1" s="1"/>
  <c r="CD312" i="1"/>
  <c r="CE312" i="1"/>
  <c r="CE405" i="1"/>
  <c r="CD405" i="1"/>
  <c r="CB407" i="1"/>
  <c r="CC407" i="1" s="1"/>
  <c r="CB413" i="1"/>
  <c r="CC413" i="1" s="1"/>
  <c r="CE331" i="1"/>
  <c r="CD331" i="1" s="1"/>
  <c r="CB295" i="1"/>
  <c r="CC295" i="1" s="1"/>
  <c r="CE293" i="1"/>
  <c r="CD293" i="1"/>
  <c r="CE357" i="1"/>
  <c r="CD357" i="1" s="1"/>
  <c r="CE364" i="1"/>
  <c r="CD364" i="1" s="1"/>
  <c r="CD406" i="1"/>
  <c r="CE406" i="1"/>
  <c r="CE343" i="1"/>
  <c r="CD343" i="1" s="1"/>
  <c r="CE315" i="1"/>
  <c r="CD315" i="1" s="1"/>
  <c r="CE325" i="1"/>
  <c r="CD325" i="1" s="1"/>
  <c r="CE413" i="1"/>
  <c r="CD413" i="1" s="1"/>
  <c r="CE321" i="1"/>
  <c r="CD321" i="1" s="1"/>
  <c r="AU283" i="1"/>
  <c r="AU289" i="1" s="1"/>
  <c r="AB73" i="1"/>
  <c r="CB73" i="1" s="1"/>
  <c r="CC73" i="1" s="1"/>
  <c r="AS38" i="1"/>
  <c r="AS12" i="1" s="1"/>
  <c r="CE292" i="1"/>
  <c r="CD292" i="1" s="1"/>
  <c r="CA285" i="1"/>
  <c r="CM285" i="1" s="1"/>
  <c r="CA288" i="1"/>
  <c r="CM288" i="1" s="1"/>
  <c r="CB292" i="1"/>
  <c r="CC292" i="1" s="1"/>
  <c r="CA286" i="1"/>
  <c r="CM286" i="1" s="1"/>
  <c r="CA284" i="1"/>
  <c r="CM284" i="1" s="1"/>
  <c r="CC288" i="1"/>
  <c r="CB288" i="1"/>
  <c r="CC284" i="1"/>
  <c r="CB284" i="1"/>
  <c r="CC285" i="1"/>
  <c r="CB285" i="1"/>
  <c r="CB286" i="1"/>
  <c r="CC286" i="1"/>
  <c r="CN279" i="1"/>
  <c r="BE287" i="1"/>
  <c r="BE283" i="1" s="1"/>
  <c r="BE428" i="1" s="1"/>
  <c r="AS287" i="1"/>
  <c r="AS283" i="1" s="1"/>
  <c r="AS289" i="1" s="1"/>
  <c r="AB74" i="1"/>
  <c r="CM74" i="1" s="1"/>
  <c r="AJ295" i="1"/>
  <c r="W425" i="1"/>
  <c r="CN343" i="1"/>
  <c r="CN476" i="1"/>
  <c r="DB292" i="1"/>
  <c r="CN292" i="1"/>
  <c r="CN185" i="1"/>
  <c r="CN13" i="1"/>
  <c r="AJ279" i="1"/>
  <c r="AJ412" i="1"/>
  <c r="AJ286" i="1"/>
  <c r="AJ45" i="1"/>
  <c r="BE38" i="1"/>
  <c r="BE12" i="1" s="1"/>
  <c r="DC398" i="1"/>
  <c r="DC354" i="1"/>
  <c r="DC292" i="1"/>
  <c r="DC293" i="1"/>
  <c r="DC350" i="1"/>
  <c r="DC294" i="1"/>
  <c r="CD422" i="1"/>
  <c r="DC349" i="1"/>
  <c r="DC413" i="1"/>
  <c r="DC315" i="1"/>
  <c r="W160" i="1"/>
  <c r="DC407" i="1"/>
  <c r="DC291" i="1"/>
  <c r="W143" i="1"/>
  <c r="CE423" i="1"/>
  <c r="DC314" i="1"/>
  <c r="W257" i="1"/>
  <c r="DC410" i="1"/>
  <c r="AZ38" i="1"/>
  <c r="AZ12" i="1" s="1"/>
  <c r="DC391" i="1"/>
  <c r="W279" i="1"/>
  <c r="AJ407" i="1"/>
  <c r="DB410" i="1"/>
  <c r="AJ284" i="1"/>
  <c r="DB407" i="1"/>
  <c r="AJ185" i="1"/>
  <c r="CE422" i="1"/>
  <c r="AJ285" i="1"/>
  <c r="W185" i="1"/>
  <c r="W13" i="1"/>
  <c r="W287" i="1"/>
  <c r="AN12" i="1"/>
  <c r="AH12" i="1"/>
  <c r="CD233" i="1"/>
  <c r="CE233" i="1" s="1"/>
  <c r="CF233" i="1" s="1"/>
  <c r="CD204" i="1"/>
  <c r="CE204" i="1" s="1"/>
  <c r="CF204" i="1" s="1"/>
  <c r="CD234" i="1"/>
  <c r="CE234" i="1" s="1"/>
  <c r="CF234" i="1" s="1"/>
  <c r="CD224" i="1"/>
  <c r="CE224" i="1" s="1"/>
  <c r="CF224" i="1" s="1"/>
  <c r="W26" i="1"/>
  <c r="S12" i="1"/>
  <c r="CD205" i="1"/>
  <c r="CE205" i="1" s="1"/>
  <c r="CF205" i="1" s="1"/>
  <c r="CD206" i="1"/>
  <c r="CE206" i="1" s="1"/>
  <c r="CF206" i="1" s="1"/>
  <c r="CD216" i="1"/>
  <c r="CE216" i="1" s="1"/>
  <c r="CF216" i="1" s="1"/>
  <c r="CD207" i="1"/>
  <c r="CE207" i="1" s="1"/>
  <c r="CF207" i="1" s="1"/>
  <c r="O12" i="1"/>
  <c r="CP12" i="1" s="1"/>
  <c r="CD50" i="1"/>
  <c r="CE50" i="1" s="1"/>
  <c r="CF50" i="1" s="1"/>
  <c r="AN283" i="1"/>
  <c r="AN428" i="1" s="1"/>
  <c r="DC390" i="1"/>
  <c r="CB185" i="1"/>
  <c r="CC185" i="1" s="1"/>
  <c r="CB160" i="1"/>
  <c r="CC160" i="1" s="1"/>
  <c r="CB257" i="1"/>
  <c r="CC257" i="1" s="1"/>
  <c r="CB473" i="1"/>
  <c r="W439" i="1"/>
  <c r="W440" i="1" s="1"/>
  <c r="AH468" i="1"/>
  <c r="M285" i="1"/>
  <c r="N285" i="1"/>
  <c r="J286" i="1"/>
  <c r="K286" i="1"/>
  <c r="I286" i="1"/>
  <c r="L286" i="1"/>
  <c r="M286" i="1"/>
  <c r="N286" i="1"/>
  <c r="J284" i="1"/>
  <c r="J287" i="1"/>
  <c r="J285" i="1"/>
  <c r="K284" i="1"/>
  <c r="K287" i="1"/>
  <c r="L284" i="1"/>
  <c r="L287" i="1"/>
  <c r="M284" i="1"/>
  <c r="M287" i="1"/>
  <c r="N284" i="1"/>
  <c r="N287" i="1"/>
  <c r="K285" i="1"/>
  <c r="L285" i="1"/>
  <c r="AI287" i="1"/>
  <c r="AI12" i="1"/>
  <c r="CD423" i="1"/>
  <c r="B10" i="13"/>
  <c r="B11" i="13" s="1"/>
  <c r="B12" i="13" s="1"/>
  <c r="C12" i="13" s="1"/>
  <c r="T12" i="14"/>
  <c r="CP288" i="1"/>
  <c r="AJ475" i="1"/>
  <c r="BL283" i="1"/>
  <c r="BL428" i="1" s="1"/>
  <c r="BL432" i="1" s="1"/>
  <c r="BL440" i="1" s="1"/>
  <c r="BL442" i="1" s="1"/>
  <c r="BN283" i="1"/>
  <c r="BN428" i="1" s="1"/>
  <c r="BN432" i="1" s="1"/>
  <c r="BN439" i="1" s="1"/>
  <c r="BM283" i="1"/>
  <c r="BM289" i="1" s="1"/>
  <c r="AJ315" i="1"/>
  <c r="AX283" i="1"/>
  <c r="AY519" i="1" s="1"/>
  <c r="AY521" i="1" s="1"/>
  <c r="CK425" i="1"/>
  <c r="CK428" i="1" s="1"/>
  <c r="AJ288" i="1"/>
  <c r="BV283" i="1"/>
  <c r="BV428" i="1" s="1"/>
  <c r="BV432" i="1" s="1"/>
  <c r="BD283" i="1"/>
  <c r="BD428" i="1" s="1"/>
  <c r="AR283" i="1"/>
  <c r="BH283" i="1"/>
  <c r="BH428" i="1" s="1"/>
  <c r="DC357" i="1"/>
  <c r="AJ474" i="1"/>
  <c r="CB474" i="1"/>
  <c r="BT283" i="1"/>
  <c r="BT428" i="1" s="1"/>
  <c r="BT432" i="1" s="1"/>
  <c r="BW283" i="1"/>
  <c r="BW428" i="1" s="1"/>
  <c r="BW432" i="1" s="1"/>
  <c r="BQ283" i="1"/>
  <c r="BQ428" i="1" s="1"/>
  <c r="BQ432" i="1" s="1"/>
  <c r="BQ439" i="1" s="1"/>
  <c r="BF283" i="1"/>
  <c r="BF428" i="1" s="1"/>
  <c r="AW283" i="1"/>
  <c r="AW289" i="1" s="1"/>
  <c r="AV283" i="1"/>
  <c r="AV428" i="1" s="1"/>
  <c r="AV432" i="1" s="1"/>
  <c r="BU283" i="1"/>
  <c r="BU428" i="1" s="1"/>
  <c r="BU432" i="1" s="1"/>
  <c r="BC283" i="1"/>
  <c r="BC428" i="1" s="1"/>
  <c r="BC432" i="1" s="1"/>
  <c r="BG283" i="1"/>
  <c r="BG428" i="1" s="1"/>
  <c r="BS283" i="1"/>
  <c r="BS428" i="1" s="1"/>
  <c r="BS432" i="1" s="1"/>
  <c r="BS440" i="1" s="1"/>
  <c r="BX283" i="1"/>
  <c r="BX428" i="1" s="1"/>
  <c r="CP279" i="1"/>
  <c r="AJ292" i="1"/>
  <c r="AJ343" i="1"/>
  <c r="AH284" i="1"/>
  <c r="AH283" i="1" s="1"/>
  <c r="AH428" i="1" s="1"/>
  <c r="BZ283" i="1"/>
  <c r="BZ428" i="1" s="1"/>
  <c r="BZ432" i="1" s="1"/>
  <c r="S477" i="1"/>
  <c r="AJ472" i="1"/>
  <c r="CB472" i="1"/>
  <c r="AQ283" i="1"/>
  <c r="AQ289" i="1" s="1"/>
  <c r="AY283" i="1"/>
  <c r="AY428" i="1" s="1"/>
  <c r="AY432" i="1" s="1"/>
  <c r="O285" i="1"/>
  <c r="O286" i="1"/>
  <c r="V286" i="1"/>
  <c r="Y284" i="1"/>
  <c r="Y279" i="1" s="1"/>
  <c r="O284" i="1"/>
  <c r="CL284" i="1" s="1"/>
  <c r="R284" i="1"/>
  <c r="U286" i="1"/>
  <c r="P284" i="1"/>
  <c r="Z284" i="1"/>
  <c r="Z279" i="1" s="1"/>
  <c r="X284" i="1"/>
  <c r="P285" i="1"/>
  <c r="U285" i="1"/>
  <c r="R286" i="1"/>
  <c r="P286" i="1"/>
  <c r="T286" i="1"/>
  <c r="S284" i="1"/>
  <c r="V284" i="1"/>
  <c r="Q284" i="1"/>
  <c r="U284" i="1"/>
  <c r="T285" i="1"/>
  <c r="S286" i="1"/>
  <c r="V285" i="1"/>
  <c r="Q286" i="1"/>
  <c r="Q285" i="1"/>
  <c r="R285" i="1"/>
  <c r="S285" i="1"/>
  <c r="T284" i="1"/>
  <c r="BB283" i="1"/>
  <c r="BB428" i="1" s="1"/>
  <c r="BB432" i="1" s="1"/>
  <c r="BA283" i="1"/>
  <c r="BA428" i="1" s="1"/>
  <c r="BA432" i="1" s="1"/>
  <c r="DC290" i="1"/>
  <c r="CP425" i="1"/>
  <c r="BR283" i="1"/>
  <c r="BR428" i="1" s="1"/>
  <c r="BR432" i="1" s="1"/>
  <c r="O442" i="1"/>
  <c r="O426" i="1"/>
  <c r="BJ283" i="1"/>
  <c r="BJ428" i="1" s="1"/>
  <c r="BI283" i="1"/>
  <c r="BI428" i="1" s="1"/>
  <c r="BO283" i="1"/>
  <c r="AJ413" i="1"/>
  <c r="CP439" i="1"/>
  <c r="DB413" i="1"/>
  <c r="I426" i="1"/>
  <c r="CP440" i="1"/>
  <c r="I442" i="1"/>
  <c r="BY283" i="1"/>
  <c r="BY428" i="1" s="1"/>
  <c r="BY432" i="1" s="1"/>
  <c r="BK283" i="1"/>
  <c r="BK428" i="1" s="1"/>
  <c r="BK432" i="1" s="1"/>
  <c r="BP283" i="1"/>
  <c r="BP428" i="1" s="1"/>
  <c r="BP432" i="1" s="1"/>
  <c r="CB136" i="1" l="1"/>
  <c r="CC136" i="1" s="1"/>
  <c r="CM136" i="1"/>
  <c r="BW440" i="1"/>
  <c r="BW442" i="1" s="1"/>
  <c r="BW429" i="1" s="1"/>
  <c r="BW446" i="1" s="1"/>
  <c r="BW447" i="1" s="1"/>
  <c r="BW448" i="1" s="1"/>
  <c r="CL285" i="1"/>
  <c r="CL286" i="1"/>
  <c r="CM73" i="1"/>
  <c r="M453" i="1"/>
  <c r="O453" i="1" s="1"/>
  <c r="W453" i="1" s="1"/>
  <c r="M452" i="1"/>
  <c r="O452" i="1" s="1"/>
  <c r="W452" i="1" s="1"/>
  <c r="CB74" i="1"/>
  <c r="CC74" i="1" s="1"/>
  <c r="CL288" i="1"/>
  <c r="I452" i="1"/>
  <c r="CP452" i="1" s="1"/>
  <c r="I453" i="1"/>
  <c r="AJ74" i="1"/>
  <c r="AJ73" i="1"/>
  <c r="CN136" i="1"/>
  <c r="AJ136" i="1"/>
  <c r="CN288" i="1"/>
  <c r="CN285" i="1"/>
  <c r="CN286" i="1"/>
  <c r="CN74" i="1"/>
  <c r="CN73" i="1"/>
  <c r="CN284" i="1"/>
  <c r="CN26" i="1"/>
  <c r="Z276" i="1"/>
  <c r="Z257" i="1" s="1"/>
  <c r="Z185" i="1" s="1"/>
  <c r="Z160" i="1" s="1"/>
  <c r="Z143" i="1" s="1"/>
  <c r="Z12" i="1" s="1"/>
  <c r="Y276" i="1"/>
  <c r="Y257" i="1" s="1"/>
  <c r="Y185" i="1" s="1"/>
  <c r="Y160" i="1" s="1"/>
  <c r="Y143" i="1" s="1"/>
  <c r="Y12" i="1" s="1"/>
  <c r="W283" i="1"/>
  <c r="AN289" i="1"/>
  <c r="L10" i="15"/>
  <c r="L11" i="15" s="1"/>
  <c r="O10" i="15"/>
  <c r="O11" i="15" s="1"/>
  <c r="BH432" i="1"/>
  <c r="BH439" i="1" s="1"/>
  <c r="X10" i="15"/>
  <c r="X11" i="15" s="1"/>
  <c r="BC439" i="1"/>
  <c r="S10" i="15"/>
  <c r="S11" i="15" s="1"/>
  <c r="BF432" i="1"/>
  <c r="BF439" i="1" s="1"/>
  <c r="V10" i="15"/>
  <c r="V11" i="15" s="1"/>
  <c r="BD432" i="1"/>
  <c r="BD439" i="1" s="1"/>
  <c r="T10" i="15"/>
  <c r="T11" i="15" s="1"/>
  <c r="AZ440" i="1"/>
  <c r="AZ442" i="1" s="1"/>
  <c r="P10" i="15"/>
  <c r="P11" i="15" s="1"/>
  <c r="BA440" i="1"/>
  <c r="BA442" i="1" s="1"/>
  <c r="Q10" i="15"/>
  <c r="Q11" i="15" s="1"/>
  <c r="BB439" i="1"/>
  <c r="R10" i="15"/>
  <c r="R11" i="15" s="1"/>
  <c r="BJ432" i="1"/>
  <c r="Z10" i="15"/>
  <c r="Z11" i="15" s="1"/>
  <c r="BE432" i="1"/>
  <c r="BE439" i="1" s="1"/>
  <c r="U10" i="15"/>
  <c r="U11" i="15" s="1"/>
  <c r="BI432" i="1"/>
  <c r="BI440" i="1" s="1"/>
  <c r="BI442" i="1" s="1"/>
  <c r="Y10" i="15"/>
  <c r="Y11" i="15" s="1"/>
  <c r="BG432" i="1"/>
  <c r="BG439" i="1" s="1"/>
  <c r="W10" i="15"/>
  <c r="W11" i="15" s="1"/>
  <c r="W12" i="1"/>
  <c r="W442" i="1"/>
  <c r="W477" i="1" s="1"/>
  <c r="O283" i="1"/>
  <c r="I283" i="1"/>
  <c r="BY439" i="1"/>
  <c r="BY440" i="1"/>
  <c r="BY442" i="1" s="1"/>
  <c r="BY429" i="1" s="1"/>
  <c r="BV439" i="1"/>
  <c r="BV440" i="1"/>
  <c r="BV442" i="1" s="1"/>
  <c r="BV429" i="1" s="1"/>
  <c r="BV446" i="1" s="1"/>
  <c r="BV447" i="1" s="1"/>
  <c r="BV448" i="1" s="1"/>
  <c r="BZ439" i="1"/>
  <c r="BZ440" i="1"/>
  <c r="BZ442" i="1" s="1"/>
  <c r="BZ429" i="1" s="1"/>
  <c r="BZ430" i="1" s="1"/>
  <c r="BU440" i="1"/>
  <c r="BU442" i="1" s="1"/>
  <c r="BU439" i="1"/>
  <c r="BX439" i="1"/>
  <c r="BX440" i="1"/>
  <c r="BX442" i="1" s="1"/>
  <c r="BX443" i="1" s="1"/>
  <c r="BT440" i="1"/>
  <c r="BT442" i="1" s="1"/>
  <c r="BT439" i="1"/>
  <c r="AI283" i="1"/>
  <c r="BN440" i="1"/>
  <c r="BN442" i="1" s="1"/>
  <c r="BN449" i="1" s="1"/>
  <c r="BN289" i="1"/>
  <c r="BL439" i="1"/>
  <c r="BL289" i="1"/>
  <c r="BM428" i="1"/>
  <c r="BM432" i="1" s="1"/>
  <c r="BM439" i="1" s="1"/>
  <c r="BT289" i="1"/>
  <c r="BD289" i="1"/>
  <c r="BF289" i="1"/>
  <c r="BG289" i="1"/>
  <c r="BH289" i="1"/>
  <c r="BV289" i="1"/>
  <c r="AR289" i="1"/>
  <c r="AX428" i="1"/>
  <c r="AX432" i="1" s="1"/>
  <c r="AX289" i="1"/>
  <c r="AZ289" i="1"/>
  <c r="BC289" i="1"/>
  <c r="BO289" i="1"/>
  <c r="BI289" i="1"/>
  <c r="BQ440" i="1"/>
  <c r="BQ442" i="1" s="1"/>
  <c r="BQ477" i="1" s="1"/>
  <c r="BE289" i="1"/>
  <c r="BY289" i="1"/>
  <c r="AV289" i="1"/>
  <c r="AW519" i="1"/>
  <c r="AW521" i="1" s="1"/>
  <c r="BQ289" i="1"/>
  <c r="BP289" i="1"/>
  <c r="BX289" i="1"/>
  <c r="AX519" i="1"/>
  <c r="AX521" i="1" s="1"/>
  <c r="AW428" i="1"/>
  <c r="AW432" i="1" s="1"/>
  <c r="BB289" i="1"/>
  <c r="BK289" i="1"/>
  <c r="BW289" i="1"/>
  <c r="BR289" i="1"/>
  <c r="BU289" i="1"/>
  <c r="BZ289" i="1"/>
  <c r="BJ289" i="1"/>
  <c r="V283" i="1"/>
  <c r="BS439" i="1"/>
  <c r="BS442" i="1"/>
  <c r="CP442" i="1"/>
  <c r="I451" i="1"/>
  <c r="I477" i="1"/>
  <c r="I450" i="1"/>
  <c r="CP285" i="1"/>
  <c r="AR519" i="1"/>
  <c r="AR521" i="1" s="1"/>
  <c r="AQ428" i="1"/>
  <c r="AQ432" i="1" s="1"/>
  <c r="CP426" i="1"/>
  <c r="M451" i="1"/>
  <c r="O451" i="1" s="1"/>
  <c r="W451" i="1" s="1"/>
  <c r="M450" i="1"/>
  <c r="O477" i="1"/>
  <c r="BA289" i="1"/>
  <c r="DC425" i="1"/>
  <c r="T283" i="1"/>
  <c r="BP440" i="1"/>
  <c r="BP442" i="1" s="1"/>
  <c r="BP439" i="1"/>
  <c r="W426" i="1"/>
  <c r="BK440" i="1"/>
  <c r="BK442" i="1" s="1"/>
  <c r="BK439" i="1"/>
  <c r="BR440" i="1"/>
  <c r="BR442" i="1" s="1"/>
  <c r="BR439" i="1"/>
  <c r="CP284" i="1"/>
  <c r="AU428" i="1"/>
  <c r="AU432" i="1" s="1"/>
  <c r="AV519" i="1"/>
  <c r="AV521" i="1" s="1"/>
  <c r="U283" i="1"/>
  <c r="AT519" i="1"/>
  <c r="AT521" i="1" s="1"/>
  <c r="AS428" i="1"/>
  <c r="AS432" i="1" s="1"/>
  <c r="G10" i="13"/>
  <c r="G11" i="13" s="1"/>
  <c r="J10" i="13"/>
  <c r="J11" i="13" s="1"/>
  <c r="AY289" i="1"/>
  <c r="S283" i="1"/>
  <c r="S428" i="1" s="1"/>
  <c r="S429" i="1" s="1"/>
  <c r="CP286" i="1"/>
  <c r="BS289" i="1"/>
  <c r="BL429" i="1"/>
  <c r="BL449" i="1"/>
  <c r="BL477" i="1"/>
  <c r="BW439" i="1" l="1"/>
  <c r="BL453" i="1"/>
  <c r="BL452" i="1"/>
  <c r="BN452" i="1"/>
  <c r="BN453" i="1"/>
  <c r="W428" i="1"/>
  <c r="O428" i="1"/>
  <c r="BJ440" i="1"/>
  <c r="BJ442" i="1" s="1"/>
  <c r="BJ449" i="1" s="1"/>
  <c r="BC440" i="1"/>
  <c r="BC442" i="1" s="1"/>
  <c r="BC449" i="1" s="1"/>
  <c r="DC12" i="1"/>
  <c r="I463" i="1"/>
  <c r="BF440" i="1"/>
  <c r="BF442" i="1" s="1"/>
  <c r="BF429" i="1" s="1"/>
  <c r="BF446" i="1" s="1"/>
  <c r="BF447" i="1" s="1"/>
  <c r="BF448" i="1" s="1"/>
  <c r="BE440" i="1"/>
  <c r="BE442" i="1" s="1"/>
  <c r="BE449" i="1" s="1"/>
  <c r="BD440" i="1"/>
  <c r="BD442" i="1" s="1"/>
  <c r="BD477" i="1" s="1"/>
  <c r="BI439" i="1"/>
  <c r="K10" i="15"/>
  <c r="K11" i="15" s="1"/>
  <c r="BN450" i="1"/>
  <c r="BN451" i="1"/>
  <c r="M10" i="15"/>
  <c r="M11" i="15" s="1"/>
  <c r="BG440" i="1"/>
  <c r="BG442" i="1" s="1"/>
  <c r="BG449" i="1" s="1"/>
  <c r="G10" i="15"/>
  <c r="G11" i="15" s="1"/>
  <c r="I10" i="15"/>
  <c r="I11" i="15" s="1"/>
  <c r="BH440" i="1"/>
  <c r="BH442" i="1" s="1"/>
  <c r="BH449" i="1" s="1"/>
  <c r="BL450" i="1"/>
  <c r="BL451" i="1"/>
  <c r="BB440" i="1"/>
  <c r="BB442" i="1" s="1"/>
  <c r="BB449" i="1" s="1"/>
  <c r="BJ439" i="1"/>
  <c r="AX440" i="1"/>
  <c r="AX442" i="1" s="1"/>
  <c r="N10" i="15"/>
  <c r="N11" i="15" s="1"/>
  <c r="BA439" i="1"/>
  <c r="AZ439" i="1"/>
  <c r="AH289" i="1"/>
  <c r="BV477" i="1"/>
  <c r="BV449" i="1"/>
  <c r="BW449" i="1"/>
  <c r="BW477" i="1"/>
  <c r="BT477" i="1"/>
  <c r="BT429" i="1"/>
  <c r="BT446" i="1" s="1"/>
  <c r="BT447" i="1" s="1"/>
  <c r="BT448" i="1" s="1"/>
  <c r="BT449" i="1"/>
  <c r="AI289" i="1"/>
  <c r="BN477" i="1"/>
  <c r="BN429" i="1"/>
  <c r="BN430" i="1" s="1"/>
  <c r="BM440" i="1"/>
  <c r="BM442" i="1" s="1"/>
  <c r="BM429" i="1" s="1"/>
  <c r="I10" i="13"/>
  <c r="I11" i="13" s="1"/>
  <c r="CP451" i="1"/>
  <c r="BQ429" i="1"/>
  <c r="BQ446" i="1" s="1"/>
  <c r="BQ447" i="1" s="1"/>
  <c r="BQ448" i="1" s="1"/>
  <c r="BQ449" i="1"/>
  <c r="S289" i="1"/>
  <c r="W289" i="1"/>
  <c r="BU477" i="1"/>
  <c r="BU449" i="1"/>
  <c r="BU429" i="1"/>
  <c r="BU446" i="1" s="1"/>
  <c r="BU447" i="1" s="1"/>
  <c r="BU448" i="1" s="1"/>
  <c r="H10" i="13"/>
  <c r="H11" i="13" s="1"/>
  <c r="AY440" i="1"/>
  <c r="AY442" i="1" s="1"/>
  <c r="AY439" i="1"/>
  <c r="BY446" i="1"/>
  <c r="BY477" i="1"/>
  <c r="BY449" i="1"/>
  <c r="O289" i="1"/>
  <c r="BA449" i="1"/>
  <c r="BA429" i="1"/>
  <c r="BA477" i="1"/>
  <c r="AV439" i="1"/>
  <c r="AV440" i="1"/>
  <c r="AV442" i="1" s="1"/>
  <c r="BS429" i="1"/>
  <c r="BS449" i="1"/>
  <c r="BS477" i="1"/>
  <c r="D10" i="13"/>
  <c r="BR449" i="1"/>
  <c r="BR429" i="1"/>
  <c r="BR477" i="1"/>
  <c r="BL446" i="1"/>
  <c r="BL447" i="1" s="1"/>
  <c r="BL448" i="1" s="1"/>
  <c r="BL430" i="1"/>
  <c r="BX449" i="1"/>
  <c r="BX477" i="1"/>
  <c r="BX429" i="1"/>
  <c r="BX446" i="1" s="1"/>
  <c r="BX447" i="1" s="1"/>
  <c r="BX448" i="1" s="1"/>
  <c r="BV430" i="1"/>
  <c r="AZ449" i="1"/>
  <c r="AZ429" i="1"/>
  <c r="AZ477" i="1"/>
  <c r="BP449" i="1"/>
  <c r="BP477" i="1"/>
  <c r="BP429" i="1"/>
  <c r="BI429" i="1"/>
  <c r="BI477" i="1"/>
  <c r="BI449" i="1"/>
  <c r="BZ449" i="1"/>
  <c r="BZ446" i="1"/>
  <c r="BZ477" i="1"/>
  <c r="O450" i="1"/>
  <c r="O463" i="1" s="1"/>
  <c r="M463" i="1"/>
  <c r="BW430" i="1"/>
  <c r="BK449" i="1"/>
  <c r="BK429" i="1"/>
  <c r="BK477" i="1"/>
  <c r="S430" i="1"/>
  <c r="S446" i="1"/>
  <c r="CP477" i="1"/>
  <c r="F10" i="13"/>
  <c r="F11" i="13" s="1"/>
  <c r="BQ453" i="1" l="1"/>
  <c r="BQ452" i="1"/>
  <c r="BY451" i="1"/>
  <c r="BY453" i="1"/>
  <c r="BY452" i="1"/>
  <c r="BJ453" i="1"/>
  <c r="BJ452" i="1"/>
  <c r="AZ452" i="1"/>
  <c r="AZ453" i="1"/>
  <c r="BE451" i="1"/>
  <c r="BE453" i="1"/>
  <c r="BE452" i="1"/>
  <c r="BA452" i="1"/>
  <c r="BA453" i="1"/>
  <c r="BX453" i="1"/>
  <c r="BX452" i="1"/>
  <c r="BT452" i="1"/>
  <c r="BT453" i="1"/>
  <c r="BK453" i="1"/>
  <c r="BK452" i="1"/>
  <c r="BP452" i="1"/>
  <c r="BP453" i="1"/>
  <c r="BB453" i="1"/>
  <c r="BB452" i="1"/>
  <c r="BC450" i="1"/>
  <c r="BC453" i="1"/>
  <c r="BC452" i="1"/>
  <c r="BI453" i="1"/>
  <c r="BI452" i="1"/>
  <c r="BG453" i="1"/>
  <c r="BG452" i="1"/>
  <c r="BZ453" i="1"/>
  <c r="BZ452" i="1"/>
  <c r="BR453" i="1"/>
  <c r="BR452" i="1"/>
  <c r="BH453" i="1"/>
  <c r="BH452" i="1"/>
  <c r="BU452" i="1"/>
  <c r="BU453" i="1"/>
  <c r="BS453" i="1"/>
  <c r="BS452" i="1"/>
  <c r="BV453" i="1"/>
  <c r="BV452" i="1"/>
  <c r="BW452" i="1"/>
  <c r="BW453" i="1"/>
  <c r="BY447" i="1"/>
  <c r="BY448" i="1" s="1"/>
  <c r="O429" i="1"/>
  <c r="BF477" i="1"/>
  <c r="BC451" i="1"/>
  <c r="BC429" i="1"/>
  <c r="BC446" i="1" s="1"/>
  <c r="BC447" i="1" s="1"/>
  <c r="BC448" i="1" s="1"/>
  <c r="BJ477" i="1"/>
  <c r="BJ429" i="1"/>
  <c r="BJ446" i="1" s="1"/>
  <c r="BJ447" i="1" s="1"/>
  <c r="BJ448" i="1" s="1"/>
  <c r="BC477" i="1"/>
  <c r="BE450" i="1"/>
  <c r="BE429" i="1"/>
  <c r="BE446" i="1" s="1"/>
  <c r="BE447" i="1" s="1"/>
  <c r="BE448" i="1" s="1"/>
  <c r="BE477" i="1"/>
  <c r="BZ447" i="1"/>
  <c r="BZ448" i="1" s="1"/>
  <c r="BF430" i="1"/>
  <c r="BF449" i="1"/>
  <c r="BH429" i="1"/>
  <c r="BH446" i="1" s="1"/>
  <c r="BH447" i="1" s="1"/>
  <c r="BH448" i="1" s="1"/>
  <c r="BD429" i="1"/>
  <c r="BD446" i="1" s="1"/>
  <c r="BD447" i="1" s="1"/>
  <c r="BD448" i="1" s="1"/>
  <c r="BD449" i="1"/>
  <c r="BB429" i="1"/>
  <c r="BB430" i="1" s="1"/>
  <c r="BH477" i="1"/>
  <c r="AX439" i="1"/>
  <c r="BK443" i="1"/>
  <c r="BB450" i="1"/>
  <c r="BB451" i="1"/>
  <c r="BJ451" i="1"/>
  <c r="BJ450" i="1"/>
  <c r="BG450" i="1"/>
  <c r="BG451" i="1"/>
  <c r="BW450" i="1"/>
  <c r="BW451" i="1"/>
  <c r="BZ451" i="1"/>
  <c r="BZ450" i="1"/>
  <c r="BI451" i="1"/>
  <c r="BI450" i="1"/>
  <c r="BS450" i="1"/>
  <c r="BS451" i="1"/>
  <c r="BH451" i="1"/>
  <c r="BH450" i="1"/>
  <c r="BR450" i="1"/>
  <c r="BR451" i="1"/>
  <c r="BK451" i="1"/>
  <c r="BK450" i="1"/>
  <c r="BA451" i="1"/>
  <c r="BA450" i="1"/>
  <c r="BP450" i="1"/>
  <c r="BP451" i="1"/>
  <c r="BQ451" i="1"/>
  <c r="BQ450" i="1"/>
  <c r="AZ450" i="1"/>
  <c r="AZ451" i="1"/>
  <c r="BT451" i="1"/>
  <c r="BT450" i="1"/>
  <c r="BG477" i="1"/>
  <c r="BG429" i="1"/>
  <c r="BG430" i="1" s="1"/>
  <c r="BB477" i="1"/>
  <c r="BY450" i="1"/>
  <c r="BX451" i="1"/>
  <c r="BX450" i="1"/>
  <c r="BV450" i="1"/>
  <c r="BV451" i="1"/>
  <c r="BU451" i="1"/>
  <c r="BU450" i="1"/>
  <c r="BT430" i="1"/>
  <c r="BN463" i="1"/>
  <c r="BN446" i="1"/>
  <c r="BN447" i="1" s="1"/>
  <c r="BN448" i="1" s="1"/>
  <c r="BM449" i="1"/>
  <c r="BM477" i="1"/>
  <c r="BQ430" i="1"/>
  <c r="W446" i="1"/>
  <c r="W448" i="1" s="1"/>
  <c r="W429" i="1"/>
  <c r="AW439" i="1"/>
  <c r="AW440" i="1"/>
  <c r="AW442" i="1" s="1"/>
  <c r="BU430" i="1"/>
  <c r="AQ440" i="1"/>
  <c r="AQ439" i="1"/>
  <c r="AX449" i="1"/>
  <c r="AX477" i="1"/>
  <c r="AX429" i="1"/>
  <c r="AV429" i="1"/>
  <c r="AV449" i="1"/>
  <c r="AV477" i="1"/>
  <c r="BM446" i="1"/>
  <c r="BM447" i="1" s="1"/>
  <c r="BM448" i="1" s="1"/>
  <c r="BM430" i="1"/>
  <c r="CP463" i="1"/>
  <c r="W450" i="1"/>
  <c r="W463" i="1" s="1"/>
  <c r="BA446" i="1"/>
  <c r="BA447" i="1" s="1"/>
  <c r="BA448" i="1" s="1"/>
  <c r="BA430" i="1"/>
  <c r="D11" i="13"/>
  <c r="D12" i="13" s="1"/>
  <c r="S465" i="1"/>
  <c r="S448" i="1"/>
  <c r="AS439" i="1"/>
  <c r="AS440" i="1"/>
  <c r="AS442" i="1" s="1"/>
  <c r="BK446" i="1"/>
  <c r="BK447" i="1" s="1"/>
  <c r="BK448" i="1" s="1"/>
  <c r="BK430" i="1"/>
  <c r="BL463" i="1"/>
  <c r="AZ446" i="1"/>
  <c r="AZ447" i="1" s="1"/>
  <c r="AZ448" i="1" s="1"/>
  <c r="AZ430" i="1"/>
  <c r="BI430" i="1"/>
  <c r="BI446" i="1"/>
  <c r="BI447" i="1" s="1"/>
  <c r="BI448" i="1" s="1"/>
  <c r="CP450" i="1"/>
  <c r="BR446" i="1"/>
  <c r="BR447" i="1" s="1"/>
  <c r="BR448" i="1" s="1"/>
  <c r="BR430" i="1"/>
  <c r="BS446" i="1"/>
  <c r="BS447" i="1" s="1"/>
  <c r="BS448" i="1" s="1"/>
  <c r="BS430" i="1"/>
  <c r="BY430" i="1"/>
  <c r="BX430" i="1"/>
  <c r="AY449" i="1"/>
  <c r="AY429" i="1"/>
  <c r="AY477" i="1"/>
  <c r="BP446" i="1"/>
  <c r="BP447" i="1" s="1"/>
  <c r="BP448" i="1" s="1"/>
  <c r="BP430" i="1"/>
  <c r="AU440" i="1"/>
  <c r="AU442" i="1" s="1"/>
  <c r="AU439" i="1"/>
  <c r="BY463" i="1" l="1"/>
  <c r="BM453" i="1"/>
  <c r="BM452" i="1"/>
  <c r="AX452" i="1"/>
  <c r="AX453" i="1"/>
  <c r="AY452" i="1"/>
  <c r="AY453" i="1"/>
  <c r="BD451" i="1"/>
  <c r="BD452" i="1"/>
  <c r="BD453" i="1"/>
  <c r="AV452" i="1"/>
  <c r="AV453" i="1"/>
  <c r="BF451" i="1"/>
  <c r="BF453" i="1"/>
  <c r="BF452" i="1"/>
  <c r="BE463" i="1"/>
  <c r="BC463" i="1"/>
  <c r="BX463" i="1"/>
  <c r="BW463" i="1"/>
  <c r="BV463" i="1"/>
  <c r="BJ430" i="1"/>
  <c r="BC430" i="1"/>
  <c r="BF450" i="1"/>
  <c r="W430" i="1"/>
  <c r="BE430" i="1"/>
  <c r="BD450" i="1"/>
  <c r="BT463" i="1"/>
  <c r="BH463" i="1"/>
  <c r="BD430" i="1"/>
  <c r="BH430" i="1"/>
  <c r="BB446" i="1"/>
  <c r="BB447" i="1" s="1"/>
  <c r="BB448" i="1" s="1"/>
  <c r="BG446" i="1"/>
  <c r="BG447" i="1" s="1"/>
  <c r="BG448" i="1" s="1"/>
  <c r="BZ463" i="1"/>
  <c r="BQ463" i="1"/>
  <c r="BG463" i="1"/>
  <c r="AX451" i="1"/>
  <c r="AX450" i="1"/>
  <c r="AY450" i="1"/>
  <c r="AY451" i="1"/>
  <c r="AV451" i="1"/>
  <c r="AV450" i="1"/>
  <c r="BM450" i="1"/>
  <c r="BM451" i="1"/>
  <c r="BS463" i="1"/>
  <c r="BB463" i="1"/>
  <c r="BP463" i="1"/>
  <c r="BI463" i="1"/>
  <c r="W465" i="1"/>
  <c r="W468" i="1" s="1"/>
  <c r="W469" i="1" s="1"/>
  <c r="BU463" i="1"/>
  <c r="AW449" i="1"/>
  <c r="AW477" i="1"/>
  <c r="AW429" i="1"/>
  <c r="BA463" i="1"/>
  <c r="AV446" i="1"/>
  <c r="AV447" i="1" s="1"/>
  <c r="AV448" i="1" s="1"/>
  <c r="AV430" i="1"/>
  <c r="AX446" i="1"/>
  <c r="AX447" i="1" s="1"/>
  <c r="AX448" i="1" s="1"/>
  <c r="AX430" i="1"/>
  <c r="AY446" i="1"/>
  <c r="AY447" i="1" s="1"/>
  <c r="AY448" i="1" s="1"/>
  <c r="AY430" i="1"/>
  <c r="BJ463" i="1"/>
  <c r="AU449" i="1"/>
  <c r="AU429" i="1"/>
  <c r="AU477" i="1"/>
  <c r="O430" i="1"/>
  <c r="O446" i="1"/>
  <c r="AQ442" i="1"/>
  <c r="AZ463" i="1"/>
  <c r="S468" i="1"/>
  <c r="S469" i="1" s="1"/>
  <c r="S466" i="1"/>
  <c r="BR463" i="1"/>
  <c r="BK463" i="1"/>
  <c r="AS429" i="1"/>
  <c r="AS449" i="1"/>
  <c r="AS477" i="1"/>
  <c r="BD463" i="1" l="1"/>
  <c r="AS453" i="1"/>
  <c r="AS452" i="1"/>
  <c r="BF463" i="1"/>
  <c r="AW453" i="1"/>
  <c r="AW452" i="1"/>
  <c r="AU453" i="1"/>
  <c r="AU452" i="1"/>
  <c r="BM463" i="1"/>
  <c r="O448" i="1"/>
  <c r="AU451" i="1"/>
  <c r="AU450" i="1"/>
  <c r="AS451" i="1"/>
  <c r="AS450" i="1"/>
  <c r="AW451" i="1"/>
  <c r="AW450" i="1"/>
  <c r="AX463" i="1"/>
  <c r="AV463" i="1"/>
  <c r="W466" i="1"/>
  <c r="AW446" i="1"/>
  <c r="AW447" i="1" s="1"/>
  <c r="AW448" i="1" s="1"/>
  <c r="AW430" i="1"/>
  <c r="AU446" i="1"/>
  <c r="AU447" i="1" s="1"/>
  <c r="AU448" i="1" s="1"/>
  <c r="AU430" i="1"/>
  <c r="AQ449" i="1"/>
  <c r="AQ429" i="1"/>
  <c r="AQ477" i="1"/>
  <c r="AY463" i="1"/>
  <c r="O465" i="1"/>
  <c r="AS446" i="1"/>
  <c r="AS447" i="1" s="1"/>
  <c r="AS448" i="1" s="1"/>
  <c r="AS430" i="1"/>
  <c r="AQ453" i="1" l="1"/>
  <c r="AQ452" i="1"/>
  <c r="AQ450" i="1"/>
  <c r="AQ451" i="1"/>
  <c r="AW463" i="1"/>
  <c r="AU463" i="1"/>
  <c r="AS463" i="1"/>
  <c r="AQ446" i="1"/>
  <c r="AQ430" i="1"/>
  <c r="O468" i="1"/>
  <c r="O466" i="1"/>
  <c r="O469" i="1" l="1"/>
  <c r="AQ447" i="1"/>
  <c r="AQ463" i="1"/>
  <c r="AQ448" i="1" l="1"/>
  <c r="CP287" i="1" l="1"/>
  <c r="I428" i="1"/>
  <c r="I429" i="1" s="1"/>
  <c r="I430" i="1" s="1"/>
  <c r="CP430" i="1" s="1"/>
  <c r="I289" i="1" l="1"/>
  <c r="CP289" i="1" s="1"/>
  <c r="CP283" i="1"/>
  <c r="CP428" i="1"/>
  <c r="I446" i="1"/>
  <c r="CP429" i="1"/>
  <c r="CP446" i="1" l="1"/>
  <c r="I448" i="1"/>
  <c r="CP448" i="1" s="1"/>
  <c r="I465" i="1"/>
  <c r="I468" i="1" l="1"/>
  <c r="CP468" i="1" s="1"/>
  <c r="I466" i="1"/>
  <c r="CP465" i="1"/>
  <c r="CP466" i="1" l="1"/>
  <c r="I469" i="1"/>
  <c r="CP469" i="1" s="1"/>
  <c r="AB35" i="1" l="1"/>
  <c r="AB32" i="1"/>
  <c r="CM32" i="1" s="1"/>
  <c r="AB34" i="1"/>
  <c r="CM34" i="1" s="1"/>
  <c r="AB28" i="1"/>
  <c r="CM28" i="1" s="1"/>
  <c r="AB33" i="1"/>
  <c r="CM33" i="1" s="1"/>
  <c r="AB27" i="1"/>
  <c r="CM27" i="1" s="1"/>
  <c r="AB36" i="1"/>
  <c r="AB30" i="1"/>
  <c r="AB31" i="1"/>
  <c r="CM31" i="1" l="1"/>
  <c r="CB31" i="1"/>
  <c r="CC31" i="1" s="1"/>
  <c r="CM30" i="1"/>
  <c r="CB30" i="1"/>
  <c r="CC30" i="1" s="1"/>
  <c r="CB36" i="1"/>
  <c r="CC36" i="1"/>
  <c r="CM36" i="1"/>
  <c r="CB35" i="1"/>
  <c r="CC35" i="1" s="1"/>
  <c r="CM35" i="1"/>
  <c r="AJ31" i="1"/>
  <c r="AJ30" i="1"/>
  <c r="CB28" i="1"/>
  <c r="CC28" i="1" s="1"/>
  <c r="CB27" i="1"/>
  <c r="CC27" i="1" s="1"/>
  <c r="CB33" i="1"/>
  <c r="CC33" i="1" s="1"/>
  <c r="CB32" i="1"/>
  <c r="CC32" i="1" s="1"/>
  <c r="CB34" i="1"/>
  <c r="CC34" i="1" s="1"/>
  <c r="AB26" i="1"/>
  <c r="CM26" i="1" s="1"/>
  <c r="AJ33" i="1"/>
  <c r="AJ32" i="1"/>
  <c r="AJ28" i="1"/>
  <c r="AJ27" i="1"/>
  <c r="AJ36" i="1"/>
  <c r="AJ34" i="1"/>
  <c r="AJ35" i="1"/>
  <c r="CB26" i="1" l="1"/>
  <c r="CC26" i="1" s="1"/>
  <c r="AP38" i="1" l="1"/>
  <c r="AP12" i="1" s="1"/>
  <c r="AP287" i="1"/>
  <c r="AB56" i="1"/>
  <c r="CB56" i="1" l="1"/>
  <c r="CC56" i="1" s="1"/>
  <c r="CM56" i="1"/>
  <c r="AJ56" i="1"/>
  <c r="AP283" i="1"/>
  <c r="AP428" i="1" s="1"/>
  <c r="AQ519" i="1" l="1"/>
  <c r="AQ521" i="1" s="1"/>
  <c r="AP432" i="1"/>
  <c r="AP289" i="1"/>
  <c r="F10" i="15" l="1"/>
  <c r="F11" i="15" s="1"/>
  <c r="AP439" i="1" l="1"/>
  <c r="AP440" i="1"/>
  <c r="AP442" i="1" l="1"/>
  <c r="AP477" i="1" l="1"/>
  <c r="AP429" i="1"/>
  <c r="AP449" i="1"/>
  <c r="AP452" i="1" l="1"/>
  <c r="AP453" i="1"/>
  <c r="AP450" i="1"/>
  <c r="AP451" i="1"/>
  <c r="AP430" i="1"/>
  <c r="AP446" i="1"/>
  <c r="AP463" i="1" l="1"/>
  <c r="AP447" i="1"/>
  <c r="AP448" i="1" s="1"/>
  <c r="AB381" i="1" l="1"/>
  <c r="AR425" i="1"/>
  <c r="CM381" i="1" l="1"/>
  <c r="AL425" i="1"/>
  <c r="AB425" i="1"/>
  <c r="CB381" i="1"/>
  <c r="CC381" i="1" s="1"/>
  <c r="CE381" i="1"/>
  <c r="AJ381" i="1"/>
  <c r="AS519" i="1"/>
  <c r="AS521" i="1" s="1"/>
  <c r="AR428" i="1"/>
  <c r="AR432" i="1" s="1"/>
  <c r="H10" i="15" l="1"/>
  <c r="AR440" i="1" l="1"/>
  <c r="AR439" i="1"/>
  <c r="H11" i="15"/>
  <c r="AR442" i="1" l="1"/>
  <c r="AR477" i="1" l="1"/>
  <c r="AR429" i="1"/>
  <c r="AR449" i="1"/>
  <c r="AR452" i="1" l="1"/>
  <c r="AR453" i="1"/>
  <c r="AR451" i="1"/>
  <c r="AR450" i="1"/>
  <c r="AR430" i="1"/>
  <c r="AR446" i="1"/>
  <c r="AR447" i="1" l="1"/>
  <c r="AR463" i="1"/>
  <c r="AR448" i="1" l="1"/>
  <c r="AI425" i="1"/>
  <c r="CB402" i="1" l="1"/>
  <c r="CC402" i="1" s="1"/>
  <c r="CE402" i="1"/>
  <c r="CD402" i="1" s="1"/>
  <c r="D10" i="15"/>
  <c r="D11" i="15" s="1"/>
  <c r="AI428" i="1"/>
  <c r="CN402" i="1"/>
  <c r="AJ402" i="1"/>
  <c r="AO519" i="1"/>
  <c r="AO521" i="1" s="1"/>
  <c r="CE425" i="1" l="1"/>
  <c r="CD425" i="1" s="1"/>
  <c r="AN440" i="1"/>
  <c r="AN439" i="1"/>
  <c r="AN442" i="1" l="1"/>
  <c r="AN429" i="1" s="1"/>
  <c r="AN446" i="1" s="1"/>
  <c r="AN465" i="1" s="1"/>
  <c r="AN449" i="1" l="1"/>
  <c r="AN477" i="1"/>
  <c r="AN447" i="1"/>
  <c r="AN448" i="1" s="1"/>
  <c r="AN430" i="1"/>
  <c r="AO143" i="1" l="1"/>
  <c r="AB157" i="1"/>
  <c r="CM157" i="1" s="1"/>
  <c r="AO287" i="1"/>
  <c r="AB143" i="1" l="1"/>
  <c r="AO12" i="1"/>
  <c r="CA143" i="1"/>
  <c r="CB157" i="1"/>
  <c r="CC157" i="1" s="1"/>
  <c r="AJ157" i="1"/>
  <c r="AO283" i="1"/>
  <c r="CM143" i="1" l="1"/>
  <c r="CL143" i="1"/>
  <c r="CB143" i="1"/>
  <c r="CC143" i="1" s="1"/>
  <c r="AO289" i="1"/>
  <c r="CN143" i="1"/>
  <c r="AJ143" i="1"/>
  <c r="AM287" i="1" l="1"/>
  <c r="AM283" i="1" s="1"/>
  <c r="AM428" i="1" s="1"/>
  <c r="CA14" i="1"/>
  <c r="AM13" i="1"/>
  <c r="AM12" i="1" s="1"/>
  <c r="AB14" i="1"/>
  <c r="CL14" i="1" l="1"/>
  <c r="CM14" i="1"/>
  <c r="AM429" i="1"/>
  <c r="CN14" i="1"/>
  <c r="AJ14" i="1"/>
  <c r="AB13" i="1"/>
  <c r="CM13" i="1" s="1"/>
  <c r="CB14" i="1"/>
  <c r="CC14" i="1" s="1"/>
  <c r="AM289" i="1"/>
  <c r="AM446" i="1" l="1"/>
  <c r="AM465" i="1" s="1"/>
  <c r="AM468" i="1" s="1"/>
  <c r="CB13" i="1"/>
  <c r="CC13" i="1" s="1"/>
  <c r="C10" i="15"/>
  <c r="C11" i="15" l="1"/>
  <c r="C12" i="15" s="1"/>
  <c r="D12" i="15" s="1"/>
  <c r="AM477" i="1" l="1"/>
  <c r="AM449" i="1" l="1"/>
  <c r="AM447" i="1" l="1"/>
  <c r="AM430" i="1"/>
  <c r="AM448" i="1" l="1"/>
  <c r="AM469" i="1" l="1"/>
  <c r="AM466" i="1" l="1"/>
  <c r="AB427" i="1" l="1"/>
  <c r="BO428" i="1"/>
  <c r="BO432" i="1" s="1"/>
  <c r="CA427" i="1"/>
  <c r="CL427" i="1" l="1"/>
  <c r="CM427" i="1"/>
  <c r="CN427" i="1"/>
  <c r="CB427" i="1"/>
  <c r="BO440" i="1"/>
  <c r="BO439" i="1"/>
  <c r="AJ427" i="1"/>
  <c r="BO442" i="1" l="1"/>
  <c r="BW443" i="1" l="1"/>
  <c r="BO477" i="1"/>
  <c r="BO449" i="1"/>
  <c r="BO429" i="1"/>
  <c r="BO453" i="1" l="1"/>
  <c r="BO452" i="1"/>
  <c r="BO446" i="1"/>
  <c r="BO430" i="1"/>
  <c r="BO451" i="1"/>
  <c r="BO450" i="1"/>
  <c r="BO463" i="1" l="1"/>
  <c r="BO447" i="1"/>
  <c r="BO448" i="1" l="1"/>
  <c r="AI460" i="1" l="1"/>
  <c r="AB460" i="1"/>
  <c r="CB460" i="1" s="1"/>
  <c r="CM460" i="1" l="1"/>
  <c r="CN460" i="1"/>
  <c r="Z460" i="1"/>
  <c r="AJ460" i="1"/>
  <c r="AN466" i="1" l="1"/>
  <c r="AN468" i="1"/>
  <c r="AI464" i="1"/>
  <c r="AN469" i="1" l="1"/>
  <c r="AJ329" i="1" l="1"/>
  <c r="AP519" i="1" l="1"/>
  <c r="AP521" i="1" s="1"/>
  <c r="AO428" i="1"/>
  <c r="CA425" i="1"/>
  <c r="AJ425" i="1"/>
  <c r="CM425" i="1" l="1"/>
  <c r="CL425" i="1"/>
  <c r="CN425" i="1"/>
  <c r="CB425" i="1"/>
  <c r="DB425" i="1"/>
  <c r="DE428" i="1"/>
  <c r="DE427" i="1" s="1"/>
  <c r="E10" i="15"/>
  <c r="AO440" i="1" l="1"/>
  <c r="AI440" i="1" s="1"/>
  <c r="AO439" i="1"/>
  <c r="AI439" i="1" s="1"/>
  <c r="E11" i="15"/>
  <c r="E12" i="15" s="1"/>
  <c r="F12" i="15" s="1"/>
  <c r="G12" i="15" s="1"/>
  <c r="H12" i="15" s="1"/>
  <c r="I12" i="15" s="1"/>
  <c r="AO442" i="1" l="1"/>
  <c r="AI442" i="1" s="1"/>
  <c r="AI477" i="1" s="1"/>
  <c r="AO429" i="1" l="1"/>
  <c r="AI429" i="1" s="1"/>
  <c r="AI430" i="1" s="1"/>
  <c r="AO477" i="1"/>
  <c r="AO449" i="1"/>
  <c r="AO446" i="1" l="1"/>
  <c r="AO430" i="1"/>
  <c r="AI446" i="1" l="1"/>
  <c r="AO463" i="1"/>
  <c r="AO465" i="1" s="1"/>
  <c r="AO466" i="1" s="1"/>
  <c r="AO447" i="1"/>
  <c r="AI447" i="1" s="1"/>
  <c r="AI448" i="1" l="1"/>
  <c r="AI465" i="1"/>
  <c r="AO448" i="1"/>
  <c r="AI468" i="1" l="1"/>
  <c r="AI469" i="1" s="1"/>
  <c r="AI466" i="1"/>
  <c r="AT287" i="1"/>
  <c r="AT38" i="1"/>
  <c r="AT12" i="1" s="1"/>
  <c r="AB38" i="1"/>
  <c r="CB65" i="1" l="1"/>
  <c r="CC65" i="1" s="1"/>
  <c r="CM65" i="1"/>
  <c r="AJ65" i="1"/>
  <c r="CN65" i="1"/>
  <c r="AB287" i="1"/>
  <c r="AB283" i="1" s="1"/>
  <c r="AB428" i="1" s="1"/>
  <c r="AH443" i="1" s="1"/>
  <c r="CA38" i="1"/>
  <c r="CL38" i="1" s="1"/>
  <c r="CA287" i="1"/>
  <c r="AT283" i="1"/>
  <c r="CL287" i="1" l="1"/>
  <c r="CM287" i="1"/>
  <c r="CM38" i="1"/>
  <c r="I443" i="1"/>
  <c r="CP443" i="1" s="1"/>
  <c r="AB289" i="1"/>
  <c r="AJ287" i="1"/>
  <c r="AJ283" i="1" s="1"/>
  <c r="CN287" i="1"/>
  <c r="CN38" i="1"/>
  <c r="CA12" i="1"/>
  <c r="CB289" i="1"/>
  <c r="CC289" i="1"/>
  <c r="CB38" i="1"/>
  <c r="CC38" i="1" s="1"/>
  <c r="AB12" i="1"/>
  <c r="CB287" i="1"/>
  <c r="CC287" i="1" s="1"/>
  <c r="AT428" i="1"/>
  <c r="AT432" i="1" s="1"/>
  <c r="AB432" i="1" s="1"/>
  <c r="CA283" i="1"/>
  <c r="AU519" i="1"/>
  <c r="AU521" i="1" s="1"/>
  <c r="AT289" i="1"/>
  <c r="CH12" i="1" l="1"/>
  <c r="CI12" i="1" s="1"/>
  <c r="CE12" i="1"/>
  <c r="CF12" i="1" s="1"/>
  <c r="CK12" i="1"/>
  <c r="CM283" i="1"/>
  <c r="CL283" i="1"/>
  <c r="AJ428" i="1"/>
  <c r="O444" i="1"/>
  <c r="CL444" i="1" s="1"/>
  <c r="CE428" i="1"/>
  <c r="CD428" i="1" s="1"/>
  <c r="CM12" i="1"/>
  <c r="DB12" i="1"/>
  <c r="CL12" i="1"/>
  <c r="CN12" i="1"/>
  <c r="CA428" i="1"/>
  <c r="CB283" i="1"/>
  <c r="CC283" i="1" s="1"/>
  <c r="DF428" i="1"/>
  <c r="DF427" i="1" s="1"/>
  <c r="J10" i="15"/>
  <c r="E10" i="13"/>
  <c r="AJ12" i="1"/>
  <c r="CB12" i="1"/>
  <c r="CC12" i="1" s="1"/>
  <c r="CA289" i="1"/>
  <c r="CN283" i="1"/>
  <c r="CL428" i="1" l="1"/>
  <c r="CM428" i="1"/>
  <c r="CL289" i="1"/>
  <c r="CM289" i="1"/>
  <c r="CP444" i="1"/>
  <c r="CN289" i="1"/>
  <c r="CN428" i="1"/>
  <c r="CA432" i="1"/>
  <c r="AT440" i="1"/>
  <c r="AT439" i="1"/>
  <c r="DB428" i="1"/>
  <c r="CB428" i="1"/>
  <c r="S10" i="13"/>
  <c r="S11" i="13" s="1"/>
  <c r="S12" i="13" s="1"/>
  <c r="E11" i="13"/>
  <c r="E12" i="13" s="1"/>
  <c r="F12" i="13" s="1"/>
  <c r="G12" i="13" s="1"/>
  <c r="H12" i="13" s="1"/>
  <c r="I12" i="13" s="1"/>
  <c r="J12" i="13" s="1"/>
  <c r="K12" i="13" s="1"/>
  <c r="L12" i="13" s="1"/>
  <c r="M12" i="13" s="1"/>
  <c r="N12" i="13" s="1"/>
  <c r="O12" i="13" s="1"/>
  <c r="P12" i="13" s="1"/>
  <c r="Q12" i="13" s="1"/>
  <c r="R12" i="13" s="1"/>
  <c r="J11" i="15"/>
  <c r="J12" i="15" s="1"/>
  <c r="K12" i="15" s="1"/>
  <c r="L12" i="15" s="1"/>
  <c r="M12" i="15" s="1"/>
  <c r="N12" i="15" s="1"/>
  <c r="O12" i="15" s="1"/>
  <c r="P12" i="15" s="1"/>
  <c r="Q12" i="15" s="1"/>
  <c r="R12" i="15" s="1"/>
  <c r="S12" i="15" s="1"/>
  <c r="T12" i="15" s="1"/>
  <c r="U12" i="15" s="1"/>
  <c r="V12" i="15" s="1"/>
  <c r="W12" i="15" s="1"/>
  <c r="X12" i="15" s="1"/>
  <c r="Y12" i="15" s="1"/>
  <c r="Z12" i="15" s="1"/>
  <c r="AA12" i="15" s="1"/>
  <c r="AB10" i="15"/>
  <c r="AB11" i="15" s="1"/>
  <c r="AB12" i="15" s="1"/>
  <c r="AC12" i="15" s="1"/>
  <c r="CM432" i="1" l="1"/>
  <c r="CL432" i="1"/>
  <c r="CN432" i="1"/>
  <c r="CA439" i="1"/>
  <c r="CA440" i="1"/>
  <c r="CL440" i="1" s="1"/>
  <c r="AT442" i="1"/>
  <c r="AY443" i="1" s="1"/>
  <c r="AH432" i="1"/>
  <c r="CH432" i="1" s="1"/>
  <c r="AB439" i="1"/>
  <c r="DC441" i="1"/>
  <c r="DD428" i="1"/>
  <c r="DB432" i="1"/>
  <c r="CM439" i="1" l="1"/>
  <c r="CL439" i="1"/>
  <c r="CN440" i="1"/>
  <c r="AB440" i="1"/>
  <c r="CB439" i="1"/>
  <c r="AJ439" i="1"/>
  <c r="CE439" i="1"/>
  <c r="CD439" i="1" s="1"/>
  <c r="AT449" i="1"/>
  <c r="AT429" i="1"/>
  <c r="CA442" i="1"/>
  <c r="CL442" i="1" s="1"/>
  <c r="CN443" i="1"/>
  <c r="AT477" i="1"/>
  <c r="DB439" i="1"/>
  <c r="DB440" i="1"/>
  <c r="CA426" i="1"/>
  <c r="CN439" i="1"/>
  <c r="CM440" i="1" l="1"/>
  <c r="W443" i="1"/>
  <c r="CL426" i="1"/>
  <c r="AT453" i="1"/>
  <c r="AT452" i="1"/>
  <c r="DB442" i="1"/>
  <c r="CA477" i="1"/>
  <c r="CN449" i="1"/>
  <c r="AT451" i="1"/>
  <c r="AT450" i="1"/>
  <c r="CN442" i="1"/>
  <c r="CN426" i="1"/>
  <c r="AT430" i="1"/>
  <c r="AT446" i="1"/>
  <c r="CA429" i="1"/>
  <c r="AB442" i="1"/>
  <c r="CM442" i="1" s="1"/>
  <c r="AB426" i="1"/>
  <c r="CM426" i="1" s="1"/>
  <c r="CB440" i="1"/>
  <c r="CE440" i="1"/>
  <c r="CD440" i="1" s="1"/>
  <c r="AJ440" i="1"/>
  <c r="CL429" i="1" l="1"/>
  <c r="CL477" i="1"/>
  <c r="CA479" i="1" s="1"/>
  <c r="AB452" i="1"/>
  <c r="CA452" i="1"/>
  <c r="CA453" i="1"/>
  <c r="AB453" i="1"/>
  <c r="CA430" i="1"/>
  <c r="DB429" i="1"/>
  <c r="AB451" i="1"/>
  <c r="CA451" i="1"/>
  <c r="CN429" i="1"/>
  <c r="AB450" i="1"/>
  <c r="CA450" i="1"/>
  <c r="AT463" i="1"/>
  <c r="AT447" i="1"/>
  <c r="CA446" i="1"/>
  <c r="CL446" i="1" s="1"/>
  <c r="DB477" i="1"/>
  <c r="CE442" i="1"/>
  <c r="CD442" i="1" s="1"/>
  <c r="CB442" i="1"/>
  <c r="AB429" i="1"/>
  <c r="CM429" i="1" s="1"/>
  <c r="AJ442" i="1"/>
  <c r="AB477" i="1"/>
  <c r="CN477" i="1"/>
  <c r="AB479" i="1" l="1"/>
  <c r="AC479" i="1"/>
  <c r="CL430" i="1"/>
  <c r="CM477" i="1"/>
  <c r="CL451" i="1"/>
  <c r="CM451" i="1"/>
  <c r="CM479" i="1"/>
  <c r="CL479" i="1"/>
  <c r="CL453" i="1"/>
  <c r="CM453" i="1"/>
  <c r="CL450" i="1"/>
  <c r="CM450" i="1"/>
  <c r="CL452" i="1"/>
  <c r="CM452" i="1"/>
  <c r="CN452" i="1"/>
  <c r="CN453" i="1"/>
  <c r="CB453" i="1"/>
  <c r="AJ453" i="1"/>
  <c r="Z453" i="1"/>
  <c r="AJ452" i="1"/>
  <c r="CB452" i="1"/>
  <c r="Z452" i="1"/>
  <c r="CN430" i="1"/>
  <c r="CN451" i="1"/>
  <c r="CN446" i="1"/>
  <c r="CA463" i="1"/>
  <c r="AJ477" i="1"/>
  <c r="CB477" i="1"/>
  <c r="AJ429" i="1"/>
  <c r="CE429" i="1"/>
  <c r="CD429" i="1" s="1"/>
  <c r="CB429" i="1"/>
  <c r="AB446" i="1"/>
  <c r="CM446" i="1" s="1"/>
  <c r="AB430" i="1"/>
  <c r="CM430" i="1" s="1"/>
  <c r="AT448" i="1"/>
  <c r="CA447" i="1"/>
  <c r="CL447" i="1" s="1"/>
  <c r="AJ450" i="1"/>
  <c r="Z450" i="1"/>
  <c r="CB450" i="1"/>
  <c r="AB463" i="1"/>
  <c r="CN450" i="1"/>
  <c r="CB451" i="1"/>
  <c r="Z451" i="1"/>
  <c r="AJ451" i="1"/>
  <c r="CA448" i="1"/>
  <c r="DB446" i="1"/>
  <c r="CS2" i="1"/>
  <c r="CL448" i="1" l="1"/>
  <c r="CM463" i="1"/>
  <c r="CL463" i="1"/>
  <c r="CN463" i="1"/>
  <c r="AB465" i="1"/>
  <c r="CN448" i="1"/>
  <c r="CB446" i="1"/>
  <c r="AJ446" i="1"/>
  <c r="AB447" i="1"/>
  <c r="CM447" i="1" s="1"/>
  <c r="AB448" i="1"/>
  <c r="CM448" i="1" s="1"/>
  <c r="DB447" i="1"/>
  <c r="CB463" i="1"/>
  <c r="AJ463" i="1"/>
  <c r="CN447" i="1"/>
  <c r="DB463" i="1"/>
  <c r="DC428" i="1" s="1"/>
  <c r="DC440" i="1" s="1"/>
  <c r="CS3" i="1"/>
  <c r="AB468" i="1" l="1"/>
  <c r="AO468" i="1"/>
  <c r="AP464" i="1"/>
  <c r="AB466" i="1"/>
  <c r="AJ465" i="1"/>
  <c r="AP465" i="1" l="1"/>
  <c r="AB469" i="1"/>
  <c r="AJ468" i="1"/>
  <c r="AO469" i="1"/>
  <c r="AQ464" i="1" l="1"/>
  <c r="AP466" i="1"/>
  <c r="AP468" i="1"/>
  <c r="AQ465" i="1" l="1"/>
  <c r="AP469" i="1"/>
  <c r="AR464" i="1" l="1"/>
  <c r="AQ468" i="1"/>
  <c r="AQ466" i="1"/>
  <c r="AR465" i="1" l="1"/>
  <c r="AQ469" i="1"/>
  <c r="AS464" i="1" l="1"/>
  <c r="AR466" i="1"/>
  <c r="AR468" i="1"/>
  <c r="AS465" i="1" l="1"/>
  <c r="AR469" i="1"/>
  <c r="AT464" i="1" l="1"/>
  <c r="AS468" i="1"/>
  <c r="AS466" i="1"/>
  <c r="AT465" i="1" l="1"/>
  <c r="AT466" i="1" s="1"/>
  <c r="AS469" i="1"/>
  <c r="AT468" i="1" l="1"/>
  <c r="AT469" i="1" s="1"/>
  <c r="AU464" i="1"/>
  <c r="AU465" i="1" s="1"/>
  <c r="AU466" i="1" s="1"/>
  <c r="AV464" i="1" l="1"/>
  <c r="AV465" i="1" s="1"/>
  <c r="AW464" i="1" s="1"/>
  <c r="AW465" i="1" s="1"/>
  <c r="AX464" i="1" s="1"/>
  <c r="AU468" i="1"/>
  <c r="AU469" i="1" s="1"/>
  <c r="AV466" i="1" l="1"/>
  <c r="AV468" i="1"/>
  <c r="AV469" i="1" s="1"/>
  <c r="AW468" i="1"/>
  <c r="AW469" i="1" s="1"/>
  <c r="AW466" i="1"/>
  <c r="AX465" i="1"/>
  <c r="AX468" i="1" l="1"/>
  <c r="AX469" i="1" s="1"/>
  <c r="AX466" i="1"/>
  <c r="AY464" i="1"/>
  <c r="AY465" i="1" l="1"/>
  <c r="AY468" i="1" l="1"/>
  <c r="AY466" i="1"/>
  <c r="AZ464" i="1"/>
  <c r="AZ465" i="1" s="1"/>
  <c r="AZ466" i="1" l="1"/>
  <c r="AZ468" i="1"/>
  <c r="AZ469" i="1" s="1"/>
  <c r="BA464" i="1"/>
  <c r="BA465" i="1" s="1"/>
  <c r="AY469" i="1"/>
  <c r="BA468" i="1" l="1"/>
  <c r="BA469" i="1" s="1"/>
  <c r="BA466" i="1"/>
  <c r="BB464" i="1"/>
  <c r="BB465" i="1" s="1"/>
  <c r="BB466" i="1" l="1"/>
  <c r="BB468" i="1"/>
  <c r="BB469" i="1" s="1"/>
  <c r="BC464" i="1"/>
  <c r="BC465" i="1" s="1"/>
  <c r="BC466" i="1" l="1"/>
  <c r="BC468" i="1"/>
  <c r="BC469" i="1" s="1"/>
  <c r="BD464" i="1"/>
  <c r="BD465" i="1" s="1"/>
  <c r="BD468" i="1" l="1"/>
  <c r="BD469" i="1" s="1"/>
  <c r="BD466" i="1"/>
  <c r="BE464" i="1"/>
  <c r="BE465" i="1" s="1"/>
  <c r="BE468" i="1" l="1"/>
  <c r="BE469" i="1" s="1"/>
  <c r="BE466" i="1"/>
  <c r="BF464" i="1"/>
  <c r="BF465" i="1" s="1"/>
  <c r="BF466" i="1" l="1"/>
  <c r="BF468" i="1"/>
  <c r="BF469" i="1" s="1"/>
  <c r="BG464" i="1"/>
  <c r="BG465" i="1" s="1"/>
  <c r="BG466" i="1" l="1"/>
  <c r="BG468" i="1"/>
  <c r="BG469" i="1" s="1"/>
  <c r="BH464" i="1"/>
  <c r="BH465" i="1" s="1"/>
  <c r="BI464" i="1" s="1"/>
  <c r="BH466" i="1" l="1"/>
  <c r="BH468" i="1"/>
  <c r="BH469" i="1" s="1"/>
  <c r="BI465" i="1"/>
  <c r="BJ464" i="1" l="1"/>
  <c r="BJ465" i="1" s="1"/>
  <c r="BI468" i="1"/>
  <c r="BI469" i="1" s="1"/>
  <c r="BI466" i="1"/>
  <c r="BK464" i="1" l="1"/>
  <c r="BK465" i="1" s="1"/>
  <c r="BL464" i="1" s="1"/>
  <c r="BJ468" i="1"/>
  <c r="BJ469" i="1" s="1"/>
  <c r="BJ466" i="1"/>
  <c r="BK468" i="1" l="1"/>
  <c r="BK469" i="1" s="1"/>
  <c r="BK466" i="1"/>
  <c r="BL465" i="1"/>
  <c r="BM464" i="1" l="1"/>
  <c r="BM465" i="1" s="1"/>
  <c r="BL468" i="1"/>
  <c r="BL469" i="1" s="1"/>
  <c r="BL466" i="1"/>
  <c r="BN464" i="1" l="1"/>
  <c r="BN465" i="1" s="1"/>
  <c r="BM468" i="1"/>
  <c r="BM469" i="1" s="1"/>
  <c r="BM466" i="1"/>
  <c r="BO464" i="1" l="1"/>
  <c r="BO465" i="1" s="1"/>
  <c r="BP464" i="1" s="1"/>
  <c r="BN468" i="1"/>
  <c r="BN469" i="1" s="1"/>
  <c r="BN466" i="1"/>
  <c r="BO468" i="1" l="1"/>
  <c r="BO469" i="1" s="1"/>
  <c r="BO466" i="1"/>
  <c r="BP465" i="1"/>
  <c r="BQ464" i="1" s="1"/>
  <c r="BP468" i="1" l="1"/>
  <c r="BP469" i="1" s="1"/>
  <c r="BP466" i="1"/>
  <c r="BQ465" i="1"/>
  <c r="BR464" i="1" s="1"/>
  <c r="BQ466" i="1" l="1"/>
  <c r="BQ468" i="1"/>
  <c r="BQ469" i="1" s="1"/>
  <c r="BR465" i="1"/>
  <c r="BS464" i="1" s="1"/>
  <c r="BR468" i="1" l="1"/>
  <c r="BR469" i="1" s="1"/>
  <c r="BR466" i="1"/>
  <c r="BS465" i="1"/>
  <c r="BT464" i="1" s="1"/>
  <c r="BS466" i="1" l="1"/>
  <c r="BS468" i="1"/>
  <c r="BS469" i="1" s="1"/>
  <c r="BT465" i="1"/>
  <c r="BU464" i="1" s="1"/>
  <c r="BT468" i="1" l="1"/>
  <c r="BT469" i="1" s="1"/>
  <c r="BT466" i="1"/>
  <c r="BU465" i="1"/>
  <c r="BV464" i="1" s="1"/>
  <c r="BU466" i="1" l="1"/>
  <c r="BU468" i="1"/>
  <c r="BU469" i="1" s="1"/>
  <c r="BV465" i="1"/>
  <c r="BW464" i="1" l="1"/>
  <c r="BW465" i="1" s="1"/>
  <c r="BV468" i="1"/>
  <c r="BV469" i="1" s="1"/>
  <c r="BV466" i="1"/>
  <c r="BX464" i="1" l="1"/>
  <c r="BX465" i="1" s="1"/>
  <c r="BX468" i="1" s="1"/>
  <c r="BW468" i="1"/>
  <c r="BW469" i="1" s="1"/>
  <c r="BW466" i="1"/>
  <c r="BY464" i="1" l="1"/>
  <c r="BY465" i="1" s="1"/>
  <c r="BX466" i="1"/>
  <c r="BX469" i="1"/>
  <c r="BZ464" i="1" l="1"/>
  <c r="BY466" i="1"/>
  <c r="BY468" i="1"/>
  <c r="BY469" i="1" s="1"/>
  <c r="CA464" i="1" l="1"/>
  <c r="CM464" i="1" s="1"/>
  <c r="AB464" i="1"/>
  <c r="BZ465" i="1"/>
  <c r="CL464" i="1" l="1"/>
  <c r="CN464" i="1"/>
  <c r="CB464" i="1"/>
  <c r="AJ464" i="1"/>
  <c r="BZ466" i="1"/>
  <c r="BZ468" i="1"/>
  <c r="CA465" i="1"/>
  <c r="CM465" i="1" s="1"/>
  <c r="CL465" i="1" l="1"/>
  <c r="CA466" i="1"/>
  <c r="CM466" i="1" s="1"/>
  <c r="DB465" i="1"/>
  <c r="CS4" i="1"/>
  <c r="CB465" i="1"/>
  <c r="CN465" i="1"/>
  <c r="BZ469" i="1"/>
  <c r="CA468" i="1"/>
  <c r="CM468" i="1" s="1"/>
  <c r="CL468" i="1" l="1"/>
  <c r="CL466" i="1"/>
  <c r="DB468" i="1"/>
  <c r="CA469" i="1"/>
  <c r="CM469" i="1" s="1"/>
  <c r="CB468" i="1"/>
  <c r="CN468" i="1"/>
  <c r="CN466" i="1"/>
  <c r="CL469" i="1" l="1"/>
  <c r="CN46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tc={4575287B-50CD-4A89-A618-8D3260F9C20C}</author>
    <author>tc={00C018A1-4F95-49F6-A3C1-19BFE7B301E9}</author>
    <author>tc={177CE72D-EEA3-45AE-A9CE-A551954F3BE6}</author>
    <author>tc={F3486E34-24A8-4A0C-834E-140CAA29189A}</author>
    <author>tc={F34D0BC0-A367-42EE-A77E-84F025CC14B7}</author>
  </authors>
  <commentList>
    <comment ref="C47" authorId="0" shapeId="0" xr:uid="{4575287B-50CD-4A89-A618-8D3260F9C20C}">
      <text>
        <t>[Threaded comment]
Your version of Excel allows you to read this threaded comment; however, any edits to it will get removed if the file is opened in a newer version of Excel. Learn more: https://go.microsoft.com/fwlink/?linkid=870924
Comment:
    Ecr 3 rev 1 cała kwota wraca do budżetu</t>
      </text>
    </comment>
    <comment ref="AC71" authorId="1" shapeId="0" xr:uid="{00C018A1-4F95-49F6-A3C1-19BFE7B301E9}">
      <text>
        <t xml:space="preserve">[Threaded comment]
Your version of Excel allows you to read this threaded comment; however, any edits to it will get removed if the file is opened in a newer version of Excel. Learn more: https://go.microsoft.com/fwlink/?linkid=870924
Comment:
    Nr umowy dla BUSZREM 4502986603
</t>
      </text>
    </comment>
    <comment ref="AC78" authorId="2" shapeId="0" xr:uid="{177CE72D-EEA3-45AE-A9CE-A551954F3BE6}">
      <text>
        <t xml:space="preserve">[Threaded comment]
Your version of Excel allows you to read this threaded comment; however, any edits to it will get removed if the file is opened in a newer version of Excel. Learn more: https://go.microsoft.com/fwlink/?linkid=870924
Comment:
    Będzie zmiana kwoty
</t>
      </text>
    </comment>
    <comment ref="AO192" authorId="3" shapeId="0" xr:uid="{F3486E34-24A8-4A0C-834E-140CAA29189A}">
      <text>
        <t>[Threaded comment]
Your version of Excel allows you to read this threaded comment; however, any edits to it will get removed if the file is opened in a newer version of Excel. Learn more: https://go.microsoft.com/fwlink/?linkid=870924
Comment:
    W tym 1570000 e - 3 116 711,67 pln zaliczka</t>
      </text>
    </comment>
    <comment ref="AF386" authorId="4" shapeId="0" xr:uid="{F34D0BC0-A367-42EE-A77E-84F025CC14B7}">
      <text>
        <t xml:space="preserve">[Threaded comment]
Your version of Excel allows you to read this threaded comment; however, any edits to it will get removed if the file is opened in a newer version of Excel. Learn more: https://go.microsoft.com/fwlink/?linkid=870924
Comment:
    Z kwoty zostało zdjęte 48 pln
</t>
      </text>
    </comment>
  </commentList>
</comments>
</file>

<file path=xl/sharedStrings.xml><?xml version="1.0" encoding="utf-8"?>
<sst xmlns="http://schemas.openxmlformats.org/spreadsheetml/2006/main" count="2634" uniqueCount="1442">
  <si>
    <t>Data rozpoczęcia budowy</t>
  </si>
  <si>
    <t xml:space="preserve">Data zakończenia budowy: </t>
  </si>
  <si>
    <t>Lp.</t>
  </si>
  <si>
    <t>Wyszczególnienie</t>
  </si>
  <si>
    <t xml:space="preserve"> Budżet ofertowy</t>
  </si>
  <si>
    <t>Budżet startowy</t>
  </si>
  <si>
    <t>BUDŻET REALIZACYJNY</t>
  </si>
  <si>
    <t>Zlecono</t>
  </si>
  <si>
    <t>Budżet wg umów</t>
  </si>
  <si>
    <t>Realizacja</t>
  </si>
  <si>
    <t>Pozostało do zlecenia</t>
  </si>
  <si>
    <t xml:space="preserve"> Budżet startowy</t>
  </si>
  <si>
    <t>Zmiany budżetu spowodowane zmianami w kontrakcie</t>
  </si>
  <si>
    <t xml:space="preserve">Budżet </t>
  </si>
  <si>
    <t>wykonany</t>
  </si>
  <si>
    <t>plan</t>
  </si>
  <si>
    <t>opis pozycji</t>
  </si>
  <si>
    <t>pozycja</t>
  </si>
  <si>
    <t>wartość</t>
  </si>
  <si>
    <t>jednostka</t>
  </si>
  <si>
    <t>cena jedn</t>
  </si>
  <si>
    <t>ilość</t>
  </si>
  <si>
    <t>%</t>
  </si>
  <si>
    <t>sprawdzenie</t>
  </si>
  <si>
    <t>x</t>
  </si>
  <si>
    <t>Robocizna</t>
  </si>
  <si>
    <t>Podwykonawcy</t>
  </si>
  <si>
    <t>Materiały</t>
  </si>
  <si>
    <t>Sprzęt i transport</t>
  </si>
  <si>
    <t>Poz. koszty bezp.</t>
  </si>
  <si>
    <t>1.2</t>
  </si>
  <si>
    <t>Koszty Ogólne budowy</t>
  </si>
  <si>
    <t>TKW Razem</t>
  </si>
  <si>
    <t xml:space="preserve">Kwota narzutów kalkulacyjnych  </t>
  </si>
  <si>
    <t xml:space="preserve">% narzutów kalkulacyjnych </t>
  </si>
  <si>
    <t>opis zlecenie / przerób</t>
  </si>
  <si>
    <t>kosztorys</t>
  </si>
  <si>
    <t>zmiany</t>
  </si>
  <si>
    <t>aktualizacja</t>
  </si>
  <si>
    <t>przerób</t>
  </si>
  <si>
    <t>wartości</t>
  </si>
  <si>
    <t>zwiększ / zmniej</t>
  </si>
  <si>
    <t>a</t>
  </si>
  <si>
    <t>b</t>
  </si>
  <si>
    <t>c</t>
  </si>
  <si>
    <t>d</t>
  </si>
  <si>
    <t>e</t>
  </si>
  <si>
    <t>f</t>
  </si>
  <si>
    <t>g</t>
  </si>
  <si>
    <t>koszty NP.</t>
  </si>
  <si>
    <t>h</t>
  </si>
  <si>
    <t>i</t>
  </si>
  <si>
    <t>j</t>
  </si>
  <si>
    <t>k</t>
  </si>
  <si>
    <t>l</t>
  </si>
  <si>
    <t>m</t>
  </si>
  <si>
    <t>sporządził, dnia</t>
  </si>
  <si>
    <t>Przekroczenia / oszczędności
Budżet - Budżet realizacyjny</t>
  </si>
  <si>
    <t>Kontrahent</t>
  </si>
  <si>
    <t>Nr zlecenia</t>
  </si>
  <si>
    <t xml:space="preserve">% kosztów ogólnych </t>
  </si>
  <si>
    <t>Zlecenie otrzymane / Planowana sprzedaż</t>
  </si>
  <si>
    <t>6[4+5]</t>
  </si>
  <si>
    <t>kol. 6 - kol. 7</t>
  </si>
  <si>
    <t>11</t>
  </si>
  <si>
    <t>kol. 11 / kol. 6</t>
  </si>
  <si>
    <t>Konsorcjanci</t>
  </si>
  <si>
    <t>Wartość robót wykonywanych przez konsorcjantów</t>
  </si>
  <si>
    <t>1.1</t>
  </si>
  <si>
    <t>1.3</t>
  </si>
  <si>
    <t>1.1.1</t>
  </si>
  <si>
    <t>Korekta kosztów POC</t>
  </si>
  <si>
    <t xml:space="preserve">Planowany Przerób po REGIE
</t>
  </si>
  <si>
    <t>Alokacje - REGIE</t>
  </si>
  <si>
    <t>REZERWY</t>
  </si>
  <si>
    <t>Korekta kosztowa wpływająca tylko na wynik</t>
  </si>
  <si>
    <t>Kwota narzutów kalkulacyjnych po korekcie</t>
  </si>
  <si>
    <t xml:space="preserve">Zlecenie otrzymane/Planowany przerób </t>
  </si>
  <si>
    <t>zatwierdził</t>
  </si>
  <si>
    <t xml:space="preserve">Prognoza CM zlecenia </t>
  </si>
  <si>
    <t>EBT w PLN - po uwzględnieniu REGIE</t>
  </si>
  <si>
    <t>% EBT bez Contingency</t>
  </si>
  <si>
    <t>MSR</t>
  </si>
  <si>
    <t>Revaluation</t>
  </si>
  <si>
    <t>Ryzyko koszty ogólne</t>
  </si>
  <si>
    <t xml:space="preserve"> </t>
  </si>
  <si>
    <t>Pozycja z kosztorysu</t>
  </si>
  <si>
    <t>Pozycja z hamonoramu rzeczowo-finansowego</t>
  </si>
  <si>
    <t>Dekret</t>
  </si>
  <si>
    <t xml:space="preserve">   </t>
  </si>
  <si>
    <t>Sprzątanie</t>
  </si>
  <si>
    <t>Koszty biurowe PORR (z serwisem PC)</t>
  </si>
  <si>
    <t>PERSONEL</t>
  </si>
  <si>
    <t>Zabezpieczenia BHP</t>
  </si>
  <si>
    <t>Wynajem drobnego sprzętu</t>
  </si>
  <si>
    <t>BIURO BUDOWY</t>
  </si>
  <si>
    <t>Myjka do kół samochodowych</t>
  </si>
  <si>
    <t>Sprzątanie końcowe</t>
  </si>
  <si>
    <t xml:space="preserve">Kwota narzutów kalkulacyjnych </t>
  </si>
  <si>
    <t>BUDOWA (koszt miesięczny)</t>
  </si>
  <si>
    <t>% EBT bez revaluation</t>
  </si>
  <si>
    <t>EBT z Rewaluation</t>
  </si>
  <si>
    <t>Region: Pion Budownictwa Przemysłowgo</t>
  </si>
  <si>
    <t>Wywóz odpadów komunalnych</t>
  </si>
  <si>
    <t>Energia elektryczna</t>
  </si>
  <si>
    <t>Koszt wody pitnej</t>
  </si>
  <si>
    <t>Koszt ścieków/ wywóz szamba/</t>
  </si>
  <si>
    <t>Koszty miesięczne internetu</t>
  </si>
  <si>
    <t>Materiały biurowe</t>
  </si>
  <si>
    <t>Kawa herbata</t>
  </si>
  <si>
    <t>Montaż  konterów biura / szatnie + przyłącze energ+wodkan</t>
  </si>
  <si>
    <t>Urządzenie wielofunkcyjne drukarka/xero/skaner/fax</t>
  </si>
  <si>
    <t>Wywóz odpadów budowlanych</t>
  </si>
  <si>
    <t>Gwarancja wadialna</t>
  </si>
  <si>
    <t>Gwarancja zw.zaliczki</t>
  </si>
  <si>
    <t>Gwarancja nalezytego wykonania</t>
  </si>
  <si>
    <t>Gwarancja na okres rękojmi</t>
  </si>
  <si>
    <r>
      <t xml:space="preserve">Podwykonawstwo wewn. </t>
    </r>
    <r>
      <rPr>
        <i/>
        <u/>
        <sz val="10"/>
        <color indexed="8"/>
        <rFont val="Arial"/>
        <family val="2"/>
        <charset val="238"/>
      </rPr>
      <t>udzielone</t>
    </r>
  </si>
  <si>
    <r>
      <t>Łączna wartość kontraktu (BBB + konsorcjanci</t>
    </r>
    <r>
      <rPr>
        <sz val="10"/>
        <color indexed="8"/>
        <rFont val="Arial"/>
        <family val="2"/>
        <charset val="238"/>
      </rPr>
      <t>)</t>
    </r>
  </si>
  <si>
    <t>Koszt bezpośrednie TKW</t>
  </si>
  <si>
    <t>2.1</t>
  </si>
  <si>
    <t>2.2</t>
  </si>
  <si>
    <t>5.5</t>
  </si>
  <si>
    <t>3.3</t>
  </si>
  <si>
    <t>2.3</t>
  </si>
  <si>
    <t>2.4</t>
  </si>
  <si>
    <t>3.1</t>
  </si>
  <si>
    <t>3.2</t>
  </si>
  <si>
    <t>3.4</t>
  </si>
  <si>
    <t>3.6</t>
  </si>
  <si>
    <t>3.7</t>
  </si>
  <si>
    <t>3.8</t>
  </si>
  <si>
    <t>3.9</t>
  </si>
  <si>
    <t>4.1</t>
  </si>
  <si>
    <t>4.4</t>
  </si>
  <si>
    <t>4.3</t>
  </si>
  <si>
    <t>4.5</t>
  </si>
  <si>
    <t>4.6</t>
  </si>
  <si>
    <t>4.7</t>
  </si>
  <si>
    <t>4.8</t>
  </si>
  <si>
    <t>4.9</t>
  </si>
  <si>
    <t>4.2</t>
  </si>
  <si>
    <t>5.1</t>
  </si>
  <si>
    <t>5.2</t>
  </si>
  <si>
    <t>5.4</t>
  </si>
  <si>
    <t>5.6</t>
  </si>
  <si>
    <t>5.3</t>
  </si>
  <si>
    <t>6.1</t>
  </si>
  <si>
    <t>7.1</t>
  </si>
  <si>
    <t>7.2</t>
  </si>
  <si>
    <t>7.3</t>
  </si>
  <si>
    <t>7.4</t>
  </si>
  <si>
    <t>Sprzedaż Obmiar</t>
  </si>
  <si>
    <t>Przerób Ryczałt</t>
  </si>
  <si>
    <t>Przerób Obmiar</t>
  </si>
  <si>
    <t>Roboty w toku Ryczałt</t>
  </si>
  <si>
    <t>Roboty w toku Obmiar</t>
  </si>
  <si>
    <t>Sprzeadż Ryczałt</t>
  </si>
  <si>
    <t>4.10</t>
  </si>
  <si>
    <t>4.11</t>
  </si>
  <si>
    <t>3.10</t>
  </si>
  <si>
    <t>3.11</t>
  </si>
  <si>
    <t>3.12</t>
  </si>
  <si>
    <t>3.13</t>
  </si>
  <si>
    <t>3.16</t>
  </si>
  <si>
    <t>3.17</t>
  </si>
  <si>
    <t>3.18</t>
  </si>
  <si>
    <t>3.19</t>
  </si>
  <si>
    <t>3.20</t>
  </si>
  <si>
    <t>6.2</t>
  </si>
  <si>
    <t>6.3</t>
  </si>
  <si>
    <t>6.4</t>
  </si>
  <si>
    <t>6.5</t>
  </si>
  <si>
    <t>7.5</t>
  </si>
  <si>
    <t>7.6</t>
  </si>
  <si>
    <t>7.7</t>
  </si>
  <si>
    <t xml:space="preserve">Wynajem pomieszczeń biurowych lub kontenerów biurowych </t>
  </si>
  <si>
    <t>Sprzęt biurowy</t>
  </si>
  <si>
    <t>Utwardzenie terenu pod dźwigi i sprzęt montażowy</t>
  </si>
  <si>
    <t>Ogrodzenie zaplecza budowy wraz z furtkami i bramami</t>
  </si>
  <si>
    <t>Tablice informacyjne -4 szt</t>
  </si>
  <si>
    <t>Przywrócenie zieleni ( obsianie trawą )</t>
  </si>
  <si>
    <t>Obsługa p.poż oraz sprzęt p.poż.</t>
  </si>
  <si>
    <t>Usunięcie kolizji związanych z przygotowanie terenu zaplecza i budowy</t>
  </si>
  <si>
    <t>Odśnieżanie budowy / m-c</t>
  </si>
  <si>
    <t>Likwidacja placu budowy</t>
  </si>
  <si>
    <t>Wycinka drzew i krzewów oraz usunięcie karp</t>
  </si>
  <si>
    <t>CAR - insurance</t>
  </si>
  <si>
    <t>Design insurance</t>
  </si>
  <si>
    <t>OC insurance</t>
  </si>
  <si>
    <t>3.5</t>
  </si>
  <si>
    <t>TKW</t>
  </si>
  <si>
    <t>.</t>
  </si>
  <si>
    <t>2</t>
  </si>
  <si>
    <t>2.5</t>
  </si>
  <si>
    <t>2.6</t>
  </si>
  <si>
    <t>2.7</t>
  </si>
  <si>
    <t>2.8</t>
  </si>
  <si>
    <t>2.9</t>
  </si>
  <si>
    <t>2.10</t>
  </si>
  <si>
    <t>2.11</t>
  </si>
  <si>
    <t>2.12</t>
  </si>
  <si>
    <t>3</t>
  </si>
  <si>
    <t>4</t>
  </si>
  <si>
    <t>5</t>
  </si>
  <si>
    <t>6</t>
  </si>
  <si>
    <t>7</t>
  </si>
  <si>
    <t>9</t>
  </si>
  <si>
    <t>5.1.1</t>
  </si>
  <si>
    <t>Oddział / Region:</t>
  </si>
  <si>
    <t>Pion Budownictwa Przemysłowego</t>
  </si>
  <si>
    <t>Budowa Nr</t>
  </si>
  <si>
    <t>wydatki (kb+ko)</t>
  </si>
  <si>
    <t>koszty osobowe</t>
  </si>
  <si>
    <t>Do CF:</t>
  </si>
  <si>
    <t>RAZEM</t>
  </si>
  <si>
    <t>REGIE Centrala Wiedeń 1,5%</t>
  </si>
  <si>
    <t xml:space="preserve">B.Grzebiński </t>
  </si>
  <si>
    <t>Labour</t>
  </si>
  <si>
    <t>Materials</t>
  </si>
  <si>
    <t>Equipment and transport</t>
  </si>
  <si>
    <t>Subcontractors</t>
  </si>
  <si>
    <t>Other costs</t>
  </si>
  <si>
    <t>Safety and health protection</t>
  </si>
  <si>
    <t>Small equipment hire</t>
  </si>
  <si>
    <t>Collection of municipal waste</t>
  </si>
  <si>
    <t>Electricity</t>
  </si>
  <si>
    <t>Office equipment</t>
  </si>
  <si>
    <t>Office supplies</t>
  </si>
  <si>
    <t>Cleaning</t>
  </si>
  <si>
    <t>Construction waste disposal</t>
  </si>
  <si>
    <t>CONSTRUCTION (monthly cost)</t>
  </si>
  <si>
    <t>Final cleaning</t>
  </si>
  <si>
    <t>Water and sewage connection</t>
  </si>
  <si>
    <t>Internet connection</t>
  </si>
  <si>
    <t>Equipment (kitchen, office + furniture)</t>
  </si>
  <si>
    <t>Assembly of office / cloakroom units + energy+water connection</t>
  </si>
  <si>
    <t>Snow clearing on site / month</t>
  </si>
  <si>
    <t>Vehicle wheel washer</t>
  </si>
  <si>
    <t>Lighting of construction site and temporary roads</t>
  </si>
  <si>
    <t>Removal of clashes associated with the preparation of the back-up and construction area</t>
  </si>
  <si>
    <t>Advance payment guarantee</t>
  </si>
  <si>
    <t>Performance bond</t>
  </si>
  <si>
    <t>CAR insurance</t>
  </si>
  <si>
    <t>Construction overheads</t>
  </si>
  <si>
    <t xml:space="preserve">Direct + indirect costs </t>
  </si>
  <si>
    <t>Planned capacity (REGIE)</t>
  </si>
  <si>
    <t xml:space="preserve">Amount of imputed mark-ups after correction </t>
  </si>
  <si>
    <r>
      <t xml:space="preserve">stan na dzień </t>
    </r>
    <r>
      <rPr>
        <b/>
        <sz val="12"/>
        <rFont val="Arial CE"/>
        <family val="2"/>
        <charset val="238"/>
      </rPr>
      <t>:</t>
    </r>
  </si>
  <si>
    <t>SUMA</t>
  </si>
  <si>
    <t>3.14</t>
  </si>
  <si>
    <t xml:space="preserve">Wartość Umowy                     </t>
  </si>
  <si>
    <t>Kocioł</t>
  </si>
  <si>
    <t>Boiler</t>
  </si>
  <si>
    <t>3.1.1</t>
  </si>
  <si>
    <t>3.1.2</t>
  </si>
  <si>
    <t>3.4.1</t>
  </si>
  <si>
    <t>4.2.1</t>
  </si>
  <si>
    <t>4.2.2</t>
  </si>
  <si>
    <t>4.3.1</t>
  </si>
  <si>
    <t>BRANŻA ELEKTRYCZNA</t>
  </si>
  <si>
    <t>ELECTRICAL WORKS</t>
  </si>
  <si>
    <t>2.13</t>
  </si>
  <si>
    <t>2.14</t>
  </si>
  <si>
    <t>2.15</t>
  </si>
  <si>
    <t>2.16</t>
  </si>
  <si>
    <t>3.1.3</t>
  </si>
  <si>
    <t>3.1.4</t>
  </si>
  <si>
    <t>System dezodoryzacji</t>
  </si>
  <si>
    <t>Deodorization system</t>
  </si>
  <si>
    <t>Pozostałe usługi</t>
  </si>
  <si>
    <t>Service companies</t>
  </si>
  <si>
    <t>08.2026</t>
  </si>
  <si>
    <t>09.2026</t>
  </si>
  <si>
    <t>10.2026</t>
  </si>
  <si>
    <t>11.2026</t>
  </si>
  <si>
    <t>12.2026</t>
  </si>
  <si>
    <t>SPRZĘT</t>
  </si>
  <si>
    <t>STAFF</t>
  </si>
  <si>
    <t xml:space="preserve">EQUIPMENT  </t>
  </si>
  <si>
    <t>Dźwig samochodowy 30 T</t>
  </si>
  <si>
    <t>Mobile crane 30 T</t>
  </si>
  <si>
    <t>CONSTRUCTION OFFICE</t>
  </si>
  <si>
    <t xml:space="preserve">Hire of office premises or office containers </t>
  </si>
  <si>
    <t>Drinking water</t>
  </si>
  <si>
    <t>Sewage costs/ septic tank disposal/</t>
  </si>
  <si>
    <t>Monthly internet costs</t>
  </si>
  <si>
    <t>Coffee/tea</t>
  </si>
  <si>
    <t>Office costs PORR (with PC service)</t>
  </si>
  <si>
    <t>Cleaning products</t>
  </si>
  <si>
    <t xml:space="preserve">Koszty energi elektrycznej </t>
  </si>
  <si>
    <t>Koszt ścieków</t>
  </si>
  <si>
    <t xml:space="preserve">Ochrona  zaplecza budowy 1 st x 24h x 25zł /godz.x 31 dni </t>
  </si>
  <si>
    <t xml:space="preserve">Toi-Toi </t>
  </si>
  <si>
    <t xml:space="preserve">Electricity costs </t>
  </si>
  <si>
    <t>Drinking water costs</t>
  </si>
  <si>
    <t>Sewage costs</t>
  </si>
  <si>
    <t>Waste disposal</t>
  </si>
  <si>
    <t>Fire service and fire-fighting equipment.</t>
  </si>
  <si>
    <t>Środki czystości</t>
  </si>
  <si>
    <t>Zasilenie elektryczne zaplecza</t>
  </si>
  <si>
    <t>Electricity supply for back office</t>
  </si>
  <si>
    <t>Cost of preparing the construction site (aggregate)</t>
  </si>
  <si>
    <t>Multifunctional printer/xerox/scanner/fax</t>
  </si>
  <si>
    <t>Site clearance</t>
  </si>
  <si>
    <t>Tree and shrub felling and removal of root balls</t>
  </si>
  <si>
    <t>Site paving for cranes and installation equipment</t>
  </si>
  <si>
    <t>Electrical supply to site</t>
  </si>
  <si>
    <t>Site fencing including gates and gates</t>
  </si>
  <si>
    <t>4 information boards</t>
  </si>
  <si>
    <t>Restoration of greenery (grass seeding)</t>
  </si>
  <si>
    <t>INSTALACJA / DEINSTALACJA BUDOWY</t>
  </si>
  <si>
    <t>INSTALLATION / UNINSTALLATION OF CONSTRUCTION</t>
  </si>
  <si>
    <t>KOSZTY FINANSOWE</t>
  </si>
  <si>
    <t>FINANCIAL COSTS</t>
  </si>
  <si>
    <t>KOSZTY RÓŻNE</t>
  </si>
  <si>
    <t>MISCELLANEOUS COSTS</t>
  </si>
  <si>
    <t>Bid bond</t>
  </si>
  <si>
    <t>Warranty guarantee</t>
  </si>
  <si>
    <t>System asekuracji</t>
  </si>
  <si>
    <t>DESIGN</t>
  </si>
  <si>
    <t>Projektowanie TME</t>
  </si>
  <si>
    <t>TME design</t>
  </si>
  <si>
    <t>3.1.5</t>
  </si>
  <si>
    <t>Insulation</t>
  </si>
  <si>
    <t>Instalacje elektryczne</t>
  </si>
  <si>
    <t>Electrical installations</t>
  </si>
  <si>
    <t xml:space="preserve">Explosion hazard assessment </t>
  </si>
  <si>
    <t>HARMONOGRAM RZECZOWO - FINANSOWY DLA CZĘŚCI TECHNOLOGICZNEJ I BUDOWLANEJ PROJEKTU ITPO</t>
  </si>
  <si>
    <t>WARTOŚĆ UMOWY</t>
  </si>
  <si>
    <t>HARMONOGRAM RZECZOWO - FINANSOWY</t>
  </si>
  <si>
    <t>LP</t>
  </si>
  <si>
    <t>NAZWA KM</t>
  </si>
  <si>
    <t>ETAP</t>
  </si>
  <si>
    <t>WARTOŚĆ %</t>
  </si>
  <si>
    <t>WARTOŚĆ NETTO</t>
  </si>
  <si>
    <t>KWOTA NETTO</t>
  </si>
  <si>
    <t>TERMIN SPRZEDAŻY  ETAP 1</t>
  </si>
  <si>
    <t>TERMIN SPRZEDAŻY ETAP 2</t>
  </si>
  <si>
    <t>ZALICZKA</t>
  </si>
  <si>
    <t>I</t>
  </si>
  <si>
    <t>WYKONANIE PROJEKTÓW I OPRACOWAŃ BĘDĄCYCH W ZAKRESIE WYKONAWCY, W TYM:</t>
  </si>
  <si>
    <t>II</t>
  </si>
  <si>
    <t>2A</t>
  </si>
  <si>
    <t>WYKONANIE PROJEKTU PODSTAWOWEGO</t>
  </si>
  <si>
    <t>II A</t>
  </si>
  <si>
    <t>2B</t>
  </si>
  <si>
    <t>WYKONANIE PROJEKTÓW I OPRACOWAŃ BĘDĄCYCH W ZAKRESIE WYKONAWCY</t>
  </si>
  <si>
    <t>II B</t>
  </si>
  <si>
    <t>PRZYGOTOWANIE TERENU ROBÓT W TYM: WZMOCNIENIE GRUNTU POD BUDYNEK PROCESOWY GŁÓWNY, ROZBIÓRKI I PRZEKŁADKI SIECI, ZABEZPIECZENIA MIEJSC KOLIZJI</t>
  </si>
  <si>
    <t>III</t>
  </si>
  <si>
    <t>WYKONANIE PROPORCJONALNIE (PRO QUOTA) ROBÓT FUNDAMENTOWYCH BUDYNKU GŁÓWNEGO PROCESOWEGO</t>
  </si>
  <si>
    <t>IV</t>
  </si>
  <si>
    <t>ZAKOŃCZENIE PROPORCJONALNIE (PRO QUOTA) MONTAŻU KONSTRUKCJI CZĘŚCI NADZIEMNEJ BUDYNKU GŁÓWNEGO</t>
  </si>
  <si>
    <t>V</t>
  </si>
  <si>
    <t>ZAKOŃCZENIE PROPORCJONALNIE (PRO QUOTA) MONTAŻU OBUDOWY BUDYNKU GŁÓWNEGO</t>
  </si>
  <si>
    <t>VI</t>
  </si>
  <si>
    <t>WYKONANIE PROPORCJONALNIE (PRO QUOTA) OBIEKTÓW GOSPODARKI ZEWNĘTRZNEJ</t>
  </si>
  <si>
    <t>VII</t>
  </si>
  <si>
    <t>ZAKOŃCZENIE MONTAŻU WEZŁA ZAŁADUNKU WSADU</t>
  </si>
  <si>
    <t>VIII</t>
  </si>
  <si>
    <t>ZAKOŃCZENIE MONTAŻU KOTŁA, RUSZTU, ODŻUŻLACZA (CZTERY ETAPY: 1 - DOSTAWA RUSZTU; 2 - MONTAŻ RUSZTU; 3- DOSTAWA KOTŁA; 4 - MONTAŻ KOTŁA)+</t>
  </si>
  <si>
    <t>IX</t>
  </si>
  <si>
    <t>9A</t>
  </si>
  <si>
    <t>DOSTAWA CIĘŻKICH CZĘŚCI PALENISKA RUSZTOWEGO</t>
  </si>
  <si>
    <t xml:space="preserve">IX A </t>
  </si>
  <si>
    <t xml:space="preserve">9B </t>
  </si>
  <si>
    <t>DOSTAWA 2 ODŻUŻLACZY POD PALENISKO RUSZTOWE</t>
  </si>
  <si>
    <t>IX B</t>
  </si>
  <si>
    <t>9C</t>
  </si>
  <si>
    <t>DOSTAWA PROPORCJONALNIE (PRO QUOTA) GŁÓWNYCH ELEMENTÓW KOTŁA</t>
  </si>
  <si>
    <t>IX C</t>
  </si>
  <si>
    <t>9D</t>
  </si>
  <si>
    <t>ZAKOŃCZENIE MONTAŻU CIĘŻKCH CZĘŚCI PALENISKA RUSZTOWEGO</t>
  </si>
  <si>
    <t>IX D</t>
  </si>
  <si>
    <t>9E</t>
  </si>
  <si>
    <t>ZAKOŃCZENIE MONTAŻU 2 ODŻUŻLACZY POD PALENISKO RUSZTOWE</t>
  </si>
  <si>
    <t>IX E</t>
  </si>
  <si>
    <t>9F</t>
  </si>
  <si>
    <t>ZAKOŃCZENIE MONTAŻU PROPORCJONALNIE (PRO QUOTA) INSTALACJI GŁÓWNYCH KOMPONENTÓW KOTŁA DO MOMENTU PRÓBY HYDRAULICZNEJ Z JEDNOSTKĄ NOTYFIKOWANĄ</t>
  </si>
  <si>
    <t>IX F</t>
  </si>
  <si>
    <t>PRÓBA WODNA</t>
  </si>
  <si>
    <t>ZAKOŃCZENIE MONTAŻU TURBOZESPOŁU (DWA ETAPY: 1- DOSTAWA; 2 - MONTAŻ)</t>
  </si>
  <si>
    <t>X</t>
  </si>
  <si>
    <t>WYKONANIE PROPORCJONALNIE (PRO QUOTA) UKŁADU OBIEGU WODNO-PAROWEGO (DWA ETAPY: 1-DOSTAWA; 2-MONTAŻ)</t>
  </si>
  <si>
    <t>XI</t>
  </si>
  <si>
    <t>ZAKOŃCZENIE PROPORCJONALNIE (PRO QUOTA) MONTAŻU UKŁADU OCZYSZCZANIA SPALIN (DWA ETAPY: 1- DOSTAWA; 2-MONTAŻ)</t>
  </si>
  <si>
    <t>XII</t>
  </si>
  <si>
    <t>ZAKOŃCZENIE PROPORCJONALNIE (PRO QUOTA) MONTAŻU UKŁADU WYPROWADZANIA MOCY CIEPLNEJ</t>
  </si>
  <si>
    <t>XIII</t>
  </si>
  <si>
    <t>ZAKOŃCZENIE PROPORCJONALNIE (PRO QUOTA) MONTAŻU UKŁĄDU WYPROWADZENIA MOCY ELEKTRYCZNEJ(DWA ETAPY: 1 -DOSTAWA; 2 - MONTAŻ)</t>
  </si>
  <si>
    <t>XIV</t>
  </si>
  <si>
    <t>ZAKOŃCZENIE PROPORCJONALNIE (PRO QUOTA) MONTAŻU UKŁADU ZASILANIA POTRZEB WŁASNYCH</t>
  </si>
  <si>
    <t>XV</t>
  </si>
  <si>
    <t>ZAKOŃCZENIE MONTAŻU KOTŁOWNI REZERWOWEJ</t>
  </si>
  <si>
    <t>XVI</t>
  </si>
  <si>
    <t>ZAKOŃCZENIE PROPORCJONALNIE (PRO QUOTA) MONTAŻU SIECI WODY TECHNOLOGICZNEJ</t>
  </si>
  <si>
    <t>XVII</t>
  </si>
  <si>
    <t>ZAKOŃCZENIE PROPORCJONALNIE (PRO QUOTA) MONTAŻU POZOSTAŁYCH SIECI PROJEKTU ITPO</t>
  </si>
  <si>
    <t>XVIII</t>
  </si>
  <si>
    <t>WYKONANIE UKŁADU OLEJUU ROZPAŁKOWO - WSPOMAGAJĄCEGO</t>
  </si>
  <si>
    <t>XIX</t>
  </si>
  <si>
    <t>ZAKOŃCZENIE MONTAŻU SYSTEMU STEROWANIA</t>
  </si>
  <si>
    <t>XX</t>
  </si>
  <si>
    <t>ZAKOŃCZENIE PROPORCJONALNIE (PRO QUOTA) MONTAŻU UKŁADU WYPROWADZANIA SPALIN</t>
  </si>
  <si>
    <t>XXI</t>
  </si>
  <si>
    <t>WYKONANIE INSTALACJI W BUDYNKACH PROJEKTU ITPO</t>
  </si>
  <si>
    <t>XXII</t>
  </si>
  <si>
    <t>WYKONANIE PROPORCJONALNIE (PRO QUOTA) UKŁADU POWIETRZA DO SPALANIA I CHŁODZENIA</t>
  </si>
  <si>
    <t>XXIII</t>
  </si>
  <si>
    <t>WYPOSAŻENIE BUDYNKÓW, DOSTAW SPRZĘTÓW I URZĄDZEŃ</t>
  </si>
  <si>
    <t>XXIV</t>
  </si>
  <si>
    <t>ZAKOŃCZENIE MONTAŻU IZOLACJI TERMICZNEJ I OBUDOWY INSTALACJI I URZĄDZEŃ PROJEKTU ITPO</t>
  </si>
  <si>
    <t>XXV</t>
  </si>
  <si>
    <t>ZAGOSPODAROWANIE TERENU</t>
  </si>
  <si>
    <t>XXVI</t>
  </si>
  <si>
    <t>GOTOWOŚĆ PROJEKTU ITPO DO ROZRUCHU NA GORĄCO</t>
  </si>
  <si>
    <t>ROZRUCH NA GORĄCO</t>
  </si>
  <si>
    <t>PRZEJĘCIE PROJEKTU ITPO DO EKSPLOATACJI</t>
  </si>
  <si>
    <t>XXVII</t>
  </si>
  <si>
    <t>ODBIÓR KOŃCOWY</t>
  </si>
  <si>
    <t>XXVIII</t>
  </si>
  <si>
    <t>ZAKOŃCZENIE OBSŁUGI SERWISOWEJ W 1 ROKU GWARANCJI</t>
  </si>
  <si>
    <t>XXIX</t>
  </si>
  <si>
    <t>OD 02-12.2027</t>
  </si>
  <si>
    <t>ZAKOŃCZENIE OBSŁUGI SERWISOWEJ W 2 ROKU GWARANCJI</t>
  </si>
  <si>
    <t>XXX</t>
  </si>
  <si>
    <t>OD 01-12.2028</t>
  </si>
  <si>
    <t>wartość umowy</t>
  </si>
  <si>
    <t>zaliczka</t>
  </si>
  <si>
    <t xml:space="preserve">Wartośc Umowy </t>
  </si>
  <si>
    <t>Wartość umowy</t>
  </si>
  <si>
    <t xml:space="preserve">Surveying </t>
  </si>
  <si>
    <t>Wynagrodzenie PORR</t>
  </si>
  <si>
    <t>Wynagrodzenie TME</t>
  </si>
  <si>
    <t>Remuneration PORR</t>
  </si>
  <si>
    <t>Remuneration TME</t>
  </si>
  <si>
    <t>Koszty reprezentacji</t>
  </si>
  <si>
    <t>Representation costs</t>
  </si>
  <si>
    <t>WARTOŚĆ KAMIENIA PO ODJĘCIU ZALICZKI</t>
  </si>
  <si>
    <t>netto</t>
  </si>
  <si>
    <t>1.1454.00001</t>
  </si>
  <si>
    <t>14.12.2026</t>
  </si>
  <si>
    <t>17.08.2026</t>
  </si>
  <si>
    <t>16.12.2024</t>
  </si>
  <si>
    <t>2026</t>
  </si>
  <si>
    <t>2027</t>
  </si>
  <si>
    <t>REGIE Centrala Warszawa 4,0% / 1,85%</t>
  </si>
  <si>
    <t>2.7.1</t>
  </si>
  <si>
    <t>Gwarancja zwrotu zaliczki</t>
  </si>
  <si>
    <t>8</t>
  </si>
  <si>
    <t>Other income</t>
  </si>
  <si>
    <t>Pozostałe przychody</t>
  </si>
  <si>
    <t>Pozostałe koszty</t>
  </si>
  <si>
    <t>Geotechnical works</t>
  </si>
  <si>
    <t>Cash In</t>
  </si>
  <si>
    <t>Cash Out</t>
  </si>
  <si>
    <t>Balance (Cash In &amp; Cash Out)</t>
  </si>
  <si>
    <t>Cumulative Balance</t>
  </si>
  <si>
    <t>October 2024</t>
  </si>
  <si>
    <t>November 2024</t>
  </si>
  <si>
    <t>December 2024</t>
  </si>
  <si>
    <t>January 2025</t>
  </si>
  <si>
    <t>February 2025</t>
  </si>
  <si>
    <t>March 2025</t>
  </si>
  <si>
    <t>April 2025</t>
  </si>
  <si>
    <t>May 2025</t>
  </si>
  <si>
    <t>June 2025</t>
  </si>
  <si>
    <t>July 2025</t>
  </si>
  <si>
    <t>August 2025</t>
  </si>
  <si>
    <t>September 2025</t>
  </si>
  <si>
    <t>October 2025</t>
  </si>
  <si>
    <t>November 2025</t>
  </si>
  <si>
    <t>December 2025</t>
  </si>
  <si>
    <t>Repayment of funding          + 50 mln</t>
  </si>
  <si>
    <t>PORR and TME funding                      - 50 mln</t>
  </si>
  <si>
    <t>PORR kadra</t>
  </si>
  <si>
    <t>TME kadra</t>
  </si>
  <si>
    <t>Exchange rate differences</t>
  </si>
  <si>
    <t xml:space="preserve">Różnice kursowe </t>
  </si>
  <si>
    <t>Różnice kursowe</t>
  </si>
  <si>
    <t>Saldo na dzień31.10.2024</t>
  </si>
  <si>
    <t xml:space="preserve">Wydatki do 31.10.2024 </t>
  </si>
  <si>
    <t>Wpływy do dnia 31.10.2024</t>
  </si>
  <si>
    <t>w tym dofinansoanie 50 000 000</t>
  </si>
  <si>
    <t>realne</t>
  </si>
  <si>
    <t>to  10.2024</t>
  </si>
  <si>
    <t>Cumulative up to 10/2024</t>
  </si>
  <si>
    <t>2.8.1</t>
  </si>
  <si>
    <t>2.9.4</t>
  </si>
  <si>
    <t>5.8</t>
  </si>
  <si>
    <t>2.8.2</t>
  </si>
  <si>
    <t>Dostawa stali zbrojeniowej</t>
  </si>
  <si>
    <t>`</t>
  </si>
  <si>
    <t>10</t>
  </si>
  <si>
    <t xml:space="preserve">Financial interest </t>
  </si>
  <si>
    <t>2.9.6</t>
  </si>
  <si>
    <t>2.8.3</t>
  </si>
  <si>
    <t>2.8.4</t>
  </si>
  <si>
    <t>2.8.5</t>
  </si>
  <si>
    <t>2.8.6</t>
  </si>
  <si>
    <t xml:space="preserve">Odsetki finasowe </t>
  </si>
  <si>
    <t>Gwarancja Należytego Wykonania</t>
  </si>
  <si>
    <t>PROJEKTOWANIE</t>
  </si>
  <si>
    <t>5.2.0</t>
  </si>
  <si>
    <t xml:space="preserve">  </t>
  </si>
  <si>
    <t>2.12.1</t>
  </si>
  <si>
    <t>2.12.2</t>
  </si>
  <si>
    <t>Budżet: Włocławek</t>
  </si>
  <si>
    <t>Ładowarka Manitou</t>
  </si>
  <si>
    <t>Żurawie stacjonarne</t>
  </si>
  <si>
    <t xml:space="preserve">Security of construction backup facilities 1 st x 24h x 25zł /godz.x 31 dni </t>
  </si>
  <si>
    <t>Place składowo-magazynowe ( kruszywo )</t>
  </si>
  <si>
    <t>Utwardzenie placów budowlano-montażowych ( kruszywo )</t>
  </si>
  <si>
    <t>Monitoring istniejących obiektów budowlanych</t>
  </si>
  <si>
    <t>System zarządzania bezpieczeństwem i środowiskiem</t>
  </si>
  <si>
    <t>6.6</t>
  </si>
  <si>
    <t>Obsługa budowy</t>
  </si>
  <si>
    <t>Wyposażenie osobiste BHP</t>
  </si>
  <si>
    <t>01.2026</t>
  </si>
  <si>
    <t>02.2026</t>
  </si>
  <si>
    <t>03.2026</t>
  </si>
  <si>
    <t>04.2026</t>
  </si>
  <si>
    <t>05.2026</t>
  </si>
  <si>
    <t>06.2026</t>
  </si>
  <si>
    <t>07.2026</t>
  </si>
  <si>
    <t>01.2027</t>
  </si>
  <si>
    <t>02.2027</t>
  </si>
  <si>
    <t>03.2027</t>
  </si>
  <si>
    <t>04.2027</t>
  </si>
  <si>
    <t>05.2027</t>
  </si>
  <si>
    <t>06.2027</t>
  </si>
  <si>
    <t>07.2027</t>
  </si>
  <si>
    <t>08.2027</t>
  </si>
  <si>
    <t>09.2027</t>
  </si>
  <si>
    <t>10.2027</t>
  </si>
  <si>
    <t>11.2027</t>
  </si>
  <si>
    <t>12.2027</t>
  </si>
  <si>
    <t>01.2028</t>
  </si>
  <si>
    <t>02.2028</t>
  </si>
  <si>
    <t>03.2028</t>
  </si>
  <si>
    <t>04.2028</t>
  </si>
  <si>
    <t>05.2028</t>
  </si>
  <si>
    <t>06.2028</t>
  </si>
  <si>
    <t>07.2028</t>
  </si>
  <si>
    <t>08.2028</t>
  </si>
  <si>
    <t>09.2028</t>
  </si>
  <si>
    <t>10.2028</t>
  </si>
  <si>
    <t>12.2028</t>
  </si>
  <si>
    <t>2029</t>
  </si>
  <si>
    <t>Przerób 2026</t>
  </si>
  <si>
    <t>przerób 2027</t>
  </si>
  <si>
    <t>przerób 2028</t>
  </si>
  <si>
    <t>CONTAINEX</t>
  </si>
  <si>
    <t>BUDIZOL</t>
  </si>
  <si>
    <t>5.3.1</t>
  </si>
  <si>
    <t>2.2.1</t>
  </si>
  <si>
    <t>Rental of a crane for shoveling</t>
  </si>
  <si>
    <t>2030</t>
  </si>
  <si>
    <t>2031</t>
  </si>
  <si>
    <t>FOROOM</t>
  </si>
  <si>
    <t>4.6.1</t>
  </si>
  <si>
    <t>SOLID SECURITY</t>
  </si>
  <si>
    <t>1.2.1</t>
  </si>
  <si>
    <t>kpl</t>
  </si>
  <si>
    <t>Contingency 3,5.%</t>
  </si>
  <si>
    <t>Monitoring of existing buildings</t>
  </si>
  <si>
    <t>Safety and Environmental Management System</t>
  </si>
  <si>
    <t>Personal OHS equipment</t>
  </si>
  <si>
    <t>Construction service</t>
  </si>
  <si>
    <t>Storage and storage yards (aggregate)</t>
  </si>
  <si>
    <t>Hardening of construction and assembly sites (aggregate)</t>
  </si>
  <si>
    <t>MON Boards</t>
  </si>
  <si>
    <t>Projeky wykonawcze architektoniczne, budowlane, sanitarne, drogowe</t>
  </si>
  <si>
    <t>Detailed architectural, structural, sanitary and road designs</t>
  </si>
  <si>
    <t>Detailed design: boiler support steel structure and equipment support structures</t>
  </si>
  <si>
    <t>Projekt wykonawczy: Instalacje ppoż.</t>
  </si>
  <si>
    <t>Detailed design: fire-fighting system</t>
  </si>
  <si>
    <t>Analiza hałasu i projektowanie zabezpieczeń przed hałasem</t>
  </si>
  <si>
    <t>Analiza HAZOP i SIL</t>
  </si>
  <si>
    <t>Instrukcja bezpieczeństwa pożarowego</t>
  </si>
  <si>
    <t xml:space="preserve">Ocena zagrożenia wybuchem </t>
  </si>
  <si>
    <t>Konsultant techniczny ds. certyfikacji i zgodności z dyrektywami europejskimi</t>
  </si>
  <si>
    <t>Jednostka notyfikowana</t>
  </si>
  <si>
    <t>Tłumaczenia (Polski/Angielski)</t>
  </si>
  <si>
    <t>Certyfikacja NC Rfg</t>
  </si>
  <si>
    <t>Uzyskiwanie decyzji i pozwoleń</t>
  </si>
  <si>
    <t>Noise Analysis and noise protection design</t>
  </si>
  <si>
    <t>HAZOP study and SIL analysis</t>
  </si>
  <si>
    <t>Fire safety instructions</t>
  </si>
  <si>
    <t>Technical Consultant for certification and for complying with European Directives</t>
  </si>
  <si>
    <t>Notification Bodies</t>
  </si>
  <si>
    <t>Translations (Polish / English)</t>
  </si>
  <si>
    <t>NC Rfg certification</t>
  </si>
  <si>
    <t>Obtaining decisions and permits</t>
  </si>
  <si>
    <t>Projekty wykonawcze branży elektrycznej i AKPiA</t>
  </si>
  <si>
    <t xml:space="preserve">Electrical &amp; I/C detailed design </t>
  </si>
  <si>
    <t>Projekt budowlany i wykonawczy stacji GPO/GPZ</t>
  </si>
  <si>
    <t>Building and detailed design of the GPO/GPZ station</t>
  </si>
  <si>
    <t>Projekty wykonawcze rurociągi i kanały</t>
  </si>
  <si>
    <t>Piping and ducts design</t>
  </si>
  <si>
    <t>Inne dokumenty, opinie, umowy, pozwolenia, postanowienia, zatwierdzenia i decyzje niezbędne do zaprojektowania, wykonania robót i oddania inwestycji do użytku (dokumentacja koncesyjna dotycząca wytwarzania energii elektrycznej i ciepła ze źródeł odnawialnych, pozwolenie na eksploatację ITPOE, pozwolenie zintegrowane, projekty i dokumentacja geologiczna, projekty oddania do użytku, instrukcje obsługi itp.).</t>
  </si>
  <si>
    <t>Other documentation, opinions, agreements, permits, provisions, approvals and decisions necessary for the design, execution of the Works and commissioning of the investment (concession documentation for the generation of electricity and heat from a renewable energy source, ITPOE operating permit, integrated permit, geological designs and documentation, commissioning designs, operating instructions, etc.).</t>
  </si>
  <si>
    <t>Roboty branży budowlano-konstrukcyjnej</t>
  </si>
  <si>
    <t>Civil works</t>
  </si>
  <si>
    <t>Roboty fundamentowe</t>
  </si>
  <si>
    <t>Foundation works</t>
  </si>
  <si>
    <t>Roboty ziemne</t>
  </si>
  <si>
    <t>Earthworks</t>
  </si>
  <si>
    <t>Working platform for foundation works</t>
  </si>
  <si>
    <t>Earthworks – backfilling of retaining wall</t>
  </si>
  <si>
    <t>Odwodnienie</t>
  </si>
  <si>
    <t>Drainage</t>
  </si>
  <si>
    <t>Izolacja</t>
  </si>
  <si>
    <t>Konstrukcja żelbetowa</t>
  </si>
  <si>
    <t>Reinforced concrete structure</t>
  </si>
  <si>
    <t>Konstrukcja żelbetowa fundamentów</t>
  </si>
  <si>
    <t>Reinforced concrete foundation structure</t>
  </si>
  <si>
    <t>Supply of reinforcing steel</t>
  </si>
  <si>
    <t>Supply of concrete mix with pumping service</t>
  </si>
  <si>
    <t>Wykonanie konstrukcji żelbetowej fundamentów i podziemia</t>
  </si>
  <si>
    <t>Construction of reinforced concrete foundations and underground structures</t>
  </si>
  <si>
    <t>Konstrukcja żelbetowa części nadziemnej, w tym prefabrykaty</t>
  </si>
  <si>
    <t>Reinforced concrete structure of the above-ground part, including prefabricated elements</t>
  </si>
  <si>
    <t>Konstrukcja żelbetowa części nadziemnej obiektu B1 - dostawa i montaż elementów prefabrykowanych</t>
  </si>
  <si>
    <t>Reinforced concrete structure of the above-ground part of the B1 building - delivery and assembly of prefabricated elements</t>
  </si>
  <si>
    <t>Konstrukcja żelbetowa części nadziemnej pozostałych obiektów, w tym prefabrykaty</t>
  </si>
  <si>
    <t>Reinforced concrete structure of the above-ground part of the remaining buildings, including prefabricated elements</t>
  </si>
  <si>
    <t xml:space="preserve">Estakada pod przenośnik taśmowy </t>
  </si>
  <si>
    <t>Flyover for belt conveyor</t>
  </si>
  <si>
    <t>Mur oporowy</t>
  </si>
  <si>
    <t>Retaining wall</t>
  </si>
  <si>
    <t>Konstrukcje stalowe</t>
  </si>
  <si>
    <t>Steel structures</t>
  </si>
  <si>
    <t>Konstrukcja, w tym podesty, pomosty, drabiny, zadaszenia</t>
  </si>
  <si>
    <t>Structure, including platforms, walkways, ladders, roofing</t>
  </si>
  <si>
    <t>Konstrukcja stalowa klatki schodowej w obiekcie B1.4 (zmiana z konstrukcji żelbetowej w stosunku do etapu akwizycji)</t>
  </si>
  <si>
    <t>Steel structure of the staircase in the B1.4 facility (change from the reinforced concrete structure in relation to the acquisition stage)</t>
  </si>
  <si>
    <t>Belki podsuwnicowe</t>
  </si>
  <si>
    <t>Gantry beams</t>
  </si>
  <si>
    <t>Ściany murowane</t>
  </si>
  <si>
    <t>Brick walls</t>
  </si>
  <si>
    <t>Elewacje</t>
  </si>
  <si>
    <t>Facades</t>
  </si>
  <si>
    <t>Attyka</t>
  </si>
  <si>
    <t>Parapet</t>
  </si>
  <si>
    <t>Daszek stalowo-aluminiowy</t>
  </si>
  <si>
    <t>Steel-aluminum canopy</t>
  </si>
  <si>
    <t>Fasada aluminiowo-szklana</t>
  </si>
  <si>
    <t>Aluminum-glass facade</t>
  </si>
  <si>
    <t>Lekka mokra</t>
  </si>
  <si>
    <t xml:space="preserve">ETICS </t>
  </si>
  <si>
    <t>Obróbki</t>
  </si>
  <si>
    <t>Flashings</t>
  </si>
  <si>
    <t>Okładziny z blachy</t>
  </si>
  <si>
    <t>Sheet metal cladding</t>
  </si>
  <si>
    <t>Okładziny z płyt warstwowych</t>
  </si>
  <si>
    <t>Sandwich panel cladding</t>
  </si>
  <si>
    <t xml:space="preserve">Okładziny z płyt włókno-cementowych </t>
  </si>
  <si>
    <t>Fiber cement panel cladding</t>
  </si>
  <si>
    <t>Podkonstrukcje</t>
  </si>
  <si>
    <t>Substructures</t>
  </si>
  <si>
    <t>Podsufitka</t>
  </si>
  <si>
    <t>Soffit lining</t>
  </si>
  <si>
    <t>Rusztowania</t>
  </si>
  <si>
    <t>Scaffolding</t>
  </si>
  <si>
    <t>Safety system</t>
  </si>
  <si>
    <t>Żaluzje</t>
  </si>
  <si>
    <t>Shutters</t>
  </si>
  <si>
    <t>Drzwi, okna, bramy i klapy</t>
  </si>
  <si>
    <t>Doors, windows, gates and hatches</t>
  </si>
  <si>
    <t>Bramy</t>
  </si>
  <si>
    <t>Gates</t>
  </si>
  <si>
    <t>Drzwi wewnętrzne</t>
  </si>
  <si>
    <t>Interior doors</t>
  </si>
  <si>
    <t>Drzwi zewnętrzne</t>
  </si>
  <si>
    <t>Exterior doors</t>
  </si>
  <si>
    <t>Okna</t>
  </si>
  <si>
    <t>Windows</t>
  </si>
  <si>
    <t>Okno do bunkra</t>
  </si>
  <si>
    <t>Bunker windows</t>
  </si>
  <si>
    <t>Klapy</t>
  </si>
  <si>
    <t>Hatches</t>
  </si>
  <si>
    <t>Dachy</t>
  </si>
  <si>
    <t>Roofs</t>
  </si>
  <si>
    <t>Prace wykończeniowe, w tym wyposażenie i meble</t>
  </si>
  <si>
    <t>Finishing works, including equipment and furniture</t>
  </si>
  <si>
    <t>Malowanie</t>
  </si>
  <si>
    <t>Painting</t>
  </si>
  <si>
    <t>Meble</t>
  </si>
  <si>
    <t>Furniture</t>
  </si>
  <si>
    <t>Płytki</t>
  </si>
  <si>
    <t>Tiles</t>
  </si>
  <si>
    <t>Podłoga podniesiona</t>
  </si>
  <si>
    <t>Raised floor</t>
  </si>
  <si>
    <t>Posadzka betonowa + wylewki</t>
  </si>
  <si>
    <t>Concrete floor + screed</t>
  </si>
  <si>
    <t>Posadzka z mikrocementu</t>
  </si>
  <si>
    <t>Microcement floor</t>
  </si>
  <si>
    <t>Posadzka żywiczna</t>
  </si>
  <si>
    <t>Resin floor</t>
  </si>
  <si>
    <t>Sufity podwieszane</t>
  </si>
  <si>
    <t>Suspended ceilings</t>
  </si>
  <si>
    <t>Ściana przesuwna segmentowa</t>
  </si>
  <si>
    <t>Segmented sliding wall</t>
  </si>
  <si>
    <t>Ścianka gk, ścianka z płyt warstwowych</t>
  </si>
  <si>
    <t>Plasterboard wall, sandwich panel wall</t>
  </si>
  <si>
    <t>Ścianka szklana</t>
  </si>
  <si>
    <t>Glass wall</t>
  </si>
  <si>
    <t>Tynki</t>
  </si>
  <si>
    <t>Plastering</t>
  </si>
  <si>
    <t>Wykładzina dywanowa / poliamid</t>
  </si>
  <si>
    <t>Carpet / polyamide</t>
  </si>
  <si>
    <t>Zabezpieczenie ścian i słupów do 2,5 m + zabezpieczenie hydrofobowe</t>
  </si>
  <si>
    <t>Wall and column protection up to 2.5 m + hydrophobic protection</t>
  </si>
  <si>
    <t>Dźwigi</t>
  </si>
  <si>
    <t>Elevators</t>
  </si>
  <si>
    <t>Dźwig / winda towarowo-osobowa</t>
  </si>
  <si>
    <t>Passenger and good elevator</t>
  </si>
  <si>
    <t>Podnośnik osobowy</t>
  </si>
  <si>
    <t>Passenger elevator</t>
  </si>
  <si>
    <t>Wagi samochodowe</t>
  </si>
  <si>
    <t>Weigh bridge</t>
  </si>
  <si>
    <t>Drogi i chodniki</t>
  </si>
  <si>
    <t>Roads and pavements</t>
  </si>
  <si>
    <t>Droga wewnętrzna</t>
  </si>
  <si>
    <t>Internal road</t>
  </si>
  <si>
    <t>Droga zewnętrzna</t>
  </si>
  <si>
    <t>External road</t>
  </si>
  <si>
    <t>Nawierzchnia chodnika</t>
  </si>
  <si>
    <t>Pavement surface</t>
  </si>
  <si>
    <t>Zieleń</t>
  </si>
  <si>
    <t>Greenery</t>
  </si>
  <si>
    <t>Ogrodzenie</t>
  </si>
  <si>
    <t>Fencing</t>
  </si>
  <si>
    <t>Dostawa ogrodzeń, bram i furtek</t>
  </si>
  <si>
    <t>Delivery of fences, gates and wickets</t>
  </si>
  <si>
    <t>Montaż ogrodzeń, bram i furtek</t>
  </si>
  <si>
    <t>Installation of fences, gates and wickets</t>
  </si>
  <si>
    <t>THYSSENKRUPP MATERIALS POLAND S.A.</t>
  </si>
  <si>
    <t>MAR-KOP Marcin Mierzwa</t>
  </si>
  <si>
    <t>Stump-Franki Sp. z o.o.</t>
  </si>
  <si>
    <t>KRZYŚ</t>
  </si>
  <si>
    <t xml:space="preserve">KRZYŚ </t>
  </si>
  <si>
    <t>5.2.1</t>
  </si>
  <si>
    <t>5.2.2.</t>
  </si>
  <si>
    <t>5.2.3</t>
  </si>
  <si>
    <t>Zasilenie elektryczne budowy, Zasilenie elektryczne zaplecza, Oświetlenie placu budowy i dróg tymczasowych</t>
  </si>
  <si>
    <t>Geobet</t>
  </si>
  <si>
    <t>2.5.1</t>
  </si>
  <si>
    <t>2.5.2</t>
  </si>
  <si>
    <t>2.1.1</t>
  </si>
  <si>
    <t>2.1.2</t>
  </si>
  <si>
    <t>2.2.2</t>
  </si>
  <si>
    <t>2.2.3</t>
  </si>
  <si>
    <t>2.3.1.</t>
  </si>
  <si>
    <t>2.4.1</t>
  </si>
  <si>
    <t>2.5.1.</t>
  </si>
  <si>
    <t>2.5.1.1</t>
  </si>
  <si>
    <t>2.5.1.2</t>
  </si>
  <si>
    <t>2.5.1.3</t>
  </si>
  <si>
    <t>2.5.2.1</t>
  </si>
  <si>
    <t>2.5.2.2</t>
  </si>
  <si>
    <t>2.5.2.3</t>
  </si>
  <si>
    <t>2.5.2.4</t>
  </si>
  <si>
    <t>2.5.2.5</t>
  </si>
  <si>
    <t>2.5.2.6</t>
  </si>
  <si>
    <t>1.2.2</t>
  </si>
  <si>
    <t>1.2.3</t>
  </si>
  <si>
    <t>1.2.4</t>
  </si>
  <si>
    <t>1.2.5</t>
  </si>
  <si>
    <t>1.2.6</t>
  </si>
  <si>
    <t>1.2.7</t>
  </si>
  <si>
    <t>1.4</t>
  </si>
  <si>
    <t>1.5</t>
  </si>
  <si>
    <t>1.6</t>
  </si>
  <si>
    <t>1.7</t>
  </si>
  <si>
    <t>1.8</t>
  </si>
  <si>
    <t>1.9</t>
  </si>
  <si>
    <t>1.10</t>
  </si>
  <si>
    <t>1.11</t>
  </si>
  <si>
    <t>2.6.1</t>
  </si>
  <si>
    <t>2.6.2</t>
  </si>
  <si>
    <t>2.6.3</t>
  </si>
  <si>
    <t>2.8.7</t>
  </si>
  <si>
    <t>2.8.8</t>
  </si>
  <si>
    <t>2.8.9</t>
  </si>
  <si>
    <t>2.8.10</t>
  </si>
  <si>
    <t>2.8.11</t>
  </si>
  <si>
    <t>2.8.12</t>
  </si>
  <si>
    <t>2.8.13</t>
  </si>
  <si>
    <t>2.9.1</t>
  </si>
  <si>
    <t>2.9.2</t>
  </si>
  <si>
    <t>2.9.3</t>
  </si>
  <si>
    <t>2.9.5</t>
  </si>
  <si>
    <t>2.10.1</t>
  </si>
  <si>
    <t>2.11.1</t>
  </si>
  <si>
    <t>2.11.2</t>
  </si>
  <si>
    <t>2.11.3</t>
  </si>
  <si>
    <t>2.11.4</t>
  </si>
  <si>
    <t>2.11.5</t>
  </si>
  <si>
    <t>2.11.6</t>
  </si>
  <si>
    <t>2.11.7</t>
  </si>
  <si>
    <t>2.11.8</t>
  </si>
  <si>
    <t>2.11.9</t>
  </si>
  <si>
    <t>2.11.10</t>
  </si>
  <si>
    <t>2.11.11</t>
  </si>
  <si>
    <t>2.11.12</t>
  </si>
  <si>
    <t>2.11.13</t>
  </si>
  <si>
    <t>2.11.14</t>
  </si>
  <si>
    <t>2.14.1</t>
  </si>
  <si>
    <t>2.14.2</t>
  </si>
  <si>
    <t>2.14.3</t>
  </si>
  <si>
    <t>2.16.1</t>
  </si>
  <si>
    <t>2.16.2</t>
  </si>
  <si>
    <t>2.13.1</t>
  </si>
  <si>
    <t>2.15.1</t>
  </si>
  <si>
    <t>2.5.2.1.1</t>
  </si>
  <si>
    <t>2.5.2.3.1</t>
  </si>
  <si>
    <t>2.5.1.1.1</t>
  </si>
  <si>
    <t>Instalacje teletechniczne</t>
  </si>
  <si>
    <t>Teletechnical installations</t>
  </si>
  <si>
    <t>Wyprowadzenie mocy GPO / GPZ</t>
  </si>
  <si>
    <t>GPO/GPZ power supply</t>
  </si>
  <si>
    <t>Instalacje AKPiA</t>
  </si>
  <si>
    <t>I&amp;C works</t>
  </si>
  <si>
    <t>System automatyki i oprzyrządowanie, sieci komunikacyjne i wyposażenie nastawni</t>
  </si>
  <si>
    <t>Automation system and instrumentation, communication networks and control room devices</t>
  </si>
  <si>
    <t>3.4.2</t>
  </si>
  <si>
    <t>System DCS</t>
  </si>
  <si>
    <t>DCS System</t>
  </si>
  <si>
    <t>3.4.3</t>
  </si>
  <si>
    <t>System CEMS</t>
  </si>
  <si>
    <t>Emission monitoring system (CEMS)</t>
  </si>
  <si>
    <t>Roboty branży sanitarnej i ppoż</t>
  </si>
  <si>
    <t>Sanitary works and fire-fighting system</t>
  </si>
  <si>
    <t>System przeciwpożarowy</t>
  </si>
  <si>
    <t>Firefighting system</t>
  </si>
  <si>
    <t>System wykrywania pożaru i alarmowania</t>
  </si>
  <si>
    <t>Fire detection and alarm system</t>
  </si>
  <si>
    <t>Zbiornik wody przeciwpożarowej</t>
  </si>
  <si>
    <t>Firefighting water tank</t>
  </si>
  <si>
    <t>4.2.3</t>
  </si>
  <si>
    <t>Pompy wody przeciwpożarowej</t>
  </si>
  <si>
    <t>Firefighting water pumping</t>
  </si>
  <si>
    <t>4.2.4</t>
  </si>
  <si>
    <t>Zewnętrzna dystrybucja wody przeciwpożarowej, węże, tryskacze</t>
  </si>
  <si>
    <t>Firefighting water external distribution, hoses, sprinklers</t>
  </si>
  <si>
    <t>4.2.5</t>
  </si>
  <si>
    <t>Instalacja hydrantów wewnętrznych w budynkach B1 i B2</t>
  </si>
  <si>
    <t>Installation of internal hydrants in buildings B1 and B2</t>
  </si>
  <si>
    <t>4.2.6</t>
  </si>
  <si>
    <t>Bezprzewodowy system sterowania radiowego typu WRC, sterowanie działkami</t>
  </si>
  <si>
    <t>Wireless radio controller system type WRC, gun control</t>
  </si>
  <si>
    <t>4.2.7</t>
  </si>
  <si>
    <t>Zewnętrzna dystrybucja wody gaśniczej, węże, tryskacze</t>
  </si>
  <si>
    <t>4.2.8</t>
  </si>
  <si>
    <t>Suchy system tryskaczowy w bunkrze. Montaż armatek wodnych i pianowych w hali bunkra oraz montaż podjednostki sterującej zaworami.</t>
  </si>
  <si>
    <t>Dry bunker sprinkler system. Installation of water and foam cannons in the bunker hall, and assembly of the valve sub-control unit.</t>
  </si>
  <si>
    <t>4.2.9</t>
  </si>
  <si>
    <t>System wykrywania gazu (jeśli występuje) i amoniaku</t>
  </si>
  <si>
    <t>Natural gas (if any) and ammonia detection system</t>
  </si>
  <si>
    <t>4.2.10</t>
  </si>
  <si>
    <t>Odprowadzanie dymu z bunkra odpadów i hali wyładunkowej</t>
  </si>
  <si>
    <t>Smoke extraction from waste bunker and tipping hall</t>
  </si>
  <si>
    <t>Instalacje sanitarne</t>
  </si>
  <si>
    <t>Sanitary installations</t>
  </si>
  <si>
    <t>Wywietrzaki dachowe kotłowni oraz żaluzje ścienne</t>
  </si>
  <si>
    <t>Boiler room roof ventilators and wall shutters</t>
  </si>
  <si>
    <t>4.3.2</t>
  </si>
  <si>
    <t>Instalacje HVAC dla budynków technologicznych</t>
  </si>
  <si>
    <t>HVAC for the technological buildings</t>
  </si>
  <si>
    <t>4.3.3</t>
  </si>
  <si>
    <t>Instalacje HVAC dla pozostałych budynków</t>
  </si>
  <si>
    <t xml:space="preserve">HVAC for the other buildings </t>
  </si>
  <si>
    <t>4.3.4</t>
  </si>
  <si>
    <t>Zaopatrzenie w wodę użytkową, pompowanie, rozprowadzanie podziemne i zewnętrzne + Urządzenia sanitarne (toalety, prysznice itp.)</t>
  </si>
  <si>
    <t>Service water storage, pumping, underground and external distribution + Sanitary facilities (toilets, showers, etc.)</t>
  </si>
  <si>
    <t>4.3.5</t>
  </si>
  <si>
    <t>Zaopatrzenie w wodę pitną, podłączenia, magazynowanie, pompowanie, rozprowadzanie podziemne i zewnętrzne</t>
  </si>
  <si>
    <t>Sanitary water, connection to source, storage, pumping, underground and external distribution</t>
  </si>
  <si>
    <t>4.3.6</t>
  </si>
  <si>
    <t>Prysznice awaryjne i urządzenia do płukania oczu</t>
  </si>
  <si>
    <t>Emergency showers and eye washers</t>
  </si>
  <si>
    <t>4.3.7</t>
  </si>
  <si>
    <t>Odbiór ścieków sanitarnych, oczyszczanie i podłączenie do punktu odprowadzania</t>
  </si>
  <si>
    <t>Sanitary waste water collection, treatment and connection to discharge point</t>
  </si>
  <si>
    <t>4.3.8</t>
  </si>
  <si>
    <t>Odbiór ścieków i podłączenie do punktu odprowadzania</t>
  </si>
  <si>
    <t>Waste water collection and connection to discharge point</t>
  </si>
  <si>
    <t>4.3.9</t>
  </si>
  <si>
    <t>Odbiór wody deszczowej i roztopowej, oczyszczanie i podłączenie do punktu odprowadzania</t>
  </si>
  <si>
    <t>Rain water and snowmelt collection, treatment and connection to discharge point</t>
  </si>
  <si>
    <t>Roboty branży mechanicznej i technologicznej</t>
  </si>
  <si>
    <t>Mechanical and technological works</t>
  </si>
  <si>
    <t>5.3.2</t>
  </si>
  <si>
    <t>5.3.3</t>
  </si>
  <si>
    <t>5.3.4</t>
  </si>
  <si>
    <t>5.3.5</t>
  </si>
  <si>
    <t>5.3.6</t>
  </si>
  <si>
    <t>5.3.7</t>
  </si>
  <si>
    <t>5.3.8</t>
  </si>
  <si>
    <t>Punkt przyjęcia odpadów</t>
  </si>
  <si>
    <t>Wykrywacz radioaktywności</t>
  </si>
  <si>
    <t>Bunkier odpadów</t>
  </si>
  <si>
    <t>Suwnice, chwytaki wraz miejscem operatora + chwytak zapasowy</t>
  </si>
  <si>
    <t>Klapy serwisowe chwytaków</t>
  </si>
  <si>
    <t xml:space="preserve">Palenisko </t>
  </si>
  <si>
    <t>Lej załadowczy rusztu + stalowa konstrukcja nośna rusztu + kompletne palenisko rusztowe z systemem podawania odpadów + leje pod rusztem</t>
  </si>
  <si>
    <t>Wentylator powietrza pierwotnego i wtórnego, wentylator recyrkulacji spalin, wentylator spalin</t>
  </si>
  <si>
    <t>Podgrzewacz powietrza pierwotnego i wtórnego</t>
  </si>
  <si>
    <t>Kanały powietrza pierwotnego/wtórnego + kanały recyrkulacji spalin + kanały palników pomocniczych + konstrukcje wsporcze</t>
  </si>
  <si>
    <t>Kurtyna ppoż. dla otworu powietrza pierwotnego</t>
  </si>
  <si>
    <t>Przepustnice powietrza pierwotnego i wtórnego</t>
  </si>
  <si>
    <t>Przepustnice recyrkulacji spalin</t>
  </si>
  <si>
    <t>Kamera do monitorowania rusztu</t>
  </si>
  <si>
    <t>Reception</t>
  </si>
  <si>
    <t>Radioactivity detector</t>
  </si>
  <si>
    <t>Waste bunker</t>
  </si>
  <si>
    <t>Overhead crane, grab and operator seat + Spare Grab</t>
  </si>
  <si>
    <t>Trapdoors for grab maintenance</t>
  </si>
  <si>
    <t>Furnace</t>
  </si>
  <si>
    <t>Furnace charging hopper + Furnace supporting steel structure + Complete grate fired furnace with waste feeding system + Hoppers under grate</t>
  </si>
  <si>
    <t>Primary and secondary air fan, Flue gas recirculation fan, ID Fan</t>
  </si>
  <si>
    <t>Primary &amp; secondary air heat exchanger</t>
  </si>
  <si>
    <t>Primary / secondary air ducts + Flue gas recirculation ducts + Auxiliary burners ducts + Supporting structures</t>
  </si>
  <si>
    <t>Fire curtain for primary air opening</t>
  </si>
  <si>
    <t>Primary &amp; secondary air dampers</t>
  </si>
  <si>
    <t>Flue gas recirculation dampers</t>
  </si>
  <si>
    <t>Camera for furnace monitoring</t>
  </si>
  <si>
    <t>5.4.1</t>
  </si>
  <si>
    <t>5.4.2</t>
  </si>
  <si>
    <t>5.4.3</t>
  </si>
  <si>
    <t>5.4.4</t>
  </si>
  <si>
    <t>5.4.5</t>
  </si>
  <si>
    <t>5.4.6</t>
  </si>
  <si>
    <t>5.7</t>
  </si>
  <si>
    <t>5.7.1</t>
  </si>
  <si>
    <t>5.7.2</t>
  </si>
  <si>
    <t>5.7.3</t>
  </si>
  <si>
    <t>5.7.4</t>
  </si>
  <si>
    <t>Kocioł - część ciśnieniowa</t>
  </si>
  <si>
    <t>Kocioł - konstrukcje wsporcze wraz z pomostami</t>
  </si>
  <si>
    <t>System odprowadzania popiołu lotnego z kotła wraz z przenośnikami</t>
  </si>
  <si>
    <t>System pobierania próbek</t>
  </si>
  <si>
    <t>System dozowania chemii do kotła</t>
  </si>
  <si>
    <t>Kompensator między kotłem a ECO</t>
  </si>
  <si>
    <t>Wymurówka ogniotrwała</t>
  </si>
  <si>
    <t>Palniki wraz z wentylatorami</t>
  </si>
  <si>
    <t>Oczyszczanie spalin (FGT)</t>
  </si>
  <si>
    <t>System SNCR DeNOx wraz z silosem, pompami</t>
  </si>
  <si>
    <t>Oczyszczanie spalin (FGT): Filtr workowy, Reaktor, DeNOx, Kondensacja spalin, Silosy wapna i węgla aktywnego, system dozowania</t>
  </si>
  <si>
    <t>Dostawa worków</t>
  </si>
  <si>
    <t>Silosy pyłów lotnych</t>
  </si>
  <si>
    <t>Boiler - pressure parts</t>
  </si>
  <si>
    <t>Boiler - supporting structure including walkways</t>
  </si>
  <si>
    <t>Fly ash extraction system for the boiler and conveyors</t>
  </si>
  <si>
    <t>Sampling system</t>
  </si>
  <si>
    <t>Chemical dosing for the boiler</t>
  </si>
  <si>
    <t>Compensator between boiler and ECO</t>
  </si>
  <si>
    <t>Refractory</t>
  </si>
  <si>
    <t>Burners including fans</t>
  </si>
  <si>
    <t>Flue gas treatment (FGT)</t>
  </si>
  <si>
    <t>SNCR DeNOx system including silo, pumps</t>
  </si>
  <si>
    <t>Flue gas treatment (FGT): Bag filter, Reactor, DeNOx, Flue gas condensation, Lime and activated carbon silos, dosing system</t>
  </si>
  <si>
    <t>Bag filters delivery</t>
  </si>
  <si>
    <t>Fly ash silos</t>
  </si>
  <si>
    <t>5.8.1</t>
  </si>
  <si>
    <t>5.8.2</t>
  </si>
  <si>
    <t>Odprowadzenie popiołu dennego</t>
  </si>
  <si>
    <t>Przenośnik łańcuchowy pod rusztem + Odprowadzenie popiołu dennego + Stół wibracyjny / przesiewacz zbiorczy</t>
  </si>
  <si>
    <t>Przenośniki taśmowe</t>
  </si>
  <si>
    <t>Bottom ash extraction</t>
  </si>
  <si>
    <t>Chain conveyor under grate + Bottom ash extractor + Vibrating table / bulk screen</t>
  </si>
  <si>
    <t>Belt conveyors</t>
  </si>
  <si>
    <t>5.9</t>
  </si>
  <si>
    <t>5.10</t>
  </si>
  <si>
    <t>5.10.1</t>
  </si>
  <si>
    <t>5.10.2</t>
  </si>
  <si>
    <t>5.10.3</t>
  </si>
  <si>
    <t>5.10.4</t>
  </si>
  <si>
    <t>5.10.5</t>
  </si>
  <si>
    <t>5.10.6</t>
  </si>
  <si>
    <t>5.10.7</t>
  </si>
  <si>
    <t>5.10.8</t>
  </si>
  <si>
    <t>5.10.9</t>
  </si>
  <si>
    <t>5.10.10</t>
  </si>
  <si>
    <t>5.10.11</t>
  </si>
  <si>
    <t>5.10.12</t>
  </si>
  <si>
    <t>Waloryzacja żużla</t>
  </si>
  <si>
    <t>Turbina parowa, cykl termiczny, sieć ciepłownicza</t>
  </si>
  <si>
    <t>Turbina parowa - przekładnia - generator. W tym akcesoria: układ olejowy, chłodnice, izolacja, rury i zawory, panel sterowania, panel zabezpieczający, układ synchronizacji itp.</t>
  </si>
  <si>
    <t>Suwnica pomocnicza i wciągniki do konserwacji turbiny parowej</t>
  </si>
  <si>
    <t>Kondensator powietrzny</t>
  </si>
  <si>
    <t>Zbiornik wody zasilającej i odgazowywacz</t>
  </si>
  <si>
    <t>Rurociągi, armatura i podpory</t>
  </si>
  <si>
    <t>Dozowanie chemii dla cyklu cieplnego i sieci ciepłowniczej</t>
  </si>
  <si>
    <t>Chłodnica</t>
  </si>
  <si>
    <t>Zbiornik chłodzący, zbiornik kondensatu</t>
  </si>
  <si>
    <t>System stabilizacji ciśnienia wody</t>
  </si>
  <si>
    <t>Zbiornik wody 100 m3</t>
  </si>
  <si>
    <t>Wymienniki ciepła 2 szt., Podgrzewacz niskociśnieniowy, ekonomizer zewnętrzny</t>
  </si>
  <si>
    <t>Pompy stabilizujące 2 x 100%, pompy sieciowe 3x50%, pompy kondensatu 2x100%, pompy wody zasilającej 3szt., pompy chłodzące</t>
  </si>
  <si>
    <t>Bottom ash / slag valorization</t>
  </si>
  <si>
    <t>Steam turbine, thermal cycle &amp; district heating network</t>
  </si>
  <si>
    <t>Steam turbine - gear box - generator. Including accessories: oil system, coolers, insulation, pipes and valves, control panel, protection panel, synchro system etc.</t>
  </si>
  <si>
    <t>Auxiliary crane and hoists for the maintenance of the steam turbine</t>
  </si>
  <si>
    <t>Air cooled condenser</t>
  </si>
  <si>
    <t>Feed water tank and Deaerator</t>
  </si>
  <si>
    <t>Piping, fitting and supports</t>
  </si>
  <si>
    <t>Chemical dossing for thermal cycle and district heating</t>
  </si>
  <si>
    <t>Main cooler</t>
  </si>
  <si>
    <t>Cooler tank, condensate tank</t>
  </si>
  <si>
    <t>Water pressure stabilization system</t>
  </si>
  <si>
    <t>Water tank 100 m3</t>
  </si>
  <si>
    <t>Heat exchangers 2 pcs., LP pre-heater, external economizer</t>
  </si>
  <si>
    <t>Stabilising pumps 2 x 100%, network pumps 3 x 50%, condensate pumps 2 x 100%, feed water pumps 3 pcs., cooling pumps</t>
  </si>
  <si>
    <t>5.10.13</t>
  </si>
  <si>
    <t>5.10.13.1</t>
  </si>
  <si>
    <t>5.10.13.2</t>
  </si>
  <si>
    <t>5.10.13.3</t>
  </si>
  <si>
    <t>5.10.13.4</t>
  </si>
  <si>
    <t>5.10.13.5</t>
  </si>
  <si>
    <t>Zawory (ręczne, z napędem, bezpieczeństwa, ON-OF, sterujące  itp.)</t>
  </si>
  <si>
    <t>Zawory ręczne</t>
  </si>
  <si>
    <t>Zawory z napędem mechanicznym</t>
  </si>
  <si>
    <t>Zawory bezpieczeństwa</t>
  </si>
  <si>
    <t>Zawory ON/OFF</t>
  </si>
  <si>
    <t>Zawory regulujące</t>
  </si>
  <si>
    <t>Valves ( Manual, motorized , safety, ON-OF , control  etc… )</t>
  </si>
  <si>
    <t>Manual valves</t>
  </si>
  <si>
    <t>Motorized valves</t>
  </si>
  <si>
    <t>Safety valves</t>
  </si>
  <si>
    <t>ON/OFF valves</t>
  </si>
  <si>
    <t>Control valves</t>
  </si>
  <si>
    <t>5.11</t>
  </si>
  <si>
    <t>5.12</t>
  </si>
  <si>
    <t>5.13</t>
  </si>
  <si>
    <t>5.13.1</t>
  </si>
  <si>
    <t>5.13.2</t>
  </si>
  <si>
    <t>5.13.3</t>
  </si>
  <si>
    <t>5.13.4</t>
  </si>
  <si>
    <t>5.13.5</t>
  </si>
  <si>
    <t>5.13.6</t>
  </si>
  <si>
    <t>5.13.7</t>
  </si>
  <si>
    <t>5.13.8</t>
  </si>
  <si>
    <t>5.13.9</t>
  </si>
  <si>
    <t>5.13.10</t>
  </si>
  <si>
    <t>5.14</t>
  </si>
  <si>
    <t>5.14.1</t>
  </si>
  <si>
    <t>5.14.2</t>
  </si>
  <si>
    <t>5.14.3</t>
  </si>
  <si>
    <t>5.14.4</t>
  </si>
  <si>
    <t>Komin</t>
  </si>
  <si>
    <t>Izolacja kotła i rurociagów</t>
  </si>
  <si>
    <t>Systemy pomocnicze</t>
  </si>
  <si>
    <t>Sprężarki 2 x 50% + 1 x 50%</t>
  </si>
  <si>
    <t>Zbiornik paliwa pomocniczego (olej lekki/olej napędowy)</t>
  </si>
  <si>
    <t>Instalacja rozładunku oleju lekkiego wraz z uzgodnieniem dokumentacji TDT</t>
  </si>
  <si>
    <t>Pompy paliwa pomocniczego (olej lekki/olej napędowy), pompy wody demi, inne pompy wodne</t>
  </si>
  <si>
    <t>Rurociągi systemów pomocniczych - olej lekki, woda demi, dozowanie chemii, powietrze sprężone</t>
  </si>
  <si>
    <t>Wciągniki pomocnicze do konserwacji</t>
  </si>
  <si>
    <t>System wody zdemineralizowanej, w tym zbiornik magazynowy 100 m3 i rurociągi</t>
  </si>
  <si>
    <t>System dozowania środków chemicznych dla cyklu termicznego i sieci grzewczej</t>
  </si>
  <si>
    <t>System chłodzenia rusztu</t>
  </si>
  <si>
    <t>System centralnego odkurzania kotłowni</t>
  </si>
  <si>
    <t>Pozostałe</t>
  </si>
  <si>
    <t>Montaż mechaniczny urządzeń technologicznych</t>
  </si>
  <si>
    <t>Konstrukcje wsporcze urządzeń</t>
  </si>
  <si>
    <t>Znakowanie instalacji</t>
  </si>
  <si>
    <t>Stack</t>
  </si>
  <si>
    <t>Boiler and piping insulation</t>
  </si>
  <si>
    <t>Ancillary systems</t>
  </si>
  <si>
    <t>Compressors 2 x 50% + 1 x 50%</t>
  </si>
  <si>
    <t>Auxiliary fuel tank (light oil/diesel oil)</t>
  </si>
  <si>
    <t>Light oil unloading installation with TDT documentation approval</t>
  </si>
  <si>
    <t>Auxiliary fuel pumps (light oil/diesel oil), demi water pumps, other water pumps</t>
  </si>
  <si>
    <t>Auxiliary system pipelines – light oil, demineralised water, chemical dosing, compressed air</t>
  </si>
  <si>
    <t>Auxiliary hoists for maintenance</t>
  </si>
  <si>
    <t>Demi water system including storage tank 100m3 and piping</t>
  </si>
  <si>
    <t>Chemical dosing system for thermal cycle and district heating</t>
  </si>
  <si>
    <t>Grate cooling system</t>
  </si>
  <si>
    <t>Centralized cleaning system for Boiler house</t>
  </si>
  <si>
    <t>Others</t>
  </si>
  <si>
    <t>Scaffoldings</t>
  </si>
  <si>
    <t>Mechanical installation of technological equipment</t>
  </si>
  <si>
    <t>Devices support structures</t>
  </si>
  <si>
    <t>Installation marking</t>
  </si>
  <si>
    <t>Zimny i gorący rozruch, Ruch próbny instalacji technologicznych</t>
  </si>
  <si>
    <t>Cold and hot commissioning &amp; Trial run of technological equipment</t>
  </si>
  <si>
    <t>6.1.1</t>
  </si>
  <si>
    <t>6.1.2</t>
  </si>
  <si>
    <t>6.1.3</t>
  </si>
  <si>
    <t>6.1.4</t>
  </si>
  <si>
    <t>6.2.1</t>
  </si>
  <si>
    <t>6.2.2</t>
  </si>
  <si>
    <t>6.2.3</t>
  </si>
  <si>
    <t>6.2.4</t>
  </si>
  <si>
    <t>6.2.5</t>
  </si>
  <si>
    <t>6.2.6</t>
  </si>
  <si>
    <t>6.2.7</t>
  </si>
  <si>
    <t>Rozruch zimny i gorący + Ruch próbny Personel</t>
  </si>
  <si>
    <t>Personel rozruchowy</t>
  </si>
  <si>
    <t>Gotowanie kotła</t>
  </si>
  <si>
    <t>Dmuchanie parowe</t>
  </si>
  <si>
    <t>Azotowanie</t>
  </si>
  <si>
    <t>Media, reagenty na czas rozruchu i uruchomień</t>
  </si>
  <si>
    <t>Paliwo (olej lekki)</t>
  </si>
  <si>
    <t>Butle z azotem</t>
  </si>
  <si>
    <t>Transport i utylizacja popiołów i pyłów lotnych</t>
  </si>
  <si>
    <t>Dostawa chemii</t>
  </si>
  <si>
    <t>Dostwa wapna</t>
  </si>
  <si>
    <t>Dostawa węgla aktywnego</t>
  </si>
  <si>
    <t>Utylizacja odpadów po próbach - odprowadzenie ścieków</t>
  </si>
  <si>
    <t>Szkolenia</t>
  </si>
  <si>
    <t>Części zapasowe (48msc gwarancji)</t>
  </si>
  <si>
    <t>Testy zgodności i symulacje modułu wytwarzania</t>
  </si>
  <si>
    <t>Instrukcje obsługi</t>
  </si>
  <si>
    <t>Cold &amp; Hot Commissioning + Trial Run - Staff</t>
  </si>
  <si>
    <t>Start-up personnel</t>
  </si>
  <si>
    <t>Boiler boiling</t>
  </si>
  <si>
    <t>Steam blowing</t>
  </si>
  <si>
    <t>Nitrogenation</t>
  </si>
  <si>
    <t>Media, reagents for start-up and commissioning</t>
  </si>
  <si>
    <t>Fuel (light oil)</t>
  </si>
  <si>
    <t>Nitrogen cylinders</t>
  </si>
  <si>
    <t>Handling and disposal of bottom and fly ash</t>
  </si>
  <si>
    <t>Chemical supplies</t>
  </si>
  <si>
    <t>Lime supplies</t>
  </si>
  <si>
    <t>Active carbon supplies</t>
  </si>
  <si>
    <t>Disposal of waste after testing - discharge of waste water</t>
  </si>
  <si>
    <t>Training</t>
  </si>
  <si>
    <t>Spare parts (guarantee period 48 msc)</t>
  </si>
  <si>
    <t>Compliance tests and simulations of the generation module</t>
  </si>
  <si>
    <t>Operating instructions</t>
  </si>
  <si>
    <t>Wyrównanie do wartości z TCO / Rezerwa</t>
  </si>
  <si>
    <t>Alignment to TCO values / Backup</t>
  </si>
  <si>
    <t>Dostawa i montaż urządzeń elektrycznych</t>
  </si>
  <si>
    <t>Ogrzewanie elektryczne rurociągów- część gorąca</t>
  </si>
  <si>
    <t>Oświetlenie ostrzegawcze lotniskowe</t>
  </si>
  <si>
    <t>System wykrywania pożaru i alarmowania (część elektryczna i teletechniczna)</t>
  </si>
  <si>
    <t>Odprowadzanie dymu z bunkra na odpady i hali wyładunkowej (część elektryczna i teletechniczna)</t>
  </si>
  <si>
    <t>Delivery and installation of electrical equipment</t>
  </si>
  <si>
    <t>Electrical heat treacing of piping - hot part</t>
  </si>
  <si>
    <t>Aviation warning lights</t>
  </si>
  <si>
    <t>Fire detection and alarm system ( electrical&amp;teletechnical part )</t>
  </si>
  <si>
    <t>Smoke extraction from waste bunker and tipping hall (electrical&amp;teletechnical part )</t>
  </si>
  <si>
    <t>TM.E. S.p.A - Termomeccanica Ecologia</t>
  </si>
  <si>
    <t>8.2.1</t>
  </si>
  <si>
    <t>8.2.3</t>
  </si>
  <si>
    <t>8.2.4</t>
  </si>
  <si>
    <t>8.2.5</t>
  </si>
  <si>
    <t>8.2.2</t>
  </si>
  <si>
    <t>8.1.3</t>
  </si>
  <si>
    <t>8.1.4</t>
  </si>
  <si>
    <t>.8.1.5</t>
  </si>
  <si>
    <t>8.5.4</t>
  </si>
  <si>
    <t>8.6.1</t>
  </si>
  <si>
    <t>8.2.6</t>
  </si>
  <si>
    <t>8.2.7</t>
  </si>
  <si>
    <t>8.2.8</t>
  </si>
  <si>
    <t>8.2.9</t>
  </si>
  <si>
    <t>8.2.10</t>
  </si>
  <si>
    <t>8.2.11</t>
  </si>
  <si>
    <t>8.2.12</t>
  </si>
  <si>
    <t>8.5.1</t>
  </si>
  <si>
    <t>8.5.2</t>
  </si>
  <si>
    <t>8.5.3</t>
  </si>
  <si>
    <t>8.5.5</t>
  </si>
  <si>
    <t>8.3.1</t>
  </si>
  <si>
    <t>8.3.2</t>
  </si>
  <si>
    <t>8.3.4</t>
  </si>
  <si>
    <t>8.3.5</t>
  </si>
  <si>
    <t>8.3.6</t>
  </si>
  <si>
    <t>8.3.7</t>
  </si>
  <si>
    <t>8.3.3</t>
  </si>
  <si>
    <t>8.6.2</t>
  </si>
  <si>
    <t>8.6.3</t>
  </si>
  <si>
    <t>8.6.4</t>
  </si>
  <si>
    <t>8.8.1</t>
  </si>
  <si>
    <t>8.8.2</t>
  </si>
  <si>
    <t>8.8.3</t>
  </si>
  <si>
    <t>8.8.4</t>
  </si>
  <si>
    <t>8.7.2</t>
  </si>
  <si>
    <t>pln</t>
  </si>
  <si>
    <t>eur</t>
  </si>
  <si>
    <t>rozliczenie zaliczki</t>
  </si>
  <si>
    <t>1.1525.00001</t>
  </si>
  <si>
    <t>to  01.2026</t>
  </si>
  <si>
    <t>August 2027</t>
  </si>
  <si>
    <t>August 2029</t>
  </si>
  <si>
    <t>February 2026</t>
  </si>
  <si>
    <t>January 2026</t>
  </si>
  <si>
    <t>June 2026</t>
  </si>
  <si>
    <t>July 2026</t>
  </si>
  <si>
    <t>March 2026</t>
  </si>
  <si>
    <t>September 2026</t>
  </si>
  <si>
    <t>October 2026</t>
  </si>
  <si>
    <t>April 2026</t>
  </si>
  <si>
    <t>May 2026</t>
  </si>
  <si>
    <t>November 2026</t>
  </si>
  <si>
    <t>December 2026</t>
  </si>
  <si>
    <t>January 2027</t>
  </si>
  <si>
    <t>February 2027</t>
  </si>
  <si>
    <t>March 2027</t>
  </si>
  <si>
    <t>April 2027</t>
  </si>
  <si>
    <t>May 2027</t>
  </si>
  <si>
    <t>June 2027</t>
  </si>
  <si>
    <t>July 2027</t>
  </si>
  <si>
    <t>September 2027</t>
  </si>
  <si>
    <t>October 2027</t>
  </si>
  <si>
    <t>November 2027</t>
  </si>
  <si>
    <t>December 2027</t>
  </si>
  <si>
    <t>2028</t>
  </si>
  <si>
    <t>sprzedaż</t>
  </si>
  <si>
    <t>wpływ</t>
  </si>
  <si>
    <t>december 2025</t>
  </si>
  <si>
    <t>Cumulative up to 12.2025</t>
  </si>
  <si>
    <t>8.8</t>
  </si>
  <si>
    <t>8.7.3</t>
  </si>
  <si>
    <t>8.7.4</t>
  </si>
  <si>
    <t>8.7.5</t>
  </si>
  <si>
    <t>8.7.7</t>
  </si>
  <si>
    <t>8.7.1</t>
  </si>
  <si>
    <t>5.2.0.1</t>
  </si>
  <si>
    <t>8.4.1</t>
  </si>
  <si>
    <t>8.4.2</t>
  </si>
  <si>
    <t>8.4.3</t>
  </si>
  <si>
    <t>3.9.1</t>
  </si>
  <si>
    <t>KA-BO Borkowski</t>
  </si>
  <si>
    <t>5.14.1.1</t>
  </si>
  <si>
    <t>AS Rusztowania</t>
  </si>
  <si>
    <t>MAT-BUD</t>
  </si>
  <si>
    <t>ELEKTROSERV - ZAP</t>
  </si>
  <si>
    <t>3.4.1.1</t>
  </si>
  <si>
    <t>KaBo</t>
  </si>
  <si>
    <t>8.1</t>
  </si>
  <si>
    <t>8.1.1</t>
  </si>
  <si>
    <t>Meblorent</t>
  </si>
  <si>
    <t>6.6.1</t>
  </si>
  <si>
    <t>6.6.2</t>
  </si>
  <si>
    <t>Adam Kujawka</t>
  </si>
  <si>
    <t>Grzegorz Kujawka</t>
  </si>
  <si>
    <t>Nazwa zlecenia : ITPO Włocławek</t>
  </si>
  <si>
    <t>Projekt Nr 1.1525.00001</t>
  </si>
  <si>
    <t>3.2.1</t>
  </si>
  <si>
    <t>SANIKO</t>
  </si>
  <si>
    <t>KPL</t>
  </si>
  <si>
    <t>1.2.5.1</t>
  </si>
  <si>
    <t>MENOS</t>
  </si>
  <si>
    <t>UNIQA</t>
  </si>
  <si>
    <t>7.2.1</t>
  </si>
  <si>
    <t>Design insurance OC projektanta</t>
  </si>
  <si>
    <t>Design insurance Designer's liability insurance</t>
  </si>
  <si>
    <t>GEOBET</t>
  </si>
  <si>
    <t>4.12</t>
  </si>
  <si>
    <t>4.13</t>
  </si>
  <si>
    <t>5.2.0.2</t>
  </si>
  <si>
    <t>Stationary cranes</t>
  </si>
  <si>
    <t>Geodesy</t>
  </si>
  <si>
    <t>Long-term rental</t>
  </si>
  <si>
    <t>SILOGOSTIC</t>
  </si>
  <si>
    <t>5.5.1</t>
  </si>
  <si>
    <t>PORR/PES</t>
  </si>
  <si>
    <t>MPWIK</t>
  </si>
  <si>
    <t>4.7.1</t>
  </si>
  <si>
    <t>WC SERWIS</t>
  </si>
  <si>
    <t>2.3.1</t>
  </si>
  <si>
    <t>2.3.2</t>
  </si>
  <si>
    <t>Open order - small building materials</t>
  </si>
  <si>
    <t>HURTOWNIA TOOLS</t>
  </si>
  <si>
    <t>PORR/PESA</t>
  </si>
  <si>
    <t>Staler Market</t>
  </si>
  <si>
    <t>3.9.2</t>
  </si>
  <si>
    <t>Hotel Aleksander</t>
  </si>
  <si>
    <t>6.6.0</t>
  </si>
  <si>
    <t>6.3.1</t>
  </si>
  <si>
    <t>GEOTEST</t>
  </si>
  <si>
    <t>3.3.1</t>
  </si>
  <si>
    <t>MPEC</t>
  </si>
  <si>
    <t>KRZYŚ  aneks 1</t>
  </si>
  <si>
    <t>3.17.1</t>
  </si>
  <si>
    <r>
      <t xml:space="preserve">System zarządzania bezpieczeństwem i środowiskiem </t>
    </r>
    <r>
      <rPr>
        <b/>
        <sz val="10"/>
        <color rgb="FF00B050"/>
        <rFont val="Arial"/>
        <family val="2"/>
        <charset val="238"/>
      </rPr>
      <t>ECD 25</t>
    </r>
  </si>
  <si>
    <r>
      <t xml:space="preserve">Ogrodzenie zaplecza budowy wraz z furtkami i bramami </t>
    </r>
    <r>
      <rPr>
        <b/>
        <sz val="10"/>
        <color rgb="FF00B050"/>
        <rFont val="Arial"/>
        <family val="2"/>
        <charset val="238"/>
      </rPr>
      <t>ECD 16</t>
    </r>
  </si>
  <si>
    <r>
      <t xml:space="preserve">Oświetlenie placu budowy i dróg tymczasowych </t>
    </r>
    <r>
      <rPr>
        <b/>
        <sz val="10"/>
        <color rgb="FF00B050"/>
        <rFont val="Arial"/>
        <family val="2"/>
        <charset val="238"/>
      </rPr>
      <t>ECD 7</t>
    </r>
  </si>
  <si>
    <r>
      <t xml:space="preserve">Zasilenie elektryczne budowy </t>
    </r>
    <r>
      <rPr>
        <b/>
        <sz val="10"/>
        <color rgb="FF00B050"/>
        <rFont val="Arial"/>
        <family val="2"/>
        <charset val="238"/>
      </rPr>
      <t>ECD 7</t>
    </r>
  </si>
  <si>
    <r>
      <t xml:space="preserve">Geodezja </t>
    </r>
    <r>
      <rPr>
        <b/>
        <sz val="10"/>
        <color rgb="FF00B050"/>
        <rFont val="Arial"/>
        <family val="2"/>
        <charset val="238"/>
      </rPr>
      <t>ECD 6</t>
    </r>
  </si>
  <si>
    <r>
      <t xml:space="preserve">Koszt ścieków </t>
    </r>
    <r>
      <rPr>
        <b/>
        <sz val="10"/>
        <color rgb="FF00B050"/>
        <rFont val="Arial"/>
        <family val="2"/>
        <charset val="238"/>
      </rPr>
      <t>ECD 21</t>
    </r>
  </si>
  <si>
    <r>
      <t xml:space="preserve">Koszt przygotowania placu zaplecza budowy ( kruszywo ) </t>
    </r>
    <r>
      <rPr>
        <b/>
        <sz val="11"/>
        <color rgb="FF00B050"/>
        <rFont val="Arial Narrow"/>
        <family val="2"/>
        <charset val="238"/>
      </rPr>
      <t>ECD 14</t>
    </r>
  </si>
  <si>
    <r>
      <t xml:space="preserve">Przyłacze wod-kan </t>
    </r>
    <r>
      <rPr>
        <b/>
        <sz val="11"/>
        <color rgb="FF00B050"/>
        <rFont val="Arial Narrow"/>
        <family val="2"/>
        <charset val="238"/>
      </rPr>
      <t>ECD 5</t>
    </r>
  </si>
  <si>
    <r>
      <t xml:space="preserve">Sprzęt (wyposażenie kuchni, biura+ meble) </t>
    </r>
    <r>
      <rPr>
        <b/>
        <sz val="11"/>
        <color rgb="FF00B050"/>
        <rFont val="Arial Narrow"/>
        <family val="2"/>
        <charset val="238"/>
      </rPr>
      <t>ECD 9; ECD 9 rev 1</t>
    </r>
  </si>
  <si>
    <r>
      <t xml:space="preserve">Kawa herbata  - narada 29.01.2026 </t>
    </r>
    <r>
      <rPr>
        <b/>
        <sz val="10"/>
        <color rgb="FF00B050"/>
        <rFont val="Arial  "/>
        <charset val="238"/>
      </rPr>
      <t>ECD 23</t>
    </r>
  </si>
  <si>
    <r>
      <t xml:space="preserve">Kawa herbata - spotkanie kick off </t>
    </r>
    <r>
      <rPr>
        <b/>
        <sz val="10"/>
        <color rgb="FF00B050"/>
        <rFont val="Arial  "/>
        <charset val="238"/>
      </rPr>
      <t>ECD 8</t>
    </r>
  </si>
  <si>
    <r>
      <t xml:space="preserve">Energia elektryczna </t>
    </r>
    <r>
      <rPr>
        <b/>
        <sz val="10"/>
        <color rgb="FF00B050"/>
        <rFont val="Arial  "/>
        <charset val="238"/>
      </rPr>
      <t>ECD 26</t>
    </r>
  </si>
  <si>
    <r>
      <t xml:space="preserve">Wywóz odpadów komunalnych </t>
    </r>
    <r>
      <rPr>
        <b/>
        <sz val="10"/>
        <color rgb="FF00B050"/>
        <rFont val="Arial  "/>
        <charset val="238"/>
      </rPr>
      <t>ECD 12</t>
    </r>
  </si>
  <si>
    <r>
      <t xml:space="preserve">Biuro tymczasowe </t>
    </r>
    <r>
      <rPr>
        <b/>
        <sz val="10"/>
        <color rgb="FF00B050"/>
        <rFont val="Arial  "/>
        <charset val="238"/>
      </rPr>
      <t>ECD 24</t>
    </r>
  </si>
  <si>
    <r>
      <t xml:space="preserve">Wynajem pomieszczeń biurowych lub kontenerów biurowych </t>
    </r>
    <r>
      <rPr>
        <b/>
        <sz val="10"/>
        <color rgb="FF00B050"/>
        <rFont val="Arial  "/>
        <charset val="238"/>
      </rPr>
      <t>ECD 20</t>
    </r>
  </si>
  <si>
    <r>
      <t xml:space="preserve">Wynajem pomieszczeń biurowych lub kontenerów biurowych najem na 2 miesiące </t>
    </r>
    <r>
      <rPr>
        <b/>
        <sz val="10"/>
        <color rgb="FF00B050"/>
        <rFont val="Arial  "/>
        <charset val="238"/>
      </rPr>
      <t>ECD 2</t>
    </r>
  </si>
  <si>
    <r>
      <t>Geodezja</t>
    </r>
    <r>
      <rPr>
        <b/>
        <sz val="11"/>
        <color rgb="FF00B050"/>
        <rFont val="Arial Narrow"/>
        <family val="2"/>
        <charset val="238"/>
      </rPr>
      <t xml:space="preserve">  ECD 6</t>
    </r>
  </si>
  <si>
    <r>
      <t xml:space="preserve">Przyłacze wod-kan </t>
    </r>
    <r>
      <rPr>
        <b/>
        <sz val="11"/>
        <color rgb="FF00B050"/>
        <rFont val="Arial Narrow"/>
        <family val="2"/>
        <charset val="238"/>
      </rPr>
      <t>ECD 5 rev 1</t>
    </r>
  </si>
  <si>
    <r>
      <t xml:space="preserve">Zamówienie otwarte - drobne materiały budowlane </t>
    </r>
    <r>
      <rPr>
        <b/>
        <sz val="10"/>
        <color rgb="FF00B050"/>
        <rFont val="Arial"/>
        <family val="2"/>
        <charset val="238"/>
      </rPr>
      <t>ECD 19</t>
    </r>
  </si>
  <si>
    <r>
      <t xml:space="preserve">Zamówienie otwarte - drobne materiały budowlane </t>
    </r>
    <r>
      <rPr>
        <b/>
        <sz val="10"/>
        <color rgb="FF00B050"/>
        <rFont val="Arial"/>
        <family val="2"/>
        <charset val="238"/>
      </rPr>
      <t>ECD 18</t>
    </r>
  </si>
  <si>
    <r>
      <t xml:space="preserve">Wynajem dźwigu na wbicie łopaty </t>
    </r>
    <r>
      <rPr>
        <b/>
        <sz val="10"/>
        <color rgb="FF00B050"/>
        <rFont val="Arial"/>
        <family val="2"/>
        <charset val="238"/>
      </rPr>
      <t>ECD 3</t>
    </r>
  </si>
  <si>
    <r>
      <t xml:space="preserve">Obsługa budowy </t>
    </r>
    <r>
      <rPr>
        <b/>
        <sz val="10"/>
        <color rgb="FF00B050"/>
        <rFont val="Arial"/>
        <family val="2"/>
        <charset val="238"/>
      </rPr>
      <t>ECD 10</t>
    </r>
  </si>
  <si>
    <r>
      <t xml:space="preserve">Obsługa budowy </t>
    </r>
    <r>
      <rPr>
        <b/>
        <sz val="10"/>
        <color rgb="FF00B050"/>
        <rFont val="Arial"/>
        <family val="2"/>
        <charset val="238"/>
      </rPr>
      <t>ECD 11</t>
    </r>
  </si>
  <si>
    <r>
      <t xml:space="preserve">Płyty MON </t>
    </r>
    <r>
      <rPr>
        <b/>
        <sz val="10"/>
        <color rgb="FF00B050"/>
        <rFont val="Arial"/>
        <family val="2"/>
        <charset val="238"/>
      </rPr>
      <t>ECD 1</t>
    </r>
  </si>
  <si>
    <r>
      <t>Koszt przygotowania placu zaplecza budowy ( kruszywo )</t>
    </r>
    <r>
      <rPr>
        <b/>
        <sz val="11"/>
        <color rgb="FF00B050"/>
        <rFont val="Arial Narrow"/>
        <family val="2"/>
        <charset val="238"/>
      </rPr>
      <t xml:space="preserve"> ECD 14</t>
    </r>
  </si>
  <si>
    <r>
      <t xml:space="preserve">Koszt przygotowania placu zaplecza budowy ( kruszywo ) </t>
    </r>
    <r>
      <rPr>
        <b/>
        <sz val="10"/>
        <color rgb="FF00B050"/>
        <rFont val="Arial"/>
        <family val="2"/>
        <charset val="238"/>
      </rPr>
      <t>ECD 14</t>
    </r>
  </si>
  <si>
    <r>
      <t xml:space="preserve">Projeky wykonawcze architektoniczne, budowlane, sanitarne, drogowe </t>
    </r>
    <r>
      <rPr>
        <b/>
        <sz val="10"/>
        <color rgb="FF00B050"/>
        <rFont val="Arial"/>
        <family val="2"/>
        <charset val="238"/>
      </rPr>
      <t>ECR 1</t>
    </r>
  </si>
  <si>
    <r>
      <t>Dostawa stali zbrojeniowej</t>
    </r>
    <r>
      <rPr>
        <b/>
        <sz val="10"/>
        <color rgb="FF00B050"/>
        <rFont val="Arial"/>
        <family val="2"/>
        <charset val="238"/>
      </rPr>
      <t xml:space="preserve"> ECR 2</t>
    </r>
  </si>
  <si>
    <r>
      <t xml:space="preserve">Uzyskiwanie decyzji i pozwoleń </t>
    </r>
    <r>
      <rPr>
        <b/>
        <sz val="10"/>
        <color rgb="FF00B050"/>
        <rFont val="Trebuchet MS"/>
        <family val="2"/>
        <charset val="238"/>
      </rPr>
      <t>ECR 4</t>
    </r>
  </si>
  <si>
    <r>
      <t xml:space="preserve">Rusztowania </t>
    </r>
    <r>
      <rPr>
        <b/>
        <sz val="10"/>
        <color rgb="FF00B050"/>
        <rFont val="Trebuchet MS"/>
        <family val="2"/>
        <charset val="238"/>
      </rPr>
      <t>ECR 5</t>
    </r>
  </si>
  <si>
    <r>
      <t>Roboty ziemne</t>
    </r>
    <r>
      <rPr>
        <b/>
        <sz val="10"/>
        <color rgb="FF00B050"/>
        <rFont val="Arial"/>
        <family val="2"/>
        <charset val="238"/>
      </rPr>
      <t xml:space="preserve"> ECR 3</t>
    </r>
  </si>
  <si>
    <r>
      <t>Uzyskiwanie decyzji i pozwoleń</t>
    </r>
    <r>
      <rPr>
        <b/>
        <sz val="10"/>
        <color rgb="FF00B050"/>
        <rFont val="Arial"/>
        <family val="2"/>
        <charset val="238"/>
      </rPr>
      <t xml:space="preserve"> ECR 4</t>
    </r>
  </si>
  <si>
    <t>Justyna Krzemień</t>
  </si>
  <si>
    <t>2.5.1.1.2</t>
  </si>
  <si>
    <t>Badanie betonu</t>
  </si>
  <si>
    <t>SETCON</t>
  </si>
  <si>
    <r>
      <t>Monitoring istniejących obiektów budowlanych</t>
    </r>
    <r>
      <rPr>
        <b/>
        <sz val="10"/>
        <color rgb="FF00B050"/>
        <rFont val="Arial"/>
        <family val="2"/>
        <charset val="238"/>
      </rPr>
      <t xml:space="preserve"> ECD 22</t>
    </r>
  </si>
  <si>
    <t>1.2.7.1</t>
  </si>
  <si>
    <t>Preparation of an application for an integrated permit, together with all necessary documents.</t>
  </si>
  <si>
    <t>ZAKŁAD SOZOTECHNIKI</t>
  </si>
  <si>
    <r>
      <t xml:space="preserve">Przygotowanie wniosku o wydanie pozwolenia zintegrowanego wraz z wszystkimi niezbędnymi dokumentami </t>
    </r>
    <r>
      <rPr>
        <b/>
        <sz val="10"/>
        <color rgb="FF00B050"/>
        <rFont val="Trebuchet MS"/>
        <family val="2"/>
        <charset val="238"/>
      </rPr>
      <t>ECD 27</t>
    </r>
  </si>
  <si>
    <r>
      <t xml:space="preserve">Oświetlenie placu budowy i dróg tymczasowych </t>
    </r>
    <r>
      <rPr>
        <b/>
        <sz val="10"/>
        <color rgb="FF00B050"/>
        <rFont val="Arial"/>
        <family val="2"/>
        <charset val="238"/>
      </rPr>
      <t>ECD 7</t>
    </r>
    <r>
      <rPr>
        <sz val="10"/>
        <rFont val="Arial"/>
        <family val="2"/>
        <charset val="238"/>
      </rPr>
      <t xml:space="preserve"> </t>
    </r>
    <r>
      <rPr>
        <b/>
        <sz val="10"/>
        <color rgb="FF00B050"/>
        <rFont val="Arial"/>
        <family val="2"/>
        <charset val="238"/>
      </rPr>
      <t>REV 1</t>
    </r>
  </si>
  <si>
    <t>EL-MAR</t>
  </si>
  <si>
    <t>3.9.3</t>
  </si>
  <si>
    <r>
      <t>Dzierżawa ekspresu do kawy</t>
    </r>
    <r>
      <rPr>
        <b/>
        <sz val="10"/>
        <color rgb="FF00B050"/>
        <rFont val="Arial  "/>
        <charset val="238"/>
      </rPr>
      <t xml:space="preserve"> ECD 28</t>
    </r>
  </si>
  <si>
    <t>Leasing a coffee machine</t>
  </si>
  <si>
    <t>COFFE PARTNER</t>
  </si>
  <si>
    <t xml:space="preserve">Leasing of water dispensers </t>
  </si>
  <si>
    <r>
      <t xml:space="preserve">Dzierżawa dystrybutorów wody  </t>
    </r>
    <r>
      <rPr>
        <b/>
        <sz val="10"/>
        <color rgb="FF00B050"/>
        <rFont val="Arial"/>
        <family val="2"/>
        <charset val="238"/>
      </rPr>
      <t>ECD 29</t>
    </r>
  </si>
  <si>
    <t>AQUAMO</t>
  </si>
  <si>
    <r>
      <t xml:space="preserve">Wynajem dłużycy </t>
    </r>
    <r>
      <rPr>
        <b/>
        <sz val="10"/>
        <color rgb="FF00B050"/>
        <rFont val="Arial"/>
        <family val="2"/>
        <charset val="238"/>
      </rPr>
      <t>ECD 15</t>
    </r>
    <r>
      <rPr>
        <sz val="10"/>
        <rFont val="Arial"/>
        <family val="2"/>
        <charset val="238"/>
      </rPr>
      <t xml:space="preserve"> (Świnoujście - Włocławek)</t>
    </r>
  </si>
  <si>
    <r>
      <t xml:space="preserve">Wynajem dłużycy </t>
    </r>
    <r>
      <rPr>
        <b/>
        <sz val="10"/>
        <color rgb="FF00B050"/>
        <rFont val="Arial"/>
        <family val="2"/>
        <charset val="238"/>
      </rPr>
      <t>ECD 15 rev 1</t>
    </r>
    <r>
      <rPr>
        <sz val="10"/>
        <rFont val="Arial"/>
        <family val="2"/>
        <charset val="238"/>
      </rPr>
      <t xml:space="preserve"> (Rzeszów - Włocławek)</t>
    </r>
  </si>
  <si>
    <t xml:space="preserve">Mountaineering service - camera installation </t>
  </si>
  <si>
    <t>ARBO-DRWAL</t>
  </si>
  <si>
    <t>BARG</t>
  </si>
  <si>
    <r>
      <t xml:space="preserve">Geotechnika / laboratorium </t>
    </r>
    <r>
      <rPr>
        <b/>
        <sz val="10"/>
        <color rgb="FF00B050"/>
        <rFont val="Arial"/>
        <family val="2"/>
        <charset val="238"/>
      </rPr>
      <t>ECD 31</t>
    </r>
  </si>
  <si>
    <t>3.7.1</t>
  </si>
  <si>
    <r>
      <t xml:space="preserve">Materiały biurowe </t>
    </r>
    <r>
      <rPr>
        <b/>
        <sz val="10"/>
        <color rgb="FF00B050"/>
        <rFont val="Arial  "/>
        <charset val="238"/>
      </rPr>
      <t>ECD 32</t>
    </r>
  </si>
  <si>
    <t>ABIS</t>
  </si>
  <si>
    <r>
      <t xml:space="preserve">Toi-Toi  </t>
    </r>
    <r>
      <rPr>
        <b/>
        <sz val="10"/>
        <color rgb="FF00B050"/>
        <rFont val="Arial"/>
        <family val="2"/>
        <charset val="238"/>
      </rPr>
      <t>ECD 17</t>
    </r>
  </si>
  <si>
    <t>Ściana szczelinowa gr 100 cm oraz 6 baret</t>
  </si>
  <si>
    <t>Beret 19 pcs</t>
  </si>
  <si>
    <t xml:space="preserve">Wykonanie baret 19 szt </t>
  </si>
  <si>
    <t>Slotted wall 100 cm thick and 6 berets</t>
  </si>
  <si>
    <t>baret cz. 2</t>
  </si>
  <si>
    <t>2.1.3</t>
  </si>
  <si>
    <t>3.12.1</t>
  </si>
  <si>
    <t>AV Kreator</t>
  </si>
  <si>
    <t>PROJBUD</t>
  </si>
  <si>
    <t>3.8.1</t>
  </si>
  <si>
    <r>
      <rPr>
        <sz val="10"/>
        <rFont val="Arial  "/>
        <charset val="238"/>
      </rPr>
      <t>Sprzątanie</t>
    </r>
    <r>
      <rPr>
        <sz val="10"/>
        <color theme="1"/>
        <rFont val="Arial  "/>
        <charset val="238"/>
      </rPr>
      <t xml:space="preserve"> zaplecza</t>
    </r>
    <r>
      <rPr>
        <sz val="10"/>
        <color rgb="FF00B050"/>
        <rFont val="Arial  "/>
        <charset val="238"/>
      </rPr>
      <t xml:space="preserve"> </t>
    </r>
    <r>
      <rPr>
        <b/>
        <sz val="10"/>
        <color rgb="FF00B050"/>
        <rFont val="Arial  "/>
        <charset val="238"/>
      </rPr>
      <t>ECD 35</t>
    </r>
  </si>
  <si>
    <t>CERBER</t>
  </si>
  <si>
    <r>
      <t xml:space="preserve">sprzęt multimedialny </t>
    </r>
    <r>
      <rPr>
        <b/>
        <sz val="10"/>
        <color rgb="FF00B050"/>
        <rFont val="Arial  "/>
        <charset val="238"/>
      </rPr>
      <t>ECD 33</t>
    </r>
  </si>
  <si>
    <r>
      <t>Tymczasowa organizacja ruchu</t>
    </r>
    <r>
      <rPr>
        <b/>
        <sz val="10"/>
        <color rgb="FF00B050"/>
        <rFont val="Arial"/>
        <family val="2"/>
        <charset val="238"/>
      </rPr>
      <t xml:space="preserve"> ECD 34</t>
    </r>
  </si>
  <si>
    <t>3.17.2</t>
  </si>
  <si>
    <r>
      <t>Zabudowa kuchni wraz ze sprzętem AGD</t>
    </r>
    <r>
      <rPr>
        <b/>
        <sz val="11"/>
        <color rgb="FF00B050"/>
        <rFont val="Arial Narrow"/>
        <family val="2"/>
        <charset val="238"/>
      </rPr>
      <t xml:space="preserve"> ECD 36</t>
    </r>
  </si>
  <si>
    <t>MIRRO</t>
  </si>
  <si>
    <t>6.4.1</t>
  </si>
  <si>
    <t>Wydłużenie gwarancji dla robót elektrycznych</t>
  </si>
  <si>
    <t>3.1.1.1</t>
  </si>
  <si>
    <r>
      <t xml:space="preserve">Ochrona  zaplecza budowy 1 st x 24h x 25zł /godz.x 31 dni </t>
    </r>
    <r>
      <rPr>
        <b/>
        <sz val="10"/>
        <color rgb="FF00B050"/>
        <rFont val="Arial"/>
        <family val="2"/>
        <charset val="238"/>
      </rPr>
      <t xml:space="preserve"> ECD 4</t>
    </r>
  </si>
  <si>
    <t>2.11.5.1</t>
  </si>
  <si>
    <t>2.5.4</t>
  </si>
  <si>
    <t>ŻURAWIE WIELKOPOLSKIE</t>
  </si>
  <si>
    <r>
      <t xml:space="preserve">Żurawie stacjonarne </t>
    </r>
    <r>
      <rPr>
        <b/>
        <sz val="10"/>
        <color rgb="FF00B050"/>
        <rFont val="Arial"/>
        <family val="2"/>
        <charset val="238"/>
      </rPr>
      <t>ECR 8</t>
    </r>
  </si>
  <si>
    <t>2.3.3</t>
  </si>
  <si>
    <t>THORNET</t>
  </si>
  <si>
    <r>
      <t xml:space="preserve">Przyłacze do internetu </t>
    </r>
    <r>
      <rPr>
        <b/>
        <sz val="11"/>
        <color rgb="FF00B050"/>
        <rFont val="Arial Narrow"/>
        <family val="2"/>
        <charset val="238"/>
      </rPr>
      <t>ECD 37</t>
    </r>
  </si>
  <si>
    <t>3.12.2</t>
  </si>
  <si>
    <t>4.5.1</t>
  </si>
  <si>
    <r>
      <t xml:space="preserve">Wywóz odpadów budowlanych </t>
    </r>
    <r>
      <rPr>
        <b/>
        <sz val="10"/>
        <color rgb="FF00B050"/>
        <rFont val="Arial"/>
        <family val="2"/>
        <charset val="238"/>
      </rPr>
      <t>ECD 38</t>
    </r>
  </si>
  <si>
    <t>PREZERO</t>
  </si>
  <si>
    <t>2.2.4</t>
  </si>
  <si>
    <r>
      <t xml:space="preserve">Wynajem dłużycy </t>
    </r>
    <r>
      <rPr>
        <b/>
        <sz val="10"/>
        <color rgb="FF00B050"/>
        <rFont val="Arial"/>
        <family val="2"/>
        <charset val="238"/>
      </rPr>
      <t>ECD 15 rev 2</t>
    </r>
    <r>
      <rPr>
        <sz val="10"/>
        <rFont val="Arial"/>
        <family val="2"/>
        <charset val="238"/>
      </rPr>
      <t xml:space="preserve">  (Świnoujście - Włocławek)</t>
    </r>
  </si>
  <si>
    <r>
      <t xml:space="preserve">Hurtownia sanitarna - zamówienie otwarte </t>
    </r>
    <r>
      <rPr>
        <b/>
        <sz val="10"/>
        <color rgb="FF00B050"/>
        <rFont val="Arial"/>
        <family val="2"/>
        <charset val="238"/>
      </rPr>
      <t>ECD 39</t>
    </r>
  </si>
  <si>
    <t>INSTALNOVA</t>
  </si>
  <si>
    <t>3.8.2</t>
  </si>
  <si>
    <r>
      <t xml:space="preserve">Hurtownia sanitarna - zamówienie otwarte </t>
    </r>
    <r>
      <rPr>
        <b/>
        <sz val="10"/>
        <color rgb="FF00B050"/>
        <rFont val="Arial  "/>
        <charset val="238"/>
      </rPr>
      <t>ECD 40</t>
    </r>
  </si>
  <si>
    <t>ATMOMAT</t>
  </si>
  <si>
    <r>
      <t>Usługa alpinistyczna - montaż kamer</t>
    </r>
    <r>
      <rPr>
        <b/>
        <sz val="10"/>
        <color rgb="FF00B050"/>
        <rFont val="Arial"/>
        <family val="2"/>
        <charset val="238"/>
      </rPr>
      <t xml:space="preserve"> ECD 30</t>
    </r>
    <r>
      <rPr>
        <sz val="10"/>
        <rFont val="Arial"/>
        <family val="2"/>
        <charset val="238"/>
      </rPr>
      <t xml:space="preserve"> </t>
    </r>
    <r>
      <rPr>
        <b/>
        <sz val="10"/>
        <color rgb="FF00B050"/>
        <rFont val="Arial"/>
        <family val="2"/>
        <charset val="238"/>
      </rPr>
      <t>/ ECD 30 rev 1</t>
    </r>
  </si>
  <si>
    <t>ODS</t>
  </si>
  <si>
    <r>
      <t xml:space="preserve">Projekt Wykonawcze: konstrukcja wsporcza stalowa kotła i konstrukcje wsporcze urządzeń </t>
    </r>
    <r>
      <rPr>
        <b/>
        <sz val="10"/>
        <color rgb="FF00B050"/>
        <rFont val="Arial"/>
        <family val="2"/>
        <charset val="238"/>
      </rPr>
      <t>ECD 41</t>
    </r>
  </si>
  <si>
    <t xml:space="preserve">ODS </t>
  </si>
  <si>
    <t>2.6.1.1</t>
  </si>
  <si>
    <t>2.6.1.2</t>
  </si>
  <si>
    <r>
      <t xml:space="preserve">Konstrukcja żelbetowa części nadziemnej obiektu B1 - dostawa i montaż elementów prefabrykowanych </t>
    </r>
    <r>
      <rPr>
        <b/>
        <sz val="10"/>
        <color rgb="FF00B050"/>
        <rFont val="Arial"/>
        <family val="2"/>
        <charset val="238"/>
      </rPr>
      <t>ECR 10</t>
    </r>
  </si>
  <si>
    <r>
      <t>Konstrukcja żelbetowa części nadziemnej obiektu B1 - dostawa i montaż elementów prefabrykowanych</t>
    </r>
    <r>
      <rPr>
        <b/>
        <sz val="10"/>
        <color rgb="FF00B050"/>
        <rFont val="Arial"/>
        <family val="2"/>
        <charset val="238"/>
      </rPr>
      <t xml:space="preserve"> ECR 10</t>
    </r>
  </si>
  <si>
    <t>AF KONSTRUKCJE</t>
  </si>
  <si>
    <t>BETARD</t>
  </si>
  <si>
    <r>
      <t xml:space="preserve">Roboty żelbetowe </t>
    </r>
    <r>
      <rPr>
        <b/>
        <sz val="10"/>
        <color rgb="FF00B050"/>
        <rFont val="Arial"/>
        <family val="2"/>
        <charset val="238"/>
      </rPr>
      <t>ECR 11</t>
    </r>
  </si>
  <si>
    <t>2.5.1.1.3</t>
  </si>
  <si>
    <t xml:space="preserve">Roboty żelbetowe </t>
  </si>
  <si>
    <t>2.5.2.2.1</t>
  </si>
  <si>
    <t>Roboty żelbetowe</t>
  </si>
  <si>
    <t>2.11.5.1.1</t>
  </si>
  <si>
    <t>6.3.2</t>
  </si>
  <si>
    <t>Znaki drogowe</t>
  </si>
  <si>
    <t>DROG-ZNAK</t>
  </si>
  <si>
    <t>2.2.5</t>
  </si>
  <si>
    <r>
      <t xml:space="preserve">Wynajem dłużycy </t>
    </r>
    <r>
      <rPr>
        <b/>
        <sz val="10"/>
        <color rgb="FF00B050"/>
        <rFont val="Arial"/>
        <family val="2"/>
        <charset val="238"/>
      </rPr>
      <t>ECD 15 rev 3</t>
    </r>
    <r>
      <rPr>
        <sz val="10"/>
        <rFont val="Arial"/>
        <family val="2"/>
        <charset val="238"/>
      </rPr>
      <t xml:space="preserve">  (Rzeszów - Włocławek)</t>
    </r>
  </si>
  <si>
    <t>6.5.1</t>
  </si>
  <si>
    <r>
      <t xml:space="preserve">Zamóienie otwarte - wyosażenie BHP </t>
    </r>
    <r>
      <rPr>
        <b/>
        <sz val="10"/>
        <color rgb="FF00B050"/>
        <rFont val="Arial"/>
        <family val="2"/>
        <charset val="238"/>
      </rPr>
      <t>ECD 43</t>
    </r>
  </si>
  <si>
    <t>PROSAVE</t>
  </si>
  <si>
    <t>2.2.6</t>
  </si>
  <si>
    <t>MOBIL SERWIS</t>
  </si>
  <si>
    <t>2.1.4</t>
  </si>
  <si>
    <r>
      <t xml:space="preserve">Gruz betonowy </t>
    </r>
    <r>
      <rPr>
        <b/>
        <sz val="10"/>
        <color rgb="FF00B050"/>
        <rFont val="Arial"/>
        <family val="2"/>
        <charset val="238"/>
      </rPr>
      <t>ECD 45</t>
    </r>
  </si>
  <si>
    <t>Usługi Sprzętowo - Transportowe Sławomir Boruczkowski</t>
  </si>
  <si>
    <t>2.14.2.1</t>
  </si>
  <si>
    <r>
      <t xml:space="preserve">Kruszywo kruszone </t>
    </r>
    <r>
      <rPr>
        <b/>
        <sz val="10"/>
        <color rgb="FF00B050"/>
        <rFont val="Arial"/>
        <family val="2"/>
        <charset val="238"/>
      </rPr>
      <t>ECD 46</t>
    </r>
  </si>
  <si>
    <t>KSM Parsęcko</t>
  </si>
  <si>
    <r>
      <t xml:space="preserve">Wynajem agregatów </t>
    </r>
    <r>
      <rPr>
        <b/>
        <sz val="10"/>
        <color rgb="FF00B050"/>
        <rFont val="Arial"/>
        <family val="2"/>
        <charset val="238"/>
      </rPr>
      <t>ECD 44</t>
    </r>
  </si>
  <si>
    <t>2.2.7</t>
  </si>
  <si>
    <r>
      <t xml:space="preserve">Wynajem dłużycy </t>
    </r>
    <r>
      <rPr>
        <b/>
        <sz val="10"/>
        <color rgb="FF00B050"/>
        <rFont val="Arial"/>
        <family val="2"/>
        <charset val="238"/>
      </rPr>
      <t>ECD 15 rev 4</t>
    </r>
    <r>
      <rPr>
        <sz val="10"/>
        <rFont val="Arial"/>
        <family val="2"/>
        <charset val="238"/>
      </rPr>
      <t xml:space="preserve">  (Lublin - Włocławek)</t>
    </r>
  </si>
  <si>
    <t>5.5.2</t>
  </si>
  <si>
    <r>
      <t xml:space="preserve">Kruszywo ECD </t>
    </r>
    <r>
      <rPr>
        <b/>
        <sz val="10"/>
        <color rgb="FF00B050"/>
        <rFont val="Arial"/>
        <family val="2"/>
        <charset val="238"/>
      </rPr>
      <t xml:space="preserve">14 rev 2 </t>
    </r>
  </si>
  <si>
    <t>1.4.1</t>
  </si>
  <si>
    <t>UDT CERT</t>
  </si>
  <si>
    <t>2.5.4.4.1</t>
  </si>
  <si>
    <r>
      <rPr>
        <b/>
        <strike/>
        <sz val="9"/>
        <rFont val="Arial"/>
        <family val="2"/>
        <charset val="238"/>
      </rPr>
      <t xml:space="preserve">BUSZREM </t>
    </r>
    <r>
      <rPr>
        <b/>
        <sz val="9"/>
        <rFont val="Arial"/>
        <family val="2"/>
        <charset val="238"/>
      </rPr>
      <t>/ HOLCIM</t>
    </r>
  </si>
  <si>
    <t xml:space="preserve">REGIE Oddział 1,5% (nie liczymy przy JVC) / 1,4% nie liczymy przy JVC </t>
  </si>
  <si>
    <t>REGIE Tender (dz. ofertowy) 0,24%</t>
  </si>
  <si>
    <r>
      <t xml:space="preserve">Dostawa mieszanki betonowej wraz z usługą pompowania </t>
    </r>
    <r>
      <rPr>
        <b/>
        <sz val="10"/>
        <color rgb="FF00B050"/>
        <rFont val="Arial"/>
        <family val="2"/>
        <charset val="238"/>
      </rPr>
      <t>ECR 12</t>
    </r>
  </si>
  <si>
    <t>Pozostałe przychody - refaktury / skonto</t>
  </si>
  <si>
    <t>2.14.2.2</t>
  </si>
  <si>
    <r>
      <t>Droga zewnętrzna ECR</t>
    </r>
    <r>
      <rPr>
        <b/>
        <sz val="10"/>
        <color rgb="FF00B050"/>
        <rFont val="Arial"/>
        <family val="2"/>
        <charset val="238"/>
      </rPr>
      <t xml:space="preserve"> 3 rev 1</t>
    </r>
  </si>
  <si>
    <r>
      <t xml:space="preserve">Roboty ziemne - zasypka muru oporowego </t>
    </r>
    <r>
      <rPr>
        <b/>
        <sz val="10"/>
        <color rgb="FF00B050"/>
        <rFont val="Arial"/>
        <family val="2"/>
        <charset val="238"/>
      </rPr>
      <t>ECR 3</t>
    </r>
    <r>
      <rPr>
        <b/>
        <sz val="10"/>
        <color theme="1"/>
        <rFont val="Arial"/>
        <family val="2"/>
        <charset val="238"/>
      </rPr>
      <t xml:space="preserve"> /</t>
    </r>
    <r>
      <rPr>
        <b/>
        <sz val="10"/>
        <color rgb="FFFF0000"/>
        <rFont val="Arial"/>
        <family val="2"/>
        <charset val="238"/>
      </rPr>
      <t xml:space="preserve"> ECR rev 1</t>
    </r>
  </si>
  <si>
    <r>
      <t xml:space="preserve">Roboty ziemne </t>
    </r>
    <r>
      <rPr>
        <b/>
        <sz val="10"/>
        <color rgb="FF00B050"/>
        <rFont val="Arial"/>
        <family val="2"/>
        <charset val="238"/>
      </rPr>
      <t xml:space="preserve">ECR 3 </t>
    </r>
    <r>
      <rPr>
        <b/>
        <sz val="10"/>
        <rFont val="Arial"/>
        <family val="2"/>
        <charset val="238"/>
      </rPr>
      <t>/</t>
    </r>
    <r>
      <rPr>
        <b/>
        <sz val="10"/>
        <color rgb="FF00B050"/>
        <rFont val="Arial"/>
        <family val="2"/>
        <charset val="238"/>
      </rPr>
      <t xml:space="preserve"> ECR 3 rev 1</t>
    </r>
  </si>
  <si>
    <r>
      <t xml:space="preserve">Platforma robocza </t>
    </r>
    <r>
      <rPr>
        <b/>
        <sz val="10"/>
        <color rgb="FF00B050"/>
        <rFont val="Arial"/>
        <family val="2"/>
        <charset val="238"/>
      </rPr>
      <t>ECR 3 / ECR 3 rev 1</t>
    </r>
  </si>
  <si>
    <t>2.2.8</t>
  </si>
  <si>
    <t>5.5.3</t>
  </si>
  <si>
    <t>TLC RENTAL</t>
  </si>
  <si>
    <r>
      <t xml:space="preserve">Schody TAS </t>
    </r>
    <r>
      <rPr>
        <b/>
        <sz val="10"/>
        <color rgb="FF00B050"/>
        <rFont val="Arial"/>
        <family val="2"/>
        <charset val="238"/>
      </rPr>
      <t>ECD 48</t>
    </r>
  </si>
  <si>
    <r>
      <t xml:space="preserve">Dostawa mieszanki betonowej wraz z usługą pompowania </t>
    </r>
    <r>
      <rPr>
        <b/>
        <strike/>
        <sz val="10"/>
        <color theme="8" tint="-0.249977111117893"/>
        <rFont val="Arial"/>
        <family val="2"/>
        <charset val="238"/>
      </rPr>
      <t>ECR 9</t>
    </r>
    <r>
      <rPr>
        <sz val="10"/>
        <rFont val="Arial"/>
        <family val="2"/>
        <charset val="238"/>
      </rPr>
      <t xml:space="preserve"> rev 1 / </t>
    </r>
    <r>
      <rPr>
        <b/>
        <sz val="10"/>
        <color rgb="FF00B050"/>
        <rFont val="Arial"/>
        <family val="2"/>
        <charset val="238"/>
      </rPr>
      <t>ECR 12</t>
    </r>
  </si>
  <si>
    <r>
      <t xml:space="preserve">Dostawa mieszanki betonowej wraz z usługą pompowania </t>
    </r>
    <r>
      <rPr>
        <b/>
        <strike/>
        <sz val="10"/>
        <color theme="8" tint="-0.249977111117893"/>
        <rFont val="Arial"/>
        <family val="2"/>
        <charset val="238"/>
      </rPr>
      <t>ECR 9</t>
    </r>
    <r>
      <rPr>
        <sz val="10"/>
        <rFont val="Arial"/>
        <family val="2"/>
        <charset val="238"/>
      </rPr>
      <t xml:space="preserve">   rev 1 / </t>
    </r>
    <r>
      <rPr>
        <b/>
        <sz val="10"/>
        <color rgb="FF00B050"/>
        <rFont val="Arial"/>
        <family val="2"/>
        <charset val="238"/>
      </rPr>
      <t>ECR 12</t>
    </r>
  </si>
  <si>
    <r>
      <t>Dostawa mieszanki betonowej wraz z usługą pompowania</t>
    </r>
    <r>
      <rPr>
        <b/>
        <strike/>
        <sz val="10"/>
        <color rgb="FF00B050"/>
        <rFont val="Arial"/>
        <family val="2"/>
        <charset val="238"/>
      </rPr>
      <t xml:space="preserve"> </t>
    </r>
    <r>
      <rPr>
        <b/>
        <strike/>
        <sz val="10"/>
        <color theme="8" tint="-0.249977111117893"/>
        <rFont val="Arial"/>
        <family val="2"/>
        <charset val="238"/>
      </rPr>
      <t>ECR 9</t>
    </r>
    <r>
      <rPr>
        <b/>
        <sz val="10"/>
        <rFont val="Arial"/>
        <family val="2"/>
        <charset val="238"/>
      </rPr>
      <t xml:space="preserve">  rev 1 / </t>
    </r>
    <r>
      <rPr>
        <b/>
        <sz val="10"/>
        <color rgb="FF00B050"/>
        <rFont val="Arial"/>
        <family val="2"/>
        <charset val="238"/>
      </rPr>
      <t>ECR 12</t>
    </r>
  </si>
  <si>
    <t>5.4.1.1</t>
  </si>
  <si>
    <t>SEFAKO</t>
  </si>
  <si>
    <r>
      <t xml:space="preserve">Kocioł </t>
    </r>
    <r>
      <rPr>
        <b/>
        <sz val="10"/>
        <color rgb="FF00B050"/>
        <rFont val="Trebuchet MS"/>
        <family val="2"/>
        <charset val="238"/>
      </rPr>
      <t>ECR 13</t>
    </r>
  </si>
  <si>
    <r>
      <t>Place składowo-magazynowe ( kruszywo ) ECR 3 /</t>
    </r>
    <r>
      <rPr>
        <b/>
        <sz val="10"/>
        <color rgb="FF00B050"/>
        <rFont val="Arial"/>
        <family val="2"/>
        <charset val="238"/>
      </rPr>
      <t>ECR 3</t>
    </r>
    <r>
      <rPr>
        <sz val="10"/>
        <color rgb="FF00B050"/>
        <rFont val="Arial"/>
        <family val="2"/>
        <charset val="238"/>
      </rPr>
      <t xml:space="preserve"> rev 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</si>
</sst>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43" formatCode="_-* #,##0.00_-;\-* #,##0.00_-;_-* &quot;-&quot;??_-;_-@_-"/>
    <numFmt numFmtId="164" formatCode="_-* #,##0.00\ &quot;zł&quot;_-;\-* #,##0.00\ &quot;zł&quot;_-;_-* &quot;-&quot;??\ &quot;zł&quot;_-;_-@_-"/>
    <numFmt numFmtId="165" formatCode="_-* #,##0.00\ _z_ł_-;\-* #,##0.00\ _z_ł_-;_-* &quot;-&quot;??\ _z_ł_-;_-@_-"/>
    <numFmt numFmtId="166" formatCode="#,##0.00_ ;[Red]\-#,##0.00\ "/>
    <numFmt numFmtId="167" formatCode="#,##0.00\ &quot;zł&quot;"/>
    <numFmt numFmtId="168" formatCode="mmmm\ yy"/>
    <numFmt numFmtId="169" formatCode="_-* #,##0.00\ [$€-1]_-;\-* #,##0.00\ [$€-1]_-;_-* &quot;-&quot;??\ [$€-1]_-"/>
    <numFmt numFmtId="170" formatCode="#,##0.000"/>
    <numFmt numFmtId="171" formatCode="_ * #,##0_)&quot;DM&quot;_ ;_ * \(#,##0\)&quot;DM&quot;_ ;_ * &quot;-&quot;_)&quot;DM&quot;_ ;_ @_ "/>
    <numFmt numFmtId="172" formatCode="_ * #,##0.00_)&quot;DM&quot;_ ;_ * \(#,##0.00\)&quot;DM&quot;_ ;_ * &quot;-&quot;??_)&quot;DM&quot;_ ;_ @_ "/>
    <numFmt numFmtId="173" formatCode="_-* #,##0.00\ &quot;DM&quot;_-;\-* #,##0.00\ &quot;DM&quot;_-;_-* &quot;-&quot;??\ &quot;DM&quot;_-;_-@_-"/>
    <numFmt numFmtId="174" formatCode="0.0%"/>
    <numFmt numFmtId="175" formatCode="_ * #,##0_ ;_ * \-#,##0_ ;_ * &quot;-&quot;_ ;_ @_ "/>
    <numFmt numFmtId="176" formatCode="_ * #,##0.00_ ;_ * \-#,##0.00_ ;_ * &quot;-&quot;??_ ;_ @_ "/>
    <numFmt numFmtId="177" formatCode="_-&quot;L&quot;* #,##0_-;\-&quot;L&quot;* #,##0_-;_-&quot;L&quot;* &quot;-&quot;_-;_-@_-"/>
    <numFmt numFmtId="178" formatCode="_-&quot;L&quot;* #,##0.00_-;\-&quot;L&quot;* #,##0.00_-;_-&quot;L&quot;* &quot;-&quot;??_-;_-@_-"/>
    <numFmt numFmtId="179" formatCode="_-* #,##0.00\ _z_ł_-;\-* #,##0.00\ _z_ł_-;_-* \-??\ _z_ł_-;_-@_-"/>
    <numFmt numFmtId="180" formatCode="_-* #,##0.00\ _D_M_-;\-* #,##0.00\ _D_M_-;_-* &quot;-&quot;??\ _D_M_-;_-@_-"/>
    <numFmt numFmtId="181" formatCode="&quot;$&quot;____######0_);[Red]\(&quot;$&quot;____#####0\)"/>
    <numFmt numFmtId="182" formatCode="#,###.00"/>
    <numFmt numFmtId="183" formatCode="_-* #,##0.00&quot; DM&quot;_-;\-* #,##0.00&quot; DM&quot;_-;_-* \-??&quot; DM&quot;_-;_-@_-"/>
    <numFmt numFmtId="184" formatCode="0.0000%"/>
    <numFmt numFmtId="185" formatCode="0.0000000"/>
    <numFmt numFmtId="186" formatCode="_-* #,##0.00\ _€_-;\-* #,##0.00\ _€_-;_-* &quot;-&quot;??\ _€_-;_-@_-"/>
    <numFmt numFmtId="187" formatCode="0_ ;\-0\ "/>
    <numFmt numFmtId="188" formatCode="#,##0.0"/>
    <numFmt numFmtId="189" formatCode="[$€-2]\ #,##0.00"/>
    <numFmt numFmtId="190" formatCode="#,##0.0000"/>
    <numFmt numFmtId="191" formatCode="0.000"/>
  </numFmts>
  <fonts count="338">
    <font>
      <sz val="11"/>
      <color theme="1"/>
      <name val="Czcionka tekstu podstawowego"/>
      <family val="2"/>
      <charset val="238"/>
    </font>
    <font>
      <sz val="11"/>
      <color theme="1"/>
      <name val="Calibri"/>
      <family val="2"/>
      <charset val="238"/>
      <scheme val="minor"/>
    </font>
    <font>
      <sz val="11"/>
      <color theme="1"/>
      <name val="Calibri"/>
      <family val="2"/>
      <charset val="238"/>
      <scheme val="minor"/>
    </font>
    <font>
      <sz val="11"/>
      <color indexed="8"/>
      <name val="Czcionka tekstu podstawowego"/>
      <family val="2"/>
      <charset val="238"/>
    </font>
    <font>
      <sz val="10"/>
      <name val="Arial CE"/>
      <charset val="238"/>
    </font>
    <font>
      <sz val="16"/>
      <name val="Arial CE"/>
      <family val="2"/>
      <charset val="238"/>
    </font>
    <font>
      <sz val="16"/>
      <color indexed="23"/>
      <name val="Arial CE"/>
      <family val="2"/>
      <charset val="238"/>
    </font>
    <font>
      <sz val="11"/>
      <name val="Arial CE"/>
      <family val="2"/>
      <charset val="238"/>
    </font>
    <font>
      <b/>
      <sz val="12"/>
      <name val="Arial CE"/>
      <family val="2"/>
      <charset val="238"/>
    </font>
    <font>
      <b/>
      <sz val="8"/>
      <name val="Arial CE"/>
      <family val="2"/>
      <charset val="238"/>
    </font>
    <font>
      <sz val="14"/>
      <name val="Arial CE"/>
      <family val="2"/>
      <charset val="238"/>
    </font>
    <font>
      <sz val="10"/>
      <name val="Arial CE"/>
      <family val="2"/>
      <charset val="238"/>
    </font>
    <font>
      <sz val="8"/>
      <name val="Arial CE"/>
      <family val="2"/>
      <charset val="238"/>
    </font>
    <font>
      <b/>
      <sz val="16"/>
      <name val="Arial CE"/>
      <family val="2"/>
      <charset val="238"/>
    </font>
    <font>
      <b/>
      <sz val="16"/>
      <color indexed="8"/>
      <name val="Arial CE"/>
      <family val="2"/>
      <charset val="238"/>
    </font>
    <font>
      <b/>
      <sz val="12"/>
      <color indexed="8"/>
      <name val="Arial CE"/>
      <family val="2"/>
      <charset val="238"/>
    </font>
    <font>
      <b/>
      <sz val="14"/>
      <name val="Arial CE"/>
      <family val="2"/>
      <charset val="238"/>
    </font>
    <font>
      <b/>
      <sz val="11"/>
      <name val="Arial CE"/>
      <family val="2"/>
      <charset val="238"/>
    </font>
    <font>
      <sz val="10"/>
      <color indexed="10"/>
      <name val="Arial CE"/>
      <family val="2"/>
      <charset val="238"/>
    </font>
    <font>
      <sz val="16"/>
      <color indexed="8"/>
      <name val="Arial CE"/>
      <family val="2"/>
      <charset val="238"/>
    </font>
    <font>
      <sz val="10"/>
      <color indexed="23"/>
      <name val="Arial CE"/>
      <family val="2"/>
      <charset val="238"/>
    </font>
    <font>
      <sz val="8"/>
      <color indexed="8"/>
      <name val="Arial CE"/>
      <family val="2"/>
      <charset val="238"/>
    </font>
    <font>
      <b/>
      <sz val="10"/>
      <name val="Arial CE"/>
      <family val="2"/>
      <charset val="238"/>
    </font>
    <font>
      <sz val="10"/>
      <color indexed="8"/>
      <name val="Arial CE"/>
      <charset val="238"/>
    </font>
    <font>
      <b/>
      <sz val="10"/>
      <name val="Arial CE"/>
      <charset val="238"/>
    </font>
    <font>
      <sz val="9"/>
      <name val="Arial CE"/>
      <family val="2"/>
      <charset val="238"/>
    </font>
    <font>
      <sz val="8"/>
      <color indexed="23"/>
      <name val="Arial CE"/>
      <family val="2"/>
      <charset val="238"/>
    </font>
    <font>
      <sz val="7"/>
      <name val="Arial CE"/>
      <family val="2"/>
      <charset val="238"/>
    </font>
    <font>
      <sz val="7"/>
      <color indexed="8"/>
      <name val="Arial CE"/>
      <family val="2"/>
      <charset val="238"/>
    </font>
    <font>
      <b/>
      <sz val="7"/>
      <name val="Arial CE"/>
      <family val="2"/>
      <charset val="238"/>
    </font>
    <font>
      <b/>
      <sz val="9"/>
      <name val="Arial CE"/>
      <charset val="238"/>
    </font>
    <font>
      <sz val="10"/>
      <color indexed="8"/>
      <name val="Arial CE"/>
      <family val="2"/>
      <charset val="238"/>
    </font>
    <font>
      <b/>
      <sz val="9"/>
      <color indexed="8"/>
      <name val="Arial CE"/>
      <family val="2"/>
      <charset val="238"/>
    </font>
    <font>
      <b/>
      <sz val="9"/>
      <name val="Arial CE"/>
      <family val="2"/>
      <charset val="238"/>
    </font>
    <font>
      <b/>
      <sz val="9"/>
      <name val="Arial"/>
      <family val="2"/>
      <charset val="238"/>
    </font>
    <font>
      <sz val="10"/>
      <color indexed="8"/>
      <name val="Arial"/>
      <family val="2"/>
    </font>
    <font>
      <i/>
      <sz val="8"/>
      <color indexed="12"/>
      <name val="Arial CE"/>
      <family val="2"/>
      <charset val="238"/>
    </font>
    <font>
      <i/>
      <sz val="8"/>
      <name val="Arial CE"/>
      <family val="2"/>
      <charset val="238"/>
    </font>
    <font>
      <sz val="9"/>
      <name val="Arial CE"/>
      <charset val="238"/>
    </font>
    <font>
      <vertAlign val="superscript"/>
      <sz val="10"/>
      <color indexed="8"/>
      <name val="Arial CE"/>
      <family val="2"/>
      <charset val="238"/>
    </font>
    <font>
      <b/>
      <sz val="10"/>
      <color indexed="8"/>
      <name val="Arial CE"/>
      <family val="2"/>
      <charset val="238"/>
    </font>
    <font>
      <sz val="10"/>
      <name val="Helv"/>
    </font>
    <font>
      <sz val="10"/>
      <name val="Helv"/>
      <charset val="238"/>
    </font>
    <font>
      <sz val="11"/>
      <color indexed="8"/>
      <name val="Czcionka tekstu podstawowego"/>
      <family val="2"/>
      <charset val="238"/>
    </font>
    <font>
      <sz val="11"/>
      <color indexed="9"/>
      <name val="Czcionka tekstu podstawowego"/>
      <family val="2"/>
      <charset val="238"/>
    </font>
    <font>
      <sz val="10"/>
      <name val="Arial"/>
      <family val="2"/>
      <charset val="238"/>
    </font>
    <font>
      <sz val="10"/>
      <name val="MS Sans Serif"/>
      <family val="2"/>
      <charset val="238"/>
    </font>
    <font>
      <sz val="11"/>
      <color indexed="62"/>
      <name val="Czcionka tekstu podstawowego"/>
      <family val="2"/>
      <charset val="238"/>
    </font>
    <font>
      <b/>
      <sz val="11"/>
      <color indexed="63"/>
      <name val="Czcionka tekstu podstawowego"/>
      <family val="2"/>
      <charset val="238"/>
    </font>
    <font>
      <sz val="11"/>
      <color indexed="17"/>
      <name val="Czcionka tekstu podstawowego"/>
      <family val="2"/>
      <charset val="238"/>
    </font>
    <font>
      <sz val="11"/>
      <color indexed="52"/>
      <name val="Czcionka tekstu podstawowego"/>
      <family val="2"/>
      <charset val="238"/>
    </font>
    <font>
      <b/>
      <sz val="11"/>
      <color indexed="9"/>
      <name val="Czcionka tekstu podstawowego"/>
      <family val="2"/>
      <charset val="238"/>
    </font>
    <font>
      <sz val="8"/>
      <name val="Times New Roman"/>
      <family val="1"/>
      <charset val="238"/>
    </font>
    <font>
      <b/>
      <sz val="15"/>
      <color indexed="56"/>
      <name val="Czcionka tekstu podstawowego"/>
      <family val="2"/>
      <charset val="238"/>
    </font>
    <font>
      <b/>
      <sz val="13"/>
      <color indexed="56"/>
      <name val="Czcionka tekstu podstawowego"/>
      <family val="2"/>
      <charset val="238"/>
    </font>
    <font>
      <b/>
      <sz val="11"/>
      <color indexed="56"/>
      <name val="Czcionka tekstu podstawowego"/>
      <family val="2"/>
      <charset val="238"/>
    </font>
    <font>
      <sz val="11"/>
      <color indexed="60"/>
      <name val="Czcionka tekstu podstawowego"/>
      <family val="2"/>
      <charset val="238"/>
    </font>
    <font>
      <sz val="10"/>
      <name val="Pl Courier New"/>
    </font>
    <font>
      <sz val="10"/>
      <name val="Arial"/>
      <family val="2"/>
    </font>
    <font>
      <b/>
      <sz val="11"/>
      <color indexed="52"/>
      <name val="Czcionka tekstu podstawowego"/>
      <family val="2"/>
      <charset val="238"/>
    </font>
    <font>
      <sz val="10"/>
      <name val="Times New Roman CE"/>
      <family val="1"/>
      <charset val="238"/>
    </font>
    <font>
      <b/>
      <sz val="13"/>
      <name val="Arial CE"/>
      <family val="2"/>
      <charset val="238"/>
    </font>
    <font>
      <b/>
      <sz val="11"/>
      <color indexed="8"/>
      <name val="Czcionka tekstu podstawowego"/>
      <family val="2"/>
      <charset val="238"/>
    </font>
    <font>
      <i/>
      <sz val="11"/>
      <color indexed="23"/>
      <name val="Czcionka tekstu podstawowego"/>
      <family val="2"/>
      <charset val="238"/>
    </font>
    <font>
      <sz val="11"/>
      <color indexed="10"/>
      <name val="Czcionka tekstu podstawowego"/>
      <family val="2"/>
      <charset val="238"/>
    </font>
    <font>
      <b/>
      <sz val="18"/>
      <color indexed="56"/>
      <name val="Cambria"/>
      <family val="2"/>
      <charset val="238"/>
    </font>
    <font>
      <b/>
      <sz val="10"/>
      <name val="Times New Roman"/>
      <family val="1"/>
      <charset val="238"/>
    </font>
    <font>
      <sz val="11"/>
      <color indexed="20"/>
      <name val="Czcionka tekstu podstawowego"/>
      <family val="2"/>
      <charset val="238"/>
    </font>
    <font>
      <sz val="11"/>
      <color theme="1"/>
      <name val="Czcionka tekstu podstawowego"/>
      <family val="2"/>
      <charset val="238"/>
    </font>
    <font>
      <sz val="11"/>
      <color theme="1"/>
      <name val="Calibri"/>
      <family val="2"/>
      <scheme val="minor"/>
    </font>
    <font>
      <b/>
      <sz val="10"/>
      <color rgb="FFFF0000"/>
      <name val="Arial CE"/>
      <charset val="238"/>
    </font>
    <font>
      <b/>
      <sz val="10"/>
      <color rgb="FFFF0000"/>
      <name val="Arial CE"/>
      <family val="2"/>
      <charset val="238"/>
    </font>
    <font>
      <b/>
      <sz val="10"/>
      <color rgb="FFFF0000"/>
      <name val="Arial"/>
      <family val="2"/>
      <charset val="238"/>
    </font>
    <font>
      <sz val="10"/>
      <color rgb="FFFF0000"/>
      <name val="Arial CE"/>
      <family val="2"/>
      <charset val="238"/>
    </font>
    <font>
      <sz val="11"/>
      <color theme="1"/>
      <name val="Calibri"/>
      <family val="2"/>
      <charset val="238"/>
      <scheme val="minor"/>
    </font>
    <font>
      <sz val="10"/>
      <name val="Times New Roman"/>
      <family val="1"/>
      <charset val="238"/>
    </font>
    <font>
      <sz val="10"/>
      <name val="Helv"/>
      <family val="2"/>
      <charset val="238"/>
    </font>
    <font>
      <sz val="10"/>
      <name val="Helv"/>
      <family val="2"/>
    </font>
    <font>
      <sz val="11"/>
      <color indexed="8"/>
      <name val="Calibri"/>
      <family val="2"/>
      <charset val="238"/>
    </font>
    <font>
      <sz val="11"/>
      <color indexed="8"/>
      <name val="Calibri"/>
      <family val="2"/>
    </font>
    <font>
      <sz val="11"/>
      <color indexed="18"/>
      <name val="Czcionka tekstu podstawowego"/>
      <family val="2"/>
      <charset val="238"/>
    </font>
    <font>
      <sz val="11"/>
      <color indexed="9"/>
      <name val="Calibri"/>
      <family val="2"/>
      <charset val="238"/>
    </font>
    <font>
      <sz val="11"/>
      <color indexed="9"/>
      <name val="Calibri"/>
      <family val="2"/>
    </font>
    <font>
      <sz val="11"/>
      <color indexed="41"/>
      <name val="Czcionka tekstu podstawowego"/>
      <family val="2"/>
      <charset val="238"/>
    </font>
    <font>
      <sz val="11"/>
      <color theme="0"/>
      <name val="Calibri"/>
      <family val="2"/>
      <scheme val="minor"/>
    </font>
    <font>
      <sz val="11"/>
      <color indexed="20"/>
      <name val="Calibri"/>
      <family val="2"/>
      <charset val="238"/>
    </font>
    <font>
      <sz val="11"/>
      <color indexed="20"/>
      <name val="Calibri"/>
      <family val="2"/>
    </font>
    <font>
      <sz val="11"/>
      <color indexed="17"/>
      <name val="Calibri"/>
      <family val="2"/>
    </font>
    <font>
      <b/>
      <sz val="11"/>
      <color indexed="52"/>
      <name val="Calibri"/>
      <family val="2"/>
      <charset val="238"/>
    </font>
    <font>
      <b/>
      <sz val="11"/>
      <color indexed="52"/>
      <name val="Calibri"/>
      <family val="2"/>
    </font>
    <font>
      <b/>
      <sz val="11"/>
      <color indexed="9"/>
      <name val="Calibri"/>
      <family val="2"/>
    </font>
    <font>
      <sz val="11"/>
      <color indexed="52"/>
      <name val="Calibri"/>
      <family val="2"/>
    </font>
    <font>
      <b/>
      <sz val="11"/>
      <color indexed="9"/>
      <name val="Calibri"/>
      <family val="2"/>
      <charset val="238"/>
    </font>
    <font>
      <b/>
      <sz val="11"/>
      <color indexed="56"/>
      <name val="Calibri"/>
      <family val="2"/>
    </font>
    <font>
      <sz val="11"/>
      <color indexed="62"/>
      <name val="Calibri"/>
      <family val="2"/>
    </font>
    <font>
      <sz val="10"/>
      <name val="PL Times New Roman"/>
    </font>
    <font>
      <i/>
      <sz val="11"/>
      <color indexed="23"/>
      <name val="Calibri"/>
      <family val="2"/>
      <charset val="238"/>
    </font>
    <font>
      <i/>
      <sz val="11"/>
      <color indexed="23"/>
      <name val="Calibri"/>
      <family val="2"/>
    </font>
    <font>
      <sz val="11"/>
      <color indexed="17"/>
      <name val="Calibri"/>
      <family val="2"/>
      <charset val="238"/>
    </font>
    <font>
      <sz val="8"/>
      <name val="Arial"/>
      <family val="2"/>
    </font>
    <font>
      <b/>
      <sz val="15"/>
      <color indexed="56"/>
      <name val="Calibri"/>
      <family val="2"/>
      <charset val="238"/>
    </font>
    <font>
      <b/>
      <sz val="15"/>
      <color indexed="56"/>
      <name val="Calibri"/>
      <family val="2"/>
    </font>
    <font>
      <b/>
      <sz val="13"/>
      <color indexed="56"/>
      <name val="Calibri"/>
      <family val="2"/>
      <charset val="238"/>
    </font>
    <font>
      <b/>
      <sz val="13"/>
      <color indexed="56"/>
      <name val="Calibri"/>
      <family val="2"/>
    </font>
    <font>
      <b/>
      <sz val="11"/>
      <color indexed="56"/>
      <name val="Calibri"/>
      <family val="2"/>
      <charset val="238"/>
    </font>
    <font>
      <sz val="11"/>
      <color indexed="62"/>
      <name val="Calibri"/>
      <family val="2"/>
      <charset val="238"/>
    </font>
    <font>
      <b/>
      <sz val="11"/>
      <color indexed="41"/>
      <name val="Czcionka tekstu podstawowego"/>
      <family val="2"/>
      <charset val="238"/>
    </font>
    <font>
      <sz val="11"/>
      <color indexed="52"/>
      <name val="Calibri"/>
      <family val="2"/>
      <charset val="238"/>
    </font>
    <font>
      <b/>
      <sz val="15"/>
      <color indexed="62"/>
      <name val="Czcionka tekstu podstawowego"/>
      <family val="2"/>
      <charset val="238"/>
    </font>
    <font>
      <b/>
      <sz val="13"/>
      <color indexed="62"/>
      <name val="Czcionka tekstu podstawowego"/>
      <family val="2"/>
      <charset val="238"/>
    </font>
    <font>
      <b/>
      <sz val="11"/>
      <color indexed="62"/>
      <name val="Czcionka tekstu podstawowego"/>
      <family val="2"/>
      <charset val="238"/>
    </font>
    <font>
      <sz val="11"/>
      <color indexed="60"/>
      <name val="Calibri"/>
      <family val="2"/>
      <charset val="238"/>
    </font>
    <font>
      <sz val="11"/>
      <color indexed="60"/>
      <name val="Calibri"/>
      <family val="2"/>
    </font>
    <font>
      <sz val="10"/>
      <name val="PL Courier New"/>
      <charset val="238"/>
    </font>
    <font>
      <sz val="10"/>
      <name val="Times New Roman CE"/>
      <charset val="238"/>
    </font>
    <font>
      <sz val="10"/>
      <color indexed="64"/>
      <name val="Arial"/>
      <family val="2"/>
      <charset val="238"/>
    </font>
    <font>
      <sz val="10"/>
      <name val="tahoma"/>
      <family val="2"/>
      <charset val="238"/>
    </font>
    <font>
      <sz val="10"/>
      <name val="Verdana"/>
      <family val="2"/>
      <charset val="238"/>
    </font>
    <font>
      <sz val="10"/>
      <color indexed="8"/>
      <name val="Arial"/>
      <family val="2"/>
      <charset val="238"/>
    </font>
    <font>
      <sz val="10"/>
      <name val="Arial CE"/>
    </font>
    <font>
      <b/>
      <sz val="11"/>
      <color indexed="63"/>
      <name val="Calibri"/>
      <family val="2"/>
      <charset val="238"/>
    </font>
    <font>
      <b/>
      <sz val="11"/>
      <color indexed="63"/>
      <name val="Calibri"/>
      <family val="2"/>
    </font>
    <font>
      <b/>
      <sz val="11"/>
      <color indexed="18"/>
      <name val="Czcionka tekstu podstawowego"/>
      <family val="2"/>
      <charset val="238"/>
    </font>
    <font>
      <sz val="11"/>
      <color indexed="10"/>
      <name val="Calibri"/>
      <family val="2"/>
    </font>
    <font>
      <b/>
      <sz val="18"/>
      <color indexed="56"/>
      <name val="Cambria"/>
      <family val="2"/>
    </font>
    <font>
      <b/>
      <sz val="11"/>
      <color indexed="8"/>
      <name val="Calibri"/>
      <family val="2"/>
      <charset val="238"/>
    </font>
    <font>
      <b/>
      <sz val="11"/>
      <color indexed="8"/>
      <name val="Calibri"/>
      <family val="2"/>
    </font>
    <font>
      <b/>
      <sz val="18"/>
      <color indexed="62"/>
      <name val="Cambria"/>
      <family val="2"/>
      <charset val="238"/>
    </font>
    <font>
      <sz val="11"/>
      <color indexed="10"/>
      <name val="Calibri"/>
      <family val="2"/>
      <charset val="238"/>
    </font>
    <font>
      <sz val="8"/>
      <color theme="1"/>
      <name val="Arial"/>
      <family val="2"/>
      <charset val="238"/>
    </font>
    <font>
      <sz val="14"/>
      <name val="Arial CE"/>
      <charset val="238"/>
    </font>
    <font>
      <b/>
      <sz val="8"/>
      <color rgb="FFFF0000"/>
      <name val="Arial CE"/>
      <family val="2"/>
      <charset val="238"/>
    </font>
    <font>
      <sz val="10"/>
      <color theme="1"/>
      <name val="Arial CE"/>
      <charset val="238"/>
    </font>
    <font>
      <sz val="8"/>
      <color rgb="FFFF0000"/>
      <name val="Arial CE"/>
      <family val="2"/>
      <charset val="238"/>
    </font>
    <font>
      <i/>
      <sz val="10"/>
      <name val="Arial CE"/>
      <charset val="238"/>
    </font>
    <font>
      <b/>
      <sz val="10"/>
      <name val="Arial"/>
      <family val="2"/>
      <charset val="238"/>
    </font>
    <font>
      <sz val="8"/>
      <color rgb="FFFF0000"/>
      <name val="Arial CE"/>
      <charset val="238"/>
    </font>
    <font>
      <sz val="10"/>
      <color rgb="FFFFC000"/>
      <name val="Arial CE"/>
      <family val="2"/>
      <charset val="238"/>
    </font>
    <font>
      <sz val="10"/>
      <color rgb="FF000000"/>
      <name val="Times New Roman"/>
      <family val="1"/>
    </font>
    <font>
      <sz val="12"/>
      <name val="Arial CE"/>
      <family val="2"/>
      <charset val="238"/>
    </font>
    <font>
      <sz val="10"/>
      <color theme="1"/>
      <name val="Arial"/>
      <family val="2"/>
      <charset val="238"/>
    </font>
    <font>
      <b/>
      <sz val="10"/>
      <color indexed="8"/>
      <name val="Arial"/>
      <family val="2"/>
      <charset val="238"/>
    </font>
    <font>
      <i/>
      <sz val="10"/>
      <color indexed="8"/>
      <name val="Arial"/>
      <family val="2"/>
      <charset val="238"/>
    </font>
    <font>
      <i/>
      <u/>
      <sz val="10"/>
      <color indexed="8"/>
      <name val="Arial"/>
      <family val="2"/>
      <charset val="238"/>
    </font>
    <font>
      <vertAlign val="superscript"/>
      <sz val="10"/>
      <color indexed="8"/>
      <name val="Arial"/>
      <family val="2"/>
      <charset val="238"/>
    </font>
    <font>
      <b/>
      <i/>
      <sz val="10"/>
      <color indexed="8"/>
      <name val="Arial"/>
      <family val="2"/>
      <charset val="238"/>
    </font>
    <font>
      <sz val="8"/>
      <name val="Czcionka tekstu podstawowego"/>
      <family val="2"/>
      <charset val="238"/>
    </font>
    <font>
      <sz val="12"/>
      <color indexed="8"/>
      <name val="Arial CE"/>
      <family val="2"/>
      <charset val="238"/>
    </font>
    <font>
      <sz val="11"/>
      <color indexed="8"/>
      <name val="Arial"/>
      <family val="2"/>
      <charset val="238"/>
    </font>
    <font>
      <sz val="10"/>
      <color rgb="FFFF0000"/>
      <name val="Arial"/>
      <family val="2"/>
      <charset val="238"/>
    </font>
    <font>
      <sz val="11"/>
      <name val="Arial"/>
      <family val="2"/>
      <charset val="238"/>
    </font>
    <font>
      <sz val="11"/>
      <color rgb="FFFF0000"/>
      <name val="Arial"/>
      <family val="2"/>
      <charset val="238"/>
    </font>
    <font>
      <sz val="7"/>
      <name val="Arial"/>
      <family val="2"/>
      <charset val="238"/>
    </font>
    <font>
      <b/>
      <sz val="7"/>
      <name val="Arial"/>
      <family val="2"/>
      <charset val="238"/>
    </font>
    <font>
      <sz val="8"/>
      <name val="Arial"/>
      <family val="2"/>
      <charset val="238"/>
    </font>
    <font>
      <sz val="9"/>
      <name val="Arial"/>
      <family val="2"/>
      <charset val="238"/>
    </font>
    <font>
      <b/>
      <sz val="10"/>
      <color rgb="FF0000FF"/>
      <name val="Arial CE"/>
      <charset val="238"/>
    </font>
    <font>
      <b/>
      <sz val="12"/>
      <color rgb="FFFF0000"/>
      <name val="Arial CE"/>
      <family val="2"/>
      <charset val="238"/>
    </font>
    <font>
      <b/>
      <strike/>
      <sz val="9"/>
      <name val="Cambria"/>
      <family val="1"/>
    </font>
    <font>
      <strike/>
      <sz val="9"/>
      <name val="Cambria"/>
      <family val="1"/>
    </font>
    <font>
      <b/>
      <strike/>
      <sz val="10"/>
      <color rgb="FFFF0000"/>
      <name val="Cambria"/>
      <family val="1"/>
    </font>
    <font>
      <b/>
      <strike/>
      <sz val="10"/>
      <color rgb="FF0000FF"/>
      <name val="Cambria"/>
      <family val="1"/>
    </font>
    <font>
      <b/>
      <u/>
      <sz val="11"/>
      <name val="Trebuchet MS"/>
      <family val="2"/>
    </font>
    <font>
      <sz val="11"/>
      <name val="Trebuchet MS"/>
      <family val="2"/>
    </font>
    <font>
      <b/>
      <sz val="9"/>
      <color theme="1"/>
      <name val="Arial"/>
      <family val="2"/>
      <charset val="238"/>
    </font>
    <font>
      <b/>
      <sz val="14"/>
      <color indexed="12"/>
      <name val="Arial CE"/>
      <charset val="238"/>
    </font>
    <font>
      <b/>
      <i/>
      <sz val="13"/>
      <name val="Arial CE"/>
      <family val="2"/>
      <charset val="238"/>
    </font>
    <font>
      <sz val="12"/>
      <name val="Arial"/>
      <family val="2"/>
      <charset val="238"/>
    </font>
    <font>
      <sz val="11"/>
      <name val="Arial CE"/>
      <charset val="238"/>
    </font>
    <font>
      <sz val="13"/>
      <name val="Arial CE"/>
      <family val="2"/>
      <charset val="238"/>
    </font>
    <font>
      <i/>
      <sz val="10"/>
      <name val="Arial CE"/>
      <family val="2"/>
      <charset val="238"/>
    </font>
    <font>
      <i/>
      <sz val="10"/>
      <name val="Arial"/>
      <family val="2"/>
      <charset val="238"/>
    </font>
    <font>
      <sz val="11"/>
      <color rgb="FF9C0006"/>
      <name val="Calibri"/>
      <family val="2"/>
      <scheme val="minor"/>
    </font>
    <font>
      <b/>
      <sz val="11"/>
      <color rgb="FFFA7D00"/>
      <name val="Calibri"/>
      <family val="2"/>
      <scheme val="minor"/>
    </font>
    <font>
      <b/>
      <sz val="11"/>
      <color theme="0"/>
      <name val="Calibri"/>
      <family val="2"/>
      <scheme val="minor"/>
    </font>
    <font>
      <sz val="10"/>
      <name val="Arial"/>
      <family val="2"/>
      <charset val="238"/>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FA7D00"/>
      <name val="Calibri"/>
      <family val="2"/>
      <scheme val="minor"/>
    </font>
    <font>
      <sz val="11"/>
      <color rgb="FF9C5700"/>
      <name val="Calibri"/>
      <family val="2"/>
      <scheme val="minor"/>
    </font>
    <font>
      <b/>
      <sz val="11"/>
      <color rgb="FF3F3F3F"/>
      <name val="Calibri"/>
      <family val="2"/>
      <scheme val="minor"/>
    </font>
    <font>
      <sz val="18"/>
      <color theme="3"/>
      <name val="Cambria"/>
      <family val="2"/>
      <scheme val="major"/>
    </font>
    <font>
      <b/>
      <sz val="11"/>
      <color theme="1"/>
      <name val="Calibri"/>
      <family val="2"/>
      <scheme val="minor"/>
    </font>
    <font>
      <sz val="11"/>
      <color rgb="FFFF0000"/>
      <name val="Calibri"/>
      <family val="2"/>
      <scheme val="minor"/>
    </font>
    <font>
      <b/>
      <sz val="9"/>
      <name val="Cambria"/>
      <family val="1"/>
      <charset val="238"/>
    </font>
    <font>
      <sz val="9"/>
      <name val="Cambria"/>
      <family val="1"/>
      <charset val="238"/>
    </font>
    <font>
      <b/>
      <sz val="10"/>
      <color rgb="FFFF0000"/>
      <name val="Cambria"/>
      <family val="1"/>
      <charset val="238"/>
    </font>
    <font>
      <b/>
      <sz val="10"/>
      <color rgb="FF0000FF"/>
      <name val="Cambria"/>
      <family val="1"/>
      <charset val="238"/>
    </font>
    <font>
      <sz val="10"/>
      <color theme="1"/>
      <name val="Arial"/>
      <family val="2"/>
    </font>
    <font>
      <u/>
      <sz val="10"/>
      <color theme="10"/>
      <name val="Arial"/>
      <family val="2"/>
    </font>
    <font>
      <b/>
      <sz val="11"/>
      <name val="Arial"/>
      <family val="2"/>
      <charset val="238"/>
    </font>
    <font>
      <sz val="10"/>
      <color theme="1"/>
      <name val="Arial  "/>
      <charset val="238"/>
    </font>
    <font>
      <sz val="10"/>
      <name val="Arial  "/>
      <charset val="238"/>
    </font>
    <font>
      <b/>
      <sz val="14"/>
      <name val="Arial"/>
      <family val="2"/>
      <charset val="238"/>
    </font>
    <font>
      <sz val="18"/>
      <color indexed="8"/>
      <name val="Arial CE"/>
      <family val="2"/>
      <charset val="238"/>
    </font>
    <font>
      <b/>
      <sz val="18"/>
      <color indexed="8"/>
      <name val="Arial CE"/>
      <family val="2"/>
      <charset val="238"/>
    </font>
    <font>
      <b/>
      <sz val="10"/>
      <color theme="1"/>
      <name val="Arial"/>
      <family val="2"/>
      <charset val="238"/>
    </font>
    <font>
      <sz val="16"/>
      <name val="Arial"/>
      <family val="2"/>
      <charset val="238"/>
    </font>
    <font>
      <b/>
      <sz val="8"/>
      <name val="Arial"/>
      <family val="2"/>
      <charset val="238"/>
    </font>
    <font>
      <sz val="8"/>
      <color indexed="8"/>
      <name val="Arial"/>
      <family val="2"/>
      <charset val="238"/>
    </font>
    <font>
      <sz val="8"/>
      <color indexed="23"/>
      <name val="Arial"/>
      <family val="2"/>
      <charset val="238"/>
    </font>
    <font>
      <sz val="8"/>
      <color theme="3"/>
      <name val="Arial"/>
      <family val="2"/>
      <charset val="238"/>
    </font>
    <font>
      <sz val="7"/>
      <color indexed="8"/>
      <name val="Arial"/>
      <family val="2"/>
      <charset val="238"/>
    </font>
    <font>
      <sz val="7"/>
      <color indexed="23"/>
      <name val="Arial"/>
      <family val="2"/>
      <charset val="238"/>
    </font>
    <font>
      <b/>
      <sz val="7"/>
      <color indexed="8"/>
      <name val="Arial"/>
      <family val="2"/>
      <charset val="238"/>
    </font>
    <font>
      <b/>
      <sz val="9"/>
      <color indexed="8"/>
      <name val="Arial"/>
      <family val="2"/>
      <charset val="238"/>
    </font>
    <font>
      <b/>
      <sz val="8"/>
      <color indexed="8"/>
      <name val="Arial"/>
      <family val="2"/>
      <charset val="238"/>
    </font>
    <font>
      <b/>
      <sz val="9"/>
      <color rgb="FF00B050"/>
      <name val="Arial"/>
      <family val="2"/>
      <charset val="238"/>
    </font>
    <font>
      <b/>
      <i/>
      <sz val="9"/>
      <color indexed="8"/>
      <name val="Arial"/>
      <family val="2"/>
      <charset val="238"/>
    </font>
    <font>
      <b/>
      <i/>
      <sz val="8"/>
      <color indexed="8"/>
      <name val="Arial"/>
      <family val="2"/>
      <charset val="238"/>
    </font>
    <font>
      <sz val="9"/>
      <color indexed="8"/>
      <name val="Arial"/>
      <family val="2"/>
      <charset val="238"/>
    </font>
    <font>
      <i/>
      <sz val="9"/>
      <color indexed="8"/>
      <name val="Arial"/>
      <family val="2"/>
      <charset val="238"/>
    </font>
    <font>
      <i/>
      <sz val="8"/>
      <color indexed="8"/>
      <name val="Arial"/>
      <family val="2"/>
      <charset val="238"/>
    </font>
    <font>
      <b/>
      <i/>
      <sz val="9"/>
      <name val="Arial"/>
      <family val="2"/>
      <charset val="238"/>
    </font>
    <font>
      <b/>
      <i/>
      <sz val="9"/>
      <color indexed="55"/>
      <name val="Arial"/>
      <family val="2"/>
      <charset val="238"/>
    </font>
    <font>
      <b/>
      <i/>
      <sz val="9"/>
      <color indexed="12"/>
      <name val="Arial"/>
      <family val="2"/>
      <charset val="238"/>
    </font>
    <font>
      <sz val="9"/>
      <color rgb="FF00B050"/>
      <name val="Arial"/>
      <family val="2"/>
      <charset val="238"/>
    </font>
    <font>
      <b/>
      <sz val="9"/>
      <color rgb="FFFF0000"/>
      <name val="Arial"/>
      <family val="2"/>
      <charset val="238"/>
    </font>
    <font>
      <sz val="9"/>
      <color rgb="FFFF0000"/>
      <name val="Arial"/>
      <family val="2"/>
      <charset val="238"/>
    </font>
    <font>
      <sz val="11"/>
      <color theme="1"/>
      <name val="Arial"/>
      <family val="2"/>
      <charset val="238"/>
    </font>
    <font>
      <sz val="9"/>
      <color theme="1"/>
      <name val="Arial"/>
      <family val="2"/>
      <charset val="238"/>
    </font>
    <font>
      <i/>
      <sz val="9"/>
      <name val="Arial"/>
      <family val="2"/>
      <charset val="238"/>
    </font>
    <font>
      <strike/>
      <sz val="8"/>
      <color indexed="8"/>
      <name val="Arial"/>
      <family val="2"/>
      <charset val="238"/>
    </font>
    <font>
      <b/>
      <strike/>
      <sz val="8"/>
      <color indexed="8"/>
      <name val="Arial"/>
      <family val="2"/>
      <charset val="238"/>
    </font>
    <font>
      <b/>
      <strike/>
      <sz val="9"/>
      <color indexed="8"/>
      <name val="Arial"/>
      <family val="2"/>
      <charset val="238"/>
    </font>
    <font>
      <b/>
      <i/>
      <strike/>
      <sz val="9"/>
      <name val="Arial"/>
      <family val="2"/>
      <charset val="238"/>
    </font>
    <font>
      <b/>
      <i/>
      <strike/>
      <sz val="9"/>
      <color indexed="55"/>
      <name val="Arial"/>
      <family val="2"/>
      <charset val="238"/>
    </font>
    <font>
      <b/>
      <strike/>
      <sz val="9"/>
      <name val="Arial"/>
      <family val="2"/>
      <charset val="238"/>
    </font>
    <font>
      <strike/>
      <sz val="9"/>
      <name val="Arial"/>
      <family val="2"/>
      <charset val="238"/>
    </font>
    <font>
      <b/>
      <i/>
      <strike/>
      <sz val="9"/>
      <color indexed="12"/>
      <name val="Arial"/>
      <family val="2"/>
      <charset val="238"/>
    </font>
    <font>
      <sz val="9"/>
      <color theme="9" tint="-0.249977111117893"/>
      <name val="Arial"/>
      <family val="2"/>
      <charset val="238"/>
    </font>
    <font>
      <sz val="8"/>
      <color rgb="FFFF0000"/>
      <name val="Arial"/>
      <family val="2"/>
      <charset val="238"/>
    </font>
    <font>
      <b/>
      <sz val="8"/>
      <color rgb="FFFF0000"/>
      <name val="Arial"/>
      <family val="2"/>
      <charset val="238"/>
    </font>
    <font>
      <i/>
      <sz val="8"/>
      <color rgb="FFFF0000"/>
      <name val="Arial"/>
      <family val="2"/>
      <charset val="238"/>
    </font>
    <font>
      <i/>
      <sz val="10"/>
      <color theme="1"/>
      <name val="Arial"/>
      <family val="2"/>
      <charset val="238"/>
    </font>
    <font>
      <b/>
      <sz val="11"/>
      <color indexed="8"/>
      <name val="Arial"/>
      <family val="2"/>
      <charset val="238"/>
    </font>
    <font>
      <i/>
      <sz val="9"/>
      <color indexed="12"/>
      <name val="Arial"/>
      <family val="2"/>
      <charset val="238"/>
    </font>
    <font>
      <sz val="9"/>
      <color indexed="10"/>
      <name val="Arial"/>
      <family val="2"/>
      <charset val="238"/>
    </font>
    <font>
      <sz val="10"/>
      <color indexed="10"/>
      <name val="Arial"/>
      <family val="2"/>
      <charset val="238"/>
    </font>
    <font>
      <i/>
      <sz val="8"/>
      <color theme="1"/>
      <name val="Arial"/>
      <family val="2"/>
      <charset val="238"/>
    </font>
    <font>
      <i/>
      <sz val="9"/>
      <color theme="3" tint="0.39997558519241921"/>
      <name val="Arial"/>
      <family val="2"/>
      <charset val="238"/>
    </font>
    <font>
      <sz val="9"/>
      <color theme="3" tint="0.39997558519241921"/>
      <name val="Arial"/>
      <family val="2"/>
      <charset val="238"/>
    </font>
    <font>
      <b/>
      <i/>
      <sz val="10"/>
      <color rgb="FFFF0000"/>
      <name val="Arial"/>
      <family val="2"/>
      <charset val="238"/>
    </font>
    <font>
      <b/>
      <i/>
      <sz val="9"/>
      <color theme="3" tint="0.39997558519241921"/>
      <name val="Arial"/>
      <family val="2"/>
      <charset val="238"/>
    </font>
    <font>
      <b/>
      <i/>
      <sz val="9"/>
      <color rgb="FFFF66CC"/>
      <name val="Arial"/>
      <family val="2"/>
      <charset val="238"/>
    </font>
    <font>
      <b/>
      <sz val="10"/>
      <color theme="3" tint="0.39997558519241921"/>
      <name val="Arial"/>
      <family val="2"/>
      <charset val="238"/>
    </font>
    <font>
      <sz val="8"/>
      <color rgb="FF0000FF"/>
      <name val="Arial"/>
      <family val="2"/>
      <charset val="238"/>
    </font>
    <font>
      <i/>
      <sz val="8"/>
      <color rgb="FF0000FF"/>
      <name val="Arial"/>
      <family val="2"/>
      <charset val="238"/>
    </font>
    <font>
      <i/>
      <sz val="9"/>
      <color rgb="FF538DD5"/>
      <name val="Arial"/>
      <family val="2"/>
      <charset val="238"/>
    </font>
    <font>
      <i/>
      <sz val="8"/>
      <color indexed="12"/>
      <name val="Arial"/>
      <family val="2"/>
      <charset val="238"/>
    </font>
    <font>
      <b/>
      <sz val="8"/>
      <color theme="0"/>
      <name val="Arial"/>
      <family val="2"/>
      <charset val="238"/>
    </font>
    <font>
      <b/>
      <sz val="8"/>
      <color theme="3" tint="0.39997558519241921"/>
      <name val="Arial"/>
      <family val="2"/>
      <charset val="238"/>
    </font>
    <font>
      <b/>
      <sz val="14"/>
      <color indexed="8"/>
      <name val="Arial"/>
      <family val="2"/>
      <charset val="238"/>
    </font>
    <font>
      <sz val="14"/>
      <color indexed="8"/>
      <name val="Arial"/>
      <family val="2"/>
      <charset val="238"/>
    </font>
    <font>
      <sz val="8"/>
      <color theme="0"/>
      <name val="Arial"/>
      <family val="2"/>
      <charset val="238"/>
    </font>
    <font>
      <i/>
      <sz val="9"/>
      <color theme="1"/>
      <name val="Arial"/>
      <family val="2"/>
      <charset val="238"/>
    </font>
    <font>
      <b/>
      <sz val="11"/>
      <color rgb="FFFF0000"/>
      <name val="Arial"/>
      <family val="2"/>
      <charset val="238"/>
    </font>
    <font>
      <sz val="10"/>
      <color theme="0"/>
      <name val="Arial"/>
      <family val="2"/>
      <charset val="238"/>
    </font>
    <font>
      <sz val="12"/>
      <name val="Arial Narrow"/>
      <family val="2"/>
      <charset val="238"/>
    </font>
    <font>
      <sz val="11"/>
      <color rgb="FF9C0006"/>
      <name val="Calibri"/>
      <family val="2"/>
      <charset val="238"/>
      <scheme val="minor"/>
    </font>
    <font>
      <b/>
      <sz val="10"/>
      <color theme="0"/>
      <name val="Calibri"/>
      <family val="2"/>
      <charset val="238"/>
      <scheme val="minor"/>
    </font>
    <font>
      <b/>
      <sz val="10"/>
      <name val="Calibri"/>
      <family val="2"/>
      <charset val="238"/>
      <scheme val="minor"/>
    </font>
    <font>
      <sz val="11"/>
      <name val="Calibri"/>
      <family val="2"/>
      <scheme val="minor"/>
    </font>
    <font>
      <u/>
      <sz val="11"/>
      <color theme="10"/>
      <name val="Calibri"/>
      <family val="2"/>
      <charset val="238"/>
      <scheme val="minor"/>
    </font>
    <font>
      <sz val="10"/>
      <color theme="1"/>
      <name val="Calibri"/>
      <family val="2"/>
      <charset val="238"/>
      <scheme val="minor"/>
    </font>
    <font>
      <b/>
      <i/>
      <sz val="10"/>
      <name val="Arial CE"/>
      <charset val="238"/>
    </font>
    <font>
      <b/>
      <sz val="11"/>
      <color theme="1"/>
      <name val="Arial"/>
      <family val="2"/>
      <charset val="238"/>
    </font>
    <font>
      <b/>
      <sz val="8"/>
      <color theme="1"/>
      <name val="Arial"/>
      <family val="2"/>
      <charset val="238"/>
    </font>
    <font>
      <b/>
      <i/>
      <sz val="8"/>
      <color theme="1"/>
      <name val="Arial"/>
      <family val="2"/>
      <charset val="238"/>
    </font>
    <font>
      <b/>
      <i/>
      <sz val="9"/>
      <color theme="1"/>
      <name val="Arial"/>
      <family val="2"/>
      <charset val="238"/>
    </font>
    <font>
      <b/>
      <sz val="10"/>
      <color theme="0"/>
      <name val="Arial"/>
      <family val="2"/>
      <charset val="238"/>
    </font>
    <font>
      <b/>
      <sz val="10"/>
      <color indexed="8"/>
      <name val="Arial CE"/>
      <charset val="238"/>
    </font>
    <font>
      <b/>
      <sz val="8"/>
      <color indexed="8"/>
      <name val="Arial CE"/>
      <family val="2"/>
      <charset val="238"/>
    </font>
    <font>
      <vertAlign val="superscript"/>
      <sz val="10"/>
      <name val="Arial CE"/>
      <family val="2"/>
      <charset val="238"/>
    </font>
    <font>
      <i/>
      <sz val="9"/>
      <color theme="9" tint="-0.249977111117893"/>
      <name val="Arial"/>
      <family val="2"/>
      <charset val="238"/>
    </font>
    <font>
      <b/>
      <sz val="11"/>
      <color theme="4" tint="-0.249977111117893"/>
      <name val="Arial "/>
      <charset val="238"/>
    </font>
    <font>
      <sz val="11"/>
      <color theme="1"/>
      <name val="Arial "/>
      <charset val="238"/>
    </font>
    <font>
      <b/>
      <sz val="11"/>
      <color theme="1"/>
      <name val="Arial "/>
      <charset val="238"/>
    </font>
    <font>
      <b/>
      <sz val="9"/>
      <color theme="1"/>
      <name val="Arial "/>
      <charset val="238"/>
    </font>
    <font>
      <sz val="9"/>
      <color theme="1"/>
      <name val="Arial "/>
      <charset val="238"/>
    </font>
    <font>
      <b/>
      <sz val="11"/>
      <color rgb="FFFF0000"/>
      <name val="Arial "/>
      <charset val="238"/>
    </font>
    <font>
      <b/>
      <sz val="8"/>
      <color theme="1"/>
      <name val="Arial "/>
      <charset val="238"/>
    </font>
    <font>
      <b/>
      <sz val="8"/>
      <color theme="0"/>
      <name val="Arial "/>
      <charset val="238"/>
    </font>
    <font>
      <sz val="8"/>
      <color theme="1"/>
      <name val="Arial "/>
      <charset val="238"/>
    </font>
    <font>
      <sz val="10"/>
      <color theme="1"/>
      <name val="Arial "/>
      <charset val="238"/>
    </font>
    <font>
      <b/>
      <sz val="10"/>
      <color theme="1"/>
      <name val="Arial "/>
      <charset val="238"/>
    </font>
    <font>
      <sz val="16"/>
      <color theme="0"/>
      <name val="Arial CE"/>
      <family val="2"/>
      <charset val="238"/>
    </font>
    <font>
      <b/>
      <sz val="9"/>
      <color indexed="55"/>
      <name val="Arial"/>
      <family val="2"/>
      <charset val="238"/>
    </font>
    <font>
      <b/>
      <i/>
      <sz val="9"/>
      <color rgb="FF0070C0"/>
      <name val="Arial"/>
      <family val="2"/>
      <charset val="238"/>
    </font>
    <font>
      <b/>
      <i/>
      <sz val="9"/>
      <color theme="4"/>
      <name val="Arial"/>
      <family val="2"/>
      <charset val="238"/>
    </font>
    <font>
      <i/>
      <sz val="9"/>
      <color rgb="FFFF0000"/>
      <name val="Arial"/>
      <family val="2"/>
      <charset val="238"/>
    </font>
    <font>
      <sz val="9"/>
      <name val="Arial "/>
      <charset val="238"/>
    </font>
    <font>
      <b/>
      <sz val="11"/>
      <color theme="1"/>
      <name val="Czcionka tekstu podstawowego"/>
      <charset val="238"/>
    </font>
    <font>
      <sz val="10"/>
      <color rgb="FFFF0000"/>
      <name val="Arial "/>
      <charset val="238"/>
    </font>
    <font>
      <sz val="10"/>
      <name val="Arial "/>
      <charset val="238"/>
    </font>
    <font>
      <b/>
      <sz val="9"/>
      <name val="Arial "/>
      <charset val="238"/>
    </font>
    <font>
      <sz val="10"/>
      <color rgb="FF00B050"/>
      <name val="Arial CE"/>
      <family val="2"/>
      <charset val="238"/>
    </font>
    <font>
      <sz val="9"/>
      <color rgb="FF0070C0"/>
      <name val="Arial"/>
      <family val="2"/>
      <charset val="238"/>
    </font>
    <font>
      <b/>
      <strike/>
      <sz val="9"/>
      <color indexed="55"/>
      <name val="Arial"/>
      <family val="2"/>
      <charset val="238"/>
    </font>
    <font>
      <sz val="9"/>
      <color rgb="FF00B050"/>
      <name val="Arial CE"/>
      <family val="2"/>
      <charset val="238"/>
    </font>
    <font>
      <sz val="11"/>
      <name val="Arial Narrow"/>
      <family val="2"/>
      <charset val="238"/>
    </font>
    <font>
      <b/>
      <sz val="9"/>
      <color rgb="FF00B050"/>
      <name val="Arial CE"/>
      <charset val="238"/>
    </font>
    <font>
      <sz val="9"/>
      <color rgb="FF00B0F0"/>
      <name val="Arial"/>
      <family val="2"/>
      <charset val="238"/>
    </font>
    <font>
      <sz val="9"/>
      <color rgb="FF000000"/>
      <name val="Arial"/>
      <family val="2"/>
      <charset val="238"/>
    </font>
    <font>
      <sz val="9"/>
      <color theme="9" tint="-0.499984740745262"/>
      <name val="Cambria"/>
      <family val="1"/>
      <charset val="238"/>
    </font>
    <font>
      <i/>
      <sz val="9"/>
      <name val="Cambria"/>
      <family val="1"/>
      <charset val="238"/>
    </font>
    <font>
      <i/>
      <sz val="8"/>
      <color indexed="8"/>
      <name val="Cambria"/>
      <family val="1"/>
      <charset val="238"/>
    </font>
    <font>
      <b/>
      <i/>
      <sz val="9"/>
      <name val="Cambria"/>
      <family val="1"/>
      <charset val="238"/>
    </font>
    <font>
      <b/>
      <sz val="8"/>
      <color indexed="8"/>
      <name val="Cambria"/>
      <family val="1"/>
      <charset val="238"/>
    </font>
    <font>
      <sz val="8"/>
      <color indexed="8"/>
      <name val="Cambria"/>
      <family val="1"/>
      <charset val="238"/>
    </font>
    <font>
      <b/>
      <i/>
      <sz val="9"/>
      <color indexed="12"/>
      <name val="Cambria"/>
      <family val="1"/>
      <charset val="238"/>
    </font>
    <font>
      <b/>
      <i/>
      <sz val="9"/>
      <color indexed="55"/>
      <name val="Cambria"/>
      <family val="1"/>
      <charset val="238"/>
    </font>
    <font>
      <sz val="9"/>
      <color rgb="FFFF0000"/>
      <name val="Cambria"/>
      <family val="1"/>
      <charset val="238"/>
    </font>
    <font>
      <b/>
      <sz val="9"/>
      <color indexed="8"/>
      <name val="Cambria"/>
      <family val="1"/>
      <charset val="238"/>
    </font>
    <font>
      <i/>
      <sz val="8"/>
      <name val="Arial"/>
      <family val="2"/>
      <charset val="238"/>
    </font>
    <font>
      <sz val="10"/>
      <color rgb="FFFF0000"/>
      <name val="Arial  "/>
      <charset val="238"/>
    </font>
    <font>
      <sz val="9"/>
      <color rgb="FF7030A0"/>
      <name val="Arial"/>
      <family val="2"/>
      <charset val="238"/>
    </font>
    <font>
      <b/>
      <sz val="9"/>
      <color rgb="FF7030A0"/>
      <name val="Arial"/>
      <family val="2"/>
      <charset val="238"/>
    </font>
    <font>
      <sz val="10"/>
      <name val="Trebuchet MS"/>
      <family val="2"/>
    </font>
    <font>
      <sz val="8"/>
      <name val="Trebuchet MS"/>
      <family val="2"/>
    </font>
    <font>
      <b/>
      <sz val="9"/>
      <color rgb="FFFF0000"/>
      <name val="Arial CE"/>
      <charset val="238"/>
    </font>
    <font>
      <b/>
      <i/>
      <sz val="9"/>
      <color rgb="FFFF0000"/>
      <name val="Arial"/>
      <family val="2"/>
      <charset val="238"/>
    </font>
    <font>
      <b/>
      <sz val="10"/>
      <color rgb="FFE40000"/>
      <name val="Arial CE"/>
      <charset val="238"/>
    </font>
    <font>
      <sz val="11"/>
      <color rgb="FF242424"/>
      <name val="Aptos Narrow"/>
      <family val="2"/>
    </font>
    <font>
      <sz val="10"/>
      <color theme="1"/>
      <name val="Arial CE"/>
      <family val="2"/>
      <charset val="238"/>
    </font>
    <font>
      <b/>
      <sz val="10"/>
      <color rgb="FF00B050"/>
      <name val="Arial"/>
      <family val="2"/>
      <charset val="238"/>
    </font>
    <font>
      <b/>
      <sz val="11"/>
      <color rgb="FF00B050"/>
      <name val="Arial Narrow"/>
      <family val="2"/>
      <charset val="238"/>
    </font>
    <font>
      <b/>
      <sz val="10"/>
      <color rgb="FF00B050"/>
      <name val="Arial  "/>
      <charset val="238"/>
    </font>
    <font>
      <b/>
      <sz val="10"/>
      <color rgb="FF00B050"/>
      <name val="Trebuchet MS"/>
      <family val="2"/>
      <charset val="238"/>
    </font>
    <font>
      <b/>
      <sz val="10"/>
      <name val="Arial  "/>
      <charset val="238"/>
    </font>
    <font>
      <sz val="10"/>
      <color rgb="FF00B050"/>
      <name val="Arial  "/>
      <charset val="238"/>
    </font>
    <font>
      <sz val="9"/>
      <color rgb="FFFF0000"/>
      <name val="Arial CE"/>
      <family val="2"/>
      <charset val="238"/>
    </font>
    <font>
      <sz val="10"/>
      <color rgb="FF00B050"/>
      <name val="Arial"/>
      <family val="2"/>
      <charset val="238"/>
    </font>
    <font>
      <b/>
      <strike/>
      <sz val="10"/>
      <color rgb="FF00B050"/>
      <name val="Arial"/>
      <family val="2"/>
      <charset val="238"/>
    </font>
    <font>
      <b/>
      <strike/>
      <sz val="10"/>
      <color theme="8" tint="-0.249977111117893"/>
      <name val="Arial"/>
      <family val="2"/>
      <charset val="238"/>
    </font>
  </fonts>
  <fills count="11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rgb="FFFFFF99"/>
        <bgColor indexed="64"/>
      </patternFill>
    </fill>
    <fill>
      <patternFill patternType="solid">
        <fgColor rgb="FFCCFFFF"/>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9"/>
        <bgColor indexed="26"/>
      </patternFill>
    </fill>
    <fill>
      <patternFill patternType="solid">
        <fgColor indexed="31"/>
        <bgColor indexed="22"/>
      </patternFill>
    </fill>
    <fill>
      <patternFill patternType="solid">
        <fgColor indexed="41"/>
        <bgColor indexed="9"/>
      </patternFill>
    </fill>
    <fill>
      <patternFill patternType="solid">
        <fgColor indexed="47"/>
        <bgColor indexed="22"/>
      </patternFill>
    </fill>
    <fill>
      <patternFill patternType="solid">
        <fgColor indexed="45"/>
        <bgColor indexed="29"/>
      </patternFill>
    </fill>
    <fill>
      <patternFill patternType="solid">
        <fgColor indexed="47"/>
        <bgColor indexed="43"/>
      </patternFill>
    </fill>
    <fill>
      <patternFill patternType="solid">
        <fgColor indexed="47"/>
        <bgColor indexed="41"/>
      </patternFill>
    </fill>
    <fill>
      <patternFill patternType="solid">
        <fgColor indexed="26"/>
        <bgColor indexed="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27"/>
        <bgColor indexed="42"/>
      </patternFill>
    </fill>
    <fill>
      <patternFill patternType="solid">
        <fgColor indexed="44"/>
        <bgColor indexed="31"/>
      </patternFill>
    </fill>
    <fill>
      <patternFill patternType="solid">
        <fgColor indexed="22"/>
        <bgColor indexed="55"/>
      </patternFill>
    </fill>
    <fill>
      <patternFill patternType="solid">
        <fgColor indexed="22"/>
        <bgColor indexed="31"/>
      </patternFill>
    </fill>
    <fill>
      <patternFill patternType="solid">
        <fgColor indexed="29"/>
        <bgColor indexed="45"/>
      </patternFill>
    </fill>
    <fill>
      <patternFill patternType="solid">
        <fgColor indexed="43"/>
        <bgColor indexed="26"/>
      </patternFill>
    </fill>
    <fill>
      <patternFill patternType="solid">
        <fgColor indexed="11"/>
        <bgColor indexed="49"/>
      </patternFill>
    </fill>
    <fill>
      <patternFill patternType="solid">
        <fgColor indexed="44"/>
        <bgColor indexed="22"/>
      </patternFill>
    </fill>
    <fill>
      <patternFill patternType="solid">
        <fgColor indexed="51"/>
        <bgColor indexed="13"/>
      </patternFill>
    </fill>
    <fill>
      <patternFill patternType="solid">
        <fgColor indexed="49"/>
        <bgColor indexed="40"/>
      </patternFill>
    </fill>
    <fill>
      <patternFill patternType="solid">
        <fgColor indexed="30"/>
        <bgColor indexed="21"/>
      </patternFill>
    </fill>
    <fill>
      <patternFill patternType="solid">
        <fgColor indexed="20"/>
        <bgColor indexed="36"/>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4"/>
        <bgColor indexed="23"/>
      </patternFill>
    </fill>
    <fill>
      <patternFill patternType="solid">
        <fgColor indexed="53"/>
        <bgColor indexed="52"/>
      </patternFill>
    </fill>
    <fill>
      <patternFill patternType="solid">
        <fgColor indexed="26"/>
        <bgColor indexed="64"/>
      </patternFill>
    </fill>
    <fill>
      <patternFill patternType="solid">
        <fgColor indexed="55"/>
        <bgColor indexed="23"/>
      </patternFill>
    </fill>
    <fill>
      <patternFill patternType="solid">
        <fgColor rgb="FF92D050"/>
        <bgColor indexed="64"/>
      </patternFill>
    </fill>
    <fill>
      <patternFill patternType="solid">
        <fgColor rgb="FFCCFFCC"/>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3" tint="0.79998168889431442"/>
        <bgColor indexed="64"/>
      </patternFill>
    </fill>
    <fill>
      <patternFill patternType="solid">
        <fgColor indexed="4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theme="9" tint="0.79998168889431442"/>
        <bgColor indexed="64"/>
      </patternFill>
    </fill>
    <fill>
      <patternFill patternType="solid">
        <fgColor theme="2" tint="-0.749992370372631"/>
        <bgColor indexed="64"/>
      </patternFill>
    </fill>
    <fill>
      <patternFill patternType="solid">
        <fgColor theme="0" tint="-0.24994659260841701"/>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3" tint="0.89999084444715716"/>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rgb="FF3AE6C1"/>
        <bgColor indexed="64"/>
      </patternFill>
    </fill>
  </fills>
  <borders count="295">
    <border>
      <left/>
      <right/>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dashed">
        <color indexed="64"/>
      </top>
      <bottom/>
      <diagonal/>
    </border>
    <border>
      <left/>
      <right/>
      <top/>
      <bottom style="thin">
        <color indexed="8"/>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hair">
        <color indexed="64"/>
      </right>
      <top style="thin">
        <color indexed="64"/>
      </top>
      <bottom style="thin">
        <color indexed="64"/>
      </bottom>
      <diagonal/>
    </border>
    <border>
      <left/>
      <right style="medium">
        <color indexed="64"/>
      </right>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style="medium">
        <color indexed="64"/>
      </right>
      <top/>
      <bottom style="hair">
        <color indexed="64"/>
      </bottom>
      <diagonal/>
    </border>
    <border>
      <left style="medium">
        <color indexed="64"/>
      </left>
      <right style="hair">
        <color indexed="64"/>
      </right>
      <top/>
      <bottom style="hair">
        <color indexed="64"/>
      </bottom>
      <diagonal/>
    </border>
    <border>
      <left/>
      <right style="hair">
        <color indexed="64"/>
      </right>
      <top/>
      <bottom style="hair">
        <color indexed="64"/>
      </bottom>
      <diagonal/>
    </border>
    <border>
      <left/>
      <right style="medium">
        <color indexed="64"/>
      </right>
      <top/>
      <bottom style="hair">
        <color indexed="64"/>
      </bottom>
      <diagonal/>
    </border>
    <border>
      <left style="medium">
        <color indexed="64"/>
      </left>
      <right/>
      <top/>
      <bottom style="hair">
        <color indexed="64"/>
      </bottom>
      <diagonal/>
    </border>
    <border>
      <left/>
      <right/>
      <top/>
      <bottom style="hair">
        <color indexed="64"/>
      </bottom>
      <diagonal/>
    </border>
    <border>
      <left style="hair">
        <color indexed="64"/>
      </left>
      <right style="hair">
        <color indexed="64"/>
      </right>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thin">
        <color indexed="64"/>
      </left>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hair">
        <color indexed="64"/>
      </right>
      <top style="hair">
        <color indexed="64"/>
      </top>
      <bottom/>
      <diagonal/>
    </border>
    <border>
      <left/>
      <right style="hair">
        <color indexed="64"/>
      </right>
      <top style="hair">
        <color indexed="64"/>
      </top>
      <bottom/>
      <diagonal/>
    </border>
    <border>
      <left/>
      <right/>
      <top style="hair">
        <color indexed="64"/>
      </top>
      <bottom/>
      <diagonal/>
    </border>
    <border>
      <left style="hair">
        <color indexed="64"/>
      </left>
      <right style="hair">
        <color indexed="64"/>
      </right>
      <top style="hair">
        <color indexed="64"/>
      </top>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style="medium">
        <color indexed="64"/>
      </right>
      <top/>
      <bottom/>
      <diagonal/>
    </border>
    <border>
      <left style="thin">
        <color indexed="64"/>
      </left>
      <right style="thin">
        <color indexed="64"/>
      </right>
      <top/>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style="hair">
        <color indexed="64"/>
      </top>
      <bottom/>
      <diagonal/>
    </border>
    <border>
      <left style="medium">
        <color indexed="64"/>
      </left>
      <right style="medium">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hair">
        <color indexed="64"/>
      </top>
      <bottom style="medium">
        <color indexed="64"/>
      </bottom>
      <diagonal/>
    </border>
    <border>
      <left/>
      <right style="hair">
        <color indexed="64"/>
      </right>
      <top style="hair">
        <color indexed="64"/>
      </top>
      <bottom style="medium">
        <color indexed="64"/>
      </bottom>
      <diagonal/>
    </border>
    <border>
      <left/>
      <right/>
      <top style="hair">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right style="hair">
        <color indexed="64"/>
      </right>
      <top style="thin">
        <color indexed="64"/>
      </top>
      <bottom style="hair">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hair">
        <color indexed="64"/>
      </right>
      <top style="medium">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diagonalUp="1" diagonalDown="1">
      <left/>
      <right style="medium">
        <color indexed="64"/>
      </right>
      <top style="medium">
        <color indexed="64"/>
      </top>
      <bottom style="medium">
        <color indexed="64"/>
      </bottom>
      <diagonal style="thin">
        <color indexed="64"/>
      </diagonal>
    </border>
    <border>
      <left/>
      <right/>
      <top style="thin">
        <color indexed="64"/>
      </top>
      <bottom style="hair">
        <color indexed="64"/>
      </bottom>
      <diagonal/>
    </border>
    <border>
      <left style="hair">
        <color indexed="64"/>
      </left>
      <right style="hair">
        <color indexed="64"/>
      </right>
      <top style="medium">
        <color indexed="64"/>
      </top>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bottom style="thin">
        <color indexed="64"/>
      </bottom>
      <diagonal/>
    </border>
    <border>
      <left style="medium">
        <color indexed="64"/>
      </left>
      <right/>
      <top/>
      <bottom/>
      <diagonal/>
    </border>
    <border>
      <left style="medium">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hair">
        <color indexed="64"/>
      </left>
      <right style="medium">
        <color indexed="64"/>
      </right>
      <top style="hair">
        <color indexed="64"/>
      </top>
      <bottom/>
      <diagonal/>
    </border>
    <border>
      <left style="hair">
        <color indexed="64"/>
      </left>
      <right style="hair">
        <color indexed="64"/>
      </right>
      <top/>
      <bottom/>
      <diagonal/>
    </border>
    <border diagonalUp="1" diagonalDown="1">
      <left style="thin">
        <color indexed="64"/>
      </left>
      <right style="medium">
        <color indexed="64"/>
      </right>
      <top style="thin">
        <color indexed="64"/>
      </top>
      <bottom style="medium">
        <color indexed="64"/>
      </bottom>
      <diagonal style="thin">
        <color indexed="64"/>
      </diagonal>
    </border>
    <border diagonalUp="1" diagonalDown="1">
      <left style="medium">
        <color indexed="64"/>
      </left>
      <right style="thin">
        <color indexed="64"/>
      </right>
      <top style="thin">
        <color indexed="64"/>
      </top>
      <bottom style="medium">
        <color indexed="64"/>
      </bottom>
      <diagonal style="thin">
        <color indexed="64"/>
      </diagonal>
    </border>
    <border>
      <left style="hair">
        <color indexed="64"/>
      </left>
      <right/>
      <top style="medium">
        <color indexed="64"/>
      </top>
      <bottom style="medium">
        <color indexed="64"/>
      </bottom>
      <diagonal/>
    </border>
    <border>
      <left/>
      <right style="hair">
        <color indexed="64"/>
      </right>
      <top/>
      <bottom/>
      <diagonal/>
    </border>
    <border>
      <left style="thin">
        <color rgb="FFB2B2B2"/>
      </left>
      <right style="thin">
        <color rgb="FFB2B2B2"/>
      </right>
      <top style="thin">
        <color rgb="FFB2B2B2"/>
      </top>
      <bottom style="thin">
        <color rgb="FFB2B2B2"/>
      </bottom>
      <diagonal/>
    </border>
    <border>
      <left/>
      <right/>
      <top/>
      <bottom style="thick">
        <color indexed="49"/>
      </bottom>
      <diagonal/>
    </border>
    <border>
      <left/>
      <right/>
      <top/>
      <bottom style="thick">
        <color indexed="31"/>
      </bottom>
      <diagonal/>
    </border>
    <border>
      <left/>
      <right/>
      <top/>
      <bottom style="medium">
        <color indexed="49"/>
      </bottom>
      <diagonal/>
    </border>
    <border>
      <left/>
      <right/>
      <top style="thin">
        <color indexed="49"/>
      </top>
      <bottom style="double">
        <color indexed="49"/>
      </bottom>
      <diagonal/>
    </border>
    <border>
      <left style="thin">
        <color indexed="31"/>
      </left>
      <right style="thin">
        <color indexed="31"/>
      </right>
      <top style="thin">
        <color indexed="31"/>
      </top>
      <bottom style="thin">
        <color indexed="31"/>
      </bottom>
      <diagonal/>
    </border>
    <border>
      <left/>
      <right style="hair">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medium">
        <color indexed="64"/>
      </bottom>
      <diagonal/>
    </border>
    <border>
      <left style="medium">
        <color indexed="64"/>
      </left>
      <right style="medium">
        <color indexed="64"/>
      </right>
      <top style="hair">
        <color indexed="64"/>
      </top>
      <bottom style="thin">
        <color indexed="64"/>
      </bottom>
      <diagonal/>
    </border>
    <border>
      <left style="medium">
        <color indexed="64"/>
      </left>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style="medium">
        <color theme="5" tint="-0.499984740745262"/>
      </top>
      <bottom style="thin">
        <color indexed="64"/>
      </bottom>
      <diagonal/>
    </border>
    <border>
      <left style="medium">
        <color theme="5" tint="-0.499984740745262"/>
      </left>
      <right style="thin">
        <color indexed="64"/>
      </right>
      <top style="thin">
        <color indexed="64"/>
      </top>
      <bottom style="thin">
        <color indexed="64"/>
      </bottom>
      <diagonal/>
    </border>
    <border>
      <left style="thin">
        <color indexed="64"/>
      </left>
      <right style="medium">
        <color theme="5" tint="-0.499984740745262"/>
      </right>
      <top style="medium">
        <color indexed="64"/>
      </top>
      <bottom style="medium">
        <color indexed="64"/>
      </bottom>
      <diagonal/>
    </border>
    <border>
      <left style="medium">
        <color theme="5" tint="-0.499984740745262"/>
      </left>
      <right style="thin">
        <color indexed="64"/>
      </right>
      <top/>
      <bottom style="thin">
        <color indexed="64"/>
      </bottom>
      <diagonal/>
    </border>
    <border>
      <left style="medium">
        <color theme="5" tint="-0.499984740745262"/>
      </left>
      <right style="thin">
        <color indexed="64"/>
      </right>
      <top style="medium">
        <color indexed="64"/>
      </top>
      <bottom style="medium">
        <color indexed="64"/>
      </bottom>
      <diagonal/>
    </border>
    <border>
      <left style="medium">
        <color theme="5" tint="-0.499984740745262"/>
      </left>
      <right style="thin">
        <color indexed="64"/>
      </right>
      <top style="hair">
        <color indexed="64"/>
      </top>
      <bottom style="hair">
        <color indexed="64"/>
      </bottom>
      <diagonal/>
    </border>
    <border>
      <left style="thin">
        <color indexed="64"/>
      </left>
      <right style="medium">
        <color theme="5" tint="-0.499984740745262"/>
      </right>
      <top style="hair">
        <color indexed="64"/>
      </top>
      <bottom style="hair">
        <color indexed="64"/>
      </bottom>
      <diagonal/>
    </border>
    <border>
      <left style="medium">
        <color theme="5" tint="-0.499984740745262"/>
      </left>
      <right style="thin">
        <color indexed="64"/>
      </right>
      <top/>
      <bottom/>
      <diagonal/>
    </border>
    <border>
      <left style="thin">
        <color indexed="64"/>
      </left>
      <right style="medium">
        <color theme="5" tint="-0.499984740745262"/>
      </right>
      <top/>
      <bottom/>
      <diagonal/>
    </border>
    <border>
      <left style="medium">
        <color theme="5" tint="-0.499984740745262"/>
      </left>
      <right style="thin">
        <color indexed="64"/>
      </right>
      <top style="medium">
        <color indexed="64"/>
      </top>
      <bottom/>
      <diagonal/>
    </border>
    <border>
      <left style="medium">
        <color theme="5" tint="-0.499984740745262"/>
      </left>
      <right style="thin">
        <color indexed="64"/>
      </right>
      <top style="thin">
        <color indexed="64"/>
      </top>
      <bottom style="medium">
        <color indexed="64"/>
      </bottom>
      <diagonal/>
    </border>
    <border>
      <left style="medium">
        <color theme="5" tint="-0.499984740745262"/>
      </left>
      <right style="thin">
        <color indexed="64"/>
      </right>
      <top style="medium">
        <color indexed="64"/>
      </top>
      <bottom style="thin">
        <color indexed="64"/>
      </bottom>
      <diagonal/>
    </border>
    <border>
      <left style="thin">
        <color indexed="64"/>
      </left>
      <right style="medium">
        <color theme="5" tint="-0.499984740745262"/>
      </right>
      <top style="medium">
        <color indexed="64"/>
      </top>
      <bottom style="thin">
        <color indexed="64"/>
      </bottom>
      <diagonal/>
    </border>
    <border>
      <left style="medium">
        <color theme="5" tint="-0.499984740745262"/>
      </left>
      <right style="thin">
        <color indexed="64"/>
      </right>
      <top style="medium">
        <color indexed="64"/>
      </top>
      <bottom style="medium">
        <color theme="5" tint="-0.499984740745262"/>
      </bottom>
      <diagonal/>
    </border>
    <border>
      <left style="thin">
        <color indexed="64"/>
      </left>
      <right style="thin">
        <color indexed="64"/>
      </right>
      <top style="medium">
        <color indexed="64"/>
      </top>
      <bottom style="medium">
        <color theme="5" tint="-0.499984740745262"/>
      </bottom>
      <diagonal/>
    </border>
    <border>
      <left/>
      <right style="thin">
        <color indexed="64"/>
      </right>
      <top style="medium">
        <color indexed="64"/>
      </top>
      <bottom style="medium">
        <color theme="5" tint="-0.499984740745262"/>
      </bottom>
      <diagonal/>
    </border>
    <border>
      <left style="medium">
        <color theme="5" tint="-0.499984740745262"/>
      </left>
      <right style="thin">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bottom style="medium">
        <color indexed="64"/>
      </bottom>
      <diagonal/>
    </border>
    <border>
      <left/>
      <right style="hair">
        <color indexed="64"/>
      </right>
      <top style="medium">
        <color indexed="64"/>
      </top>
      <bottom style="thin">
        <color indexed="64"/>
      </bottom>
      <diagonal/>
    </border>
    <border>
      <left/>
      <right style="hair">
        <color indexed="64"/>
      </right>
      <top/>
      <bottom style="thin">
        <color indexed="64"/>
      </bottom>
      <diagonal/>
    </border>
    <border>
      <left style="hair">
        <color indexed="64"/>
      </left>
      <right style="medium">
        <color indexed="64"/>
      </right>
      <top style="medium">
        <color indexed="64"/>
      </top>
      <bottom style="medium">
        <color indexed="64"/>
      </bottom>
      <diagonal/>
    </border>
    <border>
      <left/>
      <right style="thin">
        <color indexed="64"/>
      </right>
      <top style="hair">
        <color indexed="64"/>
      </top>
      <bottom/>
      <diagonal/>
    </border>
    <border>
      <left style="thin">
        <color indexed="64"/>
      </left>
      <right style="medium">
        <color theme="5" tint="-0.499984740745262"/>
      </right>
      <top/>
      <bottom style="medium">
        <color indexed="64"/>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style="thin">
        <color indexed="64"/>
      </left>
      <right style="medium">
        <color indexed="64"/>
      </right>
      <top style="hair">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hair">
        <color indexed="64"/>
      </top>
      <bottom/>
      <diagonal/>
    </border>
    <border>
      <left style="thin">
        <color theme="5" tint="-0.499984740745262"/>
      </left>
      <right style="thin">
        <color theme="5" tint="-0.499984740745262"/>
      </right>
      <top/>
      <bottom style="medium">
        <color indexed="64"/>
      </bottom>
      <diagonal/>
    </border>
    <border>
      <left style="thin">
        <color theme="5" tint="-0.499984740745262"/>
      </left>
      <right style="medium">
        <color theme="5" tint="-0.499984740745262"/>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theme="5" tint="-0.499984740745262"/>
      </left>
      <right style="medium">
        <color indexed="64"/>
      </right>
      <top style="medium">
        <color indexed="64"/>
      </top>
      <bottom style="thin">
        <color theme="5" tint="-0.499984740745262"/>
      </bottom>
      <diagonal/>
    </border>
    <border>
      <left style="medium">
        <color theme="5" tint="-0.499984740745262"/>
      </left>
      <right style="thin">
        <color indexed="64"/>
      </right>
      <top style="medium">
        <color indexed="64"/>
      </top>
      <bottom style="thin">
        <color theme="5"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theme="5" tint="-0.499984740745262"/>
      </left>
      <right/>
      <top style="medium">
        <color indexed="64"/>
      </top>
      <bottom style="medium">
        <color indexed="64"/>
      </bottom>
      <diagonal/>
    </border>
    <border>
      <left style="medium">
        <color theme="5" tint="-0.499984740745262"/>
      </left>
      <right/>
      <top style="medium">
        <color indexed="64"/>
      </top>
      <bottom/>
      <diagonal/>
    </border>
    <border>
      <left style="thin">
        <color theme="5" tint="-0.499984740745262"/>
      </left>
      <right/>
      <top/>
      <bottom style="medium">
        <color indexed="64"/>
      </bottom>
      <diagonal/>
    </border>
    <border>
      <left style="thin">
        <color indexed="64"/>
      </left>
      <right/>
      <top style="hair">
        <color indexed="64"/>
      </top>
      <bottom style="medium">
        <color indexed="64"/>
      </bottom>
      <diagonal/>
    </border>
    <border>
      <left style="medium">
        <color theme="5" tint="-0.499984740745262"/>
      </left>
      <right style="medium">
        <color indexed="64"/>
      </right>
      <top style="medium">
        <color indexed="64"/>
      </top>
      <bottom style="medium">
        <color indexed="64"/>
      </bottom>
      <diagonal/>
    </border>
    <border>
      <left style="medium">
        <color theme="5" tint="-0.499984740745262"/>
      </left>
      <right style="medium">
        <color indexed="64"/>
      </right>
      <top style="medium">
        <color indexed="64"/>
      </top>
      <bottom/>
      <diagonal/>
    </border>
    <border>
      <left style="thin">
        <color rgb="FF000000"/>
      </left>
      <right/>
      <top style="thin">
        <color rgb="FF000000"/>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hair">
        <color indexed="64"/>
      </right>
      <top style="thin">
        <color indexed="64"/>
      </top>
      <bottom/>
      <diagonal/>
    </border>
    <border>
      <left/>
      <right style="thin">
        <color theme="5" tint="-0.499984740745262"/>
      </right>
      <top/>
      <bottom style="medium">
        <color indexed="64"/>
      </bottom>
      <diagonal/>
    </border>
    <border>
      <left style="medium">
        <color indexed="64"/>
      </left>
      <right/>
      <top style="medium">
        <color indexed="64"/>
      </top>
      <bottom style="medium">
        <color theme="5" tint="-0.499984740745262"/>
      </bottom>
      <diagonal/>
    </border>
    <border>
      <left/>
      <right/>
      <top style="medium">
        <color indexed="64"/>
      </top>
      <bottom style="medium">
        <color theme="5" tint="-0.499984740745262"/>
      </bottom>
      <diagonal/>
    </border>
    <border>
      <left style="thin">
        <color indexed="64"/>
      </left>
      <right/>
      <top/>
      <bottom style="medium">
        <color indexed="64"/>
      </bottom>
      <diagonal/>
    </border>
    <border diagonalUp="1" diagonalDown="1">
      <left/>
      <right/>
      <top style="thin">
        <color indexed="64"/>
      </top>
      <bottom style="medium">
        <color indexed="64"/>
      </bottom>
      <diagonal style="thin">
        <color indexed="64"/>
      </diagonal>
    </border>
    <border>
      <left/>
      <right style="thin">
        <color indexed="64"/>
      </right>
      <top style="medium">
        <color indexed="64"/>
      </top>
      <bottom style="thin">
        <color theme="5" tint="-0.499984740745262"/>
      </bottom>
      <diagonal/>
    </border>
    <border>
      <left style="medium">
        <color theme="5" tint="-0.499984740745262"/>
      </left>
      <right style="thin">
        <color indexed="64"/>
      </right>
      <top/>
      <bottom style="hair">
        <color indexed="64"/>
      </bottom>
      <diagonal/>
    </border>
    <border>
      <left style="medium">
        <color theme="5" tint="-0.499984740745262"/>
      </left>
      <right style="medium">
        <color indexed="64"/>
      </right>
      <top style="thin">
        <color indexed="64"/>
      </top>
      <bottom style="medium">
        <color indexed="64"/>
      </bottom>
      <diagonal/>
    </border>
    <border>
      <left style="medium">
        <color theme="5" tint="-0.499984740745262"/>
      </left>
      <right/>
      <top/>
      <bottom style="thin">
        <color indexed="64"/>
      </bottom>
      <diagonal/>
    </border>
    <border>
      <left style="medium">
        <color theme="5" tint="-0.499984740745262"/>
      </left>
      <right/>
      <top style="thin">
        <color indexed="64"/>
      </top>
      <bottom style="medium">
        <color indexed="64"/>
      </bottom>
      <diagonal/>
    </border>
    <border>
      <left style="thin">
        <color indexed="64"/>
      </left>
      <right style="thin">
        <color indexed="64"/>
      </right>
      <top style="hair">
        <color indexed="64"/>
      </top>
      <bottom style="thin">
        <color indexed="64"/>
      </bottom>
      <diagonal/>
    </border>
    <border>
      <left style="thin">
        <color theme="5" tint="-0.499984740745262"/>
      </left>
      <right style="medium">
        <color indexed="64"/>
      </right>
      <top/>
      <bottom style="medium">
        <color indexed="64"/>
      </bottom>
      <diagonal/>
    </border>
    <border>
      <left style="medium">
        <color theme="5" tint="-0.499984740745262"/>
      </left>
      <right style="medium">
        <color indexed="64"/>
      </right>
      <top/>
      <bottom style="thin">
        <color indexed="64"/>
      </bottom>
      <diagonal/>
    </border>
    <border>
      <left style="thin">
        <color indexed="64"/>
      </left>
      <right style="thin">
        <color indexed="64"/>
      </right>
      <top/>
      <bottom style="thin">
        <color theme="5" tint="-0.499984740745262"/>
      </bottom>
      <diagonal/>
    </border>
    <border>
      <left/>
      <right style="thin">
        <color indexed="64"/>
      </right>
      <top style="medium">
        <color theme="5" tint="-0.499984740745262"/>
      </top>
      <bottom style="thin">
        <color indexed="64"/>
      </bottom>
      <diagonal/>
    </border>
    <border>
      <left style="thin">
        <color indexed="64"/>
      </left>
      <right style="thick">
        <color indexed="64"/>
      </right>
      <top style="medium">
        <color indexed="64"/>
      </top>
      <bottom style="thin">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diagonal/>
    </border>
    <border>
      <left style="thin">
        <color indexed="64"/>
      </left>
      <right style="thick">
        <color indexed="64"/>
      </right>
      <top style="thin">
        <color indexed="64"/>
      </top>
      <bottom style="medium">
        <color indexed="64"/>
      </bottom>
      <diagonal/>
    </border>
    <border>
      <left style="medium">
        <color indexed="64"/>
      </left>
      <right style="thick">
        <color indexed="64"/>
      </right>
      <top/>
      <bottom/>
      <diagonal/>
    </border>
    <border>
      <left style="thin">
        <color indexed="64"/>
      </left>
      <right style="thick">
        <color indexed="64"/>
      </right>
      <top/>
      <bottom style="medium">
        <color indexed="64"/>
      </bottom>
      <diagonal/>
    </border>
    <border>
      <left style="hair">
        <color indexed="64"/>
      </left>
      <right style="thick">
        <color indexed="64"/>
      </right>
      <top/>
      <bottom style="medium">
        <color indexed="64"/>
      </bottom>
      <diagonal/>
    </border>
    <border>
      <left/>
      <right style="thick">
        <color indexed="64"/>
      </right>
      <top/>
      <bottom style="medium">
        <color indexed="64"/>
      </bottom>
      <diagonal/>
    </border>
    <border>
      <left/>
      <right style="thick">
        <color indexed="64"/>
      </right>
      <top/>
      <bottom/>
      <diagonal/>
    </border>
    <border>
      <left style="medium">
        <color theme="5" tint="-0.499984740745262"/>
      </left>
      <right style="thick">
        <color indexed="64"/>
      </right>
      <top style="medium">
        <color indexed="64"/>
      </top>
      <bottom style="thin">
        <color theme="5" tint="-0.499984740745262"/>
      </bottom>
      <diagonal/>
    </border>
    <border>
      <left/>
      <right style="thick">
        <color indexed="64"/>
      </right>
      <top style="medium">
        <color indexed="64"/>
      </top>
      <bottom style="medium">
        <color indexed="64"/>
      </bottom>
      <diagonal/>
    </border>
    <border>
      <left style="medium">
        <color theme="5" tint="-0.499984740745262"/>
      </left>
      <right style="thick">
        <color indexed="64"/>
      </right>
      <top style="medium">
        <color indexed="64"/>
      </top>
      <bottom style="medium">
        <color indexed="64"/>
      </bottom>
      <diagonal/>
    </border>
    <border>
      <left style="medium">
        <color theme="5" tint="-0.499984740745262"/>
      </left>
      <right style="thick">
        <color indexed="64"/>
      </right>
      <top/>
      <bottom style="thin">
        <color indexed="64"/>
      </bottom>
      <diagonal/>
    </border>
    <border>
      <left style="medium">
        <color theme="5" tint="-0.499984740745262"/>
      </left>
      <right style="thick">
        <color indexed="64"/>
      </right>
      <top style="thin">
        <color indexed="64"/>
      </top>
      <bottom style="medium">
        <color indexed="64"/>
      </bottom>
      <diagonal/>
    </border>
    <border>
      <left/>
      <right style="thick">
        <color indexed="64"/>
      </right>
      <top/>
      <bottom style="thin">
        <color indexed="64"/>
      </bottom>
      <diagonal/>
    </border>
    <border>
      <left/>
      <right style="thick">
        <color indexed="64"/>
      </right>
      <top style="thin">
        <color indexed="64"/>
      </top>
      <bottom style="medium">
        <color indexed="64"/>
      </bottom>
      <diagonal/>
    </border>
    <border>
      <left/>
      <right style="thick">
        <color indexed="64"/>
      </right>
      <top style="medium">
        <color indexed="64"/>
      </top>
      <bottom/>
      <diagonal/>
    </border>
    <border>
      <left style="medium">
        <color theme="5" tint="-0.499984740745262"/>
      </left>
      <right style="thick">
        <color indexed="64"/>
      </right>
      <top style="medium">
        <color indexed="64"/>
      </top>
      <bottom/>
      <diagonal/>
    </border>
    <border>
      <left style="thin">
        <color indexed="64"/>
      </left>
      <right style="thick">
        <color indexed="64"/>
      </right>
      <top style="medium">
        <color indexed="64"/>
      </top>
      <bottom/>
      <diagonal/>
    </border>
    <border>
      <left style="medium">
        <color theme="5" tint="-0.499984740745262"/>
      </left>
      <right style="thick">
        <color indexed="64"/>
      </right>
      <top style="thin">
        <color indexed="64"/>
      </top>
      <bottom style="thin">
        <color indexed="64"/>
      </bottom>
      <diagonal/>
    </border>
    <border>
      <left style="thin">
        <color indexed="64"/>
      </left>
      <right style="thick">
        <color indexed="64"/>
      </right>
      <top/>
      <bottom style="hair">
        <color indexed="64"/>
      </bottom>
      <diagonal/>
    </border>
    <border>
      <left style="thin">
        <color indexed="64"/>
      </left>
      <right style="thick">
        <color indexed="64"/>
      </right>
      <top style="hair">
        <color indexed="64"/>
      </top>
      <bottom style="hair">
        <color indexed="64"/>
      </bottom>
      <diagonal/>
    </border>
    <border>
      <left/>
      <right style="thick">
        <color indexed="64"/>
      </right>
      <top style="hair">
        <color indexed="64"/>
      </top>
      <bottom style="hair">
        <color indexed="64"/>
      </bottom>
      <diagonal/>
    </border>
    <border>
      <left/>
      <right style="thick">
        <color indexed="64"/>
      </right>
      <top style="hair">
        <color indexed="64"/>
      </top>
      <bottom style="medium">
        <color indexed="64"/>
      </bottom>
      <diagonal/>
    </border>
    <border>
      <left style="thin">
        <color indexed="64"/>
      </left>
      <right style="thick">
        <color indexed="64"/>
      </right>
      <top style="medium">
        <color indexed="64"/>
      </top>
      <bottom style="medium">
        <color indexed="64"/>
      </bottom>
      <diagonal/>
    </border>
    <border>
      <left/>
      <right style="thick">
        <color indexed="64"/>
      </right>
      <top style="medium">
        <color indexed="64"/>
      </top>
      <bottom style="thin">
        <color indexed="64"/>
      </bottom>
      <diagonal/>
    </border>
    <border>
      <left/>
      <right style="thick">
        <color indexed="64"/>
      </right>
      <top/>
      <bottom style="hair">
        <color indexed="64"/>
      </bottom>
      <diagonal/>
    </border>
    <border>
      <left style="thin">
        <color indexed="64"/>
      </left>
      <right style="thick">
        <color indexed="64"/>
      </right>
      <top style="medium">
        <color indexed="64"/>
      </top>
      <bottom style="medium">
        <color theme="5" tint="-0.499984740745262"/>
      </bottom>
      <diagonal/>
    </border>
    <border>
      <left style="medium">
        <color theme="5" tint="-0.499984740745262"/>
      </left>
      <right/>
      <top style="thin">
        <color indexed="64"/>
      </top>
      <bottom style="thin">
        <color indexed="64"/>
      </bottom>
      <diagonal/>
    </border>
    <border>
      <left style="thin">
        <color indexed="64"/>
      </left>
      <right/>
      <top style="medium">
        <color indexed="64"/>
      </top>
      <bottom style="medium">
        <color theme="5" tint="-0.499984740745262"/>
      </bottom>
      <diagonal/>
    </border>
    <border>
      <left style="thick">
        <color indexed="64"/>
      </left>
      <right/>
      <top style="medium">
        <color indexed="64"/>
      </top>
      <bottom style="medium">
        <color indexed="64"/>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medium">
        <color indexed="64"/>
      </top>
      <bottom/>
      <diagonal/>
    </border>
    <border>
      <left style="thick">
        <color indexed="64"/>
      </left>
      <right style="thin">
        <color indexed="64"/>
      </right>
      <top/>
      <bottom style="medium">
        <color indexed="64"/>
      </bottom>
      <diagonal/>
    </border>
    <border>
      <left style="thick">
        <color indexed="64"/>
      </left>
      <right style="thin">
        <color theme="5" tint="-0.499984740745262"/>
      </right>
      <top/>
      <bottom style="medium">
        <color indexed="64"/>
      </bottom>
      <diagonal/>
    </border>
    <border>
      <left style="thick">
        <color indexed="64"/>
      </left>
      <right style="thin">
        <color indexed="64"/>
      </right>
      <top style="medium">
        <color indexed="64"/>
      </top>
      <bottom style="medium">
        <color indexed="64"/>
      </bottom>
      <diagonal/>
    </border>
    <border>
      <left style="thick">
        <color indexed="64"/>
      </left>
      <right style="thin">
        <color indexed="64"/>
      </right>
      <top/>
      <bottom/>
      <diagonal/>
    </border>
    <border>
      <left style="thick">
        <color indexed="64"/>
      </left>
      <right style="thin">
        <color indexed="64"/>
      </right>
      <top style="medium">
        <color indexed="64"/>
      </top>
      <bottom style="thin">
        <color theme="5" tint="-0.499984740745262"/>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medium">
        <color indexed="64"/>
      </bottom>
      <diagonal/>
    </border>
    <border>
      <left style="thick">
        <color indexed="64"/>
      </left>
      <right style="thin">
        <color indexed="64"/>
      </right>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top style="medium">
        <color indexed="64"/>
      </top>
      <bottom/>
      <diagonal/>
    </border>
    <border>
      <left style="thick">
        <color indexed="64"/>
      </left>
      <right/>
      <top/>
      <bottom/>
      <diagonal/>
    </border>
    <border>
      <left style="thick">
        <color indexed="64"/>
      </left>
      <right style="thin">
        <color indexed="64"/>
      </right>
      <top style="hair">
        <color indexed="64"/>
      </top>
      <bottom style="medium">
        <color indexed="64"/>
      </bottom>
      <diagonal/>
    </border>
    <border>
      <left style="thick">
        <color indexed="64"/>
      </left>
      <right style="thin">
        <color indexed="64"/>
      </right>
      <top style="medium">
        <color indexed="64"/>
      </top>
      <bottom style="medium">
        <color theme="5" tint="-0.499984740745262"/>
      </bottom>
      <diagonal/>
    </border>
    <border>
      <left style="thick">
        <color theme="5" tint="-0.499984740745262"/>
      </left>
      <right style="medium">
        <color theme="5" tint="-0.499984740745262"/>
      </right>
      <top style="medium">
        <color indexed="64"/>
      </top>
      <bottom style="thin">
        <color indexed="64"/>
      </bottom>
      <diagonal/>
    </border>
    <border>
      <left style="thick">
        <color indexed="64"/>
      </left>
      <right/>
      <top/>
      <bottom style="medium">
        <color indexed="64"/>
      </bottom>
      <diagonal/>
    </border>
    <border>
      <left style="thick">
        <color indexed="64"/>
      </left>
      <right/>
      <top style="hair">
        <color indexed="64"/>
      </top>
      <bottom style="hair">
        <color indexed="64"/>
      </bottom>
      <diagonal/>
    </border>
    <border>
      <left style="thick">
        <color indexed="64"/>
      </left>
      <right/>
      <top style="hair">
        <color indexed="64"/>
      </top>
      <bottom style="medium">
        <color indexed="64"/>
      </bottom>
      <diagonal/>
    </border>
    <border>
      <left style="thick">
        <color indexed="64"/>
      </left>
      <right/>
      <top style="medium">
        <color indexed="64"/>
      </top>
      <bottom style="thin">
        <color indexed="64"/>
      </bottom>
      <diagonal/>
    </border>
    <border>
      <left style="thin">
        <color indexed="64"/>
      </left>
      <right/>
      <top style="medium">
        <color theme="5" tint="-0.499984740745262"/>
      </top>
      <bottom style="thin">
        <color indexed="64"/>
      </bottom>
      <diagonal/>
    </border>
    <border diagonalUp="1" diagonalDown="1">
      <left/>
      <right style="medium">
        <color indexed="64"/>
      </right>
      <top style="thin">
        <color indexed="64"/>
      </top>
      <bottom style="medium">
        <color indexed="64"/>
      </bottom>
      <diagonal style="thin">
        <color indexed="64"/>
      </diagonal>
    </border>
    <border>
      <left/>
      <right/>
      <top style="medium">
        <color indexed="64"/>
      </top>
      <bottom style="thin">
        <color theme="5" tint="-0.499984740745262"/>
      </bottom>
      <diagonal/>
    </border>
    <border>
      <left style="hair">
        <color indexed="64"/>
      </left>
      <right/>
      <top/>
      <bottom style="medium">
        <color indexed="64"/>
      </bottom>
      <diagonal/>
    </border>
    <border>
      <left/>
      <right style="medium">
        <color indexed="64"/>
      </right>
      <top style="hair">
        <color indexed="64"/>
      </top>
      <bottom/>
      <diagonal/>
    </border>
    <border>
      <left style="hair">
        <color indexed="64"/>
      </left>
      <right/>
      <top/>
      <bottom style="hair">
        <color indexed="64"/>
      </bottom>
      <diagonal/>
    </border>
    <border>
      <left style="thin">
        <color indexed="64"/>
      </left>
      <right style="thick">
        <color indexed="64"/>
      </right>
      <top/>
      <bottom style="thin">
        <color indexed="64"/>
      </bottom>
      <diagonal/>
    </border>
  </borders>
  <cellStyleXfs count="38711">
    <xf numFmtId="0" fontId="0" fillId="0" borderId="0"/>
    <xf numFmtId="0" fontId="41" fillId="0" borderId="0"/>
    <xf numFmtId="0" fontId="42" fillId="0" borderId="0"/>
    <xf numFmtId="0" fontId="42" fillId="0" borderId="0"/>
    <xf numFmtId="0" fontId="42" fillId="0" borderId="0"/>
    <xf numFmtId="0" fontId="42" fillId="0" borderId="0"/>
    <xf numFmtId="0" fontId="41" fillId="0" borderId="0"/>
    <xf numFmtId="0" fontId="42" fillId="0" borderId="0"/>
    <xf numFmtId="0" fontId="4" fillId="0" borderId="0"/>
    <xf numFmtId="0" fontId="4" fillId="0" borderId="0"/>
    <xf numFmtId="0" fontId="42" fillId="0" borderId="0"/>
    <xf numFmtId="0" fontId="42" fillId="0" borderId="0"/>
    <xf numFmtId="0" fontId="42" fillId="0" borderId="0"/>
    <xf numFmtId="0" fontId="42" fillId="0" borderId="0"/>
    <xf numFmtId="0" fontId="41" fillId="0" borderId="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168" fontId="4" fillId="0" borderId="0" applyFont="0" applyFill="0" applyBorder="0" applyAlignment="0" applyProtection="0"/>
    <xf numFmtId="43" fontId="45" fillId="0" borderId="0" applyFont="0" applyFill="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165" fontId="4" fillId="0" borderId="0" applyFont="0" applyFill="0" applyBorder="0" applyAlignment="0" applyProtection="0"/>
    <xf numFmtId="169" fontId="4" fillId="0" borderId="0" applyFont="0" applyFill="0" applyBorder="0" applyAlignment="0" applyProtection="0"/>
    <xf numFmtId="0" fontId="45" fillId="0" borderId="0"/>
    <xf numFmtId="0" fontId="45" fillId="0" borderId="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2" fillId="0" borderId="0">
      <alignment horizontal="right" vertical="center"/>
    </xf>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7" fillId="0" borderId="0" applyNumberFormat="0" applyFont="0" applyFill="0" applyBorder="0" applyAlignment="0" applyProtection="0"/>
    <xf numFmtId="0" fontId="41"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45" fillId="0" borderId="0"/>
    <xf numFmtId="0" fontId="45" fillId="0" borderId="0"/>
    <xf numFmtId="0" fontId="4" fillId="0" borderId="0"/>
    <xf numFmtId="0" fontId="68" fillId="0" borderId="0"/>
    <xf numFmtId="0" fontId="69" fillId="0" borderId="0"/>
    <xf numFmtId="0" fontId="45" fillId="0" borderId="0"/>
    <xf numFmtId="0" fontId="4" fillId="0" borderId="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60" fillId="0" borderId="8" applyNumberFormat="0" applyFill="0" applyBorder="0" applyProtection="0">
      <alignment vertical="top" wrapText="1"/>
    </xf>
    <xf numFmtId="170" fontId="61" fillId="0" borderId="9" applyProtection="0">
      <alignment horizontal="left" vertical="center" wrapText="1"/>
    </xf>
    <xf numFmtId="0" fontId="45" fillId="0" borderId="0"/>
    <xf numFmtId="9" fontId="68"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 fillId="0" borderId="0" applyFont="0" applyFill="0" applyBorder="0" applyAlignment="0" applyProtection="0"/>
    <xf numFmtId="0" fontId="41" fillId="0" borderId="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6" fillId="0" borderId="0">
      <protection locked="0"/>
    </xf>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171" fontId="45" fillId="0" borderId="0" applyFont="0" applyFill="0" applyBorder="0" applyAlignment="0" applyProtection="0"/>
    <xf numFmtId="172"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74" fillId="0" borderId="0"/>
    <xf numFmtId="164" fontId="74" fillId="0" borderId="0" applyFont="0" applyFill="0" applyBorder="0" applyAlignment="0" applyProtection="0"/>
    <xf numFmtId="9" fontId="46" fillId="0" borderId="0" applyFont="0" applyFill="0" applyBorder="0" applyAlignment="0" applyProtection="0"/>
    <xf numFmtId="165" fontId="46" fillId="0" borderId="0" applyFont="0" applyFill="0" applyBorder="0" applyAlignment="0" applyProtection="0"/>
    <xf numFmtId="0" fontId="46" fillId="0" borderId="0" applyNumberFormat="0" applyFont="0" applyFill="0" applyBorder="0" applyAlignment="0" applyProtection="0">
      <alignment vertical="top"/>
    </xf>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1" fillId="0" borderId="0"/>
    <xf numFmtId="0" fontId="42" fillId="0" borderId="0"/>
    <xf numFmtId="0" fontId="41" fillId="0" borderId="0"/>
    <xf numFmtId="0" fontId="41" fillId="0" borderId="0"/>
    <xf numFmtId="0" fontId="77" fillId="0" borderId="0"/>
    <xf numFmtId="0" fontId="77" fillId="0" borderId="0"/>
    <xf numFmtId="0" fontId="41" fillId="0" borderId="0"/>
    <xf numFmtId="0" fontId="77" fillId="0" borderId="0"/>
    <xf numFmtId="0" fontId="77"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42" fillId="0" borderId="0"/>
    <xf numFmtId="0" fontId="77" fillId="0" borderId="0"/>
    <xf numFmtId="0" fontId="77" fillId="0" borderId="0"/>
    <xf numFmtId="0" fontId="41"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76" fillId="0" borderId="0"/>
    <xf numFmtId="0" fontId="76" fillId="0" borderId="0"/>
    <xf numFmtId="0" fontId="76" fillId="0" borderId="0"/>
    <xf numFmtId="0" fontId="76" fillId="0" borderId="0"/>
    <xf numFmtId="0" fontId="42" fillId="0" borderId="0"/>
    <xf numFmtId="0" fontId="76" fillId="0" borderId="0"/>
    <xf numFmtId="0" fontId="76" fillId="0" borderId="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9" fillId="2" borderId="0" applyNumberFormat="0" applyBorder="0" applyAlignment="0" applyProtection="0"/>
    <xf numFmtId="0" fontId="78" fillId="2"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9" fillId="3" borderId="0" applyNumberFormat="0" applyBorder="0" applyAlignment="0" applyProtection="0"/>
    <xf numFmtId="0" fontId="78" fillId="3"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9" fillId="4" borderId="0" applyNumberFormat="0" applyBorder="0" applyAlignment="0" applyProtection="0"/>
    <xf numFmtId="0" fontId="78" fillId="4"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9" fillId="5" borderId="0" applyNumberFormat="0" applyBorder="0" applyAlignment="0" applyProtection="0"/>
    <xf numFmtId="0" fontId="78" fillId="5"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9" fillId="6" borderId="0" applyNumberFormat="0" applyBorder="0" applyAlignment="0" applyProtection="0"/>
    <xf numFmtId="0" fontId="78" fillId="6"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9" fillId="7" borderId="0" applyNumberFormat="0" applyBorder="0" applyAlignment="0" applyProtection="0"/>
    <xf numFmtId="0" fontId="78" fillId="7"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2"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3"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4"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 borderId="0" applyNumberFormat="0" applyBorder="0" applyAlignment="0" applyProtection="0"/>
    <xf numFmtId="0" fontId="69" fillId="34" borderId="0" applyNumberFormat="0" applyBorder="0" applyAlignment="0" applyProtection="0"/>
    <xf numFmtId="0" fontId="69" fillId="37" borderId="0" applyNumberFormat="0" applyBorder="0" applyAlignment="0" applyProtection="0"/>
    <xf numFmtId="0" fontId="69" fillId="40" borderId="0" applyNumberFormat="0" applyBorder="0" applyAlignment="0" applyProtection="0"/>
    <xf numFmtId="0" fontId="69" fillId="43" borderId="0" applyNumberFormat="0" applyBorder="0" applyAlignment="0" applyProtection="0"/>
    <xf numFmtId="0" fontId="69" fillId="46" borderId="0" applyNumberFormat="0" applyBorder="0" applyAlignment="0" applyProtection="0"/>
    <xf numFmtId="0" fontId="69" fillId="49" borderId="0" applyNumberFormat="0" applyBorder="0" applyAlignment="0" applyProtection="0"/>
    <xf numFmtId="0" fontId="79" fillId="2" borderId="0" applyNumberFormat="0" applyBorder="0" applyAlignment="0" applyProtection="0"/>
    <xf numFmtId="0" fontId="79" fillId="3" borderId="0" applyNumberFormat="0" applyBorder="0" applyAlignment="0" applyProtection="0"/>
    <xf numFmtId="0" fontId="79" fillId="4" borderId="0" applyNumberFormat="0" applyBorder="0" applyAlignment="0" applyProtection="0"/>
    <xf numFmtId="0" fontId="79" fillId="5" borderId="0" applyNumberFormat="0" applyBorder="0" applyAlignment="0" applyProtection="0"/>
    <xf numFmtId="0" fontId="79" fillId="6" borderId="0" applyNumberFormat="0" applyBorder="0" applyAlignment="0" applyProtection="0"/>
    <xf numFmtId="0" fontId="79" fillId="7"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9" fillId="8" borderId="0" applyNumberFormat="0" applyBorder="0" applyAlignment="0" applyProtection="0"/>
    <xf numFmtId="0" fontId="78" fillId="8"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9" fillId="9" borderId="0" applyNumberFormat="0" applyBorder="0" applyAlignment="0" applyProtection="0"/>
    <xf numFmtId="0" fontId="78" fillId="9"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9" fillId="10" borderId="0" applyNumberFormat="0" applyBorder="0" applyAlignment="0" applyProtection="0"/>
    <xf numFmtId="0" fontId="78" fillId="10"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9" fillId="5" borderId="0" applyNumberFormat="0" applyBorder="0" applyAlignment="0" applyProtection="0"/>
    <xf numFmtId="0" fontId="78" fillId="5"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9" fillId="8" borderId="0" applyNumberFormat="0" applyBorder="0" applyAlignment="0" applyProtection="0"/>
    <xf numFmtId="0" fontId="78" fillId="8"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9" fillId="11" borderId="0" applyNumberFormat="0" applyBorder="0" applyAlignment="0" applyProtection="0"/>
    <xf numFmtId="0" fontId="78" fillId="11"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8"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9"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10"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5"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11" borderId="0" applyNumberFormat="0" applyBorder="0" applyAlignment="0" applyProtection="0"/>
    <xf numFmtId="0" fontId="69" fillId="35" borderId="0" applyNumberFormat="0" applyBorder="0" applyAlignment="0" applyProtection="0"/>
    <xf numFmtId="0" fontId="69" fillId="38" borderId="0" applyNumberFormat="0" applyBorder="0" applyAlignment="0" applyProtection="0"/>
    <xf numFmtId="0" fontId="69" fillId="41" borderId="0" applyNumberFormat="0" applyBorder="0" applyAlignment="0" applyProtection="0"/>
    <xf numFmtId="0" fontId="69" fillId="44" borderId="0" applyNumberFormat="0" applyBorder="0" applyAlignment="0" applyProtection="0"/>
    <xf numFmtId="0" fontId="69" fillId="47" borderId="0" applyNumberFormat="0" applyBorder="0" applyAlignment="0" applyProtection="0"/>
    <xf numFmtId="0" fontId="69" fillId="50" borderId="0" applyNumberFormat="0" applyBorder="0" applyAlignment="0" applyProtection="0"/>
    <xf numFmtId="0" fontId="79" fillId="8" borderId="0" applyNumberFormat="0" applyBorder="0" applyAlignment="0" applyProtection="0"/>
    <xf numFmtId="0" fontId="79" fillId="9" borderId="0" applyNumberFormat="0" applyBorder="0" applyAlignment="0" applyProtection="0"/>
    <xf numFmtId="0" fontId="79" fillId="10" borderId="0" applyNumberFormat="0" applyBorder="0" applyAlignment="0" applyProtection="0"/>
    <xf numFmtId="0" fontId="79" fillId="5" borderId="0" applyNumberFormat="0" applyBorder="0" applyAlignment="0" applyProtection="0"/>
    <xf numFmtId="0" fontId="79" fillId="8" borderId="0" applyNumberFormat="0" applyBorder="0" applyAlignment="0" applyProtection="0"/>
    <xf numFmtId="0" fontId="79" fillId="11"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2" fillId="12" borderId="0" applyNumberFormat="0" applyBorder="0" applyAlignment="0" applyProtection="0"/>
    <xf numFmtId="0" fontId="81" fillId="12"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2" fillId="9" borderId="0" applyNumberFormat="0" applyBorder="0" applyAlignment="0" applyProtection="0"/>
    <xf numFmtId="0" fontId="81" fillId="9"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2" fillId="10" borderId="0" applyNumberFormat="0" applyBorder="0" applyAlignment="0" applyProtection="0"/>
    <xf numFmtId="0" fontId="81" fillId="10"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2" fillId="13" borderId="0" applyNumberFormat="0" applyBorder="0" applyAlignment="0" applyProtection="0"/>
    <xf numFmtId="0" fontId="81" fillId="13"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2" fillId="14" borderId="0" applyNumberFormat="0" applyBorder="0" applyAlignment="0" applyProtection="0"/>
    <xf numFmtId="0" fontId="81" fillId="14"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2" fillId="15" borderId="0" applyNumberFormat="0" applyBorder="0" applyAlignment="0" applyProtection="0"/>
    <xf numFmtId="0" fontId="81" fillId="15"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2"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9"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10"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13"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4"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15" borderId="0" applyNumberFormat="0" applyBorder="0" applyAlignment="0" applyProtection="0"/>
    <xf numFmtId="0" fontId="84" fillId="36" borderId="0" applyNumberFormat="0" applyBorder="0" applyAlignment="0" applyProtection="0"/>
    <xf numFmtId="0" fontId="84" fillId="39" borderId="0" applyNumberFormat="0" applyBorder="0" applyAlignment="0" applyProtection="0"/>
    <xf numFmtId="0" fontId="84" fillId="42" borderId="0" applyNumberFormat="0" applyBorder="0" applyAlignment="0" applyProtection="0"/>
    <xf numFmtId="0" fontId="84" fillId="45" borderId="0" applyNumberFormat="0" applyBorder="0" applyAlignment="0" applyProtection="0"/>
    <xf numFmtId="0" fontId="84" fillId="48" borderId="0" applyNumberFormat="0" applyBorder="0" applyAlignment="0" applyProtection="0"/>
    <xf numFmtId="0" fontId="84" fillId="51" borderId="0" applyNumberFormat="0" applyBorder="0" applyAlignment="0" applyProtection="0"/>
    <xf numFmtId="0" fontId="82" fillId="12" borderId="0" applyNumberFormat="0" applyBorder="0" applyAlignment="0" applyProtection="0"/>
    <xf numFmtId="0" fontId="82" fillId="9" borderId="0" applyNumberFormat="0" applyBorder="0" applyAlignment="0" applyProtection="0"/>
    <xf numFmtId="0" fontId="82" fillId="10" borderId="0" applyNumberFormat="0" applyBorder="0" applyAlignment="0" applyProtection="0"/>
    <xf numFmtId="0" fontId="82" fillId="13" borderId="0" applyNumberFormat="0" applyBorder="0" applyAlignment="0" applyProtection="0"/>
    <xf numFmtId="0" fontId="82" fillId="14" borderId="0" applyNumberFormat="0" applyBorder="0" applyAlignment="0" applyProtection="0"/>
    <xf numFmtId="0" fontId="82" fillId="15"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2" fillId="16" borderId="0" applyNumberFormat="0" applyBorder="0" applyAlignment="0" applyProtection="0"/>
    <xf numFmtId="0" fontId="81" fillId="16"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2" fillId="17" borderId="0" applyNumberFormat="0" applyBorder="0" applyAlignment="0" applyProtection="0"/>
    <xf numFmtId="0" fontId="81" fillId="17"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2" fillId="18" borderId="0" applyNumberFormat="0" applyBorder="0" applyAlignment="0" applyProtection="0"/>
    <xf numFmtId="0" fontId="81" fillId="18"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2" fillId="13" borderId="0" applyNumberFormat="0" applyBorder="0" applyAlignment="0" applyProtection="0"/>
    <xf numFmtId="0" fontId="81" fillId="13"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2" fillId="14" borderId="0" applyNumberFormat="0" applyBorder="0" applyAlignment="0" applyProtection="0"/>
    <xf numFmtId="0" fontId="81" fillId="14"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2" fillId="19" borderId="0" applyNumberFormat="0" applyBorder="0" applyAlignment="0" applyProtection="0"/>
    <xf numFmtId="0" fontId="81" fillId="19"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6"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17"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18"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13"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4"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19"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6" fillId="3" borderId="0" applyNumberFormat="0" applyBorder="0" applyAlignment="0" applyProtection="0"/>
    <xf numFmtId="0" fontId="85" fillId="3" borderId="0" applyNumberFormat="0" applyBorder="0" applyAlignment="0" applyProtection="0"/>
    <xf numFmtId="0" fontId="87" fillId="4" borderId="0" applyNumberFormat="0" applyBorder="0" applyAlignment="0" applyProtection="0"/>
    <xf numFmtId="0" fontId="88"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9" fillId="20" borderId="1" applyNumberFormat="0" applyAlignment="0" applyProtection="0"/>
    <xf numFmtId="0" fontId="89" fillId="20" borderId="1" applyNumberFormat="0" applyAlignment="0" applyProtection="0"/>
    <xf numFmtId="0" fontId="89" fillId="20" borderId="1" applyNumberFormat="0" applyAlignment="0" applyProtection="0"/>
    <xf numFmtId="0" fontId="89"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9" fillId="20" borderId="1" applyNumberFormat="0" applyAlignment="0" applyProtection="0"/>
    <xf numFmtId="0" fontId="89" fillId="20" borderId="1" applyNumberFormat="0" applyAlignment="0" applyProtection="0"/>
    <xf numFmtId="0" fontId="90" fillId="21" borderId="4" applyNumberFormat="0" applyAlignment="0" applyProtection="0"/>
    <xf numFmtId="0" fontId="91" fillId="0" borderId="3" applyNumberFormat="0" applyFill="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0" fillId="21" borderId="4" applyNumberFormat="0" applyAlignment="0" applyProtection="0"/>
    <xf numFmtId="0" fontId="92" fillId="21" borderId="4"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165" fontId="45" fillId="0" borderId="0" quotePrefix="1">
      <protection locked="0"/>
    </xf>
    <xf numFmtId="165" fontId="45" fillId="0" borderId="0" applyFont="0" applyFill="0" applyBorder="0" applyAlignment="0" applyProtection="0"/>
    <xf numFmtId="165" fontId="45" fillId="0" borderId="0" applyFont="0" applyFill="0" applyBorder="0" applyAlignment="0" applyProtection="0"/>
    <xf numFmtId="165" fontId="45" fillId="0" borderId="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quotePrefix="1">
      <protection locked="0"/>
    </xf>
    <xf numFmtId="179" fontId="45" fillId="0" borderId="0">
      <protection locked="0"/>
    </xf>
    <xf numFmtId="179" fontId="45" fillId="0" borderId="0">
      <protection locked="0"/>
    </xf>
    <xf numFmtId="179" fontId="45" fillId="0" borderId="0">
      <protection locked="0"/>
    </xf>
    <xf numFmtId="165" fontId="45" fillId="0" borderId="0" quotePrefix="1">
      <protection locked="0"/>
    </xf>
    <xf numFmtId="165" fontId="45" fillId="0" borderId="0" applyFont="0" applyFill="0" applyBorder="0" applyAlignment="0" applyProtection="0"/>
    <xf numFmtId="180" fontId="45" fillId="0" borderId="0" applyFont="0" applyFill="0" applyBorder="0" applyAlignment="0" applyProtection="0"/>
    <xf numFmtId="165" fontId="45" fillId="0" borderId="0" applyFont="0" applyFill="0" applyBorder="0" applyAlignment="0" applyProtection="0"/>
    <xf numFmtId="180" fontId="45" fillId="0" borderId="0" applyFont="0" applyFill="0" applyBorder="0" applyAlignment="0" applyProtection="0"/>
    <xf numFmtId="165" fontId="4"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0" fontId="93" fillId="0" borderId="0" applyNumberFormat="0" applyFill="0" applyBorder="0" applyAlignment="0" applyProtection="0"/>
    <xf numFmtId="0" fontId="82" fillId="16" borderId="0" applyNumberFormat="0" applyBorder="0" applyAlignment="0" applyProtection="0"/>
    <xf numFmtId="0" fontId="82" fillId="17" borderId="0" applyNumberFormat="0" applyBorder="0" applyAlignment="0" applyProtection="0"/>
    <xf numFmtId="0" fontId="82" fillId="18" borderId="0" applyNumberFormat="0" applyBorder="0" applyAlignment="0" applyProtection="0"/>
    <xf numFmtId="0" fontId="82" fillId="13" borderId="0" applyNumberFormat="0" applyBorder="0" applyAlignment="0" applyProtection="0"/>
    <xf numFmtId="0" fontId="82" fillId="14" borderId="0" applyNumberFormat="0" applyBorder="0" applyAlignment="0" applyProtection="0"/>
    <xf numFmtId="0" fontId="82" fillId="19" borderId="0" applyNumberFormat="0" applyBorder="0" applyAlignment="0" applyProtection="0"/>
    <xf numFmtId="0" fontId="94" fillId="7" borderId="1" applyNumberFormat="0" applyAlignment="0" applyProtection="0"/>
    <xf numFmtId="0" fontId="94" fillId="7" borderId="1" applyNumberFormat="0" applyAlignment="0" applyProtection="0"/>
    <xf numFmtId="169" fontId="95" fillId="0" borderId="0" applyNumberFormat="0" applyFont="0" applyFill="0" applyBorder="0" applyAlignment="0" applyProtection="0"/>
    <xf numFmtId="0" fontId="78"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87" fillId="4" borderId="0" applyNumberFormat="0" applyBorder="0" applyAlignment="0" applyProtection="0"/>
    <xf numFmtId="0" fontId="98" fillId="4" borderId="0" applyNumberFormat="0" applyBorder="0" applyAlignment="0" applyProtection="0"/>
    <xf numFmtId="38" fontId="99" fillId="26" borderId="0" applyNumberFormat="0" applyBorder="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1" fillId="0" borderId="5" applyNumberFormat="0" applyFill="0" applyAlignment="0" applyProtection="0"/>
    <xf numFmtId="0" fontId="100" fillId="0" borderId="5"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3" fillId="0" borderId="6" applyNumberFormat="0" applyFill="0" applyAlignment="0" applyProtection="0"/>
    <xf numFmtId="0" fontId="102" fillId="0" borderId="6"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93" fillId="0" borderId="7" applyNumberFormat="0" applyFill="0" applyAlignment="0" applyProtection="0"/>
    <xf numFmtId="0" fontId="104" fillId="0" borderId="7" applyNumberFormat="0" applyFill="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93" fillId="0" borderId="0" applyNumberFormat="0" applyFill="0" applyBorder="0" applyAlignment="0" applyProtection="0"/>
    <xf numFmtId="0" fontId="104" fillId="0" borderId="0" applyNumberFormat="0" applyFill="0" applyBorder="0" applyAlignment="0" applyProtection="0"/>
    <xf numFmtId="0" fontId="86" fillId="3" borderId="0" applyNumberFormat="0" applyBorder="0" applyAlignment="0" applyProtection="0"/>
    <xf numFmtId="0" fontId="105" fillId="7" borderId="1" applyNumberFormat="0" applyAlignment="0" applyProtection="0"/>
    <xf numFmtId="10" fontId="99" fillId="81" borderId="40" applyNumberFormat="0" applyBorder="0" applyAlignment="0" applyProtection="0"/>
    <xf numFmtId="10" fontId="99" fillId="81" borderId="40" applyNumberFormat="0" applyBorder="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94" fillId="7" borderId="1" applyNumberFormat="0" applyAlignment="0" applyProtection="0"/>
    <xf numFmtId="0" fontId="94" fillId="7" borderId="1" applyNumberFormat="0" applyAlignment="0" applyProtection="0"/>
    <xf numFmtId="0" fontId="94" fillId="7" borderId="1" applyNumberFormat="0" applyAlignment="0" applyProtection="0"/>
    <xf numFmtId="0" fontId="94"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21" borderId="4" applyNumberFormat="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91" fillId="0" borderId="3" applyNumberFormat="0" applyFill="0" applyAlignment="0" applyProtection="0"/>
    <xf numFmtId="0" fontId="107" fillId="0" borderId="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1" fillId="22" borderId="0" applyNumberFormat="0" applyBorder="0" applyAlignment="0" applyProtection="0"/>
    <xf numFmtId="0" fontId="112" fillId="22" borderId="0" applyNumberFormat="0" applyBorder="0" applyAlignment="0" applyProtection="0"/>
    <xf numFmtId="0" fontId="112" fillId="22" borderId="0" applyNumberFormat="0" applyBorder="0" applyAlignment="0" applyProtection="0"/>
    <xf numFmtId="0" fontId="112"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2" fillId="22" borderId="0" applyNumberFormat="0" applyBorder="0" applyAlignment="0" applyProtection="0"/>
    <xf numFmtId="0" fontId="111"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113" fillId="0" borderId="0" applyNumberFormat="0" applyFont="0" applyFill="0" applyBorder="0" applyAlignment="0" applyProtection="0"/>
    <xf numFmtId="0" fontId="57" fillId="0" borderId="0" applyNumberFormat="0" applyFont="0" applyFill="0" applyBorder="0" applyAlignment="0" applyProtection="0"/>
    <xf numFmtId="0" fontId="57" fillId="0" borderId="0" applyNumberFormat="0" applyFont="0" applyFill="0" applyBorder="0" applyAlignment="0" applyProtection="0"/>
    <xf numFmtId="0" fontId="11" fillId="0" borderId="0" applyNumberFormat="0" applyFill="0" applyAlignment="0" applyProtection="0"/>
    <xf numFmtId="181" fontId="114" fillId="0" borderId="0"/>
    <xf numFmtId="0" fontId="45"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alignment vertical="top"/>
    </xf>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115" fillId="0" borderId="0"/>
    <xf numFmtId="0" fontId="115"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115" fillId="0" borderId="0"/>
    <xf numFmtId="0" fontId="115" fillId="0" borderId="0"/>
    <xf numFmtId="0" fontId="115" fillId="0" borderId="0"/>
    <xf numFmtId="0" fontId="115"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68" fillId="0" borderId="0"/>
    <xf numFmtId="0" fontId="68" fillId="0" borderId="0"/>
    <xf numFmtId="0" fontId="46" fillId="0" borderId="0" applyNumberFormat="0" applyFont="0" applyFill="0" applyBorder="0" applyAlignment="0" applyProtection="0">
      <alignment vertical="top"/>
    </xf>
    <xf numFmtId="0" fontId="3" fillId="0" borderId="0"/>
    <xf numFmtId="0" fontId="45" fillId="0" borderId="0"/>
    <xf numFmtId="0" fontId="45" fillId="0" borderId="0"/>
    <xf numFmtId="0" fontId="45" fillId="0" borderId="0"/>
    <xf numFmtId="0" fontId="3" fillId="0" borderId="0"/>
    <xf numFmtId="0" fontId="3" fillId="0" borderId="0"/>
    <xf numFmtId="0" fontId="45" fillId="0" borderId="0"/>
    <xf numFmtId="0" fontId="45" fillId="0" borderId="0"/>
    <xf numFmtId="0" fontId="45" fillId="0" borderId="0"/>
    <xf numFmtId="0" fontId="3"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3" fillId="0" borderId="0"/>
    <xf numFmtId="0" fontId="3"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46" fillId="0" borderId="0" applyNumberFormat="0" applyFont="0" applyFill="0" applyBorder="0" applyAlignment="0" applyProtection="0">
      <alignment vertical="top"/>
    </xf>
    <xf numFmtId="0" fontId="11" fillId="0" borderId="0"/>
    <xf numFmtId="0" fontId="35" fillId="0" borderId="0"/>
    <xf numFmtId="0" fontId="35" fillId="0" borderId="0"/>
    <xf numFmtId="0" fontId="35" fillId="0" borderId="0"/>
    <xf numFmtId="0" fontId="35" fillId="0" borderId="0"/>
    <xf numFmtId="0" fontId="35" fillId="0" borderId="0"/>
    <xf numFmtId="0" fontId="35"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7" fillId="0" borderId="0"/>
    <xf numFmtId="0" fontId="11" fillId="0" borderId="0"/>
    <xf numFmtId="0" fontId="45" fillId="0" borderId="0"/>
    <xf numFmtId="0" fontId="45" fillId="0" borderId="0"/>
    <xf numFmtId="0" fontId="45" fillId="0" borderId="0"/>
    <xf numFmtId="0" fontId="11" fillId="0" borderId="0"/>
    <xf numFmtId="0" fontId="68" fillId="0" borderId="0"/>
    <xf numFmtId="0" fontId="45" fillId="0" borderId="0"/>
    <xf numFmtId="0" fontId="45" fillId="0" borderId="0"/>
    <xf numFmtId="0" fontId="68" fillId="0" borderId="0"/>
    <xf numFmtId="0" fontId="45" fillId="0" borderId="0"/>
    <xf numFmtId="0" fontId="45" fillId="0" borderId="0"/>
    <xf numFmtId="0" fontId="68" fillId="0" borderId="0"/>
    <xf numFmtId="0" fontId="68" fillId="0" borderId="0"/>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3"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3"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117"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68" fillId="0" borderId="0"/>
    <xf numFmtId="0" fontId="35" fillId="0" borderId="0"/>
    <xf numFmtId="0" fontId="35" fillId="0" borderId="0"/>
    <xf numFmtId="0" fontId="35" fillId="0" borderId="0"/>
    <xf numFmtId="0" fontId="35" fillId="0" borderId="0"/>
    <xf numFmtId="0" fontId="68" fillId="0" borderId="0"/>
    <xf numFmtId="0" fontId="4" fillId="0" borderId="0"/>
    <xf numFmtId="0" fontId="4" fillId="0" borderId="0"/>
    <xf numFmtId="0" fontId="4" fillId="0" borderId="0"/>
    <xf numFmtId="0" fontId="4" fillId="0" borderId="0"/>
    <xf numFmtId="0" fontId="68"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68"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68"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68"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4" fillId="0" borderId="0"/>
    <xf numFmtId="0" fontId="4"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4"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8" fillId="0" borderId="0"/>
    <xf numFmtId="0" fontId="46" fillId="0" borderId="0">
      <alignment vertical="top"/>
    </xf>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116" fillId="0" borderId="0"/>
    <xf numFmtId="0" fontId="116" fillId="0" borderId="0"/>
    <xf numFmtId="0" fontId="116" fillId="0" borderId="0"/>
    <xf numFmtId="0" fontId="116" fillId="0" borderId="0"/>
    <xf numFmtId="0" fontId="46" fillId="0" borderId="0">
      <alignment vertical="top"/>
    </xf>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45" fillId="0" borderId="0"/>
    <xf numFmtId="0" fontId="45" fillId="0" borderId="0"/>
    <xf numFmtId="0" fontId="45" fillId="0" borderId="0"/>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45" fillId="0" borderId="0"/>
    <xf numFmtId="0" fontId="45" fillId="0" borderId="0"/>
    <xf numFmtId="0" fontId="45" fillId="0" borderId="0"/>
    <xf numFmtId="0" fontId="3" fillId="0" borderId="0"/>
    <xf numFmtId="0" fontId="45" fillId="0" borderId="0"/>
    <xf numFmtId="0" fontId="45" fillId="0" borderId="0"/>
    <xf numFmtId="0" fontId="45" fillId="0" borderId="0"/>
    <xf numFmtId="0" fontId="45" fillId="0" borderId="0"/>
    <xf numFmtId="0" fontId="45" fillId="0" borderId="0"/>
    <xf numFmtId="0" fontId="45"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3" fillId="0" borderId="0"/>
    <xf numFmtId="0" fontId="3" fillId="0" borderId="0"/>
    <xf numFmtId="0" fontId="3"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3" fillId="0" borderId="0"/>
    <xf numFmtId="0" fontId="3" fillId="0" borderId="0"/>
    <xf numFmtId="0" fontId="68"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 fillId="0" borderId="0"/>
    <xf numFmtId="0" fontId="68" fillId="0" borderId="0"/>
    <xf numFmtId="0" fontId="68" fillId="0" borderId="0"/>
    <xf numFmtId="0" fontId="11" fillId="0" borderId="0"/>
    <xf numFmtId="0" fontId="11"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alignment vertical="top"/>
    </xf>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46" fillId="0" borderId="0" applyNumberFormat="0" applyFont="0" applyFill="0" applyBorder="0" applyAlignment="0" applyProtection="0">
      <alignment vertical="top"/>
    </xf>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46" fillId="0" borderId="0" applyNumberFormat="0" applyFont="0" applyFill="0" applyBorder="0" applyAlignment="0" applyProtection="0">
      <alignment vertical="top"/>
    </xf>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9" fillId="0" borderId="0"/>
    <xf numFmtId="0" fontId="68" fillId="0" borderId="0"/>
    <xf numFmtId="0" fontId="68" fillId="0" borderId="0"/>
    <xf numFmtId="0" fontId="119" fillId="0" borderId="0"/>
    <xf numFmtId="0" fontId="68" fillId="0" borderId="0"/>
    <xf numFmtId="0" fontId="68" fillId="0" borderId="0"/>
    <xf numFmtId="0" fontId="119" fillId="0" borderId="0"/>
    <xf numFmtId="0" fontId="45" fillId="0" borderId="0"/>
    <xf numFmtId="0" fontId="4" fillId="0" borderId="0"/>
    <xf numFmtId="0" fontId="74" fillId="0" borderId="0"/>
    <xf numFmtId="0" fontId="68" fillId="0" borderId="0"/>
    <xf numFmtId="0" fontId="68" fillId="0" borderId="0"/>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74" fillId="0" borderId="0"/>
    <xf numFmtId="0" fontId="35" fillId="0" borderId="0"/>
    <xf numFmtId="0" fontId="35" fillId="0" borderId="0"/>
    <xf numFmtId="0" fontId="3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3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74" fillId="0" borderId="0"/>
    <xf numFmtId="0" fontId="45"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74" fillId="0" borderId="0"/>
    <xf numFmtId="0" fontId="74"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74" fillId="0" borderId="0"/>
    <xf numFmtId="0" fontId="74" fillId="0" borderId="0"/>
    <xf numFmtId="0" fontId="74" fillId="0" borderId="0"/>
    <xf numFmtId="0" fontId="45" fillId="0" borderId="0" applyNumberFormat="0" applyFont="0" applyFill="0" applyBorder="0" applyAlignment="0" applyProtection="0">
      <alignment vertical="top"/>
    </xf>
    <xf numFmtId="0" fontId="74" fillId="0" borderId="0"/>
    <xf numFmtId="0" fontId="74" fillId="0" borderId="0"/>
    <xf numFmtId="0" fontId="7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74" fillId="0" borderId="0"/>
    <xf numFmtId="0" fontId="74" fillId="0" borderId="0"/>
    <xf numFmtId="0" fontId="68" fillId="0" borderId="0"/>
    <xf numFmtId="0" fontId="68" fillId="0" borderId="0"/>
    <xf numFmtId="0" fontId="45"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xf numFmtId="0" fontId="45" fillId="0" borderId="0"/>
    <xf numFmtId="0" fontId="74" fillId="0" borderId="0"/>
    <xf numFmtId="0" fontId="45" fillId="0" borderId="0"/>
    <xf numFmtId="0" fontId="4" fillId="0" borderId="0"/>
    <xf numFmtId="0" fontId="4"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 fillId="0" borderId="0"/>
    <xf numFmtId="0" fontId="119" fillId="0" borderId="0"/>
    <xf numFmtId="0" fontId="119" fillId="0" borderId="0"/>
    <xf numFmtId="0" fontId="119" fillId="0" borderId="0"/>
    <xf numFmtId="0" fontId="4"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4" fillId="0" borderId="0"/>
    <xf numFmtId="0" fontId="4" fillId="0" borderId="0"/>
    <xf numFmtId="0" fontId="4" fillId="0" borderId="0"/>
    <xf numFmtId="0" fontId="4" fillId="0" borderId="0"/>
    <xf numFmtId="0" fontId="119" fillId="0" borderId="0"/>
    <xf numFmtId="0" fontId="119" fillId="0" borderId="0"/>
    <xf numFmtId="0" fontId="119" fillId="0" borderId="0"/>
    <xf numFmtId="0" fontId="119" fillId="0" borderId="0"/>
    <xf numFmtId="0" fontId="119" fillId="0" borderId="0"/>
    <xf numFmtId="0" fontId="4" fillId="0" borderId="0"/>
    <xf numFmtId="0" fontId="4" fillId="0" borderId="0"/>
    <xf numFmtId="0" fontId="4" fillId="0" borderId="0"/>
    <xf numFmtId="0" fontId="4" fillId="0" borderId="0"/>
    <xf numFmtId="0" fontId="4" fillId="0" borderId="0"/>
    <xf numFmtId="0" fontId="119" fillId="0" borderId="0"/>
    <xf numFmtId="0" fontId="119" fillId="0" borderId="0"/>
    <xf numFmtId="0" fontId="4" fillId="0" borderId="0"/>
    <xf numFmtId="0" fontId="119" fillId="0" borderId="0"/>
    <xf numFmtId="0" fontId="4" fillId="0" borderId="0"/>
    <xf numFmtId="0" fontId="4" fillId="0" borderId="0"/>
    <xf numFmtId="0" fontId="4" fillId="0" borderId="0"/>
    <xf numFmtId="0" fontId="4" fillId="0" borderId="0"/>
    <xf numFmtId="0" fontId="4" fillId="0" borderId="0"/>
    <xf numFmtId="0" fontId="4"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5" fillId="0" borderId="0"/>
    <xf numFmtId="0" fontId="4" fillId="0" borderId="0"/>
    <xf numFmtId="0" fontId="4" fillId="0" borderId="0"/>
    <xf numFmtId="0" fontId="45" fillId="0" borderId="0"/>
    <xf numFmtId="0" fontId="45" fillId="0" borderId="0"/>
    <xf numFmtId="0" fontId="45"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58" fillId="0" borderId="0"/>
    <xf numFmtId="0" fontId="46" fillId="0" borderId="0" applyNumberFormat="0" applyFont="0" applyFill="0" applyBorder="0" applyAlignment="0" applyProtection="0">
      <alignment vertical="top"/>
    </xf>
    <xf numFmtId="0" fontId="4" fillId="0" borderId="0"/>
    <xf numFmtId="0" fontId="4" fillId="0" borderId="0"/>
    <xf numFmtId="0" fontId="45" fillId="0" borderId="0"/>
    <xf numFmtId="0" fontId="45" fillId="0" borderId="0"/>
    <xf numFmtId="0" fontId="45"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5" fillId="0" borderId="0"/>
    <xf numFmtId="0" fontId="45" fillId="0" borderId="0"/>
    <xf numFmtId="0" fontId="45"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74" fillId="0" borderId="0"/>
    <xf numFmtId="0" fontId="74" fillId="0" borderId="0"/>
    <xf numFmtId="0" fontId="7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 fillId="0" borderId="0"/>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 fillId="0" borderId="0"/>
    <xf numFmtId="0" fontId="4" fillId="0" borderId="0"/>
    <xf numFmtId="0" fontId="119" fillId="0" borderId="0"/>
    <xf numFmtId="0" fontId="119" fillId="0" borderId="0"/>
    <xf numFmtId="0" fontId="119"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5"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23" borderId="11" applyNumberFormat="0" applyFont="0" applyAlignment="0" applyProtection="0"/>
    <xf numFmtId="0" fontId="4" fillId="23" borderId="11" applyNumberFormat="0" applyFont="0" applyAlignment="0" applyProtection="0"/>
    <xf numFmtId="0" fontId="46" fillId="23" borderId="11" applyNumberFormat="0" applyFont="0" applyAlignment="0" applyProtection="0"/>
    <xf numFmtId="0" fontId="3" fillId="23" borderId="11" applyNumberFormat="0" applyFont="0" applyAlignment="0" applyProtection="0"/>
    <xf numFmtId="0" fontId="3" fillId="23" borderId="11" applyNumberFormat="0" applyFont="0" applyAlignment="0" applyProtection="0"/>
    <xf numFmtId="0" fontId="3"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7" fillId="0" borderId="8" applyNumberFormat="0" applyFont="0" applyFill="0" applyBorder="0" applyProtection="0">
      <alignment vertical="top" wrapText="1"/>
    </xf>
    <xf numFmtId="0" fontId="57" fillId="0" borderId="8" applyNumberFormat="0" applyFont="0" applyFill="0" applyBorder="0" applyProtection="0">
      <alignment vertical="top" wrapText="1"/>
    </xf>
    <xf numFmtId="0" fontId="113" fillId="0" borderId="8" applyNumberFormat="0" applyFont="0" applyFill="0" applyProtection="0">
      <alignment vertical="top" wrapText="1"/>
    </xf>
    <xf numFmtId="0" fontId="4" fillId="0" borderId="0" applyNumberFormat="0" applyFont="0" applyFill="0" applyBorder="0" applyProtection="0">
      <alignment vertical="top" wrapText="1"/>
    </xf>
    <xf numFmtId="0" fontId="113" fillId="0" borderId="8" applyNumberFormat="0" applyFont="0" applyFill="0" applyBorder="0" applyProtection="0">
      <alignment vertical="top" wrapText="1"/>
    </xf>
    <xf numFmtId="0" fontId="60" fillId="0" borderId="8" applyNumberFormat="0" applyFill="0" applyBorder="0" applyProtection="0">
      <alignment vertical="top" wrapText="1"/>
    </xf>
    <xf numFmtId="0" fontId="60" fillId="0" borderId="8" applyNumberFormat="0" applyFill="0" applyBorder="0" applyProtection="0">
      <alignment vertical="top" wrapText="1"/>
    </xf>
    <xf numFmtId="0" fontId="60" fillId="0" borderId="8" applyNumberFormat="0" applyFill="0" applyBorder="0" applyProtection="0">
      <alignment vertical="top" wrapText="1"/>
    </xf>
    <xf numFmtId="0" fontId="11" fillId="0" borderId="0" applyNumberFormat="0" applyFill="0" applyProtection="0">
      <alignment vertical="top" wrapText="1"/>
    </xf>
    <xf numFmtId="0" fontId="120"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9" fontId="45" fillId="0" borderId="0" applyFont="0" applyFill="0" applyBorder="0" applyAlignment="0" applyProtection="0"/>
    <xf numFmtId="9" fontId="69" fillId="0" borderId="0" applyFont="0" applyFill="0" applyBorder="0" applyAlignment="0" applyProtection="0"/>
    <xf numFmtId="0" fontId="121" fillId="20" borderId="2" applyNumberFormat="0" applyAlignment="0" applyProtection="0"/>
    <xf numFmtId="0" fontId="121" fillId="20" borderId="2" applyNumberFormat="0" applyAlignment="0" applyProtection="0"/>
    <xf numFmtId="0" fontId="69" fillId="0" borderId="0"/>
    <xf numFmtId="0" fontId="58" fillId="0" borderId="0"/>
    <xf numFmtId="0" fontId="42" fillId="0" borderId="0"/>
    <xf numFmtId="0" fontId="42" fillId="0" borderId="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123" fillId="0" borderId="0" applyNumberFormat="0" applyFill="0" applyBorder="0" applyAlignment="0" applyProtection="0"/>
    <xf numFmtId="0" fontId="97" fillId="0" borderId="0" applyNumberFormat="0" applyFill="0" applyBorder="0" applyAlignment="0" applyProtection="0"/>
    <xf numFmtId="0" fontId="65" fillId="0" borderId="0" applyNumberFormat="0" applyFill="0" applyBorder="0" applyAlignment="0" applyProtection="0"/>
    <xf numFmtId="0" fontId="124" fillId="0" borderId="0" applyNumberFormat="0" applyFill="0" applyBorder="0" applyAlignment="0" applyProtection="0"/>
    <xf numFmtId="0" fontId="124" fillId="0" borderId="0" applyNumberFormat="0" applyFill="0" applyBorder="0" applyAlignment="0" applyProtection="0"/>
    <xf numFmtId="0" fontId="101" fillId="0" borderId="5" applyNumberFormat="0" applyFill="0" applyAlignment="0" applyProtection="0"/>
    <xf numFmtId="0" fontId="103" fillId="0" borderId="6" applyNumberFormat="0" applyFill="0" applyAlignment="0" applyProtection="0"/>
    <xf numFmtId="0" fontId="93" fillId="0" borderId="7" applyNumberFormat="0" applyFill="0" applyAlignment="0" applyProtection="0"/>
    <xf numFmtId="0" fontId="125"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68" fillId="33" borderId="142"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58"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164" fontId="46" fillId="0" borderId="0" applyFont="0" applyFill="0" applyBorder="0" applyAlignment="0" applyProtection="0"/>
    <xf numFmtId="182"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2"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2" fontId="45" fillId="0" borderId="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3" fillId="0" borderId="0" applyNumberFormat="0" applyFill="0" applyBorder="0" applyAlignment="0" applyProtection="0"/>
    <xf numFmtId="0" fontId="128" fillId="0" borderId="0" applyNumberFormat="0" applyFill="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165" fontId="68" fillId="0" borderId="0" applyFont="0" applyFill="0" applyBorder="0" applyAlignment="0" applyProtection="0"/>
    <xf numFmtId="9" fontId="74" fillId="0" borderId="0" applyFont="0" applyFill="0" applyBorder="0" applyAlignment="0" applyProtection="0"/>
    <xf numFmtId="164" fontId="68" fillId="0" borderId="0" applyFont="0" applyFill="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4" fillId="12" borderId="0" applyNumberFormat="0" applyBorder="0" applyAlignment="0" applyProtection="0"/>
    <xf numFmtId="0" fontId="44" fillId="9" borderId="0" applyNumberFormat="0" applyBorder="0" applyAlignment="0" applyProtection="0"/>
    <xf numFmtId="0" fontId="44" fillId="10"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44" fillId="17" borderId="0" applyNumberFormat="0" applyBorder="0" applyAlignment="0" applyProtection="0"/>
    <xf numFmtId="0" fontId="44" fillId="18"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9" borderId="0" applyNumberFormat="0" applyBorder="0" applyAlignment="0" applyProtection="0"/>
    <xf numFmtId="0" fontId="47" fillId="7" borderId="1" applyNumberFormat="0" applyAlignment="0" applyProtection="0"/>
    <xf numFmtId="0" fontId="48" fillId="20" borderId="2" applyNumberFormat="0" applyAlignment="0" applyProtection="0"/>
    <xf numFmtId="0" fontId="49" fillId="4" borderId="0" applyNumberFormat="0" applyBorder="0" applyAlignment="0" applyProtection="0"/>
    <xf numFmtId="0" fontId="50" fillId="0" borderId="3" applyNumberFormat="0" applyFill="0" applyAlignment="0" applyProtection="0"/>
    <xf numFmtId="0" fontId="51" fillId="21" borderId="4" applyNumberFormat="0" applyAlignment="0" applyProtection="0"/>
    <xf numFmtId="0" fontId="53" fillId="0" borderId="5" applyNumberFormat="0" applyFill="0" applyAlignment="0" applyProtection="0"/>
    <xf numFmtId="0" fontId="54" fillId="0" borderId="6" applyNumberFormat="0" applyFill="0" applyAlignment="0" applyProtection="0"/>
    <xf numFmtId="0" fontId="55" fillId="0" borderId="7" applyNumberFormat="0" applyFill="0" applyAlignment="0" applyProtection="0"/>
    <xf numFmtId="0" fontId="55" fillId="0" borderId="0" applyNumberFormat="0" applyFill="0" applyBorder="0" applyAlignment="0" applyProtection="0"/>
    <xf numFmtId="0" fontId="56" fillId="22" borderId="0" applyNumberFormat="0" applyBorder="0" applyAlignment="0" applyProtection="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45" fillId="0" borderId="0" applyNumberFormat="0" applyFont="0" applyFill="0" applyBorder="0" applyAlignment="0" applyProtection="0">
      <alignment vertical="top"/>
    </xf>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68" fillId="0" borderId="0"/>
    <xf numFmtId="0" fontId="68" fillId="0" borderId="0"/>
    <xf numFmtId="0" fontId="68" fillId="0" borderId="0"/>
    <xf numFmtId="0" fontId="74" fillId="0" borderId="0"/>
    <xf numFmtId="0" fontId="68" fillId="0" borderId="0"/>
    <xf numFmtId="0" fontId="74" fillId="0" borderId="0"/>
    <xf numFmtId="0" fontId="68" fillId="0" borderId="0"/>
    <xf numFmtId="0" fontId="3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xf numFmtId="0" fontId="45" fillId="0" borderId="0"/>
    <xf numFmtId="0" fontId="11" fillId="0" borderId="0"/>
    <xf numFmtId="0" fontId="45" fillId="0" borderId="0"/>
    <xf numFmtId="0" fontId="11" fillId="0" borderId="0"/>
    <xf numFmtId="0" fontId="45" fillId="0" borderId="0"/>
    <xf numFmtId="0" fontId="45" fillId="0" borderId="0"/>
    <xf numFmtId="0" fontId="11" fillId="0" borderId="0"/>
    <xf numFmtId="0" fontId="11" fillId="0" borderId="0"/>
    <xf numFmtId="0" fontId="68" fillId="0" borderId="0"/>
    <xf numFmtId="0" fontId="68" fillId="0" borderId="0"/>
    <xf numFmtId="0" fontId="68" fillId="0" borderId="0"/>
    <xf numFmtId="0" fontId="11" fillId="0" borderId="0"/>
    <xf numFmtId="0" fontId="45" fillId="0" borderId="0"/>
    <xf numFmtId="0" fontId="11"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45" fillId="0" borderId="0"/>
    <xf numFmtId="0" fontId="3"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11" fillId="0" borderId="0"/>
    <xf numFmtId="0" fontId="68" fillId="0" borderId="0"/>
    <xf numFmtId="0" fontId="68" fillId="0" borderId="0"/>
    <xf numFmtId="0" fontId="68" fillId="0" borderId="0"/>
    <xf numFmtId="0" fontId="45" fillId="0" borderId="0"/>
    <xf numFmtId="0" fontId="68" fillId="0" borderId="0"/>
    <xf numFmtId="0" fontId="11" fillId="0" borderId="0"/>
    <xf numFmtId="0" fontId="68" fillId="0" borderId="0"/>
    <xf numFmtId="0" fontId="117"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68" fillId="0" borderId="0"/>
    <xf numFmtId="0" fontId="45" fillId="0" borderId="0"/>
    <xf numFmtId="0" fontId="45" fillId="0" borderId="0"/>
    <xf numFmtId="0" fontId="68"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3" fillId="0" borderId="0"/>
    <xf numFmtId="0" fontId="68" fillId="0" borderId="0"/>
    <xf numFmtId="0" fontId="3" fillId="0" borderId="0"/>
    <xf numFmtId="0" fontId="3"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3" fillId="0" borderId="0"/>
    <xf numFmtId="0" fontId="68" fillId="0" borderId="0"/>
    <xf numFmtId="0" fontId="3"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3"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117" fillId="0" borderId="0"/>
    <xf numFmtId="0" fontId="45" fillId="0" borderId="0"/>
    <xf numFmtId="0" fontId="45" fillId="0" borderId="0"/>
    <xf numFmtId="0" fontId="45" fillId="0" borderId="0"/>
    <xf numFmtId="0" fontId="35" fillId="0" borderId="0"/>
    <xf numFmtId="0" fontId="4" fillId="0" borderId="0"/>
    <xf numFmtId="0" fontId="35" fillId="0" borderId="0"/>
    <xf numFmtId="0" fontId="4" fillId="0" borderId="0"/>
    <xf numFmtId="0" fontId="35" fillId="0" borderId="0"/>
    <xf numFmtId="0" fontId="3" fillId="0" borderId="0"/>
    <xf numFmtId="0" fontId="11"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4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3" fillId="0" borderId="0"/>
    <xf numFmtId="0" fontId="3" fillId="0" borderId="0"/>
    <xf numFmtId="0" fontId="45" fillId="0" borderId="0" applyNumberFormat="0" applyFont="0" applyFill="0" applyBorder="0" applyAlignment="0" applyProtection="0">
      <alignment vertical="top"/>
    </xf>
    <xf numFmtId="0" fontId="3"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6" fillId="0" borderId="0" applyNumberFormat="0" applyFont="0" applyFill="0" applyBorder="0" applyAlignment="0" applyProtection="0">
      <alignment vertical="top"/>
    </xf>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46" fillId="0" borderId="0" applyNumberFormat="0" applyFont="0" applyFill="0" applyBorder="0" applyAlignment="0" applyProtection="0">
      <alignment vertical="top"/>
    </xf>
    <xf numFmtId="0" fontId="68"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xf numFmtId="0" fontId="45" fillId="0" borderId="0"/>
    <xf numFmtId="0" fontId="74" fillId="0" borderId="0"/>
    <xf numFmtId="0" fontId="68" fillId="0" borderId="0"/>
    <xf numFmtId="0" fontId="74" fillId="0" borderId="0"/>
    <xf numFmtId="0" fontId="68" fillId="0" borderId="0"/>
    <xf numFmtId="0" fontId="68" fillId="0" borderId="0"/>
    <xf numFmtId="0" fontId="74" fillId="0" borderId="0"/>
    <xf numFmtId="0" fontId="45"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68"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5"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35" fillId="0" borderId="0"/>
    <xf numFmtId="0" fontId="4"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68" fillId="0" borderId="0"/>
    <xf numFmtId="0" fontId="4"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4" fillId="0" borderId="0"/>
    <xf numFmtId="0" fontId="68"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119" fillId="0" borderId="0"/>
    <xf numFmtId="0" fontId="68" fillId="0" borderId="0"/>
    <xf numFmtId="0" fontId="119" fillId="0" borderId="0"/>
    <xf numFmtId="0" fontId="119"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5" fillId="0" borderId="0" applyNumberFormat="0" applyFont="0" applyFill="0" applyBorder="0" applyAlignment="0" applyProtection="0">
      <alignment vertical="top"/>
    </xf>
    <xf numFmtId="0" fontId="4" fillId="0" borderId="0"/>
    <xf numFmtId="0" fontId="68" fillId="0" borderId="0"/>
    <xf numFmtId="0" fontId="75" fillId="0" borderId="0"/>
    <xf numFmtId="0" fontId="59" fillId="20" borderId="1" applyNumberFormat="0" applyAlignment="0" applyProtection="0"/>
    <xf numFmtId="9" fontId="68" fillId="0" borderId="0" applyFont="0" applyFill="0" applyBorder="0" applyAlignment="0" applyProtection="0"/>
    <xf numFmtId="0" fontId="62" fillId="0" borderId="10" applyNumberFormat="0" applyFill="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45" fillId="23" borderId="11" applyNumberFormat="0" applyFont="0" applyAlignment="0" applyProtection="0"/>
    <xf numFmtId="164" fontId="68" fillId="0" borderId="0" applyFont="0" applyFill="0" applyBorder="0" applyAlignment="0" applyProtection="0"/>
    <xf numFmtId="0" fontId="67" fillId="3" borderId="0" applyNumberFormat="0" applyBorder="0" applyAlignment="0" applyProtection="0"/>
    <xf numFmtId="9" fontId="3" fillId="0" borderId="0" applyFont="0" applyFill="0" applyBorder="0" applyAlignment="0" applyProtection="0"/>
    <xf numFmtId="2" fontId="129" fillId="84" borderId="36"/>
    <xf numFmtId="186" fontId="58" fillId="0" borderId="0" applyFont="0" applyFill="0" applyBorder="0" applyAlignment="0" applyProtection="0"/>
    <xf numFmtId="164" fontId="45" fillId="0" borderId="0" applyFont="0" applyFill="0" applyBorder="0" applyAlignment="0" applyProtection="0"/>
    <xf numFmtId="9" fontId="58" fillId="0" borderId="0" applyFont="0" applyFill="0" applyBorder="0" applyAlignment="0" applyProtection="0"/>
    <xf numFmtId="0" fontId="138" fillId="0" borderId="0"/>
    <xf numFmtId="0" fontId="140" fillId="0" borderId="0"/>
    <xf numFmtId="0" fontId="58" fillId="0" borderId="0"/>
    <xf numFmtId="0" fontId="69" fillId="34" borderId="0" applyNumberFormat="0" applyBorder="0" applyAlignment="0" applyProtection="0"/>
    <xf numFmtId="0" fontId="69" fillId="37" borderId="0" applyNumberFormat="0" applyBorder="0" applyAlignment="0" applyProtection="0"/>
    <xf numFmtId="0" fontId="69" fillId="40" borderId="0" applyNumberFormat="0" applyBorder="0" applyAlignment="0" applyProtection="0"/>
    <xf numFmtId="0" fontId="69" fillId="43" borderId="0" applyNumberFormat="0" applyBorder="0" applyAlignment="0" applyProtection="0"/>
    <xf numFmtId="0" fontId="69" fillId="46" borderId="0" applyNumberFormat="0" applyBorder="0" applyAlignment="0" applyProtection="0"/>
    <xf numFmtId="0" fontId="69" fillId="49" borderId="0" applyNumberFormat="0" applyBorder="0" applyAlignment="0" applyProtection="0"/>
    <xf numFmtId="0" fontId="69" fillId="35" borderId="0" applyNumberFormat="0" applyBorder="0" applyAlignment="0" applyProtection="0"/>
    <xf numFmtId="0" fontId="69" fillId="38" borderId="0" applyNumberFormat="0" applyBorder="0" applyAlignment="0" applyProtection="0"/>
    <xf numFmtId="0" fontId="69" fillId="41" borderId="0" applyNumberFormat="0" applyBorder="0" applyAlignment="0" applyProtection="0"/>
    <xf numFmtId="0" fontId="69" fillId="44" borderId="0" applyNumberFormat="0" applyBorder="0" applyAlignment="0" applyProtection="0"/>
    <xf numFmtId="0" fontId="69" fillId="47" borderId="0" applyNumberFormat="0" applyBorder="0" applyAlignment="0" applyProtection="0"/>
    <xf numFmtId="0" fontId="69" fillId="50" borderId="0" applyNumberFormat="0" applyBorder="0" applyAlignment="0" applyProtection="0"/>
    <xf numFmtId="0" fontId="69" fillId="36" borderId="0" applyNumberFormat="0" applyBorder="0" applyAlignment="0" applyProtection="0"/>
    <xf numFmtId="0" fontId="69" fillId="39" borderId="0" applyNumberFormat="0" applyBorder="0" applyAlignment="0" applyProtection="0"/>
    <xf numFmtId="0" fontId="69" fillId="42" borderId="0" applyNumberFormat="0" applyBorder="0" applyAlignment="0" applyProtection="0"/>
    <xf numFmtId="0" fontId="69" fillId="45" borderId="0" applyNumberFormat="0" applyBorder="0" applyAlignment="0" applyProtection="0"/>
    <xf numFmtId="0" fontId="69" fillId="48" borderId="0" applyNumberFormat="0" applyBorder="0" applyAlignment="0" applyProtection="0"/>
    <xf numFmtId="0" fontId="69" fillId="51" borderId="0" applyNumberFormat="0" applyBorder="0" applyAlignment="0" applyProtection="0"/>
    <xf numFmtId="0" fontId="84" fillId="99" borderId="0" applyNumberFormat="0" applyBorder="0" applyAlignment="0" applyProtection="0"/>
    <xf numFmtId="0" fontId="84" fillId="100" borderId="0" applyNumberFormat="0" applyBorder="0" applyAlignment="0" applyProtection="0"/>
    <xf numFmtId="0" fontId="84" fillId="101" borderId="0" applyNumberFormat="0" applyBorder="0" applyAlignment="0" applyProtection="0"/>
    <xf numFmtId="0" fontId="84" fillId="102" borderId="0" applyNumberFormat="0" applyBorder="0" applyAlignment="0" applyProtection="0"/>
    <xf numFmtId="0" fontId="84" fillId="103" borderId="0" applyNumberFormat="0" applyBorder="0" applyAlignment="0" applyProtection="0"/>
    <xf numFmtId="0" fontId="84" fillId="104" borderId="0" applyNumberFormat="0" applyBorder="0" applyAlignment="0" applyProtection="0"/>
    <xf numFmtId="0" fontId="172" fillId="95" borderId="0" applyNumberFormat="0" applyBorder="0" applyAlignment="0" applyProtection="0"/>
    <xf numFmtId="0" fontId="173" fillId="97" borderId="202" applyNumberFormat="0" applyAlignment="0" applyProtection="0"/>
    <xf numFmtId="0" fontId="174" fillId="98" borderId="205" applyNumberFormat="0" applyAlignment="0" applyProtection="0"/>
    <xf numFmtId="0" fontId="176" fillId="0" borderId="0" applyNumberFormat="0" applyFill="0" applyBorder="0" applyAlignment="0" applyProtection="0"/>
    <xf numFmtId="0" fontId="177" fillId="94" borderId="0" applyNumberFormat="0" applyBorder="0" applyAlignment="0" applyProtection="0"/>
    <xf numFmtId="0" fontId="178" fillId="0" borderId="199" applyNumberFormat="0" applyFill="0" applyAlignment="0" applyProtection="0"/>
    <xf numFmtId="0" fontId="179" fillId="0" borderId="200" applyNumberFormat="0" applyFill="0" applyAlignment="0" applyProtection="0"/>
    <xf numFmtId="0" fontId="180" fillId="0" borderId="201" applyNumberFormat="0" applyFill="0" applyAlignment="0" applyProtection="0"/>
    <xf numFmtId="0" fontId="180" fillId="0" borderId="0" applyNumberFormat="0" applyFill="0" applyBorder="0" applyAlignment="0" applyProtection="0"/>
    <xf numFmtId="0" fontId="181" fillId="0" borderId="204" applyNumberFormat="0" applyFill="0" applyAlignment="0" applyProtection="0"/>
    <xf numFmtId="0" fontId="182" fillId="96" borderId="0" applyNumberFormat="0" applyBorder="0" applyAlignment="0" applyProtection="0"/>
    <xf numFmtId="0" fontId="175" fillId="33" borderId="142" applyNumberFormat="0" applyFont="0" applyAlignment="0" applyProtection="0"/>
    <xf numFmtId="0" fontId="183" fillId="97" borderId="203" applyNumberFormat="0" applyAlignment="0" applyProtection="0"/>
    <xf numFmtId="0" fontId="184" fillId="0" borderId="0" applyNumberFormat="0" applyFill="0" applyBorder="0" applyAlignment="0" applyProtection="0"/>
    <xf numFmtId="0" fontId="185" fillId="0" borderId="206" applyNumberFormat="0" applyFill="0" applyAlignment="0" applyProtection="0"/>
    <xf numFmtId="0" fontId="186" fillId="0" borderId="0" applyNumberFormat="0" applyFill="0" applyBorder="0" applyAlignment="0" applyProtection="0"/>
    <xf numFmtId="0" fontId="69" fillId="0" borderId="0"/>
    <xf numFmtId="0" fontId="191" fillId="0" borderId="0"/>
    <xf numFmtId="0" fontId="192" fillId="0" borderId="0" applyNumberFormat="0" applyFill="0" applyBorder="0" applyAlignment="0" applyProtection="0"/>
    <xf numFmtId="9" fontId="191" fillId="0" borderId="0" applyFont="0" applyFill="0" applyBorder="0" applyAlignment="0" applyProtection="0"/>
    <xf numFmtId="0" fontId="69" fillId="0" borderId="0"/>
    <xf numFmtId="0" fontId="69" fillId="0" borderId="0"/>
    <xf numFmtId="0" fontId="69" fillId="0" borderId="0"/>
    <xf numFmtId="0" fontId="263" fillId="106" borderId="12" applyNumberFormat="0" applyAlignment="0" applyProtection="0">
      <alignment horizontal="left" vertical="top" wrapText="1"/>
    </xf>
    <xf numFmtId="0" fontId="58" fillId="0" borderId="0"/>
    <xf numFmtId="49" fontId="265" fillId="0" borderId="34">
      <alignment horizontal="left" vertical="center" wrapText="1"/>
    </xf>
    <xf numFmtId="0" fontId="2" fillId="0" borderId="0"/>
    <xf numFmtId="0" fontId="266" fillId="0" borderId="0" applyNumberFormat="0" applyFill="0" applyBorder="0" applyAlignment="0" applyProtection="0"/>
    <xf numFmtId="0" fontId="264" fillId="107" borderId="12" applyNumberFormat="0">
      <alignment horizontal="left" wrapText="1"/>
    </xf>
    <xf numFmtId="0" fontId="267" fillId="0" borderId="12" applyNumberFormat="0" applyAlignment="0">
      <alignment horizontal="left"/>
    </xf>
    <xf numFmtId="0" fontId="2" fillId="0" borderId="0"/>
    <xf numFmtId="0" fontId="2" fillId="0" borderId="0"/>
    <xf numFmtId="0" fontId="69" fillId="0" borderId="0"/>
    <xf numFmtId="0" fontId="2" fillId="0" borderId="0"/>
    <xf numFmtId="0" fontId="262" fillId="95" borderId="0" applyNumberFormat="0" applyBorder="0" applyAlignment="0" applyProtection="0"/>
    <xf numFmtId="0" fontId="78" fillId="0" borderId="0"/>
    <xf numFmtId="43" fontId="69" fillId="0" borderId="0" applyFont="0" applyFill="0" applyBorder="0" applyAlignment="0" applyProtection="0"/>
    <xf numFmtId="164" fontId="69" fillId="0" borderId="0" applyFont="0" applyFill="0" applyBorder="0" applyAlignment="0" applyProtection="0"/>
    <xf numFmtId="43" fontId="68" fillId="0" borderId="0" applyFont="0" applyFill="0" applyBorder="0" applyAlignment="0" applyProtection="0"/>
    <xf numFmtId="0" fontId="58" fillId="0" borderId="0"/>
    <xf numFmtId="0" fontId="1" fillId="0" borderId="0"/>
    <xf numFmtId="0" fontId="58" fillId="0" borderId="0"/>
    <xf numFmtId="186" fontId="58" fillId="0" borderId="0" applyFont="0" applyFill="0" applyBorder="0" applyAlignment="0" applyProtection="0"/>
    <xf numFmtId="164" fontId="58" fillId="0" borderId="0" applyFont="0" applyFill="0" applyBorder="0" applyAlignment="0" applyProtection="0"/>
    <xf numFmtId="0" fontId="58" fillId="0" borderId="0"/>
    <xf numFmtId="0" fontId="58" fillId="0" borderId="0"/>
  </cellStyleXfs>
  <cellXfs count="2967">
    <xf numFmtId="0" fontId="0" fillId="0" borderId="0" xfId="0"/>
    <xf numFmtId="0" fontId="5" fillId="0" borderId="0" xfId="310" applyFont="1"/>
    <xf numFmtId="0" fontId="8" fillId="0" borderId="0" xfId="310" applyFont="1" applyAlignment="1">
      <alignment horizontal="right" vertical="center"/>
    </xf>
    <xf numFmtId="4" fontId="9" fillId="0" borderId="0" xfId="310" applyNumberFormat="1" applyFont="1" applyAlignment="1">
      <alignment horizontal="center"/>
    </xf>
    <xf numFmtId="0" fontId="10" fillId="0" borderId="0" xfId="310" applyFont="1" applyAlignment="1">
      <alignment horizontal="center"/>
    </xf>
    <xf numFmtId="4" fontId="12" fillId="0" borderId="0" xfId="310" applyNumberFormat="1" applyFont="1" applyAlignment="1">
      <alignment horizontal="center"/>
    </xf>
    <xf numFmtId="0" fontId="11" fillId="0" borderId="0" xfId="310" applyFont="1" applyAlignment="1">
      <alignment horizontal="right"/>
    </xf>
    <xf numFmtId="10" fontId="13" fillId="0" borderId="0" xfId="310" applyNumberFormat="1" applyFont="1" applyAlignment="1">
      <alignment horizontal="right"/>
    </xf>
    <xf numFmtId="0" fontId="14" fillId="0" borderId="0" xfId="310" applyFont="1" applyAlignment="1">
      <alignment horizontal="center"/>
    </xf>
    <xf numFmtId="0" fontId="5" fillId="0" borderId="0" xfId="310" applyFont="1" applyAlignment="1">
      <alignment horizontal="center"/>
    </xf>
    <xf numFmtId="166" fontId="5" fillId="0" borderId="0" xfId="310" applyNumberFormat="1" applyFont="1" applyAlignment="1">
      <alignment horizontal="right" vertical="center"/>
    </xf>
    <xf numFmtId="4" fontId="5" fillId="0" borderId="0" xfId="310" applyNumberFormat="1" applyFont="1"/>
    <xf numFmtId="0" fontId="4" fillId="0" borderId="0" xfId="310" applyAlignment="1">
      <alignment vertical="center"/>
    </xf>
    <xf numFmtId="0" fontId="15" fillId="0" borderId="0" xfId="310" applyFont="1" applyAlignment="1">
      <alignment horizontal="left" vertical="center"/>
    </xf>
    <xf numFmtId="0" fontId="6" fillId="0" borderId="0" xfId="310" applyFont="1"/>
    <xf numFmtId="0" fontId="5" fillId="0" borderId="0" xfId="310" applyFont="1" applyAlignment="1">
      <alignment vertical="center"/>
    </xf>
    <xf numFmtId="4" fontId="9" fillId="0" borderId="0" xfId="310" applyNumberFormat="1" applyFont="1" applyAlignment="1">
      <alignment horizontal="center" vertical="center"/>
    </xf>
    <xf numFmtId="4" fontId="12" fillId="0" borderId="12" xfId="310" applyNumberFormat="1" applyFont="1" applyBorder="1" applyAlignment="1">
      <alignment horizontal="center" vertical="center" wrapText="1"/>
    </xf>
    <xf numFmtId="0" fontId="10" fillId="0" borderId="0" xfId="310" applyFont="1" applyAlignment="1">
      <alignment horizontal="center" vertical="center"/>
    </xf>
    <xf numFmtId="0" fontId="11" fillId="0" borderId="0" xfId="310" applyFont="1" applyAlignment="1">
      <alignment horizontal="right" vertical="center"/>
    </xf>
    <xf numFmtId="10" fontId="13" fillId="0" borderId="0" xfId="310" applyNumberFormat="1" applyFont="1" applyAlignment="1">
      <alignment horizontal="right" vertical="center"/>
    </xf>
    <xf numFmtId="0" fontId="14" fillId="0" borderId="0" xfId="310" applyFont="1" applyAlignment="1">
      <alignment horizontal="center" vertical="center"/>
    </xf>
    <xf numFmtId="0" fontId="5" fillId="0" borderId="0" xfId="310" applyFont="1" applyAlignment="1">
      <alignment horizontal="center" vertical="center"/>
    </xf>
    <xf numFmtId="4" fontId="12" fillId="0" borderId="0" xfId="310" applyNumberFormat="1" applyFont="1" applyAlignment="1">
      <alignment vertical="center"/>
    </xf>
    <xf numFmtId="0" fontId="12" fillId="0" borderId="0" xfId="310" applyFont="1" applyAlignment="1">
      <alignment vertical="center"/>
    </xf>
    <xf numFmtId="4" fontId="12" fillId="0" borderId="0" xfId="310" applyNumberFormat="1" applyFont="1" applyAlignment="1">
      <alignment horizontal="center" vertical="center"/>
    </xf>
    <xf numFmtId="0" fontId="22" fillId="0" borderId="0" xfId="310" applyFont="1" applyAlignment="1">
      <alignment horizontal="center" vertical="center"/>
    </xf>
    <xf numFmtId="0" fontId="12" fillId="0" borderId="0" xfId="310" applyFont="1" applyAlignment="1">
      <alignment horizontal="center" vertical="center"/>
    </xf>
    <xf numFmtId="166" fontId="12" fillId="0" borderId="0" xfId="310" applyNumberFormat="1" applyFont="1" applyAlignment="1">
      <alignment horizontal="right" vertical="center"/>
    </xf>
    <xf numFmtId="0" fontId="29" fillId="0" borderId="0" xfId="310" applyFont="1" applyAlignment="1">
      <alignment vertical="center"/>
    </xf>
    <xf numFmtId="0" fontId="30" fillId="0" borderId="0" xfId="310" applyFont="1" applyAlignment="1">
      <alignment vertical="center"/>
    </xf>
    <xf numFmtId="0" fontId="12" fillId="0" borderId="0" xfId="310" applyFont="1"/>
    <xf numFmtId="4" fontId="11" fillId="0" borderId="0" xfId="310" applyNumberFormat="1" applyFont="1"/>
    <xf numFmtId="0" fontId="9" fillId="0" borderId="0" xfId="310" applyFont="1" applyAlignment="1">
      <alignment vertical="center"/>
    </xf>
    <xf numFmtId="0" fontId="71" fillId="0" borderId="0" xfId="310" applyFont="1" applyAlignment="1">
      <alignment vertical="center"/>
    </xf>
    <xf numFmtId="0" fontId="11" fillId="0" borderId="0" xfId="310" applyFont="1"/>
    <xf numFmtId="0" fontId="31" fillId="0" borderId="0" xfId="310" applyFont="1"/>
    <xf numFmtId="4" fontId="12" fillId="0" borderId="0" xfId="310" applyNumberFormat="1" applyFont="1"/>
    <xf numFmtId="0" fontId="22" fillId="0" borderId="0" xfId="310" applyFont="1" applyAlignment="1">
      <alignment vertical="center"/>
    </xf>
    <xf numFmtId="0" fontId="4" fillId="0" borderId="0" xfId="310"/>
    <xf numFmtId="10" fontId="11" fillId="0" borderId="0" xfId="310" applyNumberFormat="1" applyFont="1" applyAlignment="1">
      <alignment horizontal="right"/>
    </xf>
    <xf numFmtId="0" fontId="11" fillId="0" borderId="0" xfId="310" applyFont="1" applyAlignment="1">
      <alignment horizontal="center"/>
    </xf>
    <xf numFmtId="166" fontId="11" fillId="0" borderId="0" xfId="310" applyNumberFormat="1" applyFont="1" applyAlignment="1">
      <alignment horizontal="right" vertical="center"/>
    </xf>
    <xf numFmtId="0" fontId="21" fillId="0" borderId="0" xfId="310" applyFont="1"/>
    <xf numFmtId="0" fontId="11" fillId="0" borderId="0" xfId="310" applyFont="1" applyAlignment="1">
      <alignment vertical="top"/>
    </xf>
    <xf numFmtId="10" fontId="12" fillId="0" borderId="0" xfId="310" applyNumberFormat="1" applyFont="1" applyAlignment="1">
      <alignment horizontal="right"/>
    </xf>
    <xf numFmtId="4" fontId="21" fillId="0" borderId="0" xfId="310" applyNumberFormat="1" applyFont="1"/>
    <xf numFmtId="4" fontId="21" fillId="0" borderId="0" xfId="310" applyNumberFormat="1" applyFont="1" applyAlignment="1">
      <alignment horizontal="right"/>
    </xf>
    <xf numFmtId="0" fontId="21" fillId="0" borderId="0" xfId="310" applyFont="1" applyAlignment="1">
      <alignment horizontal="center"/>
    </xf>
    <xf numFmtId="0" fontId="39" fillId="0" borderId="0" xfId="310" applyFont="1" applyAlignment="1">
      <alignment vertical="center"/>
    </xf>
    <xf numFmtId="0" fontId="31" fillId="0" borderId="0" xfId="310" applyFont="1" applyAlignment="1">
      <alignment vertical="center"/>
    </xf>
    <xf numFmtId="4" fontId="23" fillId="0" borderId="0" xfId="310" applyNumberFormat="1" applyFont="1" applyAlignment="1">
      <alignment vertical="center"/>
    </xf>
    <xf numFmtId="0" fontId="33" fillId="0" borderId="0" xfId="310" applyFont="1" applyAlignment="1">
      <alignment horizontal="left" vertical="center" wrapText="1"/>
    </xf>
    <xf numFmtId="0" fontId="12" fillId="0" borderId="0" xfId="310" applyFont="1" applyAlignment="1">
      <alignment horizontal="center"/>
    </xf>
    <xf numFmtId="0" fontId="28" fillId="0" borderId="0" xfId="310" applyFont="1" applyAlignment="1">
      <alignment horizontal="center"/>
    </xf>
    <xf numFmtId="0" fontId="27" fillId="0" borderId="0" xfId="310" applyFont="1" applyAlignment="1">
      <alignment horizontal="center"/>
    </xf>
    <xf numFmtId="0" fontId="26" fillId="0" borderId="0" xfId="310" applyFont="1"/>
    <xf numFmtId="0" fontId="37" fillId="0" borderId="0" xfId="310" applyFont="1" applyAlignment="1">
      <alignment vertical="center"/>
    </xf>
    <xf numFmtId="4" fontId="4" fillId="0" borderId="0" xfId="310" applyNumberFormat="1" applyAlignment="1">
      <alignment horizontal="right" vertical="center"/>
    </xf>
    <xf numFmtId="4" fontId="31" fillId="0" borderId="0" xfId="310" applyNumberFormat="1" applyFont="1" applyAlignment="1">
      <alignment horizontal="right"/>
    </xf>
    <xf numFmtId="4" fontId="23" fillId="0" borderId="0" xfId="310" applyNumberFormat="1" applyFont="1" applyAlignment="1">
      <alignment horizontal="right" vertical="center"/>
    </xf>
    <xf numFmtId="4" fontId="11" fillId="0" borderId="0" xfId="310" applyNumberFormat="1" applyFont="1" applyAlignment="1">
      <alignment horizontal="right"/>
    </xf>
    <xf numFmtId="0" fontId="25" fillId="0" borderId="0" xfId="310" applyFont="1" applyAlignment="1">
      <alignment horizontal="center" vertical="center"/>
    </xf>
    <xf numFmtId="0" fontId="25" fillId="0" borderId="0" xfId="310" applyFont="1" applyAlignment="1">
      <alignment horizontal="center"/>
    </xf>
    <xf numFmtId="0" fontId="15" fillId="31" borderId="0" xfId="310" applyFont="1" applyFill="1" applyAlignment="1">
      <alignment horizontal="left" vertical="center"/>
    </xf>
    <xf numFmtId="0" fontId="5" fillId="31" borderId="0" xfId="310" applyFont="1" applyFill="1"/>
    <xf numFmtId="4" fontId="8" fillId="31" borderId="0" xfId="310" applyNumberFormat="1" applyFont="1" applyFill="1" applyAlignment="1" applyProtection="1">
      <alignment horizontal="left" vertical="center"/>
      <protection locked="0"/>
    </xf>
    <xf numFmtId="4" fontId="9" fillId="31" borderId="0" xfId="310" applyNumberFormat="1" applyFont="1" applyFill="1" applyAlignment="1">
      <alignment horizontal="center"/>
    </xf>
    <xf numFmtId="0" fontId="5" fillId="31" borderId="0" xfId="310" applyFont="1" applyFill="1" applyAlignment="1">
      <alignment vertical="center"/>
    </xf>
    <xf numFmtId="4" fontId="8" fillId="31" borderId="0" xfId="310" applyNumberFormat="1" applyFont="1" applyFill="1" applyAlignment="1" applyProtection="1">
      <alignment vertical="center"/>
      <protection locked="0"/>
    </xf>
    <xf numFmtId="0" fontId="19" fillId="31" borderId="0" xfId="310" applyFont="1" applyFill="1" applyAlignment="1">
      <alignment vertical="center"/>
    </xf>
    <xf numFmtId="0" fontId="20" fillId="31" borderId="0" xfId="310" applyFont="1" applyFill="1" applyAlignment="1">
      <alignment vertical="center"/>
    </xf>
    <xf numFmtId="4" fontId="73" fillId="0" borderId="0" xfId="310" applyNumberFormat="1" applyFont="1"/>
    <xf numFmtId="185" fontId="11" fillId="0" borderId="0" xfId="310" applyNumberFormat="1" applyFont="1"/>
    <xf numFmtId="4" fontId="31" fillId="0" borderId="0" xfId="310" applyNumberFormat="1" applyFont="1"/>
    <xf numFmtId="184" fontId="21" fillId="0" borderId="0" xfId="310" applyNumberFormat="1" applyFont="1"/>
    <xf numFmtId="0" fontId="130" fillId="0" borderId="0" xfId="310" applyFont="1" applyAlignment="1">
      <alignment horizontal="center"/>
    </xf>
    <xf numFmtId="0" fontId="38" fillId="0" borderId="0" xfId="310" applyFont="1" applyAlignment="1">
      <alignment horizontal="center" vertical="center"/>
    </xf>
    <xf numFmtId="0" fontId="24" fillId="0" borderId="0" xfId="310" applyFont="1"/>
    <xf numFmtId="0" fontId="131" fillId="0" borderId="0" xfId="310" applyFont="1" applyAlignment="1">
      <alignment vertical="center"/>
    </xf>
    <xf numFmtId="4" fontId="24" fillId="0" borderId="0" xfId="310" applyNumberFormat="1" applyFont="1"/>
    <xf numFmtId="0" fontId="12" fillId="0" borderId="0" xfId="310" applyFont="1" applyAlignment="1">
      <alignment horizontal="center" vertical="center" wrapText="1"/>
    </xf>
    <xf numFmtId="0" fontId="23" fillId="0" borderId="0" xfId="310" applyFont="1" applyAlignment="1">
      <alignment vertical="center" wrapText="1"/>
    </xf>
    <xf numFmtId="10" fontId="34" fillId="0" borderId="16" xfId="310" applyNumberFormat="1" applyFont="1" applyBorder="1" applyAlignment="1" applyProtection="1">
      <alignment vertical="center"/>
      <protection locked="0"/>
    </xf>
    <xf numFmtId="0" fontId="131" fillId="31" borderId="0" xfId="310" applyFont="1" applyFill="1" applyAlignment="1">
      <alignment vertical="center"/>
    </xf>
    <xf numFmtId="166" fontId="70" fillId="0" borderId="0" xfId="310" applyNumberFormat="1" applyFont="1" applyAlignment="1">
      <alignment horizontal="right" vertical="center"/>
    </xf>
    <xf numFmtId="166" fontId="70" fillId="0" borderId="0" xfId="310" applyNumberFormat="1" applyFont="1" applyAlignment="1">
      <alignment vertical="center"/>
    </xf>
    <xf numFmtId="4" fontId="4" fillId="0" borderId="0" xfId="310" applyNumberFormat="1" applyAlignment="1">
      <alignment vertical="center"/>
    </xf>
    <xf numFmtId="166" fontId="5" fillId="0" borderId="0" xfId="310" applyNumberFormat="1" applyFont="1"/>
    <xf numFmtId="187" fontId="134" fillId="0" borderId="0" xfId="310" applyNumberFormat="1" applyFont="1" applyAlignment="1">
      <alignment horizontal="center" vertical="center"/>
    </xf>
    <xf numFmtId="187" fontId="4" fillId="0" borderId="0" xfId="310" applyNumberFormat="1" applyAlignment="1">
      <alignment horizontal="center" vertical="center" wrapText="1"/>
    </xf>
    <xf numFmtId="166" fontId="5" fillId="0" borderId="0" xfId="310" applyNumberFormat="1" applyFont="1" applyAlignment="1">
      <alignment horizontal="center" vertical="center"/>
    </xf>
    <xf numFmtId="0" fontId="11" fillId="0" borderId="40" xfId="310" applyFont="1" applyBorder="1"/>
    <xf numFmtId="4" fontId="5" fillId="0" borderId="0" xfId="310" applyNumberFormat="1" applyFont="1" applyAlignment="1">
      <alignment horizontal="center" vertical="center"/>
    </xf>
    <xf numFmtId="4" fontId="10" fillId="0" borderId="0" xfId="310" applyNumberFormat="1" applyFont="1" applyAlignment="1">
      <alignment horizontal="center"/>
    </xf>
    <xf numFmtId="4" fontId="25" fillId="0" borderId="0" xfId="310" applyNumberFormat="1" applyFont="1" applyAlignment="1">
      <alignment horizontal="center"/>
    </xf>
    <xf numFmtId="4" fontId="38" fillId="0" borderId="0" xfId="310" applyNumberFormat="1" applyFont="1" applyAlignment="1">
      <alignment horizontal="center"/>
    </xf>
    <xf numFmtId="0" fontId="30" fillId="0" borderId="40" xfId="310" applyFont="1" applyBorder="1" applyAlignment="1">
      <alignment vertical="center"/>
    </xf>
    <xf numFmtId="14" fontId="136" fillId="24" borderId="12" xfId="310" quotePrefix="1" applyNumberFormat="1" applyFont="1" applyFill="1" applyBorder="1" applyAlignment="1">
      <alignment horizontal="center" vertical="center"/>
    </xf>
    <xf numFmtId="187" fontId="45" fillId="0" borderId="0" xfId="310" applyNumberFormat="1" applyFont="1" applyAlignment="1">
      <alignment horizontal="center" vertical="center" wrapText="1"/>
    </xf>
    <xf numFmtId="0" fontId="72" fillId="0" borderId="99" xfId="310" applyFont="1" applyBorder="1" applyAlignment="1">
      <alignment horizontal="left" wrapText="1"/>
    </xf>
    <xf numFmtId="0" fontId="141" fillId="0" borderId="81" xfId="310" applyFont="1" applyBorder="1" applyAlignment="1">
      <alignment vertical="center" wrapText="1"/>
    </xf>
    <xf numFmtId="0" fontId="142" fillId="0" borderId="99" xfId="310" applyFont="1" applyBorder="1" applyAlignment="1">
      <alignment horizontal="left" vertical="center" wrapText="1"/>
    </xf>
    <xf numFmtId="0" fontId="141" fillId="0" borderId="99" xfId="310" applyFont="1" applyBorder="1" applyAlignment="1">
      <alignment horizontal="left" vertical="center" wrapText="1"/>
    </xf>
    <xf numFmtId="0" fontId="141" fillId="24" borderId="99" xfId="310" applyFont="1" applyFill="1" applyBorder="1" applyAlignment="1">
      <alignment vertical="center" wrapText="1"/>
    </xf>
    <xf numFmtId="0" fontId="144" fillId="0" borderId="0" xfId="310" applyFont="1" applyAlignment="1">
      <alignment vertical="center" wrapText="1"/>
    </xf>
    <xf numFmtId="0" fontId="45" fillId="0" borderId="0" xfId="310" applyFont="1" applyAlignment="1">
      <alignment wrapText="1"/>
    </xf>
    <xf numFmtId="0" fontId="135" fillId="0" borderId="0" xfId="310" applyFont="1" applyAlignment="1">
      <alignment horizontal="left" vertical="center" wrapText="1"/>
    </xf>
    <xf numFmtId="0" fontId="45" fillId="0" borderId="0" xfId="310" applyFont="1" applyAlignment="1">
      <alignment vertical="center" wrapText="1"/>
    </xf>
    <xf numFmtId="0" fontId="45" fillId="0" borderId="34" xfId="310" applyFont="1" applyBorder="1" applyAlignment="1">
      <alignment horizontal="center" vertical="center" wrapText="1"/>
    </xf>
    <xf numFmtId="0" fontId="135" fillId="26" borderId="34" xfId="310" applyFont="1" applyFill="1" applyBorder="1" applyAlignment="1">
      <alignment horizontal="left" vertical="justify" wrapText="1"/>
    </xf>
    <xf numFmtId="0" fontId="141" fillId="0" borderId="23" xfId="310" applyFont="1" applyBorder="1" applyAlignment="1">
      <alignment vertical="center" wrapText="1"/>
    </xf>
    <xf numFmtId="0" fontId="141" fillId="0" borderId="34" xfId="310" applyFont="1" applyBorder="1" applyAlignment="1">
      <alignment vertical="center" wrapText="1"/>
    </xf>
    <xf numFmtId="0" fontId="141" fillId="0" borderId="43" xfId="310" applyFont="1" applyBorder="1" applyAlignment="1">
      <alignment horizontal="left" wrapText="1"/>
    </xf>
    <xf numFmtId="0" fontId="118" fillId="27" borderId="43" xfId="310" applyFont="1" applyFill="1" applyBorder="1" applyAlignment="1">
      <alignment horizontal="left" wrapText="1"/>
    </xf>
    <xf numFmtId="0" fontId="135" fillId="0" borderId="13" xfId="310" applyFont="1" applyBorder="1" applyAlignment="1">
      <alignment vertical="center" wrapText="1"/>
    </xf>
    <xf numFmtId="0" fontId="118" fillId="26" borderId="109" xfId="310" applyFont="1" applyFill="1" applyBorder="1" applyAlignment="1">
      <alignment horizontal="center" vertical="center" wrapText="1"/>
    </xf>
    <xf numFmtId="0" fontId="142" fillId="27" borderId="60" xfId="310" applyFont="1" applyFill="1" applyBorder="1" applyAlignment="1">
      <alignment horizontal="left" wrapText="1"/>
    </xf>
    <xf numFmtId="0" fontId="118" fillId="0" borderId="81" xfId="310" applyFont="1" applyBorder="1" applyAlignment="1">
      <alignment horizontal="left" wrapText="1"/>
    </xf>
    <xf numFmtId="0" fontId="141" fillId="24" borderId="18" xfId="310" applyFont="1" applyFill="1" applyBorder="1" applyAlignment="1">
      <alignment vertical="center" wrapText="1"/>
    </xf>
    <xf numFmtId="0" fontId="141" fillId="0" borderId="0" xfId="310" applyFont="1" applyAlignment="1">
      <alignment vertical="center" wrapText="1"/>
    </xf>
    <xf numFmtId="0" fontId="141" fillId="0" borderId="0" xfId="310" applyFont="1" applyAlignment="1">
      <alignment horizontal="left" vertical="center" wrapText="1"/>
    </xf>
    <xf numFmtId="0" fontId="141" fillId="85" borderId="99" xfId="310" applyFont="1" applyFill="1" applyBorder="1" applyAlignment="1">
      <alignment vertical="center" wrapText="1"/>
    </xf>
    <xf numFmtId="0" fontId="118" fillId="0" borderId="23" xfId="310" applyFont="1" applyBorder="1" applyAlignment="1">
      <alignment wrapText="1"/>
    </xf>
    <xf numFmtId="4" fontId="118" fillId="26" borderId="35" xfId="310" applyNumberFormat="1" applyFont="1" applyFill="1" applyBorder="1" applyAlignment="1">
      <alignment horizontal="center" vertical="center" wrapText="1"/>
    </xf>
    <xf numFmtId="0" fontId="142" fillId="27" borderId="60" xfId="310" applyFont="1" applyFill="1" applyBorder="1" applyAlignment="1">
      <alignment horizontal="left" vertical="center" wrapText="1"/>
    </xf>
    <xf numFmtId="167" fontId="142" fillId="27" borderId="60" xfId="310" applyNumberFormat="1" applyFont="1" applyFill="1" applyBorder="1" applyAlignment="1">
      <alignment horizontal="left" wrapText="1"/>
    </xf>
    <xf numFmtId="0" fontId="142" fillId="29" borderId="60" xfId="310" applyFont="1" applyFill="1" applyBorder="1" applyAlignment="1">
      <alignment horizontal="left" wrapText="1"/>
    </xf>
    <xf numFmtId="0" fontId="145" fillId="27" borderId="60" xfId="310" applyFont="1" applyFill="1" applyBorder="1" applyAlignment="1">
      <alignment horizontal="left" wrapText="1"/>
    </xf>
    <xf numFmtId="0" fontId="72" fillId="0" borderId="99" xfId="310" applyFont="1" applyBorder="1" applyAlignment="1">
      <alignment vertical="center" wrapText="1"/>
    </xf>
    <xf numFmtId="0" fontId="135" fillId="31" borderId="99" xfId="310" applyFont="1" applyFill="1" applyBorder="1" applyAlignment="1">
      <alignment vertical="center" wrapText="1"/>
    </xf>
    <xf numFmtId="0" fontId="141" fillId="24" borderId="99" xfId="310" applyFont="1" applyFill="1" applyBorder="1" applyAlignment="1">
      <alignment horizontal="left" vertical="center" wrapText="1"/>
    </xf>
    <xf numFmtId="0" fontId="141" fillId="30" borderId="99" xfId="310" applyFont="1" applyFill="1" applyBorder="1" applyAlignment="1">
      <alignment horizontal="left" vertical="center" wrapText="1"/>
    </xf>
    <xf numFmtId="0" fontId="118" fillId="0" borderId="0" xfId="310" applyFont="1" applyAlignment="1">
      <alignment horizontal="left" wrapText="1"/>
    </xf>
    <xf numFmtId="0" fontId="118" fillId="26" borderId="23" xfId="310" applyFont="1" applyFill="1" applyBorder="1" applyAlignment="1">
      <alignment horizontal="center" vertical="center" wrapText="1"/>
    </xf>
    <xf numFmtId="0" fontId="142" fillId="27" borderId="135" xfId="310" applyFont="1" applyFill="1" applyBorder="1" applyAlignment="1">
      <alignment horizontal="left" wrapText="1"/>
    </xf>
    <xf numFmtId="0" fontId="118" fillId="0" borderId="0" xfId="310" applyFont="1" applyAlignment="1">
      <alignment wrapText="1"/>
    </xf>
    <xf numFmtId="0" fontId="118" fillId="0" borderId="0" xfId="310" applyFont="1" applyAlignment="1">
      <alignment horizontal="center" wrapText="1"/>
    </xf>
    <xf numFmtId="0" fontId="135" fillId="0" borderId="13" xfId="310" applyFont="1" applyBorder="1" applyAlignment="1">
      <alignment horizontal="center" vertical="center" wrapText="1"/>
    </xf>
    <xf numFmtId="0" fontId="135" fillId="0" borderId="18" xfId="310" applyFont="1" applyBorder="1" applyAlignment="1">
      <alignment horizontal="center" vertical="center" wrapText="1"/>
    </xf>
    <xf numFmtId="0" fontId="135" fillId="0" borderId="23" xfId="310" applyFont="1" applyBorder="1" applyAlignment="1">
      <alignment horizontal="center" vertical="center" wrapText="1"/>
    </xf>
    <xf numFmtId="0" fontId="134" fillId="0" borderId="0" xfId="310" applyFont="1" applyAlignment="1">
      <alignment horizontal="center" vertical="center"/>
    </xf>
    <xf numFmtId="0" fontId="40" fillId="0" borderId="0" xfId="310" quotePrefix="1" applyFont="1" applyAlignment="1">
      <alignment vertical="center"/>
    </xf>
    <xf numFmtId="0" fontId="148" fillId="85" borderId="100" xfId="310" applyFont="1" applyFill="1" applyBorder="1" applyAlignment="1">
      <alignment vertical="center" wrapText="1"/>
    </xf>
    <xf numFmtId="0" fontId="148" fillId="24" borderId="100" xfId="310" applyFont="1" applyFill="1" applyBorder="1" applyAlignment="1">
      <alignment vertical="center" wrapText="1"/>
    </xf>
    <xf numFmtId="0" fontId="148" fillId="24" borderId="15" xfId="310" applyFont="1" applyFill="1" applyBorder="1" applyAlignment="1">
      <alignment vertical="center" wrapText="1"/>
    </xf>
    <xf numFmtId="0" fontId="147" fillId="0" borderId="0" xfId="310" applyFont="1" applyAlignment="1">
      <alignment vertical="center" wrapText="1"/>
    </xf>
    <xf numFmtId="0" fontId="147" fillId="31" borderId="0" xfId="310" applyFont="1" applyFill="1" applyAlignment="1">
      <alignment vertical="center" wrapText="1"/>
    </xf>
    <xf numFmtId="0" fontId="19" fillId="31" borderId="0" xfId="310" applyFont="1" applyFill="1" applyAlignment="1">
      <alignment vertical="center" wrapText="1"/>
    </xf>
    <xf numFmtId="187" fontId="134" fillId="0" borderId="0" xfId="310" applyNumberFormat="1" applyFont="1" applyAlignment="1">
      <alignment vertical="center" wrapText="1"/>
    </xf>
    <xf numFmtId="0" fontId="148" fillId="0" borderId="14" xfId="310" applyFont="1" applyBorder="1" applyAlignment="1">
      <alignment vertical="center" wrapText="1"/>
    </xf>
    <xf numFmtId="0" fontId="148" fillId="0" borderId="90" xfId="310" applyFont="1" applyBorder="1" applyAlignment="1">
      <alignment vertical="center" wrapText="1"/>
    </xf>
    <xf numFmtId="0" fontId="148" fillId="0" borderId="35" xfId="310" applyFont="1" applyBorder="1" applyAlignment="1">
      <alignment vertical="center" wrapText="1"/>
    </xf>
    <xf numFmtId="4" fontId="150" fillId="0" borderId="14" xfId="310" applyNumberFormat="1" applyFont="1" applyBorder="1" applyAlignment="1">
      <alignment vertical="center" wrapText="1"/>
    </xf>
    <xf numFmtId="4" fontId="118" fillId="0" borderId="93" xfId="310" applyNumberFormat="1" applyFont="1" applyBorder="1" applyAlignment="1">
      <alignment vertical="center" wrapText="1"/>
    </xf>
    <xf numFmtId="4" fontId="148" fillId="24" borderId="32" xfId="310" applyNumberFormat="1" applyFont="1" applyFill="1" applyBorder="1" applyAlignment="1">
      <alignment vertical="center" wrapText="1"/>
    </xf>
    <xf numFmtId="0" fontId="148" fillId="24" borderId="19" xfId="310" applyFont="1" applyFill="1" applyBorder="1" applyAlignment="1">
      <alignment vertical="center" wrapText="1"/>
    </xf>
    <xf numFmtId="0" fontId="151" fillId="0" borderId="100" xfId="310" applyFont="1" applyBorder="1" applyAlignment="1">
      <alignment vertical="center" wrapText="1"/>
    </xf>
    <xf numFmtId="0" fontId="151" fillId="31" borderId="100" xfId="310" applyFont="1" applyFill="1" applyBorder="1" applyAlignment="1">
      <alignment vertical="center" wrapText="1"/>
    </xf>
    <xf numFmtId="0" fontId="21" fillId="0" borderId="0" xfId="310" applyFont="1" applyAlignment="1">
      <alignment wrapText="1"/>
    </xf>
    <xf numFmtId="0" fontId="39" fillId="0" borderId="0" xfId="310" applyFont="1" applyAlignment="1">
      <alignment vertical="center" wrapText="1"/>
    </xf>
    <xf numFmtId="0" fontId="28" fillId="0" borderId="0" xfId="310" applyFont="1" applyAlignment="1">
      <alignment wrapText="1"/>
    </xf>
    <xf numFmtId="0" fontId="31" fillId="0" borderId="0" xfId="310" applyFont="1" applyAlignment="1">
      <alignment wrapText="1"/>
    </xf>
    <xf numFmtId="0" fontId="11" fillId="0" borderId="0" xfId="310" applyFont="1" applyAlignment="1">
      <alignment wrapText="1"/>
    </xf>
    <xf numFmtId="0" fontId="135" fillId="91" borderId="40" xfId="310" applyFont="1" applyFill="1" applyBorder="1" applyAlignment="1">
      <alignment horizontal="left" vertical="center" wrapText="1"/>
    </xf>
    <xf numFmtId="0" fontId="135" fillId="0" borderId="14" xfId="310" applyFont="1" applyBorder="1" applyAlignment="1">
      <alignment horizontal="center" vertical="center" wrapText="1"/>
    </xf>
    <xf numFmtId="0" fontId="135" fillId="0" borderId="19" xfId="310" applyFont="1" applyBorder="1" applyAlignment="1">
      <alignment horizontal="center" vertical="center" wrapText="1"/>
    </xf>
    <xf numFmtId="0" fontId="141" fillId="0" borderId="93" xfId="310" applyFont="1" applyBorder="1" applyAlignment="1">
      <alignment vertical="center" wrapText="1"/>
    </xf>
    <xf numFmtId="0" fontId="141" fillId="0" borderId="130" xfId="310" applyFont="1" applyBorder="1" applyAlignment="1">
      <alignment horizontal="left" wrapText="1"/>
    </xf>
    <xf numFmtId="0" fontId="72" fillId="0" borderId="32" xfId="310" applyFont="1" applyBorder="1" applyAlignment="1">
      <alignment horizontal="left" wrapText="1"/>
    </xf>
    <xf numFmtId="0" fontId="118" fillId="27" borderId="130" xfId="310" applyFont="1" applyFill="1" applyBorder="1" applyAlignment="1">
      <alignment horizontal="left" wrapText="1"/>
    </xf>
    <xf numFmtId="0" fontId="135" fillId="0" borderId="14" xfId="310" applyFont="1" applyBorder="1" applyAlignment="1">
      <alignment vertical="center" wrapText="1"/>
    </xf>
    <xf numFmtId="0" fontId="141" fillId="0" borderId="100" xfId="310" applyFont="1" applyBorder="1" applyAlignment="1">
      <alignment horizontal="left" vertical="center" wrapText="1"/>
    </xf>
    <xf numFmtId="0" fontId="141" fillId="24" borderId="32" xfId="310" applyFont="1" applyFill="1" applyBorder="1" applyAlignment="1">
      <alignment vertical="center" wrapText="1"/>
    </xf>
    <xf numFmtId="0" fontId="118" fillId="26" borderId="110" xfId="310" applyFont="1" applyFill="1" applyBorder="1" applyAlignment="1">
      <alignment horizontal="center" vertical="center" wrapText="1"/>
    </xf>
    <xf numFmtId="0" fontId="142" fillId="27" borderId="64" xfId="310" applyFont="1" applyFill="1" applyBorder="1" applyAlignment="1">
      <alignment horizontal="left" wrapText="1"/>
    </xf>
    <xf numFmtId="0" fontId="141" fillId="24" borderId="19" xfId="310" applyFont="1" applyFill="1" applyBorder="1" applyAlignment="1">
      <alignment vertical="center" wrapText="1"/>
    </xf>
    <xf numFmtId="0" fontId="142" fillId="0" borderId="32" xfId="310" applyFont="1" applyBorder="1" applyAlignment="1">
      <alignment horizontal="left" vertical="center" wrapText="1"/>
    </xf>
    <xf numFmtId="0" fontId="141" fillId="85" borderId="100" xfId="310" applyFont="1" applyFill="1" applyBorder="1" applyAlignment="1">
      <alignment vertical="center" wrapText="1"/>
    </xf>
    <xf numFmtId="0" fontId="141" fillId="24" borderId="100" xfId="310" applyFont="1" applyFill="1" applyBorder="1" applyAlignment="1">
      <alignment vertical="center" wrapText="1"/>
    </xf>
    <xf numFmtId="0" fontId="141" fillId="24" borderId="15" xfId="310" applyFont="1" applyFill="1" applyBorder="1" applyAlignment="1">
      <alignment vertical="center" wrapText="1"/>
    </xf>
    <xf numFmtId="0" fontId="118" fillId="0" borderId="15" xfId="310" applyFont="1" applyBorder="1" applyAlignment="1">
      <alignment wrapText="1"/>
    </xf>
    <xf numFmtId="4" fontId="118" fillId="26" borderId="36" xfId="310" applyNumberFormat="1" applyFont="1" applyFill="1" applyBorder="1" applyAlignment="1">
      <alignment horizontal="center" vertical="center" wrapText="1"/>
    </xf>
    <xf numFmtId="0" fontId="142" fillId="27" borderId="53" xfId="310" applyFont="1" applyFill="1" applyBorder="1" applyAlignment="1">
      <alignment horizontal="left" vertical="center" wrapText="1"/>
    </xf>
    <xf numFmtId="167" fontId="142" fillId="27" borderId="65" xfId="310" applyNumberFormat="1" applyFont="1" applyFill="1" applyBorder="1" applyAlignment="1">
      <alignment horizontal="left" vertical="center" wrapText="1"/>
    </xf>
    <xf numFmtId="0" fontId="142" fillId="27" borderId="65" xfId="310" applyFont="1" applyFill="1" applyBorder="1" applyAlignment="1">
      <alignment horizontal="left" vertical="center" wrapText="1"/>
    </xf>
    <xf numFmtId="167" fontId="142" fillId="27" borderId="65" xfId="310" applyNumberFormat="1" applyFont="1" applyFill="1" applyBorder="1" applyAlignment="1">
      <alignment horizontal="left" wrapText="1"/>
    </xf>
    <xf numFmtId="0" fontId="142" fillId="29" borderId="65" xfId="310" applyFont="1" applyFill="1" applyBorder="1" applyAlignment="1">
      <alignment horizontal="left" wrapText="1"/>
    </xf>
    <xf numFmtId="0" fontId="142" fillId="27" borderId="65" xfId="310" applyFont="1" applyFill="1" applyBorder="1" applyAlignment="1">
      <alignment horizontal="left" wrapText="1"/>
    </xf>
    <xf numFmtId="0" fontId="145" fillId="27" borderId="65" xfId="310" applyFont="1" applyFill="1" applyBorder="1" applyAlignment="1">
      <alignment horizontal="left" wrapText="1"/>
    </xf>
    <xf numFmtId="0" fontId="72" fillId="0" borderId="100" xfId="310" applyFont="1" applyBorder="1" applyAlignment="1">
      <alignment vertical="center" wrapText="1"/>
    </xf>
    <xf numFmtId="0" fontId="141" fillId="24" borderId="100" xfId="310" applyFont="1" applyFill="1" applyBorder="1" applyAlignment="1">
      <alignment horizontal="left" vertical="center" wrapText="1"/>
    </xf>
    <xf numFmtId="0" fontId="141" fillId="30" borderId="100" xfId="310" applyFont="1" applyFill="1" applyBorder="1" applyAlignment="1">
      <alignment horizontal="left" vertical="center" wrapText="1"/>
    </xf>
    <xf numFmtId="0" fontId="118" fillId="26" borderId="90" xfId="310" applyFont="1" applyFill="1" applyBorder="1" applyAlignment="1">
      <alignment horizontal="center" vertical="center" wrapText="1"/>
    </xf>
    <xf numFmtId="0" fontId="145" fillId="27" borderId="52" xfId="310" applyFont="1" applyFill="1" applyBorder="1" applyAlignment="1">
      <alignment horizontal="left" wrapText="1"/>
    </xf>
    <xf numFmtId="0" fontId="142" fillId="27" borderId="187" xfId="310" applyFont="1" applyFill="1" applyBorder="1" applyAlignment="1">
      <alignment horizontal="left" wrapText="1"/>
    </xf>
    <xf numFmtId="14" fontId="118" fillId="24" borderId="0" xfId="310" applyNumberFormat="1" applyFont="1" applyFill="1" applyAlignment="1" applyProtection="1">
      <alignment horizontal="center" vertical="center" wrapText="1"/>
      <protection locked="0"/>
    </xf>
    <xf numFmtId="0" fontId="158" fillId="0" borderId="40" xfId="310" applyFont="1" applyBorder="1" applyAlignment="1">
      <alignment vertical="center"/>
    </xf>
    <xf numFmtId="0" fontId="118" fillId="0" borderId="18" xfId="310" applyFont="1" applyBorder="1" applyAlignment="1">
      <alignment vertical="center" wrapText="1"/>
    </xf>
    <xf numFmtId="0" fontId="118" fillId="0" borderId="19" xfId="310" applyFont="1" applyBorder="1" applyAlignment="1">
      <alignment vertical="center" wrapText="1"/>
    </xf>
    <xf numFmtId="4" fontId="118" fillId="0" borderId="19" xfId="310" applyNumberFormat="1" applyFont="1" applyBorder="1" applyAlignment="1">
      <alignment vertical="center" wrapText="1"/>
    </xf>
    <xf numFmtId="0" fontId="118" fillId="0" borderId="190" xfId="310" applyFont="1" applyBorder="1" applyAlignment="1">
      <alignment vertical="center" wrapText="1"/>
    </xf>
    <xf numFmtId="0" fontId="118" fillId="0" borderId="191" xfId="310" applyFont="1" applyBorder="1" applyAlignment="1">
      <alignment vertical="center" wrapText="1"/>
    </xf>
    <xf numFmtId="4" fontId="148" fillId="0" borderId="191" xfId="310" applyNumberFormat="1" applyFont="1" applyBorder="1" applyAlignment="1">
      <alignment vertical="center" wrapText="1"/>
    </xf>
    <xf numFmtId="3" fontId="165" fillId="0" borderId="0" xfId="300" applyNumberFormat="1" applyFont="1" applyAlignment="1">
      <alignment horizontal="left"/>
    </xf>
    <xf numFmtId="4" fontId="45" fillId="0" borderId="0" xfId="300" applyNumberFormat="1" applyAlignment="1">
      <alignment vertical="center"/>
    </xf>
    <xf numFmtId="4" fontId="45" fillId="0" borderId="0" xfId="300" applyNumberFormat="1" applyAlignment="1">
      <alignment horizontal="right" vertical="center"/>
    </xf>
    <xf numFmtId="0" fontId="45" fillId="0" borderId="0" xfId="300" applyAlignment="1">
      <alignment vertical="center"/>
    </xf>
    <xf numFmtId="0" fontId="166" fillId="0" borderId="0" xfId="300" applyFont="1" applyAlignment="1">
      <alignment vertical="center"/>
    </xf>
    <xf numFmtId="4" fontId="167" fillId="93" borderId="0" xfId="300" applyNumberFormat="1" applyFont="1" applyFill="1" applyAlignment="1">
      <alignment horizontal="left" vertical="center" wrapText="1"/>
    </xf>
    <xf numFmtId="4" fontId="168" fillId="0" borderId="0" xfId="300" applyNumberFormat="1" applyFont="1" applyAlignment="1">
      <alignment vertical="center"/>
    </xf>
    <xf numFmtId="4" fontId="169" fillId="0" borderId="0" xfId="300" applyNumberFormat="1" applyFont="1" applyAlignment="1">
      <alignment vertical="center"/>
    </xf>
    <xf numFmtId="0" fontId="169" fillId="0" borderId="0" xfId="300" applyFont="1" applyAlignment="1">
      <alignment vertical="center"/>
    </xf>
    <xf numFmtId="0" fontId="16" fillId="0" borderId="0" xfId="300" applyFont="1" applyAlignment="1">
      <alignment vertical="center"/>
    </xf>
    <xf numFmtId="0" fontId="7" fillId="0" borderId="0" xfId="300" applyFont="1" applyAlignment="1">
      <alignment vertical="center"/>
    </xf>
    <xf numFmtId="3" fontId="45" fillId="0" borderId="0" xfId="300" applyNumberFormat="1" applyAlignment="1">
      <alignment vertical="center"/>
    </xf>
    <xf numFmtId="0" fontId="155" fillId="0" borderId="0" xfId="300" applyFont="1" applyAlignment="1">
      <alignment vertical="center"/>
    </xf>
    <xf numFmtId="0" fontId="25" fillId="0" borderId="0" xfId="300" applyFont="1" applyAlignment="1">
      <alignment vertical="center"/>
    </xf>
    <xf numFmtId="0" fontId="139" fillId="0" borderId="0" xfId="300" applyFont="1" applyAlignment="1">
      <alignment vertical="center"/>
    </xf>
    <xf numFmtId="3" fontId="139" fillId="0" borderId="0" xfId="300" applyNumberFormat="1" applyFont="1" applyAlignment="1" applyProtection="1">
      <alignment horizontal="right" vertical="center"/>
      <protection locked="0"/>
    </xf>
    <xf numFmtId="0" fontId="11" fillId="0" borderId="0" xfId="300" applyFont="1" applyAlignment="1">
      <alignment vertical="center"/>
    </xf>
    <xf numFmtId="3" fontId="11" fillId="0" borderId="0" xfId="300" applyNumberFormat="1" applyFont="1" applyAlignment="1">
      <alignment vertical="center"/>
    </xf>
    <xf numFmtId="0" fontId="170" fillId="0" borderId="0" xfId="300" applyFont="1" applyAlignment="1">
      <alignment vertical="center"/>
    </xf>
    <xf numFmtId="0" fontId="45" fillId="0" borderId="0" xfId="300"/>
    <xf numFmtId="0" fontId="45" fillId="0" borderId="0" xfId="300" applyProtection="1">
      <protection locked="0"/>
    </xf>
    <xf numFmtId="1" fontId="45" fillId="0" borderId="0" xfId="300" applyNumberFormat="1"/>
    <xf numFmtId="3" fontId="150" fillId="0" borderId="0" xfId="300" applyNumberFormat="1" applyFont="1" applyProtection="1">
      <protection locked="0"/>
    </xf>
    <xf numFmtId="3" fontId="45" fillId="0" borderId="0" xfId="300" applyNumberFormat="1" applyProtection="1">
      <protection locked="0"/>
    </xf>
    <xf numFmtId="17" fontId="11" fillId="0" borderId="0" xfId="310" applyNumberFormat="1" applyFont="1"/>
    <xf numFmtId="3" fontId="4" fillId="0" borderId="34" xfId="300" applyNumberFormat="1" applyFont="1" applyBorder="1" applyAlignment="1" applyProtection="1">
      <alignment horizontal="right" vertical="center"/>
      <protection locked="0"/>
    </xf>
    <xf numFmtId="3" fontId="4" fillId="0" borderId="40" xfId="300" applyNumberFormat="1" applyFont="1" applyBorder="1" applyAlignment="1" applyProtection="1">
      <alignment horizontal="right" vertical="center"/>
      <protection locked="0"/>
    </xf>
    <xf numFmtId="3" fontId="4" fillId="0" borderId="41" xfId="300" applyNumberFormat="1" applyFont="1" applyBorder="1" applyAlignment="1" applyProtection="1">
      <alignment horizontal="right" vertical="center"/>
      <protection locked="0"/>
    </xf>
    <xf numFmtId="14" fontId="118" fillId="24" borderId="53" xfId="310" quotePrefix="1" applyNumberFormat="1" applyFont="1" applyFill="1" applyBorder="1" applyAlignment="1" applyProtection="1">
      <alignment horizontal="center" vertical="center" wrapText="1"/>
      <protection locked="0"/>
    </xf>
    <xf numFmtId="4" fontId="39" fillId="0" borderId="0" xfId="310" applyNumberFormat="1" applyFont="1" applyAlignment="1">
      <alignment vertical="center"/>
    </xf>
    <xf numFmtId="4" fontId="30" fillId="0" borderId="0" xfId="310" applyNumberFormat="1" applyFont="1" applyAlignment="1">
      <alignment horizontal="right" vertical="center"/>
    </xf>
    <xf numFmtId="4" fontId="11" fillId="0" borderId="0" xfId="310" applyNumberFormat="1" applyFont="1" applyAlignment="1">
      <alignment horizontal="center"/>
    </xf>
    <xf numFmtId="4" fontId="25" fillId="0" borderId="0" xfId="310" applyNumberFormat="1" applyFont="1" applyAlignment="1">
      <alignment horizontal="right" vertical="center"/>
    </xf>
    <xf numFmtId="0" fontId="187" fillId="0" borderId="40" xfId="310" applyFont="1" applyBorder="1" applyAlignment="1">
      <alignment vertical="center"/>
    </xf>
    <xf numFmtId="0" fontId="45" fillId="0" borderId="213" xfId="0" applyFont="1" applyBorder="1" applyAlignment="1">
      <alignment horizontal="left" vertical="top" wrapText="1"/>
    </xf>
    <xf numFmtId="164" fontId="11" fillId="0" borderId="0" xfId="310" applyNumberFormat="1" applyFont="1"/>
    <xf numFmtId="0" fontId="196" fillId="0" borderId="0" xfId="310" applyFont="1" applyAlignment="1">
      <alignment horizontal="left" vertical="center" wrapText="1"/>
    </xf>
    <xf numFmtId="0" fontId="197" fillId="0" borderId="0" xfId="310" applyFont="1" applyAlignment="1">
      <alignment vertical="center" wrapText="1"/>
    </xf>
    <xf numFmtId="0" fontId="198" fillId="0" borderId="0" xfId="310" applyFont="1" applyAlignment="1">
      <alignment horizontal="left" vertical="center"/>
    </xf>
    <xf numFmtId="0" fontId="7" fillId="0" borderId="0" xfId="310" applyFont="1" applyAlignment="1">
      <alignment horizontal="left"/>
    </xf>
    <xf numFmtId="17" fontId="11" fillId="105" borderId="40" xfId="310" applyNumberFormat="1" applyFont="1" applyFill="1" applyBorder="1"/>
    <xf numFmtId="4" fontId="11" fillId="105" borderId="40" xfId="310" applyNumberFormat="1" applyFont="1" applyFill="1" applyBorder="1"/>
    <xf numFmtId="4" fontId="38" fillId="0" borderId="0" xfId="310" applyNumberFormat="1" applyFont="1" applyAlignment="1">
      <alignment horizontal="right" vertical="center"/>
    </xf>
    <xf numFmtId="0" fontId="135" fillId="0" borderId="40" xfId="310" applyFont="1" applyBorder="1" applyAlignment="1">
      <alignment horizontal="left" vertical="center" wrapText="1"/>
    </xf>
    <xf numFmtId="0" fontId="140" fillId="0" borderId="40" xfId="0" applyFont="1" applyBorder="1" applyAlignment="1">
      <alignment horizontal="left" vertical="center"/>
    </xf>
    <xf numFmtId="0" fontId="141" fillId="0" borderId="114" xfId="310" applyFont="1" applyBorder="1" applyAlignment="1">
      <alignment vertical="center" wrapText="1"/>
    </xf>
    <xf numFmtId="0" fontId="148" fillId="0" borderId="174" xfId="310" applyFont="1" applyBorder="1" applyAlignment="1">
      <alignment vertical="center" wrapText="1"/>
    </xf>
    <xf numFmtId="0" fontId="149" fillId="0" borderId="14" xfId="310" applyFont="1" applyBorder="1" applyAlignment="1">
      <alignment vertical="center" wrapText="1"/>
    </xf>
    <xf numFmtId="0" fontId="199" fillId="0" borderId="40" xfId="38681" applyFont="1" applyBorder="1" applyAlignment="1">
      <alignment vertical="center"/>
    </xf>
    <xf numFmtId="0" fontId="199" fillId="0" borderId="40" xfId="0" applyFont="1" applyBorder="1" applyAlignment="1">
      <alignment vertical="center" wrapText="1"/>
    </xf>
    <xf numFmtId="0" fontId="45" fillId="0" borderId="40" xfId="310" applyFont="1" applyBorder="1" applyAlignment="1">
      <alignment horizontal="left" vertical="center" wrapText="1" indent="1"/>
    </xf>
    <xf numFmtId="0" fontId="45" fillId="0" borderId="40" xfId="0" applyFont="1" applyBorder="1" applyAlignment="1">
      <alignment horizontal="left" vertical="center" wrapText="1" indent="1"/>
    </xf>
    <xf numFmtId="0" fontId="11" fillId="0" borderId="40" xfId="310" applyFont="1" applyBorder="1" applyAlignment="1">
      <alignment horizontal="center"/>
    </xf>
    <xf numFmtId="10" fontId="34" fillId="0" borderId="15" xfId="310" applyNumberFormat="1" applyFont="1" applyBorder="1" applyAlignment="1" applyProtection="1">
      <alignment vertical="center"/>
      <protection locked="0"/>
    </xf>
    <xf numFmtId="10" fontId="34" fillId="0" borderId="36" xfId="310" applyNumberFormat="1" applyFont="1" applyBorder="1" applyAlignment="1" applyProtection="1">
      <alignment vertical="center"/>
      <protection locked="0"/>
    </xf>
    <xf numFmtId="2" fontId="34" fillId="0" borderId="36" xfId="310" applyNumberFormat="1" applyFont="1" applyBorder="1" applyAlignment="1" applyProtection="1">
      <alignment vertical="center"/>
      <protection locked="0"/>
    </xf>
    <xf numFmtId="10" fontId="34" fillId="0" borderId="35" xfId="310" applyNumberFormat="1" applyFont="1" applyBorder="1" applyAlignment="1" applyProtection="1">
      <alignment vertical="center"/>
      <protection locked="0"/>
    </xf>
    <xf numFmtId="0" fontId="135" fillId="0" borderId="40" xfId="0" applyFont="1" applyBorder="1" applyAlignment="1">
      <alignment horizontal="left" vertical="center" wrapText="1"/>
    </xf>
    <xf numFmtId="0" fontId="135" fillId="0" borderId="40" xfId="0" applyFont="1" applyBorder="1" applyAlignment="1">
      <alignment vertical="center" wrapText="1"/>
    </xf>
    <xf numFmtId="0" fontId="154" fillId="0" borderId="14" xfId="310" applyFont="1" applyBorder="1" applyAlignment="1">
      <alignment vertical="center" wrapText="1"/>
    </xf>
    <xf numFmtId="0" fontId="154" fillId="0" borderId="15" xfId="310" applyFont="1" applyBorder="1" applyAlignment="1">
      <alignment horizontal="center" vertical="center"/>
    </xf>
    <xf numFmtId="0" fontId="154" fillId="0" borderId="16" xfId="310" applyFont="1" applyBorder="1" applyAlignment="1">
      <alignment horizontal="center" vertical="center"/>
    </xf>
    <xf numFmtId="0" fontId="154" fillId="0" borderId="0" xfId="310" applyFont="1" applyAlignment="1">
      <alignment horizontal="center" vertical="center"/>
    </xf>
    <xf numFmtId="4" fontId="155" fillId="0" borderId="0" xfId="310" applyNumberFormat="1" applyFont="1" applyAlignment="1">
      <alignment horizontal="center" vertical="center" wrapText="1"/>
    </xf>
    <xf numFmtId="0" fontId="200" fillId="0" borderId="17" xfId="310" applyFont="1" applyBorder="1" applyAlignment="1">
      <alignment vertical="center"/>
    </xf>
    <xf numFmtId="0" fontId="200" fillId="0" borderId="0" xfId="310" applyFont="1" applyAlignment="1">
      <alignment vertical="center"/>
    </xf>
    <xf numFmtId="166" fontId="200" fillId="0" borderId="0" xfId="310" applyNumberFormat="1" applyFont="1" applyAlignment="1">
      <alignment horizontal="right" vertical="center"/>
    </xf>
    <xf numFmtId="0" fontId="154" fillId="0" borderId="19" xfId="310" applyFont="1" applyBorder="1" applyAlignment="1">
      <alignment vertical="center" wrapText="1"/>
    </xf>
    <xf numFmtId="0" fontId="154" fillId="0" borderId="20" xfId="310" applyFont="1" applyBorder="1" applyAlignment="1">
      <alignment horizontal="center" vertical="center"/>
    </xf>
    <xf numFmtId="0" fontId="154" fillId="0" borderId="21" xfId="310" applyFont="1" applyBorder="1" applyAlignment="1">
      <alignment horizontal="center" vertical="center"/>
    </xf>
    <xf numFmtId="0" fontId="135" fillId="83" borderId="19" xfId="310" applyFont="1" applyFill="1" applyBorder="1" applyAlignment="1">
      <alignment vertical="center" wrapText="1"/>
    </xf>
    <xf numFmtId="0" fontId="135" fillId="83" borderId="20" xfId="310" applyFont="1" applyFill="1" applyBorder="1" applyAlignment="1">
      <alignment vertical="center" wrapText="1"/>
    </xf>
    <xf numFmtId="4" fontId="135" fillId="0" borderId="20" xfId="310" applyNumberFormat="1" applyFont="1" applyBorder="1" applyAlignment="1">
      <alignment horizontal="center" vertical="center"/>
    </xf>
    <xf numFmtId="0" fontId="154" fillId="0" borderId="17" xfId="310" applyFont="1" applyBorder="1" applyAlignment="1">
      <alignment horizontal="center" vertical="center"/>
    </xf>
    <xf numFmtId="166" fontId="154" fillId="0" borderId="0" xfId="310" applyNumberFormat="1" applyFont="1" applyAlignment="1">
      <alignment horizontal="right" vertical="center"/>
    </xf>
    <xf numFmtId="0" fontId="154" fillId="0" borderId="13" xfId="310" applyFont="1" applyBorder="1" applyAlignment="1">
      <alignment horizontal="center" vertical="center" wrapText="1"/>
    </xf>
    <xf numFmtId="0" fontId="202" fillId="0" borderId="24" xfId="310" applyFont="1" applyBorder="1" applyAlignment="1">
      <alignment vertical="center" wrapText="1"/>
    </xf>
    <xf numFmtId="0" fontId="202" fillId="0" borderId="25" xfId="310" applyFont="1" applyBorder="1" applyAlignment="1">
      <alignment horizontal="center" vertical="center" wrapText="1"/>
    </xf>
    <xf numFmtId="0" fontId="154" fillId="0" borderId="26" xfId="310" applyFont="1" applyBorder="1" applyAlignment="1">
      <alignment horizontal="center" vertical="center" wrapText="1"/>
    </xf>
    <xf numFmtId="0" fontId="202" fillId="0" borderId="24" xfId="310" applyFont="1" applyBorder="1" applyAlignment="1">
      <alignment horizontal="center" vertical="center" wrapText="1"/>
    </xf>
    <xf numFmtId="4" fontId="154" fillId="0" borderId="26" xfId="310" applyNumberFormat="1" applyFont="1" applyBorder="1" applyAlignment="1">
      <alignment horizontal="center" vertical="center" wrapText="1"/>
    </xf>
    <xf numFmtId="0" fontId="154" fillId="0" borderId="27" xfId="310" applyFont="1" applyBorder="1" applyAlignment="1">
      <alignment horizontal="center" vertical="center" wrapText="1"/>
    </xf>
    <xf numFmtId="0" fontId="154" fillId="0" borderId="28" xfId="310" applyFont="1" applyBorder="1" applyAlignment="1">
      <alignment horizontal="center" vertical="center" wrapText="1"/>
    </xf>
    <xf numFmtId="0" fontId="154" fillId="0" borderId="29" xfId="310" applyFont="1" applyBorder="1" applyAlignment="1">
      <alignment horizontal="center" vertical="center" wrapText="1"/>
    </xf>
    <xf numFmtId="0" fontId="154" fillId="0" borderId="30" xfId="310" applyFont="1" applyBorder="1" applyAlignment="1">
      <alignment horizontal="center" vertical="center" wrapText="1"/>
    </xf>
    <xf numFmtId="0" fontId="154" fillId="0" borderId="24" xfId="310" applyFont="1" applyBorder="1" applyAlignment="1">
      <alignment horizontal="center" vertical="center" wrapText="1"/>
    </xf>
    <xf numFmtId="0" fontId="154" fillId="0" borderId="110" xfId="310" applyFont="1" applyBorder="1" applyAlignment="1">
      <alignment horizontal="center" vertical="center"/>
    </xf>
    <xf numFmtId="0" fontId="204" fillId="86" borderId="29" xfId="310" applyFont="1" applyFill="1" applyBorder="1" applyAlignment="1">
      <alignment horizontal="center" vertical="center" wrapText="1"/>
    </xf>
    <xf numFmtId="0" fontId="204" fillId="86" borderId="157" xfId="310" applyFont="1" applyFill="1" applyBorder="1" applyAlignment="1">
      <alignment horizontal="center" vertical="center" wrapText="1"/>
    </xf>
    <xf numFmtId="0" fontId="154" fillId="0" borderId="0" xfId="310" applyFont="1" applyAlignment="1">
      <alignment horizontal="center" vertical="center" wrapText="1"/>
    </xf>
    <xf numFmtId="10" fontId="154" fillId="0" borderId="32" xfId="314" applyNumberFormat="1" applyFont="1" applyBorder="1" applyAlignment="1">
      <alignment horizontal="right" vertical="center" wrapText="1"/>
    </xf>
    <xf numFmtId="4" fontId="202" fillId="0" borderId="33" xfId="314" applyNumberFormat="1" applyFont="1" applyBorder="1" applyAlignment="1">
      <alignment horizontal="center" vertical="center" wrapText="1"/>
    </xf>
    <xf numFmtId="4" fontId="202" fillId="0" borderId="0" xfId="314" applyNumberFormat="1" applyFont="1" applyAlignment="1">
      <alignment horizontal="center" vertical="center" wrapText="1"/>
    </xf>
    <xf numFmtId="0" fontId="154" fillId="0" borderId="91" xfId="310" applyFont="1" applyBorder="1" applyAlignment="1">
      <alignment horizontal="center" vertical="center" wrapText="1"/>
    </xf>
    <xf numFmtId="166" fontId="154" fillId="0" borderId="0" xfId="310" applyNumberFormat="1" applyFont="1" applyAlignment="1">
      <alignment horizontal="right" vertical="center" wrapText="1"/>
    </xf>
    <xf numFmtId="0" fontId="152" fillId="0" borderId="34" xfId="310" applyFont="1" applyBorder="1" applyAlignment="1">
      <alignment horizontal="center" vertical="center"/>
    </xf>
    <xf numFmtId="0" fontId="205" fillId="0" borderId="35" xfId="310" applyFont="1" applyBorder="1" applyAlignment="1">
      <alignment vertical="center" wrapText="1"/>
    </xf>
    <xf numFmtId="0" fontId="205" fillId="0" borderId="36" xfId="310" applyFont="1" applyBorder="1" applyAlignment="1">
      <alignment horizontal="center" vertical="center"/>
    </xf>
    <xf numFmtId="0" fontId="206" fillId="0" borderId="37" xfId="310" applyFont="1" applyBorder="1" applyAlignment="1">
      <alignment horizontal="left" vertical="center"/>
    </xf>
    <xf numFmtId="0" fontId="205" fillId="0" borderId="42" xfId="310" applyFont="1" applyBorder="1" applyAlignment="1">
      <alignment horizontal="center" vertical="center"/>
    </xf>
    <xf numFmtId="0" fontId="152" fillId="0" borderId="36" xfId="310" applyFont="1" applyBorder="1" applyAlignment="1">
      <alignment horizontal="center" vertical="center"/>
    </xf>
    <xf numFmtId="166" fontId="152" fillId="0" borderId="36" xfId="310" applyNumberFormat="1" applyFont="1" applyBorder="1" applyAlignment="1">
      <alignment horizontal="right" vertical="center"/>
    </xf>
    <xf numFmtId="0" fontId="152" fillId="0" borderId="41" xfId="310" applyFont="1" applyBorder="1" applyAlignment="1">
      <alignment horizontal="center" vertical="center"/>
    </xf>
    <xf numFmtId="0" fontId="152" fillId="0" borderId="42" xfId="310" quotePrefix="1" applyFont="1" applyBorder="1" applyAlignment="1">
      <alignment horizontal="center" vertical="center"/>
    </xf>
    <xf numFmtId="17" fontId="153" fillId="0" borderId="36" xfId="310" applyNumberFormat="1" applyFont="1" applyBorder="1" applyAlignment="1">
      <alignment horizontal="center" vertical="center"/>
    </xf>
    <xf numFmtId="17" fontId="153" fillId="0" borderId="35" xfId="310" applyNumberFormat="1" applyFont="1" applyBorder="1" applyAlignment="1">
      <alignment horizontal="center" vertical="center"/>
    </xf>
    <xf numFmtId="17" fontId="153" fillId="0" borderId="38" xfId="310" applyNumberFormat="1" applyFont="1" applyBorder="1" applyAlignment="1">
      <alignment horizontal="center" vertical="center"/>
    </xf>
    <xf numFmtId="17" fontId="153" fillId="0" borderId="37" xfId="310" applyNumberFormat="1" applyFont="1" applyBorder="1" applyAlignment="1">
      <alignment horizontal="center" vertical="center"/>
    </xf>
    <xf numFmtId="0" fontId="153" fillId="0" borderId="43" xfId="310" applyFont="1" applyBorder="1" applyAlignment="1">
      <alignment vertical="center"/>
    </xf>
    <xf numFmtId="10" fontId="153" fillId="0" borderId="44" xfId="310" applyNumberFormat="1" applyFont="1" applyBorder="1" applyAlignment="1">
      <alignment horizontal="right" vertical="center"/>
    </xf>
    <xf numFmtId="17" fontId="207" fillId="0" borderId="26" xfId="310" quotePrefix="1" applyNumberFormat="1" applyFont="1" applyBorder="1" applyAlignment="1">
      <alignment horizontal="center" vertical="center"/>
    </xf>
    <xf numFmtId="17" fontId="207" fillId="0" borderId="0" xfId="310" quotePrefix="1" applyNumberFormat="1" applyFont="1" applyAlignment="1">
      <alignment horizontal="center" vertical="center"/>
    </xf>
    <xf numFmtId="0" fontId="153" fillId="0" borderId="0" xfId="310" applyFont="1" applyAlignment="1">
      <alignment vertical="center"/>
    </xf>
    <xf numFmtId="0" fontId="152" fillId="0" borderId="35" xfId="310" applyFont="1" applyBorder="1" applyAlignment="1">
      <alignment horizontal="center" vertical="center"/>
    </xf>
    <xf numFmtId="0" fontId="152" fillId="0" borderId="37" xfId="310" applyFont="1" applyBorder="1" applyAlignment="1">
      <alignment horizontal="center" vertical="center"/>
    </xf>
    <xf numFmtId="166" fontId="153" fillId="25" borderId="0" xfId="310" applyNumberFormat="1" applyFont="1" applyFill="1" applyAlignment="1">
      <alignment horizontal="right" vertical="center"/>
    </xf>
    <xf numFmtId="0" fontId="34" fillId="26" borderId="34" xfId="310" applyFont="1" applyFill="1" applyBorder="1" applyAlignment="1">
      <alignment horizontal="center" vertical="center"/>
    </xf>
    <xf numFmtId="0" fontId="155" fillId="26" borderId="45" xfId="310" applyFont="1" applyFill="1" applyBorder="1" applyAlignment="1">
      <alignment vertical="center" wrapText="1"/>
    </xf>
    <xf numFmtId="0" fontId="34" fillId="26" borderId="36" xfId="310" applyFont="1" applyFill="1" applyBorder="1" applyAlignment="1">
      <alignment horizontal="center" vertical="center"/>
    </xf>
    <xf numFmtId="0" fontId="34" fillId="26" borderId="37" xfId="310" applyFont="1" applyFill="1" applyBorder="1" applyAlignment="1">
      <alignment horizontal="center" vertical="center"/>
    </xf>
    <xf numFmtId="0" fontId="34" fillId="26" borderId="42" xfId="310" applyFont="1" applyFill="1" applyBorder="1" applyAlignment="1">
      <alignment horizontal="center" vertical="center"/>
    </xf>
    <xf numFmtId="4" fontId="34" fillId="26" borderId="112" xfId="310" applyNumberFormat="1" applyFont="1" applyFill="1" applyBorder="1" applyAlignment="1">
      <alignment horizontal="right" vertical="center"/>
    </xf>
    <xf numFmtId="4" fontId="34" fillId="26" borderId="30" xfId="310" applyNumberFormat="1" applyFont="1" applyFill="1" applyBorder="1" applyAlignment="1">
      <alignment horizontal="right" vertical="center"/>
    </xf>
    <xf numFmtId="4" fontId="34" fillId="26" borderId="46" xfId="310" applyNumberFormat="1" applyFont="1" applyFill="1" applyBorder="1" applyAlignment="1">
      <alignment horizontal="right" vertical="center"/>
    </xf>
    <xf numFmtId="0" fontId="34" fillId="0" borderId="43" xfId="310" applyFont="1" applyBorder="1" applyAlignment="1">
      <alignment vertical="center"/>
    </xf>
    <xf numFmtId="166" fontId="34" fillId="31" borderId="0" xfId="310" applyNumberFormat="1" applyFont="1" applyFill="1" applyAlignment="1">
      <alignment vertical="center"/>
    </xf>
    <xf numFmtId="166" fontId="72" fillId="0" borderId="0" xfId="310" applyNumberFormat="1" applyFont="1" applyAlignment="1">
      <alignment horizontal="right" vertical="center"/>
    </xf>
    <xf numFmtId="166" fontId="72" fillId="0" borderId="0" xfId="310" applyNumberFormat="1" applyFont="1" applyAlignment="1">
      <alignment vertical="center"/>
    </xf>
    <xf numFmtId="0" fontId="208" fillId="91" borderId="40" xfId="310" applyFont="1" applyFill="1" applyBorder="1" applyAlignment="1">
      <alignment horizontal="center" vertical="center" wrapText="1"/>
    </xf>
    <xf numFmtId="0" fontId="202" fillId="91" borderId="40" xfId="310" applyFont="1" applyFill="1" applyBorder="1" applyAlignment="1">
      <alignment vertical="center" wrapText="1"/>
    </xf>
    <xf numFmtId="0" fontId="209" fillId="91" borderId="40" xfId="310" applyFont="1" applyFill="1" applyBorder="1" applyAlignment="1">
      <alignment horizontal="center" vertical="center"/>
    </xf>
    <xf numFmtId="4" fontId="209" fillId="91" borderId="40" xfId="310" applyNumberFormat="1" applyFont="1" applyFill="1" applyBorder="1" applyAlignment="1">
      <alignment horizontal="center" vertical="center"/>
    </xf>
    <xf numFmtId="4" fontId="34" fillId="91" borderId="40" xfId="310" applyNumberFormat="1" applyFont="1" applyFill="1" applyBorder="1" applyAlignment="1">
      <alignment horizontal="right" vertical="center"/>
    </xf>
    <xf numFmtId="10" fontId="34" fillId="91" borderId="39" xfId="310" applyNumberFormat="1" applyFont="1" applyFill="1" applyBorder="1" applyAlignment="1" applyProtection="1">
      <alignment vertical="center"/>
      <protection locked="0"/>
    </xf>
    <xf numFmtId="4" fontId="34" fillId="91" borderId="39" xfId="310" applyNumberFormat="1" applyFont="1" applyFill="1" applyBorder="1" applyAlignment="1">
      <alignment horizontal="right" vertical="center"/>
    </xf>
    <xf numFmtId="4" fontId="34" fillId="91" borderId="38" xfId="310" applyNumberFormat="1" applyFont="1" applyFill="1" applyBorder="1" applyAlignment="1">
      <alignment horizontal="right" vertical="center"/>
    </xf>
    <xf numFmtId="0" fontId="34" fillId="0" borderId="40" xfId="310" applyFont="1" applyBorder="1" applyAlignment="1">
      <alignment vertical="center"/>
    </xf>
    <xf numFmtId="10" fontId="34" fillId="28" borderId="40" xfId="310" applyNumberFormat="1" applyFont="1" applyFill="1" applyBorder="1" applyAlignment="1">
      <alignment horizontal="right" vertical="center"/>
    </xf>
    <xf numFmtId="166" fontId="208" fillId="28" borderId="40" xfId="310" applyNumberFormat="1" applyFont="1" applyFill="1" applyBorder="1" applyAlignment="1">
      <alignment vertical="center"/>
    </xf>
    <xf numFmtId="166" fontId="208" fillId="0" borderId="40" xfId="310" applyNumberFormat="1" applyFont="1" applyBorder="1" applyAlignment="1">
      <alignment vertical="center"/>
    </xf>
    <xf numFmtId="49" fontId="34" fillId="28" borderId="40" xfId="310" applyNumberFormat="1" applyFont="1" applyFill="1" applyBorder="1" applyAlignment="1">
      <alignment horizontal="center" vertical="center"/>
    </xf>
    <xf numFmtId="165" fontId="34" fillId="28" borderId="40" xfId="251" applyFont="1" applyFill="1" applyBorder="1" applyAlignment="1">
      <alignment horizontal="center" vertical="center"/>
    </xf>
    <xf numFmtId="4" fontId="34" fillId="28" borderId="40" xfId="310" applyNumberFormat="1" applyFont="1" applyFill="1" applyBorder="1" applyAlignment="1">
      <alignment horizontal="right" vertical="center"/>
    </xf>
    <xf numFmtId="0" fontId="209" fillId="27" borderId="40" xfId="310" applyFont="1" applyFill="1" applyBorder="1" applyAlignment="1">
      <alignment horizontal="center" vertical="center"/>
    </xf>
    <xf numFmtId="0" fontId="209" fillId="27" borderId="40" xfId="310" applyFont="1" applyFill="1" applyBorder="1" applyAlignment="1">
      <alignment horizontal="left" vertical="center"/>
    </xf>
    <xf numFmtId="0" fontId="202" fillId="27" borderId="40" xfId="310" applyFont="1" applyFill="1" applyBorder="1" applyAlignment="1">
      <alignment horizontal="center" vertical="center"/>
    </xf>
    <xf numFmtId="0" fontId="202" fillId="29" borderId="40" xfId="310" applyFont="1" applyFill="1" applyBorder="1" applyAlignment="1">
      <alignment horizontal="center" vertical="center"/>
    </xf>
    <xf numFmtId="166" fontId="215" fillId="27" borderId="40" xfId="310" applyNumberFormat="1" applyFont="1" applyFill="1" applyBorder="1" applyAlignment="1">
      <alignment horizontal="right" vertical="center"/>
    </xf>
    <xf numFmtId="0" fontId="217" fillId="27" borderId="40" xfId="310" applyFont="1" applyFill="1" applyBorder="1" applyAlignment="1">
      <alignment horizontal="center" vertical="center"/>
    </xf>
    <xf numFmtId="166" fontId="217" fillId="27" borderId="40" xfId="310" applyNumberFormat="1" applyFont="1" applyFill="1" applyBorder="1" applyAlignment="1">
      <alignment horizontal="right" vertical="center"/>
    </xf>
    <xf numFmtId="166" fontId="34" fillId="29" borderId="40" xfId="310" applyNumberFormat="1" applyFont="1" applyFill="1" applyBorder="1" applyAlignment="1">
      <alignment horizontal="right" vertical="center"/>
    </xf>
    <xf numFmtId="4" fontId="34" fillId="0" borderId="40" xfId="310" applyNumberFormat="1" applyFont="1" applyBorder="1" applyAlignment="1">
      <alignment horizontal="right" vertical="center"/>
    </xf>
    <xf numFmtId="166" fontId="215" fillId="27" borderId="39" xfId="310" applyNumberFormat="1" applyFont="1" applyFill="1" applyBorder="1" applyAlignment="1">
      <alignment horizontal="right" vertical="center"/>
    </xf>
    <xf numFmtId="4" fontId="34" fillId="29" borderId="40" xfId="310" applyNumberFormat="1" applyFont="1" applyFill="1" applyBorder="1" applyAlignment="1">
      <alignment horizontal="right" vertical="center"/>
    </xf>
    <xf numFmtId="4" fontId="216" fillId="29" borderId="40" xfId="310" applyNumberFormat="1" applyFont="1" applyFill="1" applyBorder="1" applyAlignment="1">
      <alignment horizontal="right" vertical="center"/>
    </xf>
    <xf numFmtId="4" fontId="155" fillId="29" borderId="40" xfId="310" applyNumberFormat="1" applyFont="1" applyFill="1" applyBorder="1" applyAlignment="1">
      <alignment horizontal="right" vertical="center"/>
    </xf>
    <xf numFmtId="4" fontId="155" fillId="29" borderId="39" xfId="310" applyNumberFormat="1" applyFont="1" applyFill="1" applyBorder="1" applyAlignment="1">
      <alignment horizontal="right" vertical="center"/>
    </xf>
    <xf numFmtId="0" fontId="34" fillId="29" borderId="40" xfId="310" applyFont="1" applyFill="1" applyBorder="1" applyAlignment="1">
      <alignment vertical="center"/>
    </xf>
    <xf numFmtId="4" fontId="155" fillId="27" borderId="40" xfId="310" applyNumberFormat="1" applyFont="1" applyFill="1" applyBorder="1" applyAlignment="1">
      <alignment horizontal="right" vertical="center"/>
    </xf>
    <xf numFmtId="4" fontId="34" fillId="27" borderId="40" xfId="310" applyNumberFormat="1" applyFont="1" applyFill="1" applyBorder="1" applyAlignment="1">
      <alignment horizontal="right" vertical="center"/>
    </xf>
    <xf numFmtId="4" fontId="218" fillId="0" borderId="40" xfId="310" applyNumberFormat="1" applyFont="1" applyBorder="1" applyAlignment="1">
      <alignment horizontal="right" vertical="center"/>
    </xf>
    <xf numFmtId="10" fontId="34" fillId="0" borderId="40" xfId="310" applyNumberFormat="1" applyFont="1" applyBorder="1" applyAlignment="1" applyProtection="1">
      <alignment vertical="center" shrinkToFit="1"/>
      <protection locked="0"/>
    </xf>
    <xf numFmtId="10" fontId="34" fillId="0" borderId="40" xfId="310" applyNumberFormat="1" applyFont="1" applyBorder="1" applyAlignment="1">
      <alignment horizontal="right" vertical="center"/>
    </xf>
    <xf numFmtId="0" fontId="216" fillId="0" borderId="40" xfId="310" applyFont="1" applyBorder="1" applyAlignment="1">
      <alignment horizontal="center" vertical="center"/>
    </xf>
    <xf numFmtId="165" fontId="216" fillId="0" borderId="40" xfId="251" applyFont="1" applyFill="1" applyBorder="1" applyAlignment="1">
      <alignment horizontal="right" vertical="center"/>
    </xf>
    <xf numFmtId="166" fontId="34" fillId="0" borderId="40" xfId="310" applyNumberFormat="1" applyFont="1" applyBorder="1" applyAlignment="1">
      <alignment vertical="center"/>
    </xf>
    <xf numFmtId="0" fontId="209" fillId="0" borderId="40" xfId="310" applyFont="1" applyBorder="1" applyAlignment="1">
      <alignment horizontal="center" vertical="center"/>
    </xf>
    <xf numFmtId="0" fontId="209" fillId="29" borderId="40" xfId="310" applyFont="1" applyFill="1" applyBorder="1" applyAlignment="1">
      <alignment horizontal="left" vertical="center"/>
    </xf>
    <xf numFmtId="0" fontId="216" fillId="29" borderId="40" xfId="310" applyFont="1" applyFill="1" applyBorder="1" applyAlignment="1">
      <alignment horizontal="center" vertical="center"/>
    </xf>
    <xf numFmtId="166" fontId="216" fillId="29" borderId="40" xfId="310" applyNumberFormat="1" applyFont="1" applyFill="1" applyBorder="1" applyAlignment="1">
      <alignment horizontal="right" vertical="center"/>
    </xf>
    <xf numFmtId="166" fontId="215" fillId="29" borderId="39" xfId="310" applyNumberFormat="1" applyFont="1" applyFill="1" applyBorder="1" applyAlignment="1">
      <alignment horizontal="right" vertical="center"/>
    </xf>
    <xf numFmtId="4" fontId="34" fillId="29" borderId="40" xfId="310" applyNumberFormat="1" applyFont="1" applyFill="1" applyBorder="1" applyAlignment="1">
      <alignment vertical="center"/>
    </xf>
    <xf numFmtId="0" fontId="202" fillId="27" borderId="40" xfId="310" applyFont="1" applyFill="1" applyBorder="1" applyAlignment="1">
      <alignment vertical="center" wrapText="1"/>
    </xf>
    <xf numFmtId="4" fontId="155" fillId="29" borderId="40" xfId="310" applyNumberFormat="1" applyFont="1" applyFill="1" applyBorder="1" applyAlignment="1">
      <alignment vertical="center"/>
    </xf>
    <xf numFmtId="0" fontId="209" fillId="29" borderId="40" xfId="310" applyFont="1" applyFill="1" applyBorder="1" applyAlignment="1">
      <alignment horizontal="center" vertical="center"/>
    </xf>
    <xf numFmtId="4" fontId="221" fillId="29" borderId="40" xfId="310" applyNumberFormat="1" applyFont="1" applyFill="1" applyBorder="1" applyAlignment="1">
      <alignment horizontal="right" vertical="center"/>
    </xf>
    <xf numFmtId="4" fontId="155" fillId="29" borderId="38" xfId="310" applyNumberFormat="1" applyFont="1" applyFill="1" applyBorder="1" applyAlignment="1">
      <alignment horizontal="right" vertical="center"/>
    </xf>
    <xf numFmtId="0" fontId="217" fillId="29" borderId="40" xfId="310" applyFont="1" applyFill="1" applyBorder="1" applyAlignment="1">
      <alignment horizontal="center" vertical="center"/>
    </xf>
    <xf numFmtId="0" fontId="34" fillId="0" borderId="40" xfId="310" quotePrefix="1" applyFont="1" applyBorder="1" applyAlignment="1">
      <alignment horizontal="left" vertical="center"/>
    </xf>
    <xf numFmtId="4" fontId="216" fillId="27" borderId="40" xfId="310" applyNumberFormat="1" applyFont="1" applyFill="1" applyBorder="1" applyAlignment="1">
      <alignment horizontal="right" vertical="center"/>
    </xf>
    <xf numFmtId="4" fontId="221" fillId="27" borderId="40" xfId="310" applyNumberFormat="1" applyFont="1" applyFill="1" applyBorder="1" applyAlignment="1">
      <alignment horizontal="right" vertical="center"/>
    </xf>
    <xf numFmtId="4" fontId="155" fillId="27" borderId="39" xfId="310" applyNumberFormat="1" applyFont="1" applyFill="1" applyBorder="1" applyAlignment="1">
      <alignment horizontal="right" vertical="center"/>
    </xf>
    <xf numFmtId="0" fontId="155" fillId="0" borderId="40" xfId="310" quotePrefix="1" applyFont="1" applyBorder="1" applyAlignment="1">
      <alignment horizontal="center" vertical="center"/>
    </xf>
    <xf numFmtId="4" fontId="209" fillId="29" borderId="40" xfId="310" applyNumberFormat="1" applyFont="1" applyFill="1" applyBorder="1" applyAlignment="1">
      <alignment horizontal="center" vertical="center"/>
    </xf>
    <xf numFmtId="166" fontId="217" fillId="29" borderId="40" xfId="310" applyNumberFormat="1" applyFont="1" applyFill="1" applyBorder="1" applyAlignment="1">
      <alignment horizontal="right" vertical="center"/>
    </xf>
    <xf numFmtId="4" fontId="224" fillId="29" borderId="40" xfId="310" applyNumberFormat="1" applyFont="1" applyFill="1" applyBorder="1" applyAlignment="1">
      <alignment horizontal="right" vertical="center"/>
    </xf>
    <xf numFmtId="4" fontId="155" fillId="29" borderId="39" xfId="310" applyNumberFormat="1" applyFont="1" applyFill="1" applyBorder="1" applyAlignment="1">
      <alignment vertical="center"/>
    </xf>
    <xf numFmtId="0" fontId="216" fillId="29" borderId="40" xfId="310" applyFont="1" applyFill="1" applyBorder="1" applyAlignment="1">
      <alignment horizontal="right" vertical="center"/>
    </xf>
    <xf numFmtId="0" fontId="218" fillId="0" borderId="40" xfId="310" applyFont="1" applyBorder="1" applyAlignment="1">
      <alignment horizontal="right" vertical="center"/>
    </xf>
    <xf numFmtId="0" fontId="34" fillId="0" borderId="40" xfId="310" applyFont="1" applyBorder="1" applyAlignment="1">
      <alignment horizontal="right" vertical="center"/>
    </xf>
    <xf numFmtId="0" fontId="208" fillId="0" borderId="40" xfId="310" applyFont="1" applyBorder="1" applyAlignment="1">
      <alignment vertical="center"/>
    </xf>
    <xf numFmtId="0" fontId="216" fillId="0" borderId="40" xfId="251" applyNumberFormat="1" applyFont="1" applyFill="1" applyBorder="1" applyAlignment="1">
      <alignment horizontal="right" vertical="center"/>
    </xf>
    <xf numFmtId="0" fontId="140" fillId="0" borderId="40" xfId="0" applyFont="1" applyBorder="1" applyAlignment="1">
      <alignment horizontal="left" vertical="center" indent="1"/>
    </xf>
    <xf numFmtId="0" fontId="225" fillId="27" borderId="40" xfId="310" applyFont="1" applyFill="1" applyBorder="1" applyAlignment="1">
      <alignment vertical="center" wrapText="1"/>
    </xf>
    <xf numFmtId="0" fontId="226" fillId="27" borderId="40" xfId="310" applyFont="1" applyFill="1" applyBorder="1" applyAlignment="1">
      <alignment horizontal="center" vertical="center"/>
    </xf>
    <xf numFmtId="0" fontId="226" fillId="27" borderId="40" xfId="310" applyFont="1" applyFill="1" applyBorder="1" applyAlignment="1">
      <alignment horizontal="left" vertical="center"/>
    </xf>
    <xf numFmtId="0" fontId="229" fillId="29" borderId="40" xfId="310" applyFont="1" applyFill="1" applyBorder="1" applyAlignment="1">
      <alignment horizontal="center" vertical="center"/>
    </xf>
    <xf numFmtId="4" fontId="231" fillId="29" borderId="40" xfId="310" applyNumberFormat="1" applyFont="1" applyFill="1" applyBorder="1" applyAlignment="1">
      <alignment horizontal="right" vertical="center"/>
    </xf>
    <xf numFmtId="4" fontId="232" fillId="0" borderId="40" xfId="310" applyNumberFormat="1" applyFont="1" applyBorder="1" applyAlignment="1">
      <alignment horizontal="right" vertical="center"/>
    </xf>
    <xf numFmtId="0" fontId="230" fillId="0" borderId="40" xfId="310" applyFont="1" applyBorder="1" applyAlignment="1">
      <alignment vertical="center"/>
    </xf>
    <xf numFmtId="10" fontId="230" fillId="0" borderId="40" xfId="310" applyNumberFormat="1" applyFont="1" applyBorder="1" applyAlignment="1">
      <alignment horizontal="right" vertical="center"/>
    </xf>
    <xf numFmtId="166" fontId="227" fillId="0" borderId="40" xfId="310" applyNumberFormat="1" applyFont="1" applyBorder="1" applyAlignment="1">
      <alignment vertical="center"/>
    </xf>
    <xf numFmtId="0" fontId="228" fillId="0" borderId="40" xfId="310" applyFont="1" applyBorder="1" applyAlignment="1">
      <alignment horizontal="center" vertical="center"/>
    </xf>
    <xf numFmtId="165" fontId="228" fillId="0" borderId="40" xfId="251" applyFont="1" applyFill="1" applyBorder="1" applyAlignment="1">
      <alignment horizontal="right" vertical="center"/>
    </xf>
    <xf numFmtId="166" fontId="230" fillId="0" borderId="40" xfId="310" applyNumberFormat="1" applyFont="1" applyBorder="1" applyAlignment="1">
      <alignment vertical="center"/>
    </xf>
    <xf numFmtId="4" fontId="154" fillId="27" borderId="186" xfId="310" applyNumberFormat="1" applyFont="1" applyFill="1" applyBorder="1" applyAlignment="1">
      <alignment horizontal="right" vertical="center"/>
    </xf>
    <xf numFmtId="0" fontId="202" fillId="27" borderId="186" xfId="310" applyFont="1" applyFill="1" applyBorder="1" applyAlignment="1">
      <alignment horizontal="center" vertical="center"/>
    </xf>
    <xf numFmtId="4" fontId="34" fillId="0" borderId="186" xfId="310" applyNumberFormat="1" applyFont="1" applyBorder="1" applyAlignment="1">
      <alignment horizontal="right" vertical="center"/>
    </xf>
    <xf numFmtId="4" fontId="34" fillId="27" borderId="186" xfId="310" applyNumberFormat="1" applyFont="1" applyFill="1" applyBorder="1" applyAlignment="1">
      <alignment horizontal="right" vertical="center"/>
    </xf>
    <xf numFmtId="166" fontId="215" fillId="27" borderId="149" xfId="310" applyNumberFormat="1" applyFont="1" applyFill="1" applyBorder="1" applyAlignment="1">
      <alignment horizontal="right" vertical="center"/>
    </xf>
    <xf numFmtId="4" fontId="155" fillId="27" borderId="38" xfId="310" applyNumberFormat="1" applyFont="1" applyFill="1" applyBorder="1" applyAlignment="1">
      <alignment horizontal="right" vertical="center"/>
    </xf>
    <xf numFmtId="0" fontId="202" fillId="27" borderId="186" xfId="310" applyFont="1" applyFill="1" applyBorder="1" applyAlignment="1">
      <alignment vertical="center" wrapText="1"/>
    </xf>
    <xf numFmtId="0" fontId="209" fillId="27" borderId="186" xfId="310" applyFont="1" applyFill="1" applyBorder="1" applyAlignment="1">
      <alignment horizontal="center" vertical="center"/>
    </xf>
    <xf numFmtId="0" fontId="209" fillId="27" borderId="186" xfId="310" applyFont="1" applyFill="1" applyBorder="1" applyAlignment="1">
      <alignment horizontal="left" vertical="center"/>
    </xf>
    <xf numFmtId="0" fontId="217" fillId="27" borderId="186" xfId="310" applyFont="1" applyFill="1" applyBorder="1" applyAlignment="1">
      <alignment horizontal="center" vertical="center"/>
    </xf>
    <xf numFmtId="166" fontId="217" fillId="27" borderId="186" xfId="310" applyNumberFormat="1" applyFont="1" applyFill="1" applyBorder="1" applyAlignment="1">
      <alignment horizontal="right" vertical="center"/>
    </xf>
    <xf numFmtId="166" fontId="34" fillId="29" borderId="186" xfId="310" applyNumberFormat="1" applyFont="1" applyFill="1" applyBorder="1" applyAlignment="1">
      <alignment horizontal="right" vertical="center"/>
    </xf>
    <xf numFmtId="4" fontId="216" fillId="27" borderId="186" xfId="310" applyNumberFormat="1" applyFont="1" applyFill="1" applyBorder="1" applyAlignment="1">
      <alignment horizontal="right" vertical="center"/>
    </xf>
    <xf numFmtId="4" fontId="34" fillId="27" borderId="117" xfId="310" applyNumberFormat="1" applyFont="1" applyFill="1" applyBorder="1" applyAlignment="1">
      <alignment horizontal="right" vertical="center"/>
    </xf>
    <xf numFmtId="4" fontId="218" fillId="0" borderId="186" xfId="310" applyNumberFormat="1" applyFont="1" applyBorder="1" applyAlignment="1">
      <alignment horizontal="right" vertical="center"/>
    </xf>
    <xf numFmtId="0" fontId="238" fillId="0" borderId="15" xfId="310" applyFont="1" applyBorder="1" applyAlignment="1">
      <alignment horizontal="center" vertical="center"/>
    </xf>
    <xf numFmtId="0" fontId="238" fillId="0" borderId="16" xfId="310" applyFont="1" applyBorder="1" applyAlignment="1">
      <alignment horizontal="left" vertical="center"/>
    </xf>
    <xf numFmtId="0" fontId="238" fillId="0" borderId="89" xfId="310" applyFont="1" applyBorder="1" applyAlignment="1">
      <alignment horizontal="center" vertical="center"/>
    </xf>
    <xf numFmtId="4" fontId="208" fillId="87" borderId="88" xfId="310" applyNumberFormat="1" applyFont="1" applyFill="1" applyBorder="1" applyAlignment="1">
      <alignment horizontal="right" vertical="center"/>
    </xf>
    <xf numFmtId="4" fontId="208" fillId="87" borderId="86" xfId="310" applyNumberFormat="1" applyFont="1" applyFill="1" applyBorder="1" applyAlignment="1">
      <alignment horizontal="right" vertical="center"/>
    </xf>
    <xf numFmtId="4" fontId="208" fillId="87" borderId="105" xfId="310" applyNumberFormat="1" applyFont="1" applyFill="1" applyBorder="1" applyAlignment="1">
      <alignment horizontal="right" vertical="center"/>
    </xf>
    <xf numFmtId="4" fontId="208" fillId="87" borderId="103" xfId="310" applyNumberFormat="1" applyFont="1" applyFill="1" applyBorder="1" applyAlignment="1">
      <alignment horizontal="center" vertical="center"/>
    </xf>
    <xf numFmtId="4" fontId="208" fillId="87" borderId="33" xfId="310" applyNumberFormat="1" applyFont="1" applyFill="1" applyBorder="1" applyAlignment="1">
      <alignment horizontal="right" vertical="center"/>
    </xf>
    <xf numFmtId="4" fontId="34" fillId="0" borderId="28" xfId="310" applyNumberFormat="1" applyFont="1" applyBorder="1" applyAlignment="1">
      <alignment vertical="center"/>
    </xf>
    <xf numFmtId="10" fontId="34" fillId="0" borderId="89" xfId="310" applyNumberFormat="1" applyFont="1" applyBorder="1" applyAlignment="1" applyProtection="1">
      <alignment horizontal="right" vertical="center"/>
      <protection locked="0"/>
    </xf>
    <xf numFmtId="166" fontId="34" fillId="0" borderId="16" xfId="310" applyNumberFormat="1" applyFont="1" applyBorder="1" applyAlignment="1">
      <alignment horizontal="right" vertical="center"/>
    </xf>
    <xf numFmtId="166" fontId="208" fillId="0" borderId="0" xfId="310" applyNumberFormat="1" applyFont="1" applyAlignment="1">
      <alignment vertical="center"/>
    </xf>
    <xf numFmtId="0" fontId="201" fillId="0" borderId="0" xfId="310" applyFont="1" applyAlignment="1">
      <alignment vertical="center"/>
    </xf>
    <xf numFmtId="49" fontId="193" fillId="0" borderId="14" xfId="310" applyNumberFormat="1" applyFont="1" applyBorder="1" applyAlignment="1">
      <alignment horizontal="center" vertical="center"/>
    </xf>
    <xf numFmtId="0" fontId="193" fillId="0" borderId="15" xfId="310" applyFont="1" applyBorder="1" applyAlignment="1">
      <alignment horizontal="left" vertical="center"/>
    </xf>
    <xf numFmtId="0" fontId="193" fillId="0" borderId="101" xfId="310" applyFont="1" applyBorder="1" applyAlignment="1">
      <alignment horizontal="left" vertical="center"/>
    </xf>
    <xf numFmtId="4" fontId="208" fillId="0" borderId="16" xfId="310" applyNumberFormat="1" applyFont="1" applyBorder="1" applyAlignment="1">
      <alignment horizontal="right" vertical="center"/>
    </xf>
    <xf numFmtId="0" fontId="238" fillId="0" borderId="23" xfId="310" applyFont="1" applyBorder="1" applyAlignment="1">
      <alignment horizontal="center" vertical="center"/>
    </xf>
    <xf numFmtId="0" fontId="238" fillId="0" borderId="27" xfId="310" applyFont="1" applyBorder="1" applyAlignment="1">
      <alignment horizontal="center" vertical="center"/>
    </xf>
    <xf numFmtId="0" fontId="238" fillId="0" borderId="91" xfId="310" applyFont="1" applyBorder="1" applyAlignment="1">
      <alignment horizontal="left" vertical="center"/>
    </xf>
    <xf numFmtId="0" fontId="238" fillId="0" borderId="24" xfId="310" applyFont="1" applyBorder="1" applyAlignment="1">
      <alignment horizontal="center" vertical="center"/>
    </xf>
    <xf numFmtId="166" fontId="208" fillId="0" borderId="26" xfId="310" applyNumberFormat="1" applyFont="1" applyBorder="1" applyAlignment="1">
      <alignment vertical="center"/>
    </xf>
    <xf numFmtId="4" fontId="34" fillId="0" borderId="39" xfId="310" applyNumberFormat="1" applyFont="1" applyBorder="1" applyAlignment="1">
      <alignment horizontal="right" vertical="center"/>
    </xf>
    <xf numFmtId="4" fontId="34" fillId="0" borderId="38" xfId="310" applyNumberFormat="1" applyFont="1" applyBorder="1" applyAlignment="1">
      <alignment horizontal="right" vertical="center"/>
    </xf>
    <xf numFmtId="4" fontId="34" fillId="0" borderId="40" xfId="310" applyNumberFormat="1" applyFont="1" applyBorder="1" applyAlignment="1">
      <alignment vertical="center"/>
    </xf>
    <xf numFmtId="10" fontId="34" fillId="0" borderId="24" xfId="310" applyNumberFormat="1" applyFont="1" applyBorder="1" applyAlignment="1" applyProtection="1">
      <alignment horizontal="right" vertical="center"/>
      <protection locked="0"/>
    </xf>
    <xf numFmtId="49" fontId="193" fillId="0" borderId="90" xfId="310" applyNumberFormat="1" applyFont="1" applyBorder="1" applyAlignment="1">
      <alignment horizontal="center" vertical="center"/>
    </xf>
    <xf numFmtId="0" fontId="193" fillId="0" borderId="27" xfId="310" applyFont="1" applyBorder="1" applyAlignment="1">
      <alignment horizontal="left" vertical="center"/>
    </xf>
    <xf numFmtId="166" fontId="34" fillId="0" borderId="23" xfId="310" applyNumberFormat="1" applyFont="1" applyBorder="1" applyAlignment="1">
      <alignment vertical="center"/>
    </xf>
    <xf numFmtId="0" fontId="238" fillId="0" borderId="34" xfId="310" applyFont="1" applyBorder="1" applyAlignment="1">
      <alignment horizontal="center" vertical="center"/>
    </xf>
    <xf numFmtId="0" fontId="238" fillId="0" borderId="36" xfId="310" applyFont="1" applyBorder="1" applyAlignment="1">
      <alignment horizontal="center" vertical="center"/>
    </xf>
    <xf numFmtId="0" fontId="238" fillId="0" borderId="37" xfId="310" applyFont="1" applyBorder="1" applyAlignment="1">
      <alignment horizontal="left" vertical="center"/>
    </xf>
    <xf numFmtId="0" fontId="238" fillId="0" borderId="42" xfId="310" applyFont="1" applyBorder="1" applyAlignment="1">
      <alignment horizontal="center" vertical="center"/>
    </xf>
    <xf numFmtId="166" fontId="208" fillId="0" borderId="41" xfId="310" applyNumberFormat="1" applyFont="1" applyBorder="1" applyAlignment="1">
      <alignment vertical="center"/>
    </xf>
    <xf numFmtId="166" fontId="223" fillId="0" borderId="47" xfId="310" applyNumberFormat="1" applyFont="1" applyBorder="1" applyAlignment="1">
      <alignment horizontal="left" vertical="center"/>
    </xf>
    <xf numFmtId="166" fontId="34" fillId="0" borderId="37" xfId="310" applyNumberFormat="1" applyFont="1" applyBorder="1" applyAlignment="1">
      <alignment horizontal="right" vertical="center"/>
    </xf>
    <xf numFmtId="4" fontId="34" fillId="0" borderId="42" xfId="310" applyNumberFormat="1" applyFont="1" applyBorder="1" applyAlignment="1">
      <alignment vertical="center"/>
    </xf>
    <xf numFmtId="10" fontId="34" fillId="0" borderId="42" xfId="310" applyNumberFormat="1" applyFont="1" applyBorder="1" applyAlignment="1" applyProtection="1">
      <alignment horizontal="right" vertical="center"/>
      <protection locked="0"/>
    </xf>
    <xf numFmtId="49" fontId="193" fillId="0" borderId="35" xfId="310" applyNumberFormat="1" applyFont="1" applyBorder="1" applyAlignment="1">
      <alignment horizontal="center" vertical="center"/>
    </xf>
    <xf numFmtId="0" fontId="193" fillId="0" borderId="36" xfId="310" applyFont="1" applyBorder="1" applyAlignment="1">
      <alignment horizontal="left" vertical="center"/>
    </xf>
    <xf numFmtId="166" fontId="34" fillId="0" borderId="34" xfId="310" applyNumberFormat="1" applyFont="1" applyBorder="1" applyAlignment="1">
      <alignment vertical="center"/>
    </xf>
    <xf numFmtId="0" fontId="238" fillId="0" borderId="114" xfId="310" applyFont="1" applyBorder="1" applyAlignment="1">
      <alignment horizontal="center" vertical="center"/>
    </xf>
    <xf numFmtId="0" fontId="238" fillId="0" borderId="185" xfId="310" applyFont="1" applyBorder="1" applyAlignment="1">
      <alignment horizontal="center" vertical="center"/>
    </xf>
    <xf numFmtId="0" fontId="238" fillId="0" borderId="175" xfId="310" applyFont="1" applyBorder="1" applyAlignment="1">
      <alignment horizontal="left" vertical="center"/>
    </xf>
    <xf numFmtId="0" fontId="238" fillId="0" borderId="115" xfId="310" applyFont="1" applyBorder="1" applyAlignment="1">
      <alignment horizontal="center" vertical="center"/>
    </xf>
    <xf numFmtId="166" fontId="223" fillId="0" borderId="216" xfId="310" applyNumberFormat="1" applyFont="1" applyBorder="1" applyAlignment="1">
      <alignment horizontal="left" vertical="center"/>
    </xf>
    <xf numFmtId="166" fontId="34" fillId="0" borderId="175" xfId="310" applyNumberFormat="1" applyFont="1" applyBorder="1" applyAlignment="1">
      <alignment horizontal="right" vertical="center"/>
    </xf>
    <xf numFmtId="166" fontId="34" fillId="0" borderId="115" xfId="310" applyNumberFormat="1" applyFont="1" applyBorder="1" applyAlignment="1">
      <alignment horizontal="right" vertical="center"/>
    </xf>
    <xf numFmtId="166" fontId="34" fillId="0" borderId="185" xfId="310" applyNumberFormat="1" applyFont="1" applyBorder="1" applyAlignment="1">
      <alignment horizontal="right" vertical="center"/>
    </xf>
    <xf numFmtId="166" fontId="34" fillId="0" borderId="174" xfId="310" applyNumberFormat="1" applyFont="1" applyBorder="1" applyAlignment="1">
      <alignment horizontal="right" vertical="center"/>
    </xf>
    <xf numFmtId="166" fontId="34" fillId="0" borderId="186" xfId="310" applyNumberFormat="1" applyFont="1" applyBorder="1" applyAlignment="1">
      <alignment horizontal="right" vertical="center"/>
    </xf>
    <xf numFmtId="4" fontId="34" fillId="0" borderId="117" xfId="310" applyNumberFormat="1" applyFont="1" applyBorder="1" applyAlignment="1">
      <alignment horizontal="right" vertical="center"/>
    </xf>
    <xf numFmtId="0" fontId="72" fillId="0" borderId="15" xfId="310" applyFont="1" applyBorder="1" applyAlignment="1">
      <alignment horizontal="center" vertical="center"/>
    </xf>
    <xf numFmtId="0" fontId="72" fillId="0" borderId="16" xfId="310" applyFont="1" applyBorder="1" applyAlignment="1">
      <alignment horizontal="left" vertical="center"/>
    </xf>
    <xf numFmtId="0" fontId="72" fillId="0" borderId="89" xfId="310" applyFont="1" applyBorder="1" applyAlignment="1">
      <alignment horizontal="center" vertical="center"/>
    </xf>
    <xf numFmtId="166" fontId="72" fillId="0" borderId="88" xfId="310" applyNumberFormat="1" applyFont="1" applyBorder="1" applyAlignment="1">
      <alignment vertical="center"/>
    </xf>
    <xf numFmtId="4" fontId="72" fillId="0" borderId="85" xfId="310" applyNumberFormat="1" applyFont="1" applyBorder="1" applyAlignment="1">
      <alignment horizontal="center" vertical="center"/>
    </xf>
    <xf numFmtId="4" fontId="72" fillId="0" borderId="87" xfId="310" applyNumberFormat="1" applyFont="1" applyBorder="1" applyAlignment="1">
      <alignment horizontal="center" vertical="center"/>
    </xf>
    <xf numFmtId="4" fontId="140" fillId="0" borderId="15" xfId="310" applyNumberFormat="1" applyFont="1" applyBorder="1" applyAlignment="1">
      <alignment horizontal="left"/>
    </xf>
    <xf numFmtId="166" fontId="140" fillId="0" borderId="15" xfId="310" applyNumberFormat="1" applyFont="1" applyBorder="1" applyAlignment="1">
      <alignment horizontal="right"/>
    </xf>
    <xf numFmtId="166" fontId="140" fillId="0" borderId="85" xfId="310" applyNumberFormat="1" applyFont="1" applyBorder="1" applyAlignment="1">
      <alignment horizontal="right"/>
    </xf>
    <xf numFmtId="166" fontId="72" fillId="0" borderId="16" xfId="310" applyNumberFormat="1" applyFont="1" applyBorder="1" applyAlignment="1">
      <alignment horizontal="right"/>
    </xf>
    <xf numFmtId="4" fontId="72" fillId="0" borderId="89" xfId="310" applyNumberFormat="1" applyFont="1" applyBorder="1" applyAlignment="1">
      <alignment vertical="center"/>
    </xf>
    <xf numFmtId="4" fontId="72" fillId="0" borderId="14" xfId="310" applyNumberFormat="1" applyFont="1" applyBorder="1" applyAlignment="1">
      <alignment vertical="center"/>
    </xf>
    <xf numFmtId="4" fontId="72" fillId="0" borderId="87" xfId="310" applyNumberFormat="1" applyFont="1" applyBorder="1" applyAlignment="1">
      <alignment horizontal="right" vertical="center"/>
    </xf>
    <xf numFmtId="4" fontId="72" fillId="0" borderId="88" xfId="310" applyNumberFormat="1" applyFont="1" applyBorder="1" applyAlignment="1">
      <alignment horizontal="right" vertical="center"/>
    </xf>
    <xf numFmtId="4" fontId="72" fillId="0" borderId="14" xfId="310" applyNumberFormat="1" applyFont="1" applyBorder="1" applyAlignment="1">
      <alignment horizontal="right" vertical="center"/>
    </xf>
    <xf numFmtId="4" fontId="72" fillId="0" borderId="15" xfId="310" applyNumberFormat="1" applyFont="1" applyBorder="1" applyAlignment="1">
      <alignment horizontal="right" vertical="center"/>
    </xf>
    <xf numFmtId="0" fontId="72" fillId="0" borderId="0" xfId="310" applyFont="1" applyAlignment="1">
      <alignment vertical="center"/>
    </xf>
    <xf numFmtId="49" fontId="72" fillId="0" borderId="32" xfId="310" applyNumberFormat="1" applyFont="1" applyBorder="1" applyAlignment="1">
      <alignment horizontal="center" vertical="center"/>
    </xf>
    <xf numFmtId="0" fontId="72" fillId="0" borderId="100" xfId="310" applyFont="1" applyBorder="1" applyAlignment="1">
      <alignment horizontal="left" vertical="center"/>
    </xf>
    <xf numFmtId="166" fontId="72" fillId="0" borderId="99" xfId="310" applyNumberFormat="1" applyFont="1" applyBorder="1" applyAlignment="1">
      <alignment vertical="center"/>
    </xf>
    <xf numFmtId="4" fontId="215" fillId="27" borderId="53" xfId="310" applyNumberFormat="1" applyFont="1" applyFill="1" applyBorder="1" applyAlignment="1">
      <alignment horizontal="right" vertical="center"/>
    </xf>
    <xf numFmtId="4" fontId="155" fillId="29" borderId="40" xfId="310" applyNumberFormat="1" applyFont="1" applyFill="1" applyBorder="1" applyAlignment="1">
      <alignment horizontal="right"/>
    </xf>
    <xf numFmtId="10" fontId="155" fillId="0" borderId="69" xfId="310" applyNumberFormat="1" applyFont="1" applyBorder="1" applyAlignment="1">
      <alignment horizontal="right"/>
    </xf>
    <xf numFmtId="166" fontId="213" fillId="0" borderId="57" xfId="310" applyNumberFormat="1" applyFont="1" applyBorder="1"/>
    <xf numFmtId="166" fontId="213" fillId="0" borderId="0" xfId="310" applyNumberFormat="1" applyFont="1"/>
    <xf numFmtId="0" fontId="241" fillId="0" borderId="0" xfId="310" applyFont="1"/>
    <xf numFmtId="49" fontId="154" fillId="0" borderId="64" xfId="310" applyNumberFormat="1" applyFont="1" applyBorder="1" applyAlignment="1">
      <alignment horizontal="center"/>
    </xf>
    <xf numFmtId="165" fontId="154" fillId="0" borderId="12" xfId="251" applyFont="1" applyFill="1" applyBorder="1" applyAlignment="1">
      <alignment horizontal="left"/>
    </xf>
    <xf numFmtId="165" fontId="154" fillId="0" borderId="65" xfId="251" applyFont="1" applyFill="1" applyBorder="1" applyAlignment="1">
      <alignment horizontal="left"/>
    </xf>
    <xf numFmtId="166" fontId="155" fillId="0" borderId="48" xfId="310" applyNumberFormat="1" applyFont="1" applyBorder="1"/>
    <xf numFmtId="4" fontId="202" fillId="29" borderId="40" xfId="310" applyNumberFormat="1" applyFont="1" applyFill="1" applyBorder="1" applyAlignment="1">
      <alignment horizontal="center"/>
    </xf>
    <xf numFmtId="4" fontId="215" fillId="29" borderId="40" xfId="310" applyNumberFormat="1" applyFont="1" applyFill="1" applyBorder="1" applyAlignment="1">
      <alignment horizontal="center"/>
    </xf>
    <xf numFmtId="4" fontId="215" fillId="27" borderId="40" xfId="310" applyNumberFormat="1" applyFont="1" applyFill="1" applyBorder="1" applyAlignment="1">
      <alignment horizontal="center"/>
    </xf>
    <xf numFmtId="4" fontId="215" fillId="0" borderId="40" xfId="310" applyNumberFormat="1" applyFont="1" applyBorder="1" applyAlignment="1">
      <alignment horizontal="right" vertical="center"/>
    </xf>
    <xf numFmtId="4" fontId="129" fillId="29" borderId="40" xfId="310" applyNumberFormat="1" applyFont="1" applyFill="1" applyBorder="1" applyAlignment="1">
      <alignment horizontal="left"/>
    </xf>
    <xf numFmtId="0" fontId="45" fillId="29" borderId="40" xfId="310" applyFont="1" applyFill="1" applyBorder="1"/>
    <xf numFmtId="4" fontId="129" fillId="29" borderId="40" xfId="310" applyNumberFormat="1" applyFont="1" applyFill="1" applyBorder="1" applyAlignment="1">
      <alignment horizontal="center"/>
    </xf>
    <xf numFmtId="4" fontId="155" fillId="29" borderId="40" xfId="310" applyNumberFormat="1" applyFont="1" applyFill="1" applyBorder="1" applyAlignment="1">
      <alignment horizontal="center"/>
    </xf>
    <xf numFmtId="0" fontId="45" fillId="0" borderId="0" xfId="310" applyFont="1"/>
    <xf numFmtId="4" fontId="213" fillId="27" borderId="40" xfId="310" applyNumberFormat="1" applyFont="1" applyFill="1" applyBorder="1" applyAlignment="1">
      <alignment horizontal="center"/>
    </xf>
    <xf numFmtId="4" fontId="129" fillId="29" borderId="40" xfId="310" applyNumberFormat="1" applyFont="1" applyFill="1" applyBorder="1" applyAlignment="1">
      <alignment horizontal="left" wrapText="1"/>
    </xf>
    <xf numFmtId="4" fontId="236" fillId="29" borderId="40" xfId="310" applyNumberFormat="1" applyFont="1" applyFill="1" applyBorder="1" applyAlignment="1">
      <alignment horizontal="right"/>
    </xf>
    <xf numFmtId="4" fontId="155" fillId="27" borderId="40" xfId="310" applyNumberFormat="1" applyFont="1" applyFill="1" applyBorder="1" applyAlignment="1">
      <alignment horizontal="right"/>
    </xf>
    <xf numFmtId="4" fontId="202" fillId="0" borderId="98" xfId="310" applyNumberFormat="1" applyFont="1" applyBorder="1" applyAlignment="1">
      <alignment horizontal="center"/>
    </xf>
    <xf numFmtId="4" fontId="155" fillId="27" borderId="95" xfId="310" applyNumberFormat="1" applyFont="1" applyFill="1" applyBorder="1" applyAlignment="1">
      <alignment horizontal="right"/>
    </xf>
    <xf numFmtId="0" fontId="202" fillId="0" borderId="43" xfId="310" applyFont="1" applyBorder="1" applyAlignment="1">
      <alignment horizontal="center"/>
    </xf>
    <xf numFmtId="4" fontId="202" fillId="27" borderId="214" xfId="310" applyNumberFormat="1" applyFont="1" applyFill="1" applyBorder="1" applyAlignment="1">
      <alignment wrapText="1"/>
    </xf>
    <xf numFmtId="4" fontId="202" fillId="27" borderId="182" xfId="310" applyNumberFormat="1" applyFont="1" applyFill="1" applyBorder="1" applyAlignment="1">
      <alignment horizontal="center"/>
    </xf>
    <xf numFmtId="4" fontId="215" fillId="27" borderId="21" xfId="310" applyNumberFormat="1" applyFont="1" applyFill="1" applyBorder="1" applyAlignment="1">
      <alignment horizontal="left"/>
    </xf>
    <xf numFmtId="4" fontId="202" fillId="0" borderId="119" xfId="310" applyNumberFormat="1" applyFont="1" applyBorder="1" applyAlignment="1">
      <alignment horizontal="center"/>
    </xf>
    <xf numFmtId="4" fontId="202" fillId="0" borderId="120" xfId="310" applyNumberFormat="1" applyFont="1" applyBorder="1" applyAlignment="1">
      <alignment horizontal="right"/>
    </xf>
    <xf numFmtId="4" fontId="202" fillId="0" borderId="118" xfId="310" applyNumberFormat="1" applyFont="1" applyBorder="1" applyAlignment="1">
      <alignment horizontal="center"/>
    </xf>
    <xf numFmtId="4" fontId="215" fillId="27" borderId="20" xfId="310" applyNumberFormat="1" applyFont="1" applyFill="1" applyBorder="1" applyAlignment="1">
      <alignment horizontal="left"/>
    </xf>
    <xf numFmtId="4" fontId="215" fillId="27" borderId="20" xfId="310" applyNumberFormat="1" applyFont="1" applyFill="1" applyBorder="1" applyAlignment="1">
      <alignment horizontal="center"/>
    </xf>
    <xf numFmtId="4" fontId="236" fillId="27" borderId="183" xfId="310" applyNumberFormat="1" applyFont="1" applyFill="1" applyBorder="1" applyAlignment="1">
      <alignment horizontal="right"/>
    </xf>
    <xf numFmtId="4" fontId="215" fillId="27" borderId="20" xfId="310" applyNumberFormat="1" applyFont="1" applyFill="1" applyBorder="1" applyAlignment="1">
      <alignment horizontal="right"/>
    </xf>
    <xf numFmtId="4" fontId="213" fillId="0" borderId="105" xfId="310" applyNumberFormat="1" applyFont="1" applyBorder="1"/>
    <xf numFmtId="4" fontId="213" fillId="27" borderId="118" xfId="310" applyNumberFormat="1" applyFont="1" applyFill="1" applyBorder="1" applyAlignment="1">
      <alignment horizontal="center"/>
    </xf>
    <xf numFmtId="4" fontId="213" fillId="27" borderId="176" xfId="310" applyNumberFormat="1" applyFont="1" applyFill="1" applyBorder="1" applyAlignment="1">
      <alignment horizontal="center"/>
    </xf>
    <xf numFmtId="4" fontId="213" fillId="0" borderId="176" xfId="310" applyNumberFormat="1" applyFont="1" applyBorder="1"/>
    <xf numFmtId="4" fontId="215" fillId="27" borderId="176" xfId="310" applyNumberFormat="1" applyFont="1" applyFill="1" applyBorder="1" applyAlignment="1">
      <alignment horizontal="center"/>
    </xf>
    <xf numFmtId="4" fontId="215" fillId="0" borderId="176" xfId="310" applyNumberFormat="1" applyFont="1" applyBorder="1" applyAlignment="1">
      <alignment horizontal="right" vertical="center"/>
    </xf>
    <xf numFmtId="4" fontId="213" fillId="0" borderId="120" xfId="310" applyNumberFormat="1" applyFont="1" applyBorder="1"/>
    <xf numFmtId="4" fontId="129" fillId="27" borderId="182" xfId="310" applyNumberFormat="1" applyFont="1" applyFill="1" applyBorder="1" applyAlignment="1">
      <alignment horizontal="left"/>
    </xf>
    <xf numFmtId="4" fontId="129" fillId="27" borderId="183" xfId="310" applyNumberFormat="1" applyFont="1" applyFill="1" applyBorder="1" applyAlignment="1">
      <alignment horizontal="left"/>
    </xf>
    <xf numFmtId="4" fontId="155" fillId="27" borderId="217" xfId="310" applyNumberFormat="1" applyFont="1" applyFill="1" applyBorder="1" applyAlignment="1">
      <alignment horizontal="right"/>
    </xf>
    <xf numFmtId="4" fontId="155" fillId="0" borderId="21" xfId="310" applyNumberFormat="1" applyFont="1" applyBorder="1" applyAlignment="1">
      <alignment horizontal="right"/>
    </xf>
    <xf numFmtId="4" fontId="34" fillId="0" borderId="176" xfId="310" applyNumberFormat="1" applyFont="1" applyBorder="1" applyAlignment="1">
      <alignment horizontal="right" vertical="center"/>
    </xf>
    <xf numFmtId="0" fontId="118" fillId="0" borderId="0" xfId="310" applyFont="1"/>
    <xf numFmtId="4" fontId="202" fillId="0" borderId="130" xfId="310" applyNumberFormat="1" applyFont="1" applyBorder="1" applyAlignment="1">
      <alignment wrapText="1"/>
    </xf>
    <xf numFmtId="4" fontId="202" fillId="0" borderId="0" xfId="310" applyNumberFormat="1" applyFont="1" applyAlignment="1">
      <alignment horizontal="center"/>
    </xf>
    <xf numFmtId="4" fontId="215" fillId="0" borderId="17" xfId="310" applyNumberFormat="1" applyFont="1" applyBorder="1" applyAlignment="1">
      <alignment horizontal="left"/>
    </xf>
    <xf numFmtId="4" fontId="202" fillId="0" borderId="79" xfId="310" applyNumberFormat="1" applyFont="1" applyBorder="1" applyAlignment="1">
      <alignment horizontal="center"/>
    </xf>
    <xf numFmtId="4" fontId="202" fillId="0" borderId="76" xfId="310" applyNumberFormat="1" applyFont="1" applyBorder="1" applyAlignment="1">
      <alignment horizontal="right"/>
    </xf>
    <xf numFmtId="4" fontId="202" fillId="0" borderId="78" xfId="310" applyNumberFormat="1" applyFont="1" applyBorder="1" applyAlignment="1">
      <alignment horizontal="center"/>
    </xf>
    <xf numFmtId="4" fontId="215" fillId="0" borderId="0" xfId="310" applyNumberFormat="1" applyFont="1" applyAlignment="1">
      <alignment horizontal="left"/>
    </xf>
    <xf numFmtId="4" fontId="215" fillId="0" borderId="0" xfId="310" applyNumberFormat="1" applyFont="1" applyAlignment="1">
      <alignment horizontal="center"/>
    </xf>
    <xf numFmtId="4" fontId="215" fillId="0" borderId="0" xfId="310" applyNumberFormat="1" applyFont="1" applyAlignment="1">
      <alignment horizontal="right"/>
    </xf>
    <xf numFmtId="4" fontId="213" fillId="0" borderId="58" xfId="310" applyNumberFormat="1" applyFont="1" applyBorder="1"/>
    <xf numFmtId="4" fontId="213" fillId="0" borderId="78" xfId="310" applyNumberFormat="1" applyFont="1" applyBorder="1" applyAlignment="1">
      <alignment horizontal="center"/>
    </xf>
    <xf numFmtId="4" fontId="213" fillId="0" borderId="77" xfId="310" applyNumberFormat="1" applyFont="1" applyBorder="1" applyAlignment="1">
      <alignment horizontal="center"/>
    </xf>
    <xf numFmtId="4" fontId="213" fillId="0" borderId="77" xfId="310" applyNumberFormat="1" applyFont="1" applyBorder="1"/>
    <xf numFmtId="4" fontId="215" fillId="27" borderId="77" xfId="310" applyNumberFormat="1" applyFont="1" applyFill="1" applyBorder="1" applyAlignment="1">
      <alignment horizontal="center"/>
    </xf>
    <xf numFmtId="4" fontId="215" fillId="0" borderId="77" xfId="310" applyNumberFormat="1" applyFont="1" applyBorder="1" applyAlignment="1">
      <alignment horizontal="right" vertical="center"/>
    </xf>
    <xf numFmtId="4" fontId="213" fillId="0" borderId="57" xfId="310" applyNumberFormat="1" applyFont="1" applyBorder="1"/>
    <xf numFmtId="4" fontId="202" fillId="0" borderId="55" xfId="310" applyNumberFormat="1" applyFont="1" applyBorder="1" applyAlignment="1">
      <alignment horizontal="center"/>
    </xf>
    <xf numFmtId="4" fontId="215" fillId="27" borderId="56" xfId="310" applyNumberFormat="1" applyFont="1" applyFill="1" applyBorder="1" applyAlignment="1">
      <alignment horizontal="center"/>
    </xf>
    <xf numFmtId="4" fontId="215" fillId="0" borderId="56" xfId="310" applyNumberFormat="1" applyFont="1" applyBorder="1" applyAlignment="1">
      <alignment horizontal="right" vertical="center"/>
    </xf>
    <xf numFmtId="4" fontId="129" fillId="27" borderId="50" xfId="310" applyNumberFormat="1" applyFont="1" applyFill="1" applyBorder="1" applyAlignment="1">
      <alignment horizontal="left"/>
    </xf>
    <xf numFmtId="4" fontId="129" fillId="27" borderId="54" xfId="310" applyNumberFormat="1" applyFont="1" applyFill="1" applyBorder="1" applyAlignment="1">
      <alignment horizontal="left"/>
    </xf>
    <xf numFmtId="4" fontId="155" fillId="0" borderId="51" xfId="310" applyNumberFormat="1" applyFont="1" applyBorder="1" applyAlignment="1">
      <alignment horizontal="right"/>
    </xf>
    <xf numFmtId="4" fontId="34" fillId="0" borderId="29" xfId="310" applyNumberFormat="1" applyFont="1" applyBorder="1" applyAlignment="1">
      <alignment horizontal="right" vertical="center"/>
    </xf>
    <xf numFmtId="166" fontId="215" fillId="27" borderId="30" xfId="310" applyNumberFormat="1" applyFont="1" applyFill="1" applyBorder="1" applyAlignment="1">
      <alignment horizontal="right" vertical="center"/>
    </xf>
    <xf numFmtId="4" fontId="213" fillId="0" borderId="19" xfId="310" applyNumberFormat="1" applyFont="1" applyBorder="1" applyProtection="1">
      <protection locked="0"/>
    </xf>
    <xf numFmtId="4" fontId="155" fillId="0" borderId="188" xfId="310" applyNumberFormat="1" applyFont="1" applyBorder="1" applyAlignment="1">
      <alignment horizontal="right"/>
    </xf>
    <xf numFmtId="4" fontId="224" fillId="0" borderId="188" xfId="310" applyNumberFormat="1" applyFont="1" applyBorder="1" applyAlignment="1">
      <alignment horizontal="right"/>
    </xf>
    <xf numFmtId="4" fontId="243" fillId="0" borderId="189" xfId="310" applyNumberFormat="1" applyFont="1" applyBorder="1" applyAlignment="1">
      <alignment horizontal="right"/>
    </xf>
    <xf numFmtId="4" fontId="243" fillId="0" borderId="188" xfId="310" applyNumberFormat="1" applyFont="1" applyBorder="1" applyAlignment="1">
      <alignment horizontal="right"/>
    </xf>
    <xf numFmtId="4" fontId="243" fillId="0" borderId="209" xfId="310" applyNumberFormat="1" applyFont="1" applyBorder="1" applyAlignment="1">
      <alignment horizontal="right"/>
    </xf>
    <xf numFmtId="4" fontId="243" fillId="0" borderId="40" xfId="310" applyNumberFormat="1" applyFont="1" applyBorder="1" applyAlignment="1">
      <alignment horizontal="right"/>
    </xf>
    <xf numFmtId="4" fontId="243" fillId="0" borderId="182" xfId="310" applyNumberFormat="1" applyFont="1" applyBorder="1" applyAlignment="1">
      <alignment horizontal="right"/>
    </xf>
    <xf numFmtId="4" fontId="243" fillId="0" borderId="183" xfId="310" applyNumberFormat="1" applyFont="1" applyBorder="1" applyAlignment="1">
      <alignment horizontal="right"/>
    </xf>
    <xf numFmtId="4" fontId="243" fillId="0" borderId="215" xfId="310" applyNumberFormat="1" applyFont="1" applyBorder="1" applyAlignment="1">
      <alignment horizontal="right"/>
    </xf>
    <xf numFmtId="4" fontId="155" fillId="0" borderId="58" xfId="310" applyNumberFormat="1" applyFont="1" applyBorder="1"/>
    <xf numFmtId="10" fontId="155" fillId="0" borderId="51" xfId="310" applyNumberFormat="1" applyFont="1" applyBorder="1" applyAlignment="1" applyProtection="1">
      <alignment shrinkToFit="1"/>
      <protection locked="0"/>
    </xf>
    <xf numFmtId="0" fontId="240" fillId="0" borderId="43" xfId="310" applyFont="1" applyBorder="1"/>
    <xf numFmtId="49" fontId="154" fillId="0" borderId="154" xfId="310" applyNumberFormat="1" applyFont="1" applyBorder="1" applyAlignment="1">
      <alignment horizontal="center"/>
    </xf>
    <xf numFmtId="165" fontId="154" fillId="0" borderId="155" xfId="251" applyFont="1" applyFill="1" applyBorder="1" applyAlignment="1">
      <alignment horizontal="left"/>
    </xf>
    <xf numFmtId="165" fontId="154" fillId="0" borderId="156" xfId="251" applyFont="1" applyFill="1" applyBorder="1" applyAlignment="1">
      <alignment horizontal="left"/>
    </xf>
    <xf numFmtId="166" fontId="155" fillId="0" borderId="153" xfId="310" applyNumberFormat="1" applyFont="1" applyBorder="1"/>
    <xf numFmtId="0" fontId="141" fillId="0" borderId="99" xfId="310" applyFont="1" applyBorder="1" applyAlignment="1">
      <alignment horizontal="center"/>
    </xf>
    <xf numFmtId="4" fontId="118" fillId="0" borderId="128" xfId="310" applyNumberFormat="1" applyFont="1" applyBorder="1" applyAlignment="1">
      <alignment wrapText="1"/>
    </xf>
    <xf numFmtId="4" fontId="141" fillId="0" borderId="148" xfId="310" applyNumberFormat="1" applyFont="1" applyBorder="1" applyAlignment="1">
      <alignment horizontal="center"/>
    </xf>
    <xf numFmtId="4" fontId="145" fillId="0" borderId="101" xfId="310" applyNumberFormat="1" applyFont="1" applyBorder="1" applyAlignment="1">
      <alignment horizontal="left"/>
    </xf>
    <xf numFmtId="4" fontId="141" fillId="0" borderId="105" xfId="310" applyNumberFormat="1" applyFont="1" applyBorder="1" applyAlignment="1">
      <alignment horizontal="center"/>
    </xf>
    <xf numFmtId="4" fontId="141" fillId="0" borderId="33" xfId="310" applyNumberFormat="1" applyFont="1" applyBorder="1" applyAlignment="1">
      <alignment horizontal="right"/>
    </xf>
    <xf numFmtId="4" fontId="141" fillId="0" borderId="102" xfId="310" applyNumberFormat="1" applyFont="1" applyBorder="1" applyAlignment="1">
      <alignment horizontal="center"/>
    </xf>
    <xf numFmtId="4" fontId="145" fillId="0" borderId="100" xfId="310" applyNumberFormat="1" applyFont="1" applyBorder="1" applyAlignment="1">
      <alignment horizontal="left"/>
    </xf>
    <xf numFmtId="4" fontId="145" fillId="0" borderId="100" xfId="310" applyNumberFormat="1" applyFont="1" applyBorder="1" applyAlignment="1">
      <alignment horizontal="center"/>
    </xf>
    <xf numFmtId="4" fontId="145" fillId="0" borderId="121" xfId="310" applyNumberFormat="1" applyFont="1" applyBorder="1" applyAlignment="1">
      <alignment horizontal="right"/>
    </xf>
    <xf numFmtId="4" fontId="145" fillId="0" borderId="100" xfId="310" applyNumberFormat="1" applyFont="1" applyBorder="1" applyAlignment="1">
      <alignment horizontal="right"/>
    </xf>
    <xf numFmtId="4" fontId="72" fillId="0" borderId="105" xfId="310" applyNumberFormat="1" applyFont="1" applyBorder="1"/>
    <xf numFmtId="4" fontId="72" fillId="0" borderId="102" xfId="310" applyNumberFormat="1" applyFont="1" applyBorder="1" applyAlignment="1">
      <alignment horizontal="center"/>
    </xf>
    <xf numFmtId="4" fontId="72" fillId="0" borderId="103" xfId="310" applyNumberFormat="1" applyFont="1" applyBorder="1" applyAlignment="1">
      <alignment horizontal="center"/>
    </xf>
    <xf numFmtId="4" fontId="72" fillId="0" borderId="103" xfId="310" applyNumberFormat="1" applyFont="1" applyBorder="1"/>
    <xf numFmtId="4" fontId="245" fillId="0" borderId="103" xfId="310" applyNumberFormat="1" applyFont="1" applyBorder="1" applyAlignment="1">
      <alignment horizontal="center"/>
    </xf>
    <xf numFmtId="4" fontId="245" fillId="0" borderId="103" xfId="310" applyNumberFormat="1" applyFont="1" applyBorder="1" applyAlignment="1">
      <alignment horizontal="right" vertical="center"/>
    </xf>
    <xf numFmtId="4" fontId="72" fillId="0" borderId="33" xfId="310" applyNumberFormat="1" applyFont="1" applyBorder="1"/>
    <xf numFmtId="4" fontId="237" fillId="0" borderId="100" xfId="310" applyNumberFormat="1" applyFont="1" applyBorder="1" applyAlignment="1">
      <alignment horizontal="left"/>
    </xf>
    <xf numFmtId="4" fontId="140" fillId="0" borderId="128" xfId="310" applyNumberFormat="1" applyFont="1" applyBorder="1" applyAlignment="1">
      <alignment horizontal="left"/>
    </xf>
    <xf numFmtId="4" fontId="140" fillId="0" borderId="121" xfId="310" applyNumberFormat="1" applyFont="1" applyBorder="1" applyAlignment="1">
      <alignment horizontal="right"/>
    </xf>
    <xf numFmtId="4" fontId="140" fillId="0" borderId="100" xfId="310" applyNumberFormat="1" applyFont="1" applyBorder="1" applyAlignment="1">
      <alignment horizontal="right"/>
    </xf>
    <xf numFmtId="4" fontId="72" fillId="0" borderId="100" xfId="310" applyNumberFormat="1" applyFont="1" applyBorder="1" applyAlignment="1">
      <alignment horizontal="right"/>
    </xf>
    <xf numFmtId="4" fontId="72" fillId="0" borderId="32" xfId="310" applyNumberFormat="1" applyFont="1" applyBorder="1" applyAlignment="1">
      <alignment horizontal="right"/>
    </xf>
    <xf numFmtId="4" fontId="135" fillId="0" borderId="102" xfId="310" applyNumberFormat="1" applyFont="1" applyBorder="1" applyAlignment="1">
      <alignment horizontal="right"/>
    </xf>
    <xf numFmtId="4" fontId="135" fillId="0" borderId="118" xfId="310" applyNumberFormat="1" applyFont="1" applyBorder="1" applyAlignment="1">
      <alignment horizontal="right"/>
    </xf>
    <xf numFmtId="4" fontId="245" fillId="0" borderId="102" xfId="310" applyNumberFormat="1" applyFont="1" applyBorder="1" applyAlignment="1">
      <alignment horizontal="right"/>
    </xf>
    <xf numFmtId="49" fontId="202" fillId="0" borderId="130" xfId="310" applyNumberFormat="1" applyFont="1" applyBorder="1" applyAlignment="1">
      <alignment horizontal="center"/>
    </xf>
    <xf numFmtId="165" fontId="202" fillId="0" borderId="0" xfId="251" applyFont="1" applyFill="1" applyBorder="1" applyAlignment="1">
      <alignment horizontal="left"/>
    </xf>
    <xf numFmtId="166" fontId="155" fillId="0" borderId="43" xfId="310" applyNumberFormat="1" applyFont="1" applyBorder="1"/>
    <xf numFmtId="4" fontId="202" fillId="27" borderId="130" xfId="310" applyNumberFormat="1" applyFont="1" applyFill="1" applyBorder="1" applyAlignment="1">
      <alignment wrapText="1"/>
    </xf>
    <xf numFmtId="4" fontId="202" fillId="27" borderId="0" xfId="310" applyNumberFormat="1" applyFont="1" applyFill="1" applyAlignment="1">
      <alignment horizontal="center"/>
    </xf>
    <xf numFmtId="4" fontId="215" fillId="27" borderId="17" xfId="310" applyNumberFormat="1" applyFont="1" applyFill="1" applyBorder="1" applyAlignment="1">
      <alignment horizontal="left"/>
    </xf>
    <xf numFmtId="4" fontId="202" fillId="27" borderId="120" xfId="310" applyNumberFormat="1" applyFont="1" applyFill="1" applyBorder="1" applyAlignment="1">
      <alignment horizontal="right"/>
    </xf>
    <xf numFmtId="4" fontId="215" fillId="27" borderId="0" xfId="310" applyNumberFormat="1" applyFont="1" applyFill="1" applyAlignment="1">
      <alignment horizontal="left"/>
    </xf>
    <xf numFmtId="4" fontId="215" fillId="27" borderId="0" xfId="310" applyNumberFormat="1" applyFont="1" applyFill="1" applyAlignment="1">
      <alignment horizontal="center"/>
    </xf>
    <xf numFmtId="4" fontId="215" fillId="27" borderId="0" xfId="310" applyNumberFormat="1" applyFont="1" applyFill="1" applyAlignment="1">
      <alignment horizontal="right"/>
    </xf>
    <xf numFmtId="4" fontId="213" fillId="29" borderId="105" xfId="310" applyNumberFormat="1" applyFont="1" applyFill="1" applyBorder="1"/>
    <xf numFmtId="4" fontId="213" fillId="29" borderId="78" xfId="310" applyNumberFormat="1" applyFont="1" applyFill="1" applyBorder="1" applyAlignment="1">
      <alignment horizontal="center"/>
    </xf>
    <xf numFmtId="4" fontId="213" fillId="29" borderId="77" xfId="310" applyNumberFormat="1" applyFont="1" applyFill="1" applyBorder="1" applyAlignment="1">
      <alignment horizontal="center"/>
    </xf>
    <xf numFmtId="4" fontId="213" fillId="29" borderId="77" xfId="310" applyNumberFormat="1" applyFont="1" applyFill="1" applyBorder="1"/>
    <xf numFmtId="4" fontId="215" fillId="29" borderId="77" xfId="310" applyNumberFormat="1" applyFont="1" applyFill="1" applyBorder="1" applyAlignment="1">
      <alignment horizontal="center"/>
    </xf>
    <xf numFmtId="4" fontId="215" fillId="29" borderId="77" xfId="310" applyNumberFormat="1" applyFont="1" applyFill="1" applyBorder="1" applyAlignment="1">
      <alignment horizontal="right" vertical="center"/>
    </xf>
    <xf numFmtId="4" fontId="213" fillId="29" borderId="76" xfId="310" applyNumberFormat="1" applyFont="1" applyFill="1" applyBorder="1"/>
    <xf numFmtId="4" fontId="202" fillId="29" borderId="78" xfId="310" applyNumberFormat="1" applyFont="1" applyFill="1" applyBorder="1" applyAlignment="1">
      <alignment horizontal="center"/>
    </xf>
    <xf numFmtId="4" fontId="129" fillId="29" borderId="141" xfId="310" applyNumberFormat="1" applyFont="1" applyFill="1" applyBorder="1" applyAlignment="1">
      <alignment horizontal="left"/>
    </xf>
    <xf numFmtId="4" fontId="129" fillId="29" borderId="0" xfId="310" applyNumberFormat="1" applyFont="1" applyFill="1" applyAlignment="1">
      <alignment horizontal="left"/>
    </xf>
    <xf numFmtId="4" fontId="129" fillId="29" borderId="0" xfId="310" applyNumberFormat="1" applyFont="1" applyFill="1" applyAlignment="1">
      <alignment horizontal="right"/>
    </xf>
    <xf numFmtId="4" fontId="129" fillId="29" borderId="78" xfId="310" applyNumberFormat="1" applyFont="1" applyFill="1" applyBorder="1" applyAlignment="1">
      <alignment horizontal="right"/>
    </xf>
    <xf numFmtId="4" fontId="213" fillId="29" borderId="17" xfId="310" applyNumberFormat="1" applyFont="1" applyFill="1" applyBorder="1" applyAlignment="1">
      <alignment horizontal="right"/>
    </xf>
    <xf numFmtId="4" fontId="155" fillId="29" borderId="79" xfId="310" applyNumberFormat="1" applyFont="1" applyFill="1" applyBorder="1"/>
    <xf numFmtId="4" fontId="213" fillId="29" borderId="0" xfId="310" applyNumberFormat="1" applyFont="1" applyFill="1" applyProtection="1">
      <protection locked="0"/>
    </xf>
    <xf numFmtId="4" fontId="213" fillId="29" borderId="130" xfId="310" applyNumberFormat="1" applyFont="1" applyFill="1" applyBorder="1" applyProtection="1">
      <protection locked="0"/>
    </xf>
    <xf numFmtId="4" fontId="155" fillId="27" borderId="78" xfId="310" applyNumberFormat="1" applyFont="1" applyFill="1" applyBorder="1" applyAlignment="1">
      <alignment horizontal="right"/>
    </xf>
    <xf numFmtId="4" fontId="224" fillId="27" borderId="78" xfId="310" applyNumberFormat="1" applyFont="1" applyFill="1" applyBorder="1" applyAlignment="1">
      <alignment horizontal="right"/>
    </xf>
    <xf numFmtId="4" fontId="246" fillId="27" borderId="165" xfId="310" applyNumberFormat="1" applyFont="1" applyFill="1" applyBorder="1" applyAlignment="1">
      <alignment horizontal="right"/>
    </xf>
    <xf numFmtId="4" fontId="155" fillId="27" borderId="77" xfId="310" applyNumberFormat="1" applyFont="1" applyFill="1" applyBorder="1" applyAlignment="1">
      <alignment horizontal="right"/>
    </xf>
    <xf numFmtId="4" fontId="243" fillId="27" borderId="78" xfId="310" applyNumberFormat="1" applyFont="1" applyFill="1" applyBorder="1" applyAlignment="1">
      <alignment horizontal="right"/>
    </xf>
    <xf numFmtId="10" fontId="155" fillId="0" borderId="17" xfId="310" applyNumberFormat="1" applyFont="1" applyBorder="1" applyAlignment="1" applyProtection="1">
      <alignment shrinkToFit="1"/>
      <protection locked="0"/>
    </xf>
    <xf numFmtId="10" fontId="155" fillId="0" borderId="79" xfId="310" applyNumberFormat="1" applyFont="1" applyBorder="1" applyAlignment="1">
      <alignment horizontal="right"/>
    </xf>
    <xf numFmtId="0" fontId="193" fillId="0" borderId="13" xfId="310" applyFont="1" applyBorder="1" applyAlignment="1">
      <alignment horizontal="center" vertical="center"/>
    </xf>
    <xf numFmtId="4" fontId="193" fillId="0" borderId="15" xfId="310" applyNumberFormat="1" applyFont="1" applyBorder="1" applyAlignment="1">
      <alignment horizontal="center" vertical="center"/>
    </xf>
    <xf numFmtId="4" fontId="193" fillId="0" borderId="16" xfId="310" applyNumberFormat="1" applyFont="1" applyBorder="1" applyAlignment="1">
      <alignment horizontal="left" vertical="center"/>
    </xf>
    <xf numFmtId="4" fontId="193" fillId="0" borderId="89" xfId="310" applyNumberFormat="1" applyFont="1" applyBorder="1" applyAlignment="1">
      <alignment horizontal="center" vertical="center"/>
    </xf>
    <xf numFmtId="4" fontId="34" fillId="0" borderId="16" xfId="310" applyNumberFormat="1" applyFont="1" applyBorder="1" applyAlignment="1">
      <alignment horizontal="right" vertical="center"/>
    </xf>
    <xf numFmtId="4" fontId="193" fillId="0" borderId="15" xfId="310" applyNumberFormat="1" applyFont="1" applyBorder="1" applyAlignment="1">
      <alignment horizontal="left" vertical="center"/>
    </xf>
    <xf numFmtId="4" fontId="193" fillId="0" borderId="15" xfId="310" applyNumberFormat="1" applyFont="1" applyBorder="1" applyAlignment="1">
      <alignment horizontal="right" vertical="center"/>
    </xf>
    <xf numFmtId="4" fontId="34" fillId="0" borderId="44" xfId="310" applyNumberFormat="1" applyFont="1" applyBorder="1" applyAlignment="1">
      <alignment horizontal="right" vertical="center"/>
    </xf>
    <xf numFmtId="4" fontId="193" fillId="0" borderId="25" xfId="310" applyNumberFormat="1" applyFont="1" applyBorder="1" applyAlignment="1">
      <alignment horizontal="center" vertical="center"/>
    </xf>
    <xf numFmtId="4" fontId="193" fillId="0" borderId="28" xfId="310" applyNumberFormat="1" applyFont="1" applyBorder="1" applyAlignment="1">
      <alignment horizontal="center" vertical="center"/>
    </xf>
    <xf numFmtId="4" fontId="193" fillId="0" borderId="28" xfId="310" applyNumberFormat="1" applyFont="1" applyBorder="1" applyAlignment="1">
      <alignment horizontal="right" vertical="center"/>
    </xf>
    <xf numFmtId="4" fontId="34" fillId="0" borderId="26" xfId="310" applyNumberFormat="1" applyFont="1" applyBorder="1" applyAlignment="1">
      <alignment vertical="center"/>
    </xf>
    <xf numFmtId="4" fontId="222" fillId="0" borderId="177" xfId="310" applyNumberFormat="1" applyFont="1" applyBorder="1" applyAlignment="1">
      <alignment horizontal="left"/>
    </xf>
    <xf numFmtId="4" fontId="222" fillId="0" borderId="27" xfId="310" applyNumberFormat="1" applyFont="1" applyBorder="1" applyAlignment="1">
      <alignment horizontal="left"/>
    </xf>
    <xf numFmtId="4" fontId="222" fillId="0" borderId="27" xfId="310" applyNumberFormat="1" applyFont="1" applyBorder="1" applyAlignment="1">
      <alignment horizontal="right"/>
    </xf>
    <xf numFmtId="4" fontId="222" fillId="0" borderId="25" xfId="310" applyNumberFormat="1" applyFont="1" applyBorder="1" applyAlignment="1">
      <alignment horizontal="right"/>
    </xf>
    <xf numFmtId="4" fontId="34" fillId="0" borderId="91" xfId="310" applyNumberFormat="1" applyFont="1" applyBorder="1" applyAlignment="1">
      <alignment horizontal="right" vertical="center"/>
    </xf>
    <xf numFmtId="4" fontId="34" fillId="0" borderId="15" xfId="310" applyNumberFormat="1" applyFont="1" applyBorder="1" applyAlignment="1" applyProtection="1">
      <alignment vertical="center"/>
      <protection locked="0"/>
    </xf>
    <xf numFmtId="4" fontId="34" fillId="0" borderId="198" xfId="310" applyNumberFormat="1" applyFont="1" applyBorder="1" applyAlignment="1">
      <alignment horizontal="right" vertical="center"/>
    </xf>
    <xf numFmtId="4" fontId="34" fillId="0" borderId="222" xfId="310" applyNumberFormat="1" applyFont="1" applyBorder="1" applyAlignment="1">
      <alignment horizontal="right" vertical="center"/>
    </xf>
    <xf numFmtId="4" fontId="34" fillId="0" borderId="197" xfId="310" applyNumberFormat="1" applyFont="1" applyBorder="1" applyAlignment="1">
      <alignment horizontal="right" vertical="center"/>
    </xf>
    <xf numFmtId="166" fontId="34" fillId="0" borderId="88" xfId="310" applyNumberFormat="1" applyFont="1" applyBorder="1" applyAlignment="1">
      <alignment vertical="center"/>
    </xf>
    <xf numFmtId="166" fontId="34" fillId="0" borderId="130" xfId="310" applyNumberFormat="1" applyFont="1" applyBorder="1" applyAlignment="1">
      <alignment vertical="center"/>
    </xf>
    <xf numFmtId="0" fontId="201" fillId="0" borderId="17" xfId="310" applyFont="1" applyBorder="1" applyAlignment="1">
      <alignment vertical="center"/>
    </xf>
    <xf numFmtId="166" fontId="34" fillId="0" borderId="13" xfId="310" applyNumberFormat="1" applyFont="1" applyBorder="1" applyAlignment="1">
      <alignment vertical="center"/>
    </xf>
    <xf numFmtId="0" fontId="141" fillId="0" borderId="81" xfId="310" applyFont="1" applyBorder="1" applyAlignment="1">
      <alignment horizontal="center" vertical="center"/>
    </xf>
    <xf numFmtId="4" fontId="141" fillId="0" borderId="22" xfId="310" applyNumberFormat="1" applyFont="1" applyBorder="1" applyAlignment="1">
      <alignment horizontal="center" vertical="center"/>
    </xf>
    <xf numFmtId="4" fontId="141" fillId="0" borderId="83" xfId="310" applyNumberFormat="1" applyFont="1" applyBorder="1" applyAlignment="1">
      <alignment horizontal="left" vertical="center"/>
    </xf>
    <xf numFmtId="4" fontId="141" fillId="0" borderId="98" xfId="310" applyNumberFormat="1" applyFont="1" applyBorder="1" applyAlignment="1">
      <alignment horizontal="center" vertical="center"/>
    </xf>
    <xf numFmtId="4" fontId="208" fillId="0" borderId="98" xfId="310" applyNumberFormat="1" applyFont="1" applyBorder="1" applyAlignment="1">
      <alignment horizontal="center" vertical="center"/>
    </xf>
    <xf numFmtId="4" fontId="208" fillId="0" borderId="22" xfId="310" applyNumberFormat="1" applyFont="1" applyBorder="1" applyAlignment="1">
      <alignment horizontal="center" vertical="center"/>
    </xf>
    <xf numFmtId="4" fontId="208" fillId="0" borderId="22" xfId="37816" applyNumberFormat="1" applyFont="1" applyFill="1" applyBorder="1" applyAlignment="1">
      <alignment horizontal="center" vertical="center"/>
    </xf>
    <xf numFmtId="4" fontId="208" fillId="0" borderId="78" xfId="310" applyNumberFormat="1" applyFont="1" applyBorder="1" applyAlignment="1">
      <alignment horizontal="center" vertical="center"/>
    </xf>
    <xf numFmtId="4" fontId="208" fillId="0" borderId="77" xfId="310" applyNumberFormat="1" applyFont="1" applyBorder="1" applyAlignment="1">
      <alignment horizontal="center" vertical="center"/>
    </xf>
    <xf numFmtId="4" fontId="140" fillId="0" borderId="182" xfId="310" applyNumberFormat="1" applyFont="1" applyBorder="1" applyAlignment="1">
      <alignment horizontal="left"/>
    </xf>
    <xf numFmtId="4" fontId="140" fillId="0" borderId="20" xfId="310" applyNumberFormat="1" applyFont="1" applyBorder="1" applyAlignment="1">
      <alignment horizontal="left"/>
    </xf>
    <xf numFmtId="4" fontId="140" fillId="0" borderId="20" xfId="310" applyNumberFormat="1" applyFont="1" applyBorder="1" applyAlignment="1">
      <alignment horizontal="right"/>
    </xf>
    <xf numFmtId="4" fontId="140" fillId="0" borderId="118" xfId="310" applyNumberFormat="1" applyFont="1" applyBorder="1" applyAlignment="1">
      <alignment horizontal="right"/>
    </xf>
    <xf numFmtId="4" fontId="247" fillId="0" borderId="17" xfId="310" applyNumberFormat="1" applyFont="1" applyBorder="1" applyAlignment="1">
      <alignment horizontal="right"/>
    </xf>
    <xf numFmtId="4" fontId="135" fillId="0" borderId="22" xfId="310" applyNumberFormat="1" applyFont="1" applyBorder="1" applyAlignment="1" applyProtection="1">
      <alignment horizontal="center" vertical="center"/>
      <protection locked="0"/>
    </xf>
    <xf numFmtId="4" fontId="135" fillId="0" borderId="93" xfId="310" applyNumberFormat="1" applyFont="1" applyBorder="1" applyAlignment="1" applyProtection="1">
      <alignment horizontal="center" vertical="center"/>
      <protection locked="0"/>
    </xf>
    <xf numFmtId="4" fontId="135" fillId="0" borderId="176" xfId="310" applyNumberFormat="1" applyFont="1" applyBorder="1" applyAlignment="1">
      <alignment horizontal="center" vertical="center"/>
    </xf>
    <xf numFmtId="4" fontId="135" fillId="0" borderId="118" xfId="310" applyNumberFormat="1" applyFont="1" applyBorder="1" applyAlignment="1">
      <alignment horizontal="center" vertical="center"/>
    </xf>
    <xf numFmtId="4" fontId="248" fillId="0" borderId="181" xfId="310" applyNumberFormat="1" applyFont="1" applyBorder="1" applyAlignment="1">
      <alignment horizontal="center" vertical="center"/>
    </xf>
    <xf numFmtId="4" fontId="248" fillId="0" borderId="118" xfId="310" applyNumberFormat="1" applyFont="1" applyBorder="1" applyAlignment="1">
      <alignment horizontal="center" vertical="center"/>
    </xf>
    <xf numFmtId="4" fontId="248" fillId="0" borderId="40" xfId="310" applyNumberFormat="1" applyFont="1" applyBorder="1" applyAlignment="1">
      <alignment horizontal="center" vertical="center"/>
    </xf>
    <xf numFmtId="0" fontId="135" fillId="0" borderId="114" xfId="310" applyFont="1" applyBorder="1" applyAlignment="1">
      <alignment vertical="center"/>
    </xf>
    <xf numFmtId="10" fontId="135" fillId="0" borderId="98" xfId="310" applyNumberFormat="1" applyFont="1" applyBorder="1" applyAlignment="1" applyProtection="1">
      <alignment horizontal="right" vertical="center"/>
      <protection locked="0"/>
    </xf>
    <xf numFmtId="166" fontId="141" fillId="0" borderId="96" xfId="310" applyNumberFormat="1" applyFont="1" applyBorder="1" applyAlignment="1">
      <alignment vertical="center"/>
    </xf>
    <xf numFmtId="166" fontId="141" fillId="0" borderId="130" xfId="310" applyNumberFormat="1" applyFont="1" applyBorder="1" applyAlignment="1">
      <alignment vertical="center"/>
    </xf>
    <xf numFmtId="0" fontId="135" fillId="0" borderId="17" xfId="310" applyFont="1" applyBorder="1" applyAlignment="1">
      <alignment vertical="center"/>
    </xf>
    <xf numFmtId="49" fontId="135" fillId="0" borderId="93" xfId="310" applyNumberFormat="1" applyFont="1" applyBorder="1" applyAlignment="1">
      <alignment horizontal="center" vertical="center"/>
    </xf>
    <xf numFmtId="0" fontId="135" fillId="0" borderId="22" xfId="310" applyFont="1" applyBorder="1" applyAlignment="1">
      <alignment horizontal="left" vertical="center"/>
    </xf>
    <xf numFmtId="166" fontId="135" fillId="0" borderId="81" xfId="310" applyNumberFormat="1" applyFont="1" applyBorder="1" applyAlignment="1">
      <alignment vertical="center"/>
    </xf>
    <xf numFmtId="0" fontId="135" fillId="0" borderId="0" xfId="310" applyFont="1" applyAlignment="1">
      <alignment vertical="center"/>
    </xf>
    <xf numFmtId="0" fontId="238" fillId="0" borderId="99" xfId="310" applyFont="1" applyBorder="1" applyAlignment="1">
      <alignment horizontal="center" vertical="center"/>
    </xf>
    <xf numFmtId="4" fontId="148" fillId="0" borderId="100" xfId="310" applyNumberFormat="1" applyFont="1" applyBorder="1" applyAlignment="1">
      <alignment vertical="center" wrapText="1"/>
    </xf>
    <xf numFmtId="4" fontId="238" fillId="0" borderId="100" xfId="310" applyNumberFormat="1" applyFont="1" applyBorder="1" applyAlignment="1">
      <alignment horizontal="left" vertical="center"/>
    </xf>
    <xf numFmtId="4" fontId="209" fillId="0" borderId="101" xfId="310" applyNumberFormat="1" applyFont="1" applyBorder="1" applyAlignment="1">
      <alignment horizontal="left" vertical="center"/>
    </xf>
    <xf numFmtId="4" fontId="208" fillId="0" borderId="101" xfId="310" applyNumberFormat="1" applyFont="1" applyBorder="1" applyAlignment="1">
      <alignment horizontal="right" vertical="center"/>
    </xf>
    <xf numFmtId="4" fontId="238" fillId="0" borderId="105" xfId="310" applyNumberFormat="1" applyFont="1" applyBorder="1" applyAlignment="1">
      <alignment horizontal="left" vertical="center"/>
    </xf>
    <xf numFmtId="4" fontId="209" fillId="0" borderId="104" xfId="310" applyNumberFormat="1" applyFont="1" applyBorder="1" applyAlignment="1">
      <alignment horizontal="left" vertical="center"/>
    </xf>
    <xf numFmtId="4" fontId="209" fillId="0" borderId="100" xfId="310" applyNumberFormat="1" applyFont="1" applyBorder="1" applyAlignment="1">
      <alignment horizontal="center" vertical="center"/>
    </xf>
    <xf numFmtId="4" fontId="209" fillId="0" borderId="100" xfId="310" applyNumberFormat="1" applyFont="1" applyBorder="1" applyAlignment="1">
      <alignment horizontal="right" vertical="center"/>
    </xf>
    <xf numFmtId="4" fontId="208" fillId="0" borderId="119" xfId="310" applyNumberFormat="1" applyFont="1" applyBorder="1" applyAlignment="1">
      <alignment vertical="center"/>
    </xf>
    <xf numFmtId="4" fontId="208" fillId="0" borderId="102" xfId="310" applyNumberFormat="1" applyFont="1" applyBorder="1" applyAlignment="1">
      <alignment vertical="center"/>
    </xf>
    <xf numFmtId="4" fontId="208" fillId="0" borderId="103" xfId="310" applyNumberFormat="1" applyFont="1" applyBorder="1" applyAlignment="1">
      <alignment vertical="center"/>
    </xf>
    <xf numFmtId="4" fontId="208" fillId="0" borderId="103" xfId="310" applyNumberFormat="1" applyFont="1" applyBorder="1" applyAlignment="1">
      <alignment horizontal="center" vertical="center"/>
    </xf>
    <xf numFmtId="4" fontId="208" fillId="0" borderId="103" xfId="310" applyNumberFormat="1" applyFont="1" applyBorder="1" applyAlignment="1">
      <alignment horizontal="right" vertical="center"/>
    </xf>
    <xf numFmtId="4" fontId="208" fillId="0" borderId="33" xfId="310" applyNumberFormat="1" applyFont="1" applyBorder="1" applyAlignment="1">
      <alignment vertical="center"/>
    </xf>
    <xf numFmtId="4" fontId="238" fillId="0" borderId="102" xfId="310" applyNumberFormat="1" applyFont="1" applyBorder="1" applyAlignment="1">
      <alignment horizontal="left" vertical="center"/>
    </xf>
    <xf numFmtId="4" fontId="223" fillId="0" borderId="100" xfId="310" applyNumberFormat="1" applyFont="1" applyBorder="1" applyAlignment="1">
      <alignment horizontal="left"/>
    </xf>
    <xf numFmtId="4" fontId="223" fillId="0" borderId="140" xfId="310" applyNumberFormat="1" applyFont="1" applyBorder="1" applyAlignment="1">
      <alignment horizontal="left"/>
    </xf>
    <xf numFmtId="4" fontId="223" fillId="0" borderId="100" xfId="310" applyNumberFormat="1" applyFont="1" applyBorder="1" applyAlignment="1">
      <alignment horizontal="right"/>
    </xf>
    <xf numFmtId="4" fontId="223" fillId="0" borderId="101" xfId="310" applyNumberFormat="1" applyFont="1" applyBorder="1" applyAlignment="1">
      <alignment horizontal="right"/>
    </xf>
    <xf numFmtId="4" fontId="34" fillId="0" borderId="99" xfId="310" applyNumberFormat="1" applyFont="1" applyBorder="1" applyAlignment="1">
      <alignment horizontal="right"/>
    </xf>
    <xf numFmtId="4" fontId="34" fillId="0" borderId="105" xfId="310" applyNumberFormat="1" applyFont="1" applyBorder="1" applyAlignment="1">
      <alignment vertical="center"/>
    </xf>
    <xf numFmtId="4" fontId="34" fillId="0" borderId="100" xfId="310" applyNumberFormat="1" applyFont="1" applyBorder="1" applyAlignment="1" applyProtection="1">
      <alignment vertical="center"/>
      <protection locked="0"/>
    </xf>
    <xf numFmtId="4" fontId="34" fillId="0" borderId="32" xfId="310" applyNumberFormat="1" applyFont="1" applyBorder="1" applyAlignment="1" applyProtection="1">
      <alignment vertical="center"/>
      <protection locked="0"/>
    </xf>
    <xf numFmtId="4" fontId="155" fillId="0" borderId="102" xfId="310" applyNumberFormat="1" applyFont="1" applyBorder="1" applyAlignment="1">
      <alignment horizontal="right" vertical="center"/>
    </xf>
    <xf numFmtId="4" fontId="155" fillId="0" borderId="103" xfId="310" applyNumberFormat="1" applyFont="1" applyBorder="1" applyAlignment="1">
      <alignment horizontal="right" vertical="center"/>
    </xf>
    <xf numFmtId="4" fontId="244" fillId="0" borderId="100" xfId="310" applyNumberFormat="1" applyFont="1" applyBorder="1" applyAlignment="1">
      <alignment horizontal="right" vertical="center"/>
    </xf>
    <xf numFmtId="4" fontId="155" fillId="0" borderId="100" xfId="310" applyNumberFormat="1" applyFont="1" applyBorder="1" applyAlignment="1">
      <alignment vertical="center"/>
    </xf>
    <xf numFmtId="10" fontId="34" fillId="0" borderId="101" xfId="310" applyNumberFormat="1" applyFont="1" applyBorder="1" applyAlignment="1" applyProtection="1">
      <alignment vertical="center" shrinkToFit="1"/>
      <protection locked="0"/>
    </xf>
    <xf numFmtId="10" fontId="201" fillId="0" borderId="0" xfId="310" applyNumberFormat="1" applyFont="1" applyAlignment="1" applyProtection="1">
      <alignment horizontal="right" vertical="center"/>
      <protection locked="0"/>
    </xf>
    <xf numFmtId="4" fontId="209" fillId="0" borderId="0" xfId="310" applyNumberFormat="1" applyFont="1" applyAlignment="1">
      <alignment vertical="center"/>
    </xf>
    <xf numFmtId="0" fontId="201" fillId="0" borderId="0" xfId="310" applyFont="1" applyAlignment="1">
      <alignment horizontal="center" vertical="center"/>
    </xf>
    <xf numFmtId="0" fontId="238" fillId="24" borderId="99" xfId="310" applyFont="1" applyFill="1" applyBorder="1" applyAlignment="1">
      <alignment horizontal="center" vertical="center"/>
    </xf>
    <xf numFmtId="4" fontId="238" fillId="24" borderId="100" xfId="310" applyNumberFormat="1" applyFont="1" applyFill="1" applyBorder="1" applyAlignment="1">
      <alignment horizontal="center" vertical="center"/>
    </xf>
    <xf numFmtId="4" fontId="238" fillId="24" borderId="101" xfId="310" applyNumberFormat="1" applyFont="1" applyFill="1" applyBorder="1" applyAlignment="1">
      <alignment horizontal="left" vertical="center"/>
    </xf>
    <xf numFmtId="4" fontId="238" fillId="24" borderId="105" xfId="310" applyNumberFormat="1" applyFont="1" applyFill="1" applyBorder="1" applyAlignment="1">
      <alignment horizontal="center" vertical="center"/>
    </xf>
    <xf numFmtId="4" fontId="34" fillId="24" borderId="33" xfId="310" applyNumberFormat="1" applyFont="1" applyFill="1" applyBorder="1" applyAlignment="1">
      <alignment horizontal="right" vertical="center"/>
    </xf>
    <xf numFmtId="4" fontId="238" fillId="24" borderId="100" xfId="310" applyNumberFormat="1" applyFont="1" applyFill="1" applyBorder="1" applyAlignment="1">
      <alignment horizontal="left" vertical="center"/>
    </xf>
    <xf numFmtId="4" fontId="238" fillId="24" borderId="100" xfId="310" applyNumberFormat="1" applyFont="1" applyFill="1" applyBorder="1" applyAlignment="1">
      <alignment horizontal="right" vertical="center"/>
    </xf>
    <xf numFmtId="4" fontId="34" fillId="24" borderId="105" xfId="310" applyNumberFormat="1" applyFont="1" applyFill="1" applyBorder="1" applyAlignment="1">
      <alignment horizontal="right" vertical="center"/>
    </xf>
    <xf numFmtId="4" fontId="238" fillId="24" borderId="103" xfId="310" applyNumberFormat="1" applyFont="1" applyFill="1" applyBorder="1" applyAlignment="1">
      <alignment horizontal="center" vertical="center"/>
    </xf>
    <xf numFmtId="4" fontId="34" fillId="24" borderId="103" xfId="310" applyNumberFormat="1" applyFont="1" applyFill="1" applyBorder="1" applyAlignment="1">
      <alignment horizontal="right" vertical="center"/>
    </xf>
    <xf numFmtId="4" fontId="238" fillId="24" borderId="103" xfId="310" applyNumberFormat="1" applyFont="1" applyFill="1" applyBorder="1" applyAlignment="1">
      <alignment horizontal="right" vertical="center"/>
    </xf>
    <xf numFmtId="4" fontId="34" fillId="83" borderId="33" xfId="310" applyNumberFormat="1" applyFont="1" applyFill="1" applyBorder="1" applyAlignment="1">
      <alignment horizontal="right" vertical="center"/>
    </xf>
    <xf numFmtId="4" fontId="238" fillId="24" borderId="102" xfId="310" applyNumberFormat="1" applyFont="1" applyFill="1" applyBorder="1" applyAlignment="1">
      <alignment horizontal="center" vertical="center"/>
    </xf>
    <xf numFmtId="4" fontId="223" fillId="24" borderId="100" xfId="310" applyNumberFormat="1" applyFont="1" applyFill="1" applyBorder="1" applyAlignment="1">
      <alignment horizontal="left" vertical="center"/>
    </xf>
    <xf numFmtId="4" fontId="223" fillId="24" borderId="100" xfId="310" applyNumberFormat="1" applyFont="1" applyFill="1" applyBorder="1" applyAlignment="1">
      <alignment horizontal="right" vertical="center"/>
    </xf>
    <xf numFmtId="4" fontId="223" fillId="24" borderId="102" xfId="310" applyNumberFormat="1" applyFont="1" applyFill="1" applyBorder="1" applyAlignment="1">
      <alignment horizontal="right" vertical="center"/>
    </xf>
    <xf numFmtId="4" fontId="34" fillId="24" borderId="100" xfId="310" applyNumberFormat="1" applyFont="1" applyFill="1" applyBorder="1" applyAlignment="1" applyProtection="1">
      <alignment vertical="center"/>
      <protection locked="0"/>
    </xf>
    <xf numFmtId="4" fontId="34" fillId="24" borderId="32" xfId="310" applyNumberFormat="1" applyFont="1" applyFill="1" applyBorder="1" applyAlignment="1">
      <alignment horizontal="right" vertical="center"/>
    </xf>
    <xf numFmtId="4" fontId="34" fillId="83" borderId="161" xfId="310" applyNumberFormat="1" applyFont="1" applyFill="1" applyBorder="1" applyAlignment="1">
      <alignment horizontal="right" vertical="center"/>
    </xf>
    <xf numFmtId="4" fontId="34" fillId="24" borderId="161" xfId="310" applyNumberFormat="1" applyFont="1" applyFill="1" applyBorder="1" applyAlignment="1">
      <alignment horizontal="right" vertical="center"/>
    </xf>
    <xf numFmtId="4" fontId="34" fillId="24" borderId="207" xfId="310" applyNumberFormat="1" applyFont="1" applyFill="1" applyBorder="1" applyAlignment="1">
      <alignment horizontal="right" vertical="center"/>
    </xf>
    <xf numFmtId="4" fontId="34" fillId="28" borderId="161" xfId="310" applyNumberFormat="1" applyFont="1" applyFill="1" applyBorder="1" applyAlignment="1">
      <alignment horizontal="right" vertical="center"/>
    </xf>
    <xf numFmtId="4" fontId="34" fillId="24" borderId="102" xfId="310" applyNumberFormat="1" applyFont="1" applyFill="1" applyBorder="1" applyAlignment="1">
      <alignment horizontal="right" vertical="center"/>
    </xf>
    <xf numFmtId="4" fontId="34" fillId="24" borderId="101" xfId="310" applyNumberFormat="1" applyFont="1" applyFill="1" applyBorder="1" applyAlignment="1">
      <alignment horizontal="right" vertical="center"/>
    </xf>
    <xf numFmtId="10" fontId="34" fillId="24" borderId="105" xfId="310" applyNumberFormat="1" applyFont="1" applyFill="1" applyBorder="1" applyAlignment="1" applyProtection="1">
      <alignment horizontal="right" vertical="center"/>
      <protection locked="0"/>
    </xf>
    <xf numFmtId="166" fontId="208" fillId="24" borderId="33" xfId="310" applyNumberFormat="1" applyFont="1" applyFill="1" applyBorder="1" applyAlignment="1">
      <alignment vertical="center"/>
    </xf>
    <xf numFmtId="49" fontId="193" fillId="0" borderId="32" xfId="310" applyNumberFormat="1" applyFont="1" applyBorder="1" applyAlignment="1">
      <alignment horizontal="center" vertical="center"/>
    </xf>
    <xf numFmtId="0" fontId="193" fillId="0" borderId="100" xfId="310" applyFont="1" applyBorder="1" applyAlignment="1">
      <alignment horizontal="left" vertical="center"/>
    </xf>
    <xf numFmtId="166" fontId="34" fillId="24" borderId="99" xfId="310" applyNumberFormat="1" applyFont="1" applyFill="1" applyBorder="1" applyAlignment="1">
      <alignment vertical="center"/>
    </xf>
    <xf numFmtId="0" fontId="148" fillId="0" borderId="190" xfId="310" applyFont="1" applyBorder="1" applyAlignment="1">
      <alignment horizontal="center" vertical="center"/>
    </xf>
    <xf numFmtId="4" fontId="148" fillId="0" borderId="192" xfId="310" applyNumberFormat="1" applyFont="1" applyBorder="1" applyAlignment="1">
      <alignment horizontal="center" vertical="center" wrapText="1"/>
    </xf>
    <xf numFmtId="4" fontId="202" fillId="0" borderId="193" xfId="310" applyNumberFormat="1" applyFont="1" applyBorder="1" applyAlignment="1">
      <alignment horizontal="left" vertical="center"/>
    </xf>
    <xf numFmtId="4" fontId="148" fillId="0" borderId="194" xfId="310" applyNumberFormat="1" applyFont="1" applyBorder="1" applyAlignment="1">
      <alignment horizontal="center" vertical="center" wrapText="1"/>
    </xf>
    <xf numFmtId="4" fontId="213" fillId="0" borderId="195" xfId="310" applyNumberFormat="1" applyFont="1" applyBorder="1" applyAlignment="1">
      <alignment horizontal="right" vertical="center"/>
    </xf>
    <xf numFmtId="4" fontId="202" fillId="0" borderId="192" xfId="310" applyNumberFormat="1" applyFont="1" applyBorder="1" applyAlignment="1">
      <alignment horizontal="left" vertical="center"/>
    </xf>
    <xf numFmtId="4" fontId="202" fillId="0" borderId="192" xfId="310" applyNumberFormat="1" applyFont="1" applyBorder="1" applyAlignment="1">
      <alignment horizontal="center" vertical="center"/>
    </xf>
    <xf numFmtId="4" fontId="202" fillId="0" borderId="192" xfId="310" applyNumberFormat="1" applyFont="1" applyBorder="1" applyAlignment="1">
      <alignment horizontal="right" vertical="center"/>
    </xf>
    <xf numFmtId="4" fontId="202" fillId="0" borderId="193" xfId="310" applyNumberFormat="1" applyFont="1" applyBorder="1" applyAlignment="1">
      <alignment horizontal="right" vertical="center"/>
    </xf>
    <xf numFmtId="4" fontId="213" fillId="0" borderId="58" xfId="310" applyNumberFormat="1" applyFont="1" applyBorder="1" applyAlignment="1">
      <alignment vertical="center"/>
    </xf>
    <xf numFmtId="4" fontId="202" fillId="0" borderId="56" xfId="310" applyNumberFormat="1" applyFont="1" applyBorder="1" applyAlignment="1">
      <alignment horizontal="center" vertical="center"/>
    </xf>
    <xf numFmtId="4" fontId="213" fillId="0" borderId="56" xfId="310" applyNumberFormat="1" applyFont="1" applyBorder="1" applyAlignment="1">
      <alignment vertical="center"/>
    </xf>
    <xf numFmtId="4" fontId="213" fillId="0" borderId="56" xfId="310" applyNumberFormat="1" applyFont="1" applyBorder="1" applyAlignment="1">
      <alignment horizontal="center" vertical="center"/>
    </xf>
    <xf numFmtId="4" fontId="213" fillId="0" borderId="56" xfId="310" applyNumberFormat="1" applyFont="1" applyBorder="1" applyAlignment="1">
      <alignment horizontal="right" vertical="center"/>
    </xf>
    <xf numFmtId="4" fontId="213" fillId="0" borderId="57" xfId="310" applyNumberFormat="1" applyFont="1" applyBorder="1" applyAlignment="1">
      <alignment vertical="center"/>
    </xf>
    <xf numFmtId="4" fontId="223" fillId="0" borderId="177" xfId="310" applyNumberFormat="1" applyFont="1" applyBorder="1" applyAlignment="1">
      <alignment horizontal="left"/>
    </xf>
    <xf numFmtId="4" fontId="223" fillId="0" borderId="27" xfId="310" applyNumberFormat="1" applyFont="1" applyBorder="1" applyAlignment="1">
      <alignment horizontal="left"/>
    </xf>
    <xf numFmtId="4" fontId="223" fillId="0" borderId="27" xfId="310" applyNumberFormat="1" applyFont="1" applyBorder="1" applyAlignment="1">
      <alignment horizontal="right"/>
    </xf>
    <xf numFmtId="4" fontId="223" fillId="0" borderId="25" xfId="310" applyNumberFormat="1" applyFont="1" applyBorder="1" applyAlignment="1">
      <alignment horizontal="right"/>
    </xf>
    <xf numFmtId="4" fontId="155" fillId="0" borderId="91" xfId="310" applyNumberFormat="1" applyFont="1" applyBorder="1" applyAlignment="1">
      <alignment horizontal="right"/>
    </xf>
    <xf numFmtId="4" fontId="155" fillId="0" borderId="44" xfId="310" applyNumberFormat="1" applyFont="1" applyBorder="1" applyAlignment="1">
      <alignment vertical="center"/>
    </xf>
    <xf numFmtId="4" fontId="155" fillId="0" borderId="111" xfId="310" applyNumberFormat="1" applyFont="1" applyBorder="1" applyAlignment="1" applyProtection="1">
      <alignment vertical="center"/>
      <protection locked="0"/>
    </xf>
    <xf numFmtId="4" fontId="155" fillId="0" borderId="110" xfId="310" applyNumberFormat="1" applyFont="1" applyBorder="1" applyAlignment="1" applyProtection="1">
      <alignment vertical="center"/>
      <protection locked="0"/>
    </xf>
    <xf numFmtId="4" fontId="155" fillId="0" borderId="160" xfId="310" applyNumberFormat="1" applyFont="1" applyBorder="1" applyAlignment="1">
      <alignment horizontal="right" vertical="center"/>
    </xf>
    <xf numFmtId="4" fontId="155" fillId="0" borderId="225" xfId="310" applyNumberFormat="1" applyFont="1" applyBorder="1" applyAlignment="1">
      <alignment horizontal="right" vertical="center"/>
    </xf>
    <xf numFmtId="4" fontId="155" fillId="0" borderId="31" xfId="310" applyNumberFormat="1" applyFont="1" applyBorder="1" applyAlignment="1">
      <alignment horizontal="right" vertical="center"/>
    </xf>
    <xf numFmtId="0" fontId="155" fillId="0" borderId="43" xfId="310" applyFont="1" applyBorder="1" applyAlignment="1">
      <alignment vertical="center"/>
    </xf>
    <xf numFmtId="10" fontId="155" fillId="0" borderId="44" xfId="310" applyNumberFormat="1" applyFont="1" applyBorder="1" applyAlignment="1" applyProtection="1">
      <alignment horizontal="right" vertical="center"/>
      <protection locked="0"/>
    </xf>
    <xf numFmtId="166" fontId="213" fillId="0" borderId="112" xfId="310" applyNumberFormat="1" applyFont="1" applyBorder="1" applyAlignment="1">
      <alignment vertical="center"/>
    </xf>
    <xf numFmtId="166" fontId="213" fillId="0" borderId="0" xfId="310" applyNumberFormat="1" applyFont="1" applyAlignment="1">
      <alignment vertical="center"/>
    </xf>
    <xf numFmtId="0" fontId="154" fillId="0" borderId="0" xfId="310" applyFont="1" applyAlignment="1">
      <alignment vertical="center"/>
    </xf>
    <xf numFmtId="4" fontId="118" fillId="0" borderId="20" xfId="310" applyNumberFormat="1" applyFont="1" applyBorder="1" applyAlignment="1">
      <alignment horizontal="center" vertical="center"/>
    </xf>
    <xf numFmtId="4" fontId="202" fillId="0" borderId="21" xfId="310" applyNumberFormat="1" applyFont="1" applyBorder="1" applyAlignment="1">
      <alignment horizontal="left" vertical="center"/>
    </xf>
    <xf numFmtId="4" fontId="118" fillId="0" borderId="119" xfId="310" applyNumberFormat="1" applyFont="1" applyBorder="1" applyAlignment="1">
      <alignment horizontal="center" vertical="center"/>
    </xf>
    <xf numFmtId="10" fontId="223" fillId="0" borderId="82" xfId="324" applyNumberFormat="1" applyFont="1" applyFill="1" applyBorder="1" applyAlignment="1">
      <alignment horizontal="left"/>
    </xf>
    <xf numFmtId="10" fontId="223" fillId="0" borderId="22" xfId="324" applyNumberFormat="1" applyFont="1" applyFill="1" applyBorder="1" applyAlignment="1">
      <alignment horizontal="left"/>
    </xf>
    <xf numFmtId="10" fontId="223" fillId="0" borderId="22" xfId="324" applyNumberFormat="1" applyFont="1" applyFill="1" applyBorder="1" applyAlignment="1">
      <alignment horizontal="right"/>
    </xf>
    <xf numFmtId="10" fontId="223" fillId="0" borderId="94" xfId="324" applyNumberFormat="1" applyFont="1" applyFill="1" applyBorder="1" applyAlignment="1">
      <alignment horizontal="right"/>
    </xf>
    <xf numFmtId="10" fontId="155" fillId="0" borderId="83" xfId="324" applyNumberFormat="1" applyFont="1" applyFill="1" applyBorder="1" applyAlignment="1">
      <alignment horizontal="right"/>
    </xf>
    <xf numFmtId="10" fontId="155" fillId="0" borderId="98" xfId="324" applyNumberFormat="1" applyFont="1" applyFill="1" applyBorder="1" applyAlignment="1">
      <alignment horizontal="right" vertical="center"/>
    </xf>
    <xf numFmtId="10" fontId="155" fillId="0" borderId="221" xfId="324" applyNumberFormat="1" applyFont="1" applyFill="1" applyBorder="1" applyAlignment="1" applyProtection="1">
      <alignment vertical="center"/>
      <protection locked="0"/>
    </xf>
    <xf numFmtId="10" fontId="155" fillId="0" borderId="93" xfId="324" applyNumberFormat="1" applyFont="1" applyFill="1" applyBorder="1" applyAlignment="1" applyProtection="1">
      <alignment vertical="center"/>
      <protection locked="0"/>
    </xf>
    <xf numFmtId="10" fontId="155" fillId="0" borderId="167" xfId="324" applyNumberFormat="1" applyFont="1" applyFill="1" applyBorder="1" applyAlignment="1">
      <alignment horizontal="right" vertical="center"/>
    </xf>
    <xf numFmtId="10" fontId="155" fillId="0" borderId="226" xfId="324" applyNumberFormat="1" applyFont="1" applyFill="1" applyBorder="1" applyAlignment="1">
      <alignment horizontal="right" vertical="center"/>
    </xf>
    <xf numFmtId="10" fontId="155" fillId="0" borderId="40" xfId="324" applyNumberFormat="1" applyFont="1" applyFill="1" applyBorder="1" applyAlignment="1">
      <alignment horizontal="right" vertical="center"/>
    </xf>
    <xf numFmtId="10" fontId="155" fillId="0" borderId="94" xfId="324" applyNumberFormat="1" applyFont="1" applyFill="1" applyBorder="1" applyAlignment="1">
      <alignment horizontal="right" vertical="center"/>
    </xf>
    <xf numFmtId="10" fontId="155" fillId="0" borderId="139" xfId="310" applyNumberFormat="1" applyFont="1" applyBorder="1" applyAlignment="1" applyProtection="1">
      <alignment horizontal="right" vertical="center"/>
      <protection locked="0"/>
    </xf>
    <xf numFmtId="166" fontId="213" fillId="0" borderId="138" xfId="310" applyNumberFormat="1" applyFont="1" applyBorder="1" applyAlignment="1">
      <alignment vertical="center"/>
    </xf>
    <xf numFmtId="0" fontId="202" fillId="0" borderId="109" xfId="310" applyFont="1" applyBorder="1" applyAlignment="1">
      <alignment horizontal="center" vertical="center"/>
    </xf>
    <xf numFmtId="4" fontId="202" fillId="26" borderId="110" xfId="310" applyNumberFormat="1" applyFont="1" applyFill="1" applyBorder="1" applyAlignment="1">
      <alignment vertical="center" wrapText="1"/>
    </xf>
    <xf numFmtId="4" fontId="202" fillId="26" borderId="111" xfId="310" applyNumberFormat="1" applyFont="1" applyFill="1" applyBorder="1" applyAlignment="1">
      <alignment horizontal="center" vertical="center"/>
    </xf>
    <xf numFmtId="4" fontId="202" fillId="26" borderId="46" xfId="310" applyNumberFormat="1" applyFont="1" applyFill="1" applyBorder="1" applyAlignment="1">
      <alignment horizontal="left" vertical="center"/>
    </xf>
    <xf numFmtId="4" fontId="202" fillId="26" borderId="44" xfId="310" applyNumberFormat="1" applyFont="1" applyFill="1" applyBorder="1" applyAlignment="1">
      <alignment horizontal="center" vertical="center"/>
    </xf>
    <xf numFmtId="4" fontId="213" fillId="26" borderId="112" xfId="310" applyNumberFormat="1" applyFont="1" applyFill="1" applyBorder="1" applyAlignment="1">
      <alignment horizontal="right" vertical="center"/>
    </xf>
    <xf numFmtId="4" fontId="202" fillId="26" borderId="111" xfId="251" applyNumberFormat="1" applyFont="1" applyFill="1" applyBorder="1" applyAlignment="1">
      <alignment horizontal="right" vertical="center"/>
    </xf>
    <xf numFmtId="4" fontId="202" fillId="26" borderId="111" xfId="310" applyNumberFormat="1" applyFont="1" applyFill="1" applyBorder="1" applyAlignment="1">
      <alignment horizontal="right" vertical="center"/>
    </xf>
    <xf numFmtId="4" fontId="213" fillId="26" borderId="105" xfId="310" applyNumberFormat="1" applyFont="1" applyFill="1" applyBorder="1" applyAlignment="1">
      <alignment horizontal="center" vertical="center"/>
    </xf>
    <xf numFmtId="4" fontId="213" fillId="26" borderId="103" xfId="310" applyNumberFormat="1" applyFont="1" applyFill="1" applyBorder="1" applyAlignment="1">
      <alignment horizontal="center" vertical="center"/>
    </xf>
    <xf numFmtId="4" fontId="213" fillId="26" borderId="103" xfId="310" applyNumberFormat="1" applyFont="1" applyFill="1" applyBorder="1" applyAlignment="1">
      <alignment horizontal="right" vertical="center"/>
    </xf>
    <xf numFmtId="4" fontId="213" fillId="26" borderId="33" xfId="310" applyNumberFormat="1" applyFont="1" applyFill="1" applyBorder="1" applyAlignment="1">
      <alignment horizontal="center" vertical="center"/>
    </xf>
    <xf numFmtId="4" fontId="202" fillId="26" borderId="102" xfId="310" applyNumberFormat="1" applyFont="1" applyFill="1" applyBorder="1" applyAlignment="1">
      <alignment horizontal="center" vertical="center"/>
    </xf>
    <xf numFmtId="4" fontId="202" fillId="26" borderId="103" xfId="310" applyNumberFormat="1" applyFont="1" applyFill="1" applyBorder="1" applyAlignment="1">
      <alignment horizontal="center" vertical="center"/>
    </xf>
    <xf numFmtId="4" fontId="202" fillId="26" borderId="103" xfId="310" applyNumberFormat="1" applyFont="1" applyFill="1" applyBorder="1" applyAlignment="1">
      <alignment horizontal="right" vertical="center"/>
    </xf>
    <xf numFmtId="4" fontId="129" fillId="26" borderId="178" xfId="310" applyNumberFormat="1" applyFont="1" applyFill="1" applyBorder="1" applyAlignment="1">
      <alignment horizontal="left"/>
    </xf>
    <xf numFmtId="4" fontId="129" fillId="26" borderId="111" xfId="310" applyNumberFormat="1" applyFont="1" applyFill="1" applyBorder="1" applyAlignment="1">
      <alignment horizontal="left"/>
    </xf>
    <xf numFmtId="4" fontId="129" fillId="26" borderId="111" xfId="310" applyNumberFormat="1" applyFont="1" applyFill="1" applyBorder="1" applyAlignment="1">
      <alignment horizontal="right"/>
    </xf>
    <xf numFmtId="4" fontId="129" fillId="26" borderId="31" xfId="310" applyNumberFormat="1" applyFont="1" applyFill="1" applyBorder="1" applyAlignment="1">
      <alignment horizontal="right"/>
    </xf>
    <xf numFmtId="4" fontId="155" fillId="26" borderId="46" xfId="310" applyNumberFormat="1" applyFont="1" applyFill="1" applyBorder="1" applyAlignment="1">
      <alignment horizontal="right"/>
    </xf>
    <xf numFmtId="4" fontId="155" fillId="26" borderId="44" xfId="310" applyNumberFormat="1" applyFont="1" applyFill="1" applyBorder="1" applyAlignment="1">
      <alignment horizontal="center" vertical="center"/>
    </xf>
    <xf numFmtId="4" fontId="155" fillId="26" borderId="111" xfId="310" applyNumberFormat="1" applyFont="1" applyFill="1" applyBorder="1" applyAlignment="1">
      <alignment horizontal="center" vertical="center"/>
    </xf>
    <xf numFmtId="4" fontId="155" fillId="26" borderId="19" xfId="310" applyNumberFormat="1" applyFont="1" applyFill="1" applyBorder="1" applyAlignment="1">
      <alignment horizontal="center" vertical="center"/>
    </xf>
    <xf numFmtId="4" fontId="155" fillId="26" borderId="118" xfId="310" applyNumberFormat="1" applyFont="1" applyFill="1" applyBorder="1" applyAlignment="1">
      <alignment horizontal="right" vertical="center"/>
    </xf>
    <xf numFmtId="4" fontId="34" fillId="26" borderId="181" xfId="310" applyNumberFormat="1" applyFont="1" applyFill="1" applyBorder="1" applyAlignment="1">
      <alignment horizontal="right" vertical="center"/>
    </xf>
    <xf numFmtId="4" fontId="155" fillId="26" borderId="29" xfId="310" applyNumberFormat="1" applyFont="1" applyFill="1" applyBorder="1" applyAlignment="1">
      <alignment horizontal="right" vertical="center"/>
    </xf>
    <xf numFmtId="4" fontId="244" fillId="26" borderId="29" xfId="310" applyNumberFormat="1" applyFont="1" applyFill="1" applyBorder="1" applyAlignment="1">
      <alignment horizontal="right" vertical="center"/>
    </xf>
    <xf numFmtId="4" fontId="155" fillId="26" borderId="31" xfId="310" applyNumberFormat="1" applyFont="1" applyFill="1" applyBorder="1" applyAlignment="1">
      <alignment horizontal="right" vertical="center"/>
    </xf>
    <xf numFmtId="4" fontId="244" fillId="26" borderId="40" xfId="310" applyNumberFormat="1" applyFont="1" applyFill="1" applyBorder="1" applyAlignment="1">
      <alignment horizontal="right" vertical="center"/>
    </xf>
    <xf numFmtId="4" fontId="244" fillId="26" borderId="31" xfId="310" applyNumberFormat="1" applyFont="1" applyFill="1" applyBorder="1" applyAlignment="1">
      <alignment horizontal="right" vertical="center"/>
    </xf>
    <xf numFmtId="10" fontId="155" fillId="26" borderId="44" xfId="310" applyNumberFormat="1" applyFont="1" applyFill="1" applyBorder="1" applyAlignment="1">
      <alignment horizontal="right" vertical="center"/>
    </xf>
    <xf numFmtId="166" fontId="213" fillId="26" borderId="112" xfId="310" applyNumberFormat="1" applyFont="1" applyFill="1" applyBorder="1" applyAlignment="1">
      <alignment horizontal="center" vertical="center"/>
    </xf>
    <xf numFmtId="166" fontId="213" fillId="0" borderId="0" xfId="310" applyNumberFormat="1" applyFont="1" applyAlignment="1">
      <alignment horizontal="center" vertical="center"/>
    </xf>
    <xf numFmtId="0" fontId="202" fillId="0" borderId="60" xfId="310" applyFont="1" applyBorder="1" applyAlignment="1">
      <alignment horizontal="center" vertical="center" wrapText="1"/>
    </xf>
    <xf numFmtId="0" fontId="171" fillId="27" borderId="60" xfId="310" applyFont="1" applyFill="1" applyBorder="1" applyAlignment="1">
      <alignment horizontal="left" wrapText="1"/>
    </xf>
    <xf numFmtId="4" fontId="249" fillId="0" borderId="69" xfId="310" applyNumberFormat="1" applyFont="1" applyBorder="1" applyAlignment="1">
      <alignment horizontal="center" vertical="center" wrapText="1"/>
    </xf>
    <xf numFmtId="4" fontId="250" fillId="27" borderId="137" xfId="310" applyNumberFormat="1" applyFont="1" applyFill="1" applyBorder="1" applyAlignment="1">
      <alignment horizontal="right" vertical="center"/>
    </xf>
    <xf numFmtId="4" fontId="213" fillId="0" borderId="56" xfId="310" applyNumberFormat="1" applyFont="1" applyBorder="1"/>
    <xf numFmtId="4" fontId="215" fillId="0" borderId="67" xfId="310" applyNumberFormat="1" applyFont="1" applyBorder="1" applyAlignment="1">
      <alignment horizontal="right" vertical="center"/>
    </xf>
    <xf numFmtId="4" fontId="213" fillId="0" borderId="56" xfId="310" applyNumberFormat="1" applyFont="1" applyBorder="1" applyAlignment="1">
      <alignment horizontal="center"/>
    </xf>
    <xf numFmtId="4" fontId="213" fillId="0" borderId="56" xfId="310" applyNumberFormat="1" applyFont="1" applyBorder="1" applyAlignment="1">
      <alignment horizontal="right"/>
    </xf>
    <xf numFmtId="4" fontId="129" fillId="0" borderId="62" xfId="310" applyNumberFormat="1" applyFont="1" applyBorder="1" applyAlignment="1">
      <alignment horizontal="left"/>
    </xf>
    <xf numFmtId="4" fontId="129" fillId="0" borderId="65" xfId="310" applyNumberFormat="1" applyFont="1" applyBorder="1" applyAlignment="1">
      <alignment horizontal="left"/>
    </xf>
    <xf numFmtId="4" fontId="129" fillId="0" borderId="65" xfId="310" applyNumberFormat="1" applyFont="1" applyBorder="1" applyAlignment="1">
      <alignment horizontal="right"/>
    </xf>
    <xf numFmtId="4" fontId="129" fillId="0" borderId="66" xfId="310" applyNumberFormat="1" applyFont="1" applyBorder="1" applyAlignment="1">
      <alignment horizontal="right"/>
    </xf>
    <xf numFmtId="4" fontId="155" fillId="0" borderId="69" xfId="310" applyNumberFormat="1" applyFont="1" applyBorder="1"/>
    <xf numFmtId="4" fontId="155" fillId="0" borderId="63" xfId="310" applyNumberFormat="1" applyFont="1" applyBorder="1" applyProtection="1">
      <protection locked="0"/>
    </xf>
    <xf numFmtId="4" fontId="155" fillId="0" borderId="59" xfId="310" applyNumberFormat="1" applyFont="1" applyBorder="1" applyProtection="1">
      <protection locked="0"/>
    </xf>
    <xf numFmtId="4" fontId="224" fillId="0" borderId="223" xfId="310" applyNumberFormat="1" applyFont="1" applyBorder="1" applyAlignment="1">
      <alignment horizontal="right"/>
    </xf>
    <xf numFmtId="4" fontId="224" fillId="0" borderId="40" xfId="310" applyNumberFormat="1" applyFont="1" applyBorder="1" applyAlignment="1">
      <alignment horizontal="right"/>
    </xf>
    <xf numFmtId="4" fontId="224" fillId="0" borderId="66" xfId="310" applyNumberFormat="1" applyFont="1" applyBorder="1" applyAlignment="1">
      <alignment horizontal="right"/>
    </xf>
    <xf numFmtId="0" fontId="155" fillId="0" borderId="43" xfId="310" applyFont="1" applyBorder="1"/>
    <xf numFmtId="4" fontId="201" fillId="0" borderId="0" xfId="310" applyNumberFormat="1" applyFont="1" applyAlignment="1">
      <alignment horizontal="center" vertical="center"/>
    </xf>
    <xf numFmtId="4" fontId="202" fillId="0" borderId="69" xfId="310" applyNumberFormat="1" applyFont="1" applyBorder="1" applyAlignment="1">
      <alignment horizontal="center"/>
    </xf>
    <xf numFmtId="4" fontId="202" fillId="27" borderId="57" xfId="310" applyNumberFormat="1" applyFont="1" applyFill="1" applyBorder="1" applyAlignment="1">
      <alignment horizontal="right"/>
    </xf>
    <xf numFmtId="4" fontId="215" fillId="27" borderId="65" xfId="310" applyNumberFormat="1" applyFont="1" applyFill="1" applyBorder="1" applyAlignment="1">
      <alignment horizontal="center"/>
    </xf>
    <xf numFmtId="4" fontId="250" fillId="27" borderId="12" xfId="310" applyNumberFormat="1" applyFont="1" applyFill="1" applyBorder="1" applyAlignment="1">
      <alignment horizontal="right" vertical="center"/>
    </xf>
    <xf numFmtId="4" fontId="213" fillId="27" borderId="67" xfId="310" applyNumberFormat="1" applyFont="1" applyFill="1" applyBorder="1" applyAlignment="1">
      <alignment horizontal="center"/>
    </xf>
    <xf numFmtId="4" fontId="213" fillId="0" borderId="67" xfId="310" applyNumberFormat="1" applyFont="1" applyBorder="1"/>
    <xf numFmtId="4" fontId="215" fillId="27" borderId="67" xfId="310" applyNumberFormat="1" applyFont="1" applyFill="1" applyBorder="1" applyAlignment="1">
      <alignment horizontal="center"/>
    </xf>
    <xf numFmtId="4" fontId="213" fillId="0" borderId="68" xfId="310" applyNumberFormat="1" applyFont="1" applyBorder="1"/>
    <xf numFmtId="4" fontId="213" fillId="0" borderId="67" xfId="310" applyNumberFormat="1" applyFont="1" applyBorder="1" applyAlignment="1">
      <alignment horizontal="center"/>
    </xf>
    <xf numFmtId="4" fontId="213" fillId="0" borderId="67" xfId="310" applyNumberFormat="1" applyFont="1" applyBorder="1" applyAlignment="1">
      <alignment horizontal="right"/>
    </xf>
    <xf numFmtId="4" fontId="155" fillId="0" borderId="151" xfId="310" applyNumberFormat="1" applyFont="1" applyBorder="1" applyProtection="1">
      <protection locked="0"/>
    </xf>
    <xf numFmtId="4" fontId="155" fillId="0" borderId="67" xfId="310" applyNumberFormat="1" applyFont="1" applyBorder="1" applyAlignment="1">
      <alignment horizontal="right"/>
    </xf>
    <xf numFmtId="4" fontId="224" fillId="0" borderId="67" xfId="310" applyNumberFormat="1" applyFont="1" applyBorder="1" applyAlignment="1">
      <alignment horizontal="right"/>
    </xf>
    <xf numFmtId="4" fontId="224" fillId="0" borderId="151" xfId="310" applyNumberFormat="1" applyFont="1" applyBorder="1" applyAlignment="1">
      <alignment horizontal="right"/>
    </xf>
    <xf numFmtId="4" fontId="215" fillId="27" borderId="62" xfId="310" applyNumberFormat="1" applyFont="1" applyFill="1" applyBorder="1" applyAlignment="1">
      <alignment horizontal="center"/>
    </xf>
    <xf numFmtId="4" fontId="215" fillId="27" borderId="54" xfId="310" applyNumberFormat="1" applyFont="1" applyFill="1" applyBorder="1" applyAlignment="1">
      <alignment horizontal="right" vertical="center"/>
    </xf>
    <xf numFmtId="4" fontId="243" fillId="0" borderId="67" xfId="310" applyNumberFormat="1" applyFont="1" applyBorder="1" applyAlignment="1">
      <alignment horizontal="right"/>
    </xf>
    <xf numFmtId="4" fontId="251" fillId="0" borderId="40" xfId="0" applyNumberFormat="1" applyFont="1" applyBorder="1" applyAlignment="1">
      <alignment horizontal="right"/>
    </xf>
    <xf numFmtId="0" fontId="202" fillId="0" borderId="114" xfId="310" applyFont="1" applyBorder="1" applyAlignment="1">
      <alignment horizontal="center" vertical="center" wrapText="1"/>
    </xf>
    <xf numFmtId="4" fontId="202" fillId="0" borderId="22" xfId="310" applyNumberFormat="1" applyFont="1" applyBorder="1" applyAlignment="1">
      <alignment horizontal="center"/>
    </xf>
    <xf numFmtId="4" fontId="213" fillId="0" borderId="96" xfId="310" applyNumberFormat="1" applyFont="1" applyBorder="1" applyAlignment="1">
      <alignment horizontal="right"/>
    </xf>
    <xf numFmtId="4" fontId="202" fillId="0" borderId="22" xfId="310" applyNumberFormat="1" applyFont="1" applyBorder="1" applyAlignment="1">
      <alignment horizontal="left"/>
    </xf>
    <xf numFmtId="4" fontId="202" fillId="0" borderId="22" xfId="310" applyNumberFormat="1" applyFont="1" applyBorder="1" applyAlignment="1">
      <alignment horizontal="right"/>
    </xf>
    <xf numFmtId="4" fontId="213" fillId="0" borderId="80" xfId="310" applyNumberFormat="1" applyFont="1" applyBorder="1"/>
    <xf numFmtId="4" fontId="213" fillId="0" borderId="74" xfId="310" applyNumberFormat="1" applyFont="1" applyBorder="1" applyAlignment="1">
      <alignment horizontal="center"/>
    </xf>
    <xf numFmtId="4" fontId="213" fillId="0" borderId="74" xfId="310" applyNumberFormat="1" applyFont="1" applyBorder="1"/>
    <xf numFmtId="4" fontId="213" fillId="0" borderId="74" xfId="310" applyNumberFormat="1" applyFont="1" applyBorder="1" applyAlignment="1">
      <alignment horizontal="right"/>
    </xf>
    <xf numFmtId="4" fontId="213" fillId="0" borderId="75" xfId="310" applyNumberFormat="1" applyFont="1" applyBorder="1"/>
    <xf numFmtId="4" fontId="202" fillId="0" borderId="180" xfId="310" applyNumberFormat="1" applyFont="1" applyBorder="1" applyAlignment="1">
      <alignment horizontal="center"/>
    </xf>
    <xf numFmtId="4" fontId="202" fillId="0" borderId="74" xfId="310" applyNumberFormat="1" applyFont="1" applyBorder="1" applyAlignment="1">
      <alignment horizontal="center"/>
    </xf>
    <xf numFmtId="4" fontId="202" fillId="0" borderId="74" xfId="310" applyNumberFormat="1" applyFont="1" applyBorder="1" applyAlignment="1">
      <alignment horizontal="right"/>
    </xf>
    <xf numFmtId="4" fontId="129" fillId="0" borderId="82" xfId="310" applyNumberFormat="1" applyFont="1" applyBorder="1" applyAlignment="1">
      <alignment horizontal="left"/>
    </xf>
    <xf numFmtId="4" fontId="129" fillId="0" borderId="22" xfId="310" applyNumberFormat="1" applyFont="1" applyBorder="1" applyAlignment="1">
      <alignment horizontal="left"/>
    </xf>
    <xf numFmtId="4" fontId="129" fillId="0" borderId="22" xfId="310" applyNumberFormat="1" applyFont="1" applyBorder="1" applyAlignment="1">
      <alignment horizontal="right"/>
    </xf>
    <xf numFmtId="4" fontId="129" fillId="0" borderId="94" xfId="310" applyNumberFormat="1" applyFont="1" applyBorder="1" applyAlignment="1">
      <alignment horizontal="right"/>
    </xf>
    <xf numFmtId="4" fontId="155" fillId="0" borderId="83" xfId="310" applyNumberFormat="1" applyFont="1" applyBorder="1" applyAlignment="1">
      <alignment horizontal="right"/>
    </xf>
    <xf numFmtId="4" fontId="155" fillId="0" borderId="175" xfId="310" applyNumberFormat="1" applyFont="1" applyBorder="1" applyAlignment="1" applyProtection="1">
      <alignment horizontal="center"/>
      <protection locked="0"/>
    </xf>
    <xf numFmtId="4" fontId="155" fillId="0" borderId="149" xfId="310" applyNumberFormat="1" applyFont="1" applyBorder="1" applyAlignment="1" applyProtection="1">
      <alignment horizontal="center"/>
      <protection locked="0"/>
    </xf>
    <xf numFmtId="4" fontId="155" fillId="0" borderId="43" xfId="310" applyNumberFormat="1" applyFont="1" applyBorder="1"/>
    <xf numFmtId="10" fontId="155" fillId="0" borderId="98" xfId="310" applyNumberFormat="1" applyFont="1" applyBorder="1" applyAlignment="1">
      <alignment horizontal="right"/>
    </xf>
    <xf numFmtId="166" fontId="213" fillId="0" borderId="116" xfId="310" applyNumberFormat="1" applyFont="1" applyBorder="1"/>
    <xf numFmtId="0" fontId="238" fillId="24" borderId="20" xfId="310" applyFont="1" applyFill="1" applyBorder="1" applyAlignment="1">
      <alignment horizontal="center" vertical="center"/>
    </xf>
    <xf numFmtId="0" fontId="238" fillId="24" borderId="21" xfId="310" applyFont="1" applyFill="1" applyBorder="1" applyAlignment="1">
      <alignment horizontal="left" vertical="center"/>
    </xf>
    <xf numFmtId="0" fontId="238" fillId="24" borderId="119" xfId="310" applyFont="1" applyFill="1" applyBorder="1" applyAlignment="1">
      <alignment horizontal="center" vertical="center"/>
    </xf>
    <xf numFmtId="4" fontId="208" fillId="24" borderId="120" xfId="310" applyNumberFormat="1" applyFont="1" applyFill="1" applyBorder="1" applyAlignment="1">
      <alignment horizontal="right" vertical="center"/>
    </xf>
    <xf numFmtId="4" fontId="208" fillId="24" borderId="105" xfId="310" applyNumberFormat="1" applyFont="1" applyFill="1" applyBorder="1" applyAlignment="1">
      <alignment horizontal="right" vertical="center"/>
    </xf>
    <xf numFmtId="4" fontId="208" fillId="24" borderId="103" xfId="310" applyNumberFormat="1" applyFont="1" applyFill="1" applyBorder="1" applyAlignment="1">
      <alignment horizontal="center" vertical="center"/>
    </xf>
    <xf numFmtId="4" fontId="208" fillId="24" borderId="103" xfId="310" applyNumberFormat="1" applyFont="1" applyFill="1" applyBorder="1" applyAlignment="1">
      <alignment horizontal="right" vertical="center"/>
    </xf>
    <xf numFmtId="4" fontId="208" fillId="88" borderId="33" xfId="310" applyNumberFormat="1" applyFont="1" applyFill="1" applyBorder="1" applyAlignment="1">
      <alignment horizontal="right" vertical="center"/>
    </xf>
    <xf numFmtId="4" fontId="208" fillId="88" borderId="103" xfId="310" applyNumberFormat="1" applyFont="1" applyFill="1" applyBorder="1" applyAlignment="1">
      <alignment horizontal="center" vertical="center"/>
    </xf>
    <xf numFmtId="4" fontId="223" fillId="24" borderId="148" xfId="310" applyNumberFormat="1" applyFont="1" applyFill="1" applyBorder="1" applyAlignment="1">
      <alignment horizontal="left"/>
    </xf>
    <xf numFmtId="4" fontId="223" fillId="24" borderId="100" xfId="310" applyNumberFormat="1" applyFont="1" applyFill="1" applyBorder="1" applyAlignment="1">
      <alignment horizontal="left"/>
    </xf>
    <xf numFmtId="166" fontId="223" fillId="24" borderId="100" xfId="310" applyNumberFormat="1" applyFont="1" applyFill="1" applyBorder="1" applyAlignment="1">
      <alignment horizontal="right"/>
    </xf>
    <xf numFmtId="166" fontId="223" fillId="24" borderId="102" xfId="310" applyNumberFormat="1" applyFont="1" applyFill="1" applyBorder="1" applyAlignment="1">
      <alignment horizontal="right"/>
    </xf>
    <xf numFmtId="4" fontId="208" fillId="24" borderId="120" xfId="310" applyNumberFormat="1" applyFont="1" applyFill="1" applyBorder="1" applyAlignment="1">
      <alignment horizontal="right"/>
    </xf>
    <xf numFmtId="4" fontId="34" fillId="24" borderId="105" xfId="310" applyNumberFormat="1" applyFont="1" applyFill="1" applyBorder="1" applyAlignment="1">
      <alignment vertical="center"/>
    </xf>
    <xf numFmtId="10" fontId="34" fillId="24" borderId="101" xfId="310" applyNumberFormat="1" applyFont="1" applyFill="1" applyBorder="1" applyAlignment="1" applyProtection="1">
      <alignment horizontal="right" vertical="center"/>
      <protection locked="0"/>
    </xf>
    <xf numFmtId="4" fontId="34" fillId="24" borderId="100" xfId="310" applyNumberFormat="1" applyFont="1" applyFill="1" applyBorder="1" applyAlignment="1">
      <alignment horizontal="right" vertical="center"/>
    </xf>
    <xf numFmtId="4" fontId="220" fillId="24" borderId="102" xfId="310" applyNumberFormat="1" applyFont="1" applyFill="1" applyBorder="1" applyAlignment="1">
      <alignment horizontal="right" vertical="center"/>
    </xf>
    <xf numFmtId="10" fontId="208" fillId="24" borderId="105" xfId="310" applyNumberFormat="1" applyFont="1" applyFill="1" applyBorder="1" applyAlignment="1" applyProtection="1">
      <alignment horizontal="right" vertical="center"/>
      <protection locked="0"/>
    </xf>
    <xf numFmtId="0" fontId="142" fillId="0" borderId="32" xfId="310" applyFont="1" applyBorder="1" applyAlignment="1">
      <alignment vertical="center" wrapText="1"/>
    </xf>
    <xf numFmtId="0" fontId="142" fillId="0" borderId="100" xfId="310" applyFont="1" applyBorder="1" applyAlignment="1">
      <alignment horizontal="center" vertical="center"/>
    </xf>
    <xf numFmtId="0" fontId="215" fillId="0" borderId="101" xfId="310" applyFont="1" applyBorder="1" applyAlignment="1">
      <alignment horizontal="left" vertical="center"/>
    </xf>
    <xf numFmtId="0" fontId="142" fillId="0" borderId="105" xfId="310" applyFont="1" applyBorder="1" applyAlignment="1">
      <alignment horizontal="center" vertical="center"/>
    </xf>
    <xf numFmtId="4" fontId="214" fillId="0" borderId="33" xfId="310" applyNumberFormat="1" applyFont="1" applyBorder="1" applyAlignment="1">
      <alignment horizontal="right" vertical="center"/>
    </xf>
    <xf numFmtId="4" fontId="214" fillId="0" borderId="79" xfId="310" applyNumberFormat="1" applyFont="1" applyBorder="1" applyAlignment="1">
      <alignment vertical="center"/>
    </xf>
    <xf numFmtId="4" fontId="214" fillId="0" borderId="77" xfId="310" applyNumberFormat="1" applyFont="1" applyBorder="1" applyAlignment="1">
      <alignment horizontal="center" vertical="center"/>
    </xf>
    <xf numFmtId="4" fontId="214" fillId="0" borderId="77" xfId="310" applyNumberFormat="1" applyFont="1" applyBorder="1" applyAlignment="1">
      <alignment vertical="center"/>
    </xf>
    <xf numFmtId="4" fontId="214" fillId="0" borderId="76" xfId="310" applyNumberFormat="1" applyFont="1" applyBorder="1" applyAlignment="1">
      <alignment vertical="center"/>
    </xf>
    <xf numFmtId="0" fontId="242" fillId="0" borderId="148" xfId="310" applyFont="1" applyBorder="1" applyAlignment="1">
      <alignment horizontal="left"/>
    </xf>
    <xf numFmtId="0" fontId="242" fillId="0" borderId="100" xfId="310" applyFont="1" applyBorder="1" applyAlignment="1">
      <alignment horizontal="left"/>
    </xf>
    <xf numFmtId="166" fontId="242" fillId="0" borderId="100" xfId="310" applyNumberFormat="1" applyFont="1" applyBorder="1" applyAlignment="1">
      <alignment horizontal="right"/>
    </xf>
    <xf numFmtId="166" fontId="242" fillId="0" borderId="102" xfId="310" applyNumberFormat="1" applyFont="1" applyBorder="1" applyAlignment="1">
      <alignment horizontal="right"/>
    </xf>
    <xf numFmtId="166" fontId="224" fillId="0" borderId="101" xfId="310" applyNumberFormat="1" applyFont="1" applyBorder="1" applyAlignment="1">
      <alignment horizontal="right"/>
    </xf>
    <xf numFmtId="10" fontId="239" fillId="0" borderId="83" xfId="310" applyNumberFormat="1" applyFont="1" applyBorder="1" applyAlignment="1" applyProtection="1">
      <alignment vertical="center"/>
      <protection locked="0"/>
    </xf>
    <xf numFmtId="10" fontId="224" fillId="0" borderId="97" xfId="310" applyNumberFormat="1" applyFont="1" applyBorder="1" applyAlignment="1" applyProtection="1">
      <alignment vertical="center"/>
      <protection locked="0"/>
    </xf>
    <xf numFmtId="4" fontId="224" fillId="0" borderId="94" xfId="310" applyNumberFormat="1" applyFont="1" applyBorder="1" applyAlignment="1">
      <alignment horizontal="right" vertical="center"/>
    </xf>
    <xf numFmtId="4" fontId="155" fillId="0" borderId="95" xfId="310" applyNumberFormat="1" applyFont="1" applyBorder="1" applyAlignment="1">
      <alignment horizontal="right" vertical="center"/>
    </xf>
    <xf numFmtId="4" fontId="243" fillId="0" borderId="20" xfId="310" applyNumberFormat="1" applyFont="1" applyBorder="1" applyAlignment="1">
      <alignment horizontal="right" vertical="center"/>
    </xf>
    <xf numFmtId="4" fontId="243" fillId="0" borderId="176" xfId="310" applyNumberFormat="1" applyFont="1" applyBorder="1" applyAlignment="1">
      <alignment horizontal="right" vertical="center"/>
    </xf>
    <xf numFmtId="4" fontId="243" fillId="0" borderId="94" xfId="310" applyNumberFormat="1" applyFont="1" applyBorder="1" applyAlignment="1">
      <alignment horizontal="right" vertical="center"/>
    </xf>
    <xf numFmtId="4" fontId="239" fillId="0" borderId="94" xfId="310" applyNumberFormat="1" applyFont="1" applyBorder="1" applyAlignment="1">
      <alignment vertical="center"/>
    </xf>
    <xf numFmtId="0" fontId="239" fillId="0" borderId="43" xfId="310" applyFont="1" applyBorder="1" applyAlignment="1">
      <alignment vertical="center"/>
    </xf>
    <xf numFmtId="10" fontId="214" fillId="0" borderId="119" xfId="310" applyNumberFormat="1" applyFont="1" applyBorder="1" applyAlignment="1" applyProtection="1">
      <alignment horizontal="right" vertical="center"/>
      <protection locked="0"/>
    </xf>
    <xf numFmtId="166" fontId="214" fillId="0" borderId="96" xfId="310" applyNumberFormat="1" applyFont="1" applyBorder="1" applyAlignment="1">
      <alignment vertical="center"/>
    </xf>
    <xf numFmtId="166" fontId="214" fillId="0" borderId="0" xfId="310" applyNumberFormat="1" applyFont="1" applyAlignment="1">
      <alignment vertical="center"/>
    </xf>
    <xf numFmtId="0" fontId="252" fillId="0" borderId="0" xfId="310" applyFont="1" applyAlignment="1">
      <alignment vertical="center"/>
    </xf>
    <xf numFmtId="0" fontId="202" fillId="24" borderId="32" xfId="310" applyFont="1" applyFill="1" applyBorder="1" applyAlignment="1">
      <alignment vertical="center" wrapText="1"/>
    </xf>
    <xf numFmtId="0" fontId="209" fillId="24" borderId="100" xfId="310" applyFont="1" applyFill="1" applyBorder="1" applyAlignment="1">
      <alignment horizontal="center" vertical="center" wrapText="1"/>
    </xf>
    <xf numFmtId="0" fontId="209" fillId="24" borderId="101" xfId="310" applyFont="1" applyFill="1" applyBorder="1" applyAlignment="1">
      <alignment horizontal="left" vertical="center" wrapText="1"/>
    </xf>
    <xf numFmtId="0" fontId="209" fillId="24" borderId="105" xfId="310" applyFont="1" applyFill="1" applyBorder="1" applyAlignment="1">
      <alignment horizontal="center" vertical="center" wrapText="1"/>
    </xf>
    <xf numFmtId="4" fontId="208" fillId="24" borderId="33" xfId="310" applyNumberFormat="1" applyFont="1" applyFill="1" applyBorder="1" applyAlignment="1">
      <alignment horizontal="right" vertical="center"/>
    </xf>
    <xf numFmtId="4" fontId="208" fillId="24" borderId="105" xfId="310" applyNumberFormat="1" applyFont="1" applyFill="1" applyBorder="1" applyAlignment="1">
      <alignment vertical="center"/>
    </xf>
    <xf numFmtId="4" fontId="208" fillId="24" borderId="103" xfId="310" applyNumberFormat="1" applyFont="1" applyFill="1" applyBorder="1" applyAlignment="1">
      <alignment vertical="center"/>
    </xf>
    <xf numFmtId="4" fontId="208" fillId="24" borderId="33" xfId="310" applyNumberFormat="1" applyFont="1" applyFill="1" applyBorder="1" applyAlignment="1">
      <alignment vertical="center"/>
    </xf>
    <xf numFmtId="0" fontId="129" fillId="24" borderId="148" xfId="310" applyFont="1" applyFill="1" applyBorder="1" applyAlignment="1">
      <alignment horizontal="left" wrapText="1"/>
    </xf>
    <xf numFmtId="0" fontId="129" fillId="24" borderId="100" xfId="310" applyFont="1" applyFill="1" applyBorder="1" applyAlignment="1">
      <alignment horizontal="left" wrapText="1"/>
    </xf>
    <xf numFmtId="166" fontId="129" fillId="24" borderId="100" xfId="310" applyNumberFormat="1" applyFont="1" applyFill="1" applyBorder="1" applyAlignment="1">
      <alignment horizontal="right" wrapText="1"/>
    </xf>
    <xf numFmtId="166" fontId="129" fillId="24" borderId="102" xfId="310" applyNumberFormat="1" applyFont="1" applyFill="1" applyBorder="1" applyAlignment="1">
      <alignment horizontal="right" wrapText="1"/>
    </xf>
    <xf numFmtId="166" fontId="34" fillId="24" borderId="101" xfId="310" applyNumberFormat="1" applyFont="1" applyFill="1" applyBorder="1" applyAlignment="1">
      <alignment horizontal="right"/>
    </xf>
    <xf numFmtId="10" fontId="34" fillId="24" borderId="21" xfId="310" applyNumberFormat="1" applyFont="1" applyFill="1" applyBorder="1" applyAlignment="1" applyProtection="1">
      <alignment vertical="center"/>
      <protection locked="0"/>
    </xf>
    <xf numFmtId="4" fontId="34" fillId="24" borderId="104" xfId="310" applyNumberFormat="1" applyFont="1" applyFill="1" applyBorder="1" applyAlignment="1">
      <alignment horizontal="right" vertical="center"/>
    </xf>
    <xf numFmtId="10" fontId="34" fillId="24" borderId="119" xfId="310" applyNumberFormat="1" applyFont="1" applyFill="1" applyBorder="1" applyAlignment="1" applyProtection="1">
      <alignment horizontal="right" vertical="center"/>
      <protection locked="0"/>
    </xf>
    <xf numFmtId="166" fontId="208" fillId="24" borderId="120" xfId="310" applyNumberFormat="1" applyFont="1" applyFill="1" applyBorder="1" applyAlignment="1">
      <alignment vertical="center"/>
    </xf>
    <xf numFmtId="0" fontId="209" fillId="0" borderId="0" xfId="310" applyFont="1" applyAlignment="1">
      <alignment horizontal="center" vertical="center"/>
    </xf>
    <xf numFmtId="0" fontId="202" fillId="0" borderId="0" xfId="310" applyFont="1" applyAlignment="1">
      <alignment vertical="center" wrapText="1"/>
    </xf>
    <xf numFmtId="0" fontId="209" fillId="0" borderId="0" xfId="310" applyFont="1" applyAlignment="1">
      <alignment vertical="center" wrapText="1"/>
    </xf>
    <xf numFmtId="4" fontId="209" fillId="87" borderId="0" xfId="310" applyNumberFormat="1" applyFont="1" applyFill="1" applyAlignment="1">
      <alignment horizontal="right" vertical="center"/>
    </xf>
    <xf numFmtId="4" fontId="209" fillId="0" borderId="58" xfId="310" applyNumberFormat="1" applyFont="1" applyBorder="1" applyAlignment="1">
      <alignment vertical="center"/>
    </xf>
    <xf numFmtId="4" fontId="209" fillId="0" borderId="56" xfId="310" applyNumberFormat="1" applyFont="1" applyBorder="1" applyAlignment="1">
      <alignment horizontal="center" vertical="center"/>
    </xf>
    <xf numFmtId="4" fontId="201" fillId="88" borderId="56" xfId="37816" applyNumberFormat="1" applyFont="1" applyFill="1" applyBorder="1" applyAlignment="1">
      <alignment vertical="center"/>
    </xf>
    <xf numFmtId="4" fontId="129" fillId="0" borderId="0" xfId="310" applyNumberFormat="1" applyFont="1" applyAlignment="1">
      <alignment horizontal="left"/>
    </xf>
    <xf numFmtId="166" fontId="129" fillId="0" borderId="0" xfId="310" applyNumberFormat="1" applyFont="1" applyAlignment="1">
      <alignment horizontal="right"/>
    </xf>
    <xf numFmtId="4" fontId="201" fillId="89" borderId="0" xfId="310" applyNumberFormat="1" applyFont="1" applyFill="1" applyAlignment="1">
      <alignment horizontal="right"/>
    </xf>
    <xf numFmtId="4" fontId="201" fillId="0" borderId="0" xfId="310" applyNumberFormat="1" applyFont="1" applyAlignment="1">
      <alignment vertical="center"/>
    </xf>
    <xf numFmtId="10" fontId="201" fillId="0" borderId="0" xfId="310" applyNumberFormat="1" applyFont="1" applyAlignment="1" applyProtection="1">
      <alignment vertical="center"/>
      <protection locked="0"/>
    </xf>
    <xf numFmtId="4" fontId="201" fillId="0" borderId="0" xfId="310" applyNumberFormat="1" applyFont="1" applyAlignment="1">
      <alignment horizontal="right" vertical="center"/>
    </xf>
    <xf numFmtId="4" fontId="201" fillId="0" borderId="15" xfId="310" applyNumberFormat="1" applyFont="1" applyBorder="1" applyAlignment="1">
      <alignment horizontal="right" vertical="center"/>
    </xf>
    <xf numFmtId="4" fontId="235" fillId="0" borderId="15" xfId="310" applyNumberFormat="1" applyFont="1" applyBorder="1" applyAlignment="1">
      <alignment horizontal="right" vertical="center"/>
    </xf>
    <xf numFmtId="0" fontId="201" fillId="0" borderId="0" xfId="310" applyFont="1" applyAlignment="1">
      <alignment horizontal="right" vertical="center"/>
    </xf>
    <xf numFmtId="4" fontId="254" fillId="0" borderId="0" xfId="310" applyNumberFormat="1" applyFont="1" applyAlignment="1">
      <alignment horizontal="right" vertical="center"/>
    </xf>
    <xf numFmtId="10" fontId="201" fillId="0" borderId="0" xfId="310" applyNumberFormat="1" applyFont="1" applyAlignment="1" applyProtection="1">
      <alignment vertical="center" shrinkToFit="1"/>
      <protection locked="0"/>
    </xf>
    <xf numFmtId="0" fontId="255" fillId="0" borderId="0" xfId="310" applyFont="1" applyAlignment="1">
      <alignment horizontal="left" vertical="center"/>
    </xf>
    <xf numFmtId="0" fontId="256" fillId="0" borderId="0" xfId="310" applyFont="1" applyAlignment="1">
      <alignment vertical="center" wrapText="1"/>
    </xf>
    <xf numFmtId="0" fontId="202" fillId="0" borderId="0" xfId="310" applyFont="1" applyAlignment="1">
      <alignment horizontal="left" vertical="top"/>
    </xf>
    <xf numFmtId="4" fontId="202" fillId="0" borderId="0" xfId="310" applyNumberFormat="1" applyFont="1" applyAlignment="1">
      <alignment horizontal="right" vertical="top"/>
    </xf>
    <xf numFmtId="4" fontId="255" fillId="0" borderId="0" xfId="310" applyNumberFormat="1" applyFont="1" applyAlignment="1">
      <alignment horizontal="left" vertical="center"/>
    </xf>
    <xf numFmtId="4" fontId="209" fillId="83" borderId="80" xfId="310" applyNumberFormat="1" applyFont="1" applyFill="1" applyBorder="1" applyAlignment="1">
      <alignment horizontal="center" vertical="center"/>
    </xf>
    <xf numFmtId="4" fontId="202" fillId="0" borderId="74" xfId="310" applyNumberFormat="1" applyFont="1" applyBorder="1" applyAlignment="1">
      <alignment horizontal="center" vertical="top"/>
    </xf>
    <xf numFmtId="4" fontId="154" fillId="31" borderId="74" xfId="310" applyNumberFormat="1" applyFont="1" applyFill="1" applyBorder="1" applyAlignment="1">
      <alignment horizontal="right" vertical="top"/>
    </xf>
    <xf numFmtId="4" fontId="257" fillId="31" borderId="74" xfId="310" applyNumberFormat="1" applyFont="1" applyFill="1" applyBorder="1" applyAlignment="1">
      <alignment horizontal="right" vertical="top"/>
    </xf>
    <xf numFmtId="4" fontId="154" fillId="31" borderId="75" xfId="310" applyNumberFormat="1" applyFont="1" applyFill="1" applyBorder="1" applyAlignment="1">
      <alignment horizontal="right" vertical="top"/>
    </xf>
    <xf numFmtId="4" fontId="129" fillId="0" borderId="0" xfId="310" applyNumberFormat="1" applyFont="1" applyAlignment="1">
      <alignment horizontal="right"/>
    </xf>
    <xf numFmtId="166" fontId="154" fillId="0" borderId="0" xfId="310" applyNumberFormat="1" applyFont="1" applyAlignment="1">
      <alignment horizontal="right"/>
    </xf>
    <xf numFmtId="4" fontId="154" fillId="0" borderId="0" xfId="310" applyNumberFormat="1" applyFont="1" applyAlignment="1">
      <alignment vertical="top"/>
    </xf>
    <xf numFmtId="4" fontId="154" fillId="0" borderId="0" xfId="310" applyNumberFormat="1" applyFont="1" applyAlignment="1">
      <alignment horizontal="right" vertical="top"/>
    </xf>
    <xf numFmtId="10" fontId="154" fillId="0" borderId="0" xfId="324" applyNumberFormat="1" applyFont="1" applyFill="1" applyBorder="1" applyAlignment="1">
      <alignment horizontal="right" vertical="top"/>
    </xf>
    <xf numFmtId="0" fontId="45" fillId="0" borderId="0" xfId="310" applyFont="1" applyAlignment="1">
      <alignment vertical="top"/>
    </xf>
    <xf numFmtId="10" fontId="154" fillId="0" borderId="0" xfId="310" applyNumberFormat="1" applyFont="1" applyAlignment="1">
      <alignment horizontal="right" vertical="top"/>
    </xf>
    <xf numFmtId="4" fontId="202" fillId="0" borderId="0" xfId="310" applyNumberFormat="1" applyFont="1" applyAlignment="1">
      <alignment vertical="top"/>
    </xf>
    <xf numFmtId="0" fontId="45" fillId="0" borderId="0" xfId="310" applyFont="1" applyAlignment="1">
      <alignment horizontal="center" vertical="top"/>
    </xf>
    <xf numFmtId="0" fontId="238" fillId="85" borderId="99" xfId="310" applyFont="1" applyFill="1" applyBorder="1" applyAlignment="1">
      <alignment horizontal="center" vertical="center"/>
    </xf>
    <xf numFmtId="0" fontId="238" fillId="85" borderId="100" xfId="310" applyFont="1" applyFill="1" applyBorder="1" applyAlignment="1">
      <alignment vertical="center" wrapText="1"/>
    </xf>
    <xf numFmtId="0" fontId="209" fillId="85" borderId="101" xfId="310" applyFont="1" applyFill="1" applyBorder="1" applyAlignment="1">
      <alignment horizontal="left" vertical="center"/>
    </xf>
    <xf numFmtId="4" fontId="208" fillId="85" borderId="101" xfId="310" applyNumberFormat="1" applyFont="1" applyFill="1" applyBorder="1" applyAlignment="1">
      <alignment horizontal="right" vertical="center"/>
    </xf>
    <xf numFmtId="4" fontId="208" fillId="85" borderId="105" xfId="310" applyNumberFormat="1" applyFont="1" applyFill="1" applyBorder="1" applyAlignment="1">
      <alignment vertical="center"/>
    </xf>
    <xf numFmtId="4" fontId="208" fillId="85" borderId="103" xfId="310" applyNumberFormat="1" applyFont="1" applyFill="1" applyBorder="1" applyAlignment="1">
      <alignment horizontal="center" vertical="center"/>
    </xf>
    <xf numFmtId="4" fontId="208" fillId="85" borderId="103" xfId="310" applyNumberFormat="1" applyFont="1" applyFill="1" applyBorder="1" applyAlignment="1">
      <alignment vertical="center"/>
    </xf>
    <xf numFmtId="4" fontId="208" fillId="85" borderId="33" xfId="310" applyNumberFormat="1" applyFont="1" applyFill="1" applyBorder="1" applyAlignment="1">
      <alignment vertical="center"/>
    </xf>
    <xf numFmtId="4" fontId="223" fillId="85" borderId="100" xfId="310" applyNumberFormat="1" applyFont="1" applyFill="1" applyBorder="1" applyAlignment="1">
      <alignment horizontal="left"/>
    </xf>
    <xf numFmtId="166" fontId="223" fillId="85" borderId="121" xfId="310" applyNumberFormat="1" applyFont="1" applyFill="1" applyBorder="1" applyAlignment="1">
      <alignment horizontal="right"/>
    </xf>
    <xf numFmtId="166" fontId="223" fillId="85" borderId="100" xfId="310" applyNumberFormat="1" applyFont="1" applyFill="1" applyBorder="1" applyAlignment="1">
      <alignment horizontal="right"/>
    </xf>
    <xf numFmtId="166" fontId="34" fillId="85" borderId="99" xfId="310" applyNumberFormat="1" applyFont="1" applyFill="1" applyBorder="1" applyAlignment="1">
      <alignment horizontal="right"/>
    </xf>
    <xf numFmtId="4" fontId="34" fillId="85" borderId="105" xfId="310" applyNumberFormat="1" applyFont="1" applyFill="1" applyBorder="1" applyAlignment="1">
      <alignment vertical="center"/>
    </xf>
    <xf numFmtId="10" fontId="34" fillId="85" borderId="101" xfId="310" applyNumberFormat="1" applyFont="1" applyFill="1" applyBorder="1" applyAlignment="1" applyProtection="1">
      <alignment vertical="center"/>
      <protection locked="0"/>
    </xf>
    <xf numFmtId="10" fontId="34" fillId="85" borderId="100" xfId="310" applyNumberFormat="1" applyFont="1" applyFill="1" applyBorder="1" applyAlignment="1" applyProtection="1">
      <alignment vertical="center"/>
      <protection locked="0"/>
    </xf>
    <xf numFmtId="4" fontId="155" fillId="85" borderId="103" xfId="310" applyNumberFormat="1" applyFont="1" applyFill="1" applyBorder="1" applyAlignment="1">
      <alignment horizontal="right" vertical="center"/>
    </xf>
    <xf numFmtId="4" fontId="155" fillId="85" borderId="102" xfId="310" applyNumberFormat="1" applyFont="1" applyFill="1" applyBorder="1" applyAlignment="1">
      <alignment horizontal="right" vertical="center"/>
    </xf>
    <xf numFmtId="4" fontId="34" fillId="85" borderId="33" xfId="310" applyNumberFormat="1" applyFont="1" applyFill="1" applyBorder="1" applyAlignment="1">
      <alignment horizontal="right" vertical="center"/>
    </xf>
    <xf numFmtId="4" fontId="155" fillId="85" borderId="104" xfId="310" applyNumberFormat="1" applyFont="1" applyFill="1" applyBorder="1" applyAlignment="1">
      <alignment horizontal="right" vertical="center"/>
    </xf>
    <xf numFmtId="4" fontId="155" fillId="85" borderId="100" xfId="310" applyNumberFormat="1" applyFont="1" applyFill="1" applyBorder="1" applyAlignment="1">
      <alignment horizontal="right" vertical="center"/>
    </xf>
    <xf numFmtId="4" fontId="155" fillId="85" borderId="101" xfId="310" applyNumberFormat="1" applyFont="1" applyFill="1" applyBorder="1" applyAlignment="1">
      <alignment horizontal="right" vertical="center"/>
    </xf>
    <xf numFmtId="4" fontId="155" fillId="85" borderId="100" xfId="310" applyNumberFormat="1" applyFont="1" applyFill="1" applyBorder="1" applyAlignment="1">
      <alignment vertical="center"/>
    </xf>
    <xf numFmtId="10" fontId="34" fillId="85" borderId="101" xfId="310" applyNumberFormat="1" applyFont="1" applyFill="1" applyBorder="1" applyAlignment="1" applyProtection="1">
      <alignment vertical="center" shrinkToFit="1"/>
      <protection locked="0"/>
    </xf>
    <xf numFmtId="0" fontId="238" fillId="24" borderId="13" xfId="310" applyFont="1" applyFill="1" applyBorder="1" applyAlignment="1">
      <alignment horizontal="center" vertical="center"/>
    </xf>
    <xf numFmtId="0" fontId="238" fillId="24" borderId="100" xfId="310" applyFont="1" applyFill="1" applyBorder="1" applyAlignment="1">
      <alignment vertical="center" wrapText="1"/>
    </xf>
    <xf numFmtId="0" fontId="209" fillId="24" borderId="101" xfId="310" applyFont="1" applyFill="1" applyBorder="1" applyAlignment="1">
      <alignment horizontal="left" vertical="center"/>
    </xf>
    <xf numFmtId="4" fontId="208" fillId="24" borderId="101" xfId="310" applyNumberFormat="1" applyFont="1" applyFill="1" applyBorder="1" applyAlignment="1">
      <alignment horizontal="right" vertical="center"/>
    </xf>
    <xf numFmtId="4" fontId="208" fillId="24" borderId="79" xfId="310" applyNumberFormat="1" applyFont="1" applyFill="1" applyBorder="1" applyAlignment="1">
      <alignment vertical="center"/>
    </xf>
    <xf numFmtId="4" fontId="208" fillId="24" borderId="77" xfId="310" applyNumberFormat="1" applyFont="1" applyFill="1" applyBorder="1" applyAlignment="1">
      <alignment horizontal="center" vertical="center"/>
    </xf>
    <xf numFmtId="4" fontId="208" fillId="24" borderId="77" xfId="310" applyNumberFormat="1" applyFont="1" applyFill="1" applyBorder="1" applyAlignment="1">
      <alignment vertical="center"/>
    </xf>
    <xf numFmtId="4" fontId="208" fillId="24" borderId="76" xfId="310" applyNumberFormat="1" applyFont="1" applyFill="1" applyBorder="1" applyAlignment="1">
      <alignment vertical="center"/>
    </xf>
    <xf numFmtId="4" fontId="223" fillId="24" borderId="15" xfId="310" applyNumberFormat="1" applyFont="1" applyFill="1" applyBorder="1" applyAlignment="1">
      <alignment horizontal="left"/>
    </xf>
    <xf numFmtId="166" fontId="223" fillId="24" borderId="126" xfId="310" applyNumberFormat="1" applyFont="1" applyFill="1" applyBorder="1" applyAlignment="1">
      <alignment horizontal="right"/>
    </xf>
    <xf numFmtId="166" fontId="223" fillId="24" borderId="15" xfId="310" applyNumberFormat="1" applyFont="1" applyFill="1" applyBorder="1" applyAlignment="1">
      <alignment horizontal="right"/>
    </xf>
    <xf numFmtId="166" fontId="34" fillId="24" borderId="99" xfId="310" applyNumberFormat="1" applyFont="1" applyFill="1" applyBorder="1" applyAlignment="1">
      <alignment horizontal="right"/>
    </xf>
    <xf numFmtId="10" fontId="34" fillId="24" borderId="101" xfId="310" applyNumberFormat="1" applyFont="1" applyFill="1" applyBorder="1" applyAlignment="1" applyProtection="1">
      <alignment vertical="center"/>
      <protection locked="0"/>
    </xf>
    <xf numFmtId="10" fontId="34" fillId="24" borderId="100" xfId="310" applyNumberFormat="1" applyFont="1" applyFill="1" applyBorder="1" applyAlignment="1" applyProtection="1">
      <alignment vertical="center"/>
      <protection locked="0"/>
    </xf>
    <xf numFmtId="4" fontId="155" fillId="24" borderId="161" xfId="310" applyNumberFormat="1" applyFont="1" applyFill="1" applyBorder="1" applyAlignment="1">
      <alignment horizontal="right" vertical="center"/>
    </xf>
    <xf numFmtId="4" fontId="155" fillId="24" borderId="207" xfId="310" applyNumberFormat="1" applyFont="1" applyFill="1" applyBorder="1" applyAlignment="1">
      <alignment horizontal="right" vertical="center"/>
    </xf>
    <xf numFmtId="4" fontId="155" fillId="24" borderId="211" xfId="310" applyNumberFormat="1" applyFont="1" applyFill="1" applyBorder="1" applyAlignment="1">
      <alignment horizontal="right" vertical="center"/>
    </xf>
    <xf numFmtId="10" fontId="34" fillId="24" borderId="101" xfId="310" applyNumberFormat="1" applyFont="1" applyFill="1" applyBorder="1" applyAlignment="1" applyProtection="1">
      <alignment vertical="center" shrinkToFit="1"/>
      <protection locked="0"/>
    </xf>
    <xf numFmtId="0" fontId="238" fillId="24" borderId="15" xfId="310" applyFont="1" applyFill="1" applyBorder="1" applyAlignment="1">
      <alignment vertical="center" wrapText="1"/>
    </xf>
    <xf numFmtId="0" fontId="209" fillId="24" borderId="16" xfId="310" applyFont="1" applyFill="1" applyBorder="1" applyAlignment="1">
      <alignment horizontal="left" vertical="center"/>
    </xf>
    <xf numFmtId="4" fontId="208" fillId="24" borderId="16" xfId="310" applyNumberFormat="1" applyFont="1" applyFill="1" applyBorder="1" applyAlignment="1">
      <alignment horizontal="right" vertical="center"/>
    </xf>
    <xf numFmtId="4" fontId="208" fillId="24" borderId="128" xfId="310" applyNumberFormat="1" applyFont="1" applyFill="1" applyBorder="1" applyAlignment="1">
      <alignment vertical="center"/>
    </xf>
    <xf numFmtId="4" fontId="208" fillId="24" borderId="121" xfId="310" applyNumberFormat="1" applyFont="1" applyFill="1" applyBorder="1" applyAlignment="1">
      <alignment horizontal="center" vertical="center"/>
    </xf>
    <xf numFmtId="4" fontId="208" fillId="24" borderId="121" xfId="310" applyNumberFormat="1" applyFont="1" applyFill="1" applyBorder="1" applyAlignment="1">
      <alignment vertical="center"/>
    </xf>
    <xf numFmtId="4" fontId="208" fillId="24" borderId="179" xfId="310" applyNumberFormat="1" applyFont="1" applyFill="1" applyBorder="1" applyAlignment="1">
      <alignment vertical="center"/>
    </xf>
    <xf numFmtId="4" fontId="223" fillId="24" borderId="121" xfId="310" applyNumberFormat="1" applyFont="1" applyFill="1" applyBorder="1" applyAlignment="1">
      <alignment horizontal="left"/>
    </xf>
    <xf numFmtId="166" fontId="223" fillId="24" borderId="121" xfId="310" applyNumberFormat="1" applyFont="1" applyFill="1" applyBorder="1" applyAlignment="1">
      <alignment horizontal="right"/>
    </xf>
    <xf numFmtId="4" fontId="34" fillId="24" borderId="89" xfId="310" applyNumberFormat="1" applyFont="1" applyFill="1" applyBorder="1" applyAlignment="1">
      <alignment vertical="center"/>
    </xf>
    <xf numFmtId="10" fontId="34" fillId="24" borderId="16" xfId="310" applyNumberFormat="1" applyFont="1" applyFill="1" applyBorder="1" applyAlignment="1" applyProtection="1">
      <alignment vertical="center"/>
      <protection locked="0"/>
    </xf>
    <xf numFmtId="10" fontId="34" fillId="24" borderId="15" xfId="310" applyNumberFormat="1" applyFont="1" applyFill="1" applyBorder="1" applyAlignment="1" applyProtection="1">
      <alignment vertical="center"/>
      <protection locked="0"/>
    </xf>
    <xf numFmtId="4" fontId="155" fillId="24" borderId="166" xfId="310" applyNumberFormat="1" applyFont="1" applyFill="1" applyBorder="1" applyAlignment="1">
      <alignment horizontal="right" vertical="center"/>
    </xf>
    <xf numFmtId="4" fontId="155" fillId="24" borderId="208" xfId="310" applyNumberFormat="1" applyFont="1" applyFill="1" applyBorder="1" applyAlignment="1">
      <alignment horizontal="right" vertical="center"/>
    </xf>
    <xf numFmtId="4" fontId="155" fillId="24" borderId="212" xfId="310" applyNumberFormat="1" applyFont="1" applyFill="1" applyBorder="1" applyAlignment="1">
      <alignment horizontal="right" vertical="center"/>
    </xf>
    <xf numFmtId="0" fontId="209" fillId="0" borderId="109" xfId="310" applyFont="1" applyBorder="1" applyAlignment="1">
      <alignment vertical="center"/>
    </xf>
    <xf numFmtId="0" fontId="148" fillId="0" borderId="15" xfId="310" applyFont="1" applyBorder="1" applyAlignment="1">
      <alignment wrapText="1"/>
    </xf>
    <xf numFmtId="0" fontId="148" fillId="0" borderId="15" xfId="310" applyFont="1" applyBorder="1"/>
    <xf numFmtId="0" fontId="209" fillId="0" borderId="16" xfId="310" applyFont="1" applyBorder="1" applyAlignment="1">
      <alignment horizontal="left" vertical="center"/>
    </xf>
    <xf numFmtId="10" fontId="208" fillId="0" borderId="16" xfId="324" applyNumberFormat="1" applyFont="1" applyFill="1" applyBorder="1" applyAlignment="1">
      <alignment horizontal="right" vertical="center"/>
    </xf>
    <xf numFmtId="10" fontId="208" fillId="0" borderId="79" xfId="324" applyNumberFormat="1" applyFont="1" applyFill="1" applyBorder="1" applyAlignment="1">
      <alignment vertical="center"/>
    </xf>
    <xf numFmtId="4" fontId="223" fillId="0" borderId="0" xfId="310" applyNumberFormat="1" applyFont="1" applyAlignment="1">
      <alignment horizontal="left"/>
    </xf>
    <xf numFmtId="166" fontId="223" fillId="0" borderId="0" xfId="310" applyNumberFormat="1" applyFont="1" applyAlignment="1">
      <alignment horizontal="right"/>
    </xf>
    <xf numFmtId="166" fontId="34" fillId="0" borderId="43" xfId="310" applyNumberFormat="1" applyFont="1" applyBorder="1" applyAlignment="1">
      <alignment horizontal="right"/>
    </xf>
    <xf numFmtId="10" fontId="208" fillId="24" borderId="101" xfId="310" applyNumberFormat="1" applyFont="1" applyFill="1" applyBorder="1" applyAlignment="1">
      <alignment horizontal="right" vertical="center"/>
    </xf>
    <xf numFmtId="10" fontId="155" fillId="0" borderId="87" xfId="324" applyNumberFormat="1" applyFont="1" applyFill="1" applyBorder="1" applyAlignment="1">
      <alignment horizontal="right" vertical="center"/>
    </xf>
    <xf numFmtId="10" fontId="155" fillId="0" borderId="86" xfId="324" applyNumberFormat="1" applyFont="1" applyFill="1" applyBorder="1" applyAlignment="1">
      <alignment horizontal="right" vertical="center"/>
    </xf>
    <xf numFmtId="10" fontId="155" fillId="0" borderId="88" xfId="324" applyNumberFormat="1" applyFont="1" applyFill="1" applyBorder="1" applyAlignment="1">
      <alignment horizontal="right" vertical="center"/>
    </xf>
    <xf numFmtId="10" fontId="34" fillId="0" borderId="16" xfId="310" applyNumberFormat="1" applyFont="1" applyBorder="1" applyAlignment="1" applyProtection="1">
      <alignment vertical="center" shrinkToFit="1"/>
      <protection locked="0"/>
    </xf>
    <xf numFmtId="4" fontId="202" fillId="26" borderId="36" xfId="310" applyNumberFormat="1" applyFont="1" applyFill="1" applyBorder="1" applyAlignment="1">
      <alignment vertical="center" wrapText="1"/>
    </xf>
    <xf numFmtId="4" fontId="202" fillId="26" borderId="36" xfId="310" applyNumberFormat="1" applyFont="1" applyFill="1" applyBorder="1" applyAlignment="1">
      <alignment horizontal="center" vertical="center"/>
    </xf>
    <xf numFmtId="4" fontId="202" fillId="26" borderId="37" xfId="310" applyNumberFormat="1" applyFont="1" applyFill="1" applyBorder="1" applyAlignment="1">
      <alignment horizontal="center" vertical="center"/>
    </xf>
    <xf numFmtId="4" fontId="213" fillId="26" borderId="37" xfId="310" applyNumberFormat="1" applyFont="1" applyFill="1" applyBorder="1" applyAlignment="1">
      <alignment horizontal="right" vertical="center"/>
    </xf>
    <xf numFmtId="4" fontId="202" fillId="26" borderId="42" xfId="310" applyNumberFormat="1" applyFont="1" applyFill="1" applyBorder="1" applyAlignment="1">
      <alignment horizontal="center" vertical="center"/>
    </xf>
    <xf numFmtId="4" fontId="202" fillId="26" borderId="36" xfId="310" applyNumberFormat="1" applyFont="1" applyFill="1" applyBorder="1" applyAlignment="1">
      <alignment horizontal="right" vertical="center"/>
    </xf>
    <xf numFmtId="4" fontId="223" fillId="26" borderId="36" xfId="310" applyNumberFormat="1" applyFont="1" applyFill="1" applyBorder="1" applyAlignment="1">
      <alignment horizontal="left"/>
    </xf>
    <xf numFmtId="4" fontId="223" fillId="26" borderId="47" xfId="310" applyNumberFormat="1" applyFont="1" applyFill="1" applyBorder="1" applyAlignment="1">
      <alignment horizontal="right"/>
    </xf>
    <xf numFmtId="4" fontId="223" fillId="26" borderId="36" xfId="310" applyNumberFormat="1" applyFont="1" applyFill="1" applyBorder="1" applyAlignment="1">
      <alignment horizontal="right"/>
    </xf>
    <xf numFmtId="4" fontId="155" fillId="26" borderId="34" xfId="310" applyNumberFormat="1" applyFont="1" applyFill="1" applyBorder="1" applyAlignment="1">
      <alignment horizontal="center"/>
    </xf>
    <xf numFmtId="4" fontId="155" fillId="26" borderId="42" xfId="310" applyNumberFormat="1" applyFont="1" applyFill="1" applyBorder="1" applyAlignment="1">
      <alignment horizontal="center" vertical="center"/>
    </xf>
    <xf numFmtId="4" fontId="155" fillId="26" borderId="37" xfId="310" applyNumberFormat="1" applyFont="1" applyFill="1" applyBorder="1" applyAlignment="1">
      <alignment horizontal="center" vertical="center"/>
    </xf>
    <xf numFmtId="4" fontId="155" fillId="26" borderId="36" xfId="310" applyNumberFormat="1" applyFont="1" applyFill="1" applyBorder="1" applyAlignment="1">
      <alignment horizontal="center" vertical="center"/>
    </xf>
    <xf numFmtId="4" fontId="155" fillId="26" borderId="158" xfId="310" applyNumberFormat="1" applyFont="1" applyFill="1" applyBorder="1" applyAlignment="1">
      <alignment horizontal="center" vertical="center"/>
    </xf>
    <xf numFmtId="4" fontId="155" fillId="26" borderId="37" xfId="310" applyNumberFormat="1" applyFont="1" applyFill="1" applyBorder="1" applyAlignment="1">
      <alignment horizontal="center" vertical="center" shrinkToFit="1"/>
    </xf>
    <xf numFmtId="4" fontId="154" fillId="0" borderId="0" xfId="310" applyNumberFormat="1" applyFont="1" applyAlignment="1">
      <alignment vertical="center"/>
    </xf>
    <xf numFmtId="4" fontId="154" fillId="0" borderId="0" xfId="310" applyNumberFormat="1" applyFont="1" applyAlignment="1">
      <alignment horizontal="right" vertical="center"/>
    </xf>
    <xf numFmtId="4" fontId="202" fillId="0" borderId="0" xfId="310" applyNumberFormat="1" applyFont="1" applyAlignment="1">
      <alignment horizontal="center" vertical="center"/>
    </xf>
    <xf numFmtId="4" fontId="154" fillId="0" borderId="0" xfId="310" applyNumberFormat="1" applyFont="1" applyAlignment="1">
      <alignment horizontal="center" vertical="center"/>
    </xf>
    <xf numFmtId="0" fontId="202" fillId="0" borderId="60" xfId="310" applyFont="1" applyBorder="1" applyAlignment="1">
      <alignment horizontal="center"/>
    </xf>
    <xf numFmtId="0" fontId="214" fillId="27" borderId="53" xfId="310" applyFont="1" applyFill="1" applyBorder="1" applyAlignment="1">
      <alignment wrapText="1"/>
    </xf>
    <xf numFmtId="0" fontId="214" fillId="27" borderId="53" xfId="310" applyFont="1" applyFill="1" applyBorder="1" applyAlignment="1">
      <alignment horizontal="left"/>
    </xf>
    <xf numFmtId="167" fontId="214" fillId="27" borderId="51" xfId="310" applyNumberFormat="1" applyFont="1" applyFill="1" applyBorder="1"/>
    <xf numFmtId="0" fontId="214" fillId="0" borderId="53" xfId="310" applyFont="1" applyBorder="1" applyAlignment="1">
      <alignment horizontal="left"/>
    </xf>
    <xf numFmtId="4" fontId="234" fillId="0" borderId="51" xfId="310" applyNumberFormat="1" applyFont="1" applyBorder="1" applyAlignment="1">
      <alignment horizontal="right"/>
    </xf>
    <xf numFmtId="0" fontId="242" fillId="27" borderId="53" xfId="310" applyFont="1" applyFill="1" applyBorder="1" applyAlignment="1">
      <alignment horizontal="left"/>
    </xf>
    <xf numFmtId="4" fontId="224" fillId="27" borderId="56" xfId="310" applyNumberFormat="1" applyFont="1" applyFill="1" applyBorder="1" applyAlignment="1">
      <alignment horizontal="right"/>
    </xf>
    <xf numFmtId="166" fontId="242" fillId="27" borderId="53" xfId="251" applyNumberFormat="1" applyFont="1" applyFill="1" applyBorder="1" applyAlignment="1">
      <alignment horizontal="right"/>
    </xf>
    <xf numFmtId="10" fontId="155" fillId="0" borderId="51" xfId="310" applyNumberFormat="1" applyFont="1" applyBorder="1" applyProtection="1">
      <protection locked="0"/>
    </xf>
    <xf numFmtId="10" fontId="155" fillId="0" borderId="53" xfId="310" applyNumberFormat="1" applyFont="1" applyBorder="1" applyProtection="1">
      <protection locked="0"/>
    </xf>
    <xf numFmtId="10" fontId="154" fillId="0" borderId="0" xfId="310" applyNumberFormat="1" applyFont="1" applyAlignment="1">
      <alignment horizontal="right"/>
    </xf>
    <xf numFmtId="4" fontId="202" fillId="0" borderId="0" xfId="310" applyNumberFormat="1" applyFont="1"/>
    <xf numFmtId="0" fontId="45" fillId="0" borderId="0" xfId="310" applyFont="1" applyAlignment="1">
      <alignment horizontal="center"/>
    </xf>
    <xf numFmtId="167" fontId="214" fillId="27" borderId="65" xfId="310" applyNumberFormat="1" applyFont="1" applyFill="1" applyBorder="1" applyAlignment="1">
      <alignment wrapText="1"/>
    </xf>
    <xf numFmtId="167" fontId="214" fillId="27" borderId="65" xfId="310" applyNumberFormat="1" applyFont="1" applyFill="1" applyBorder="1" applyAlignment="1">
      <alignment horizontal="left"/>
    </xf>
    <xf numFmtId="167" fontId="214" fillId="27" borderId="63" xfId="310" applyNumberFormat="1" applyFont="1" applyFill="1" applyBorder="1" applyAlignment="1">
      <alignment horizontal="left"/>
    </xf>
    <xf numFmtId="167" fontId="214" fillId="0" borderId="65" xfId="310" applyNumberFormat="1" applyFont="1" applyBorder="1" applyAlignment="1">
      <alignment horizontal="left"/>
    </xf>
    <xf numFmtId="0" fontId="202" fillId="0" borderId="69" xfId="310" applyFont="1" applyBorder="1" applyAlignment="1">
      <alignment horizontal="center"/>
    </xf>
    <xf numFmtId="4" fontId="213" fillId="0" borderId="69" xfId="310" applyNumberFormat="1" applyFont="1" applyBorder="1"/>
    <xf numFmtId="0" fontId="242" fillId="27" borderId="65" xfId="310" applyFont="1" applyFill="1" applyBorder="1" applyAlignment="1">
      <alignment horizontal="left"/>
    </xf>
    <xf numFmtId="4" fontId="224" fillId="27" borderId="67" xfId="310" applyNumberFormat="1" applyFont="1" applyFill="1" applyBorder="1" applyAlignment="1">
      <alignment horizontal="right"/>
    </xf>
    <xf numFmtId="166" fontId="258" fillId="27" borderId="65" xfId="251" applyNumberFormat="1" applyFont="1" applyFill="1" applyBorder="1" applyAlignment="1">
      <alignment horizontal="right"/>
    </xf>
    <xf numFmtId="10" fontId="155" fillId="0" borderId="63" xfId="310" applyNumberFormat="1" applyFont="1" applyBorder="1" applyProtection="1">
      <protection locked="0"/>
    </xf>
    <xf numFmtId="10" fontId="155" fillId="0" borderId="65" xfId="310" applyNumberFormat="1" applyFont="1" applyBorder="1" applyProtection="1">
      <protection locked="0"/>
    </xf>
    <xf numFmtId="4" fontId="224" fillId="27" borderId="151" xfId="310" applyNumberFormat="1" applyFont="1" applyFill="1" applyBorder="1" applyAlignment="1">
      <alignment horizontal="right"/>
    </xf>
    <xf numFmtId="0" fontId="214" fillId="27" borderId="65" xfId="310" applyFont="1" applyFill="1" applyBorder="1" applyAlignment="1">
      <alignment wrapText="1"/>
    </xf>
    <xf numFmtId="0" fontId="214" fillId="27" borderId="65" xfId="310" applyFont="1" applyFill="1" applyBorder="1" applyAlignment="1">
      <alignment horizontal="left"/>
    </xf>
    <xf numFmtId="167" fontId="214" fillId="27" borderId="63" xfId="310" applyNumberFormat="1" applyFont="1" applyFill="1" applyBorder="1"/>
    <xf numFmtId="0" fontId="214" fillId="0" borderId="65" xfId="310" applyFont="1" applyBorder="1" applyAlignment="1">
      <alignment horizontal="left"/>
    </xf>
    <xf numFmtId="4" fontId="224" fillId="27" borderId="65" xfId="310" applyNumberFormat="1" applyFont="1" applyFill="1" applyBorder="1" applyAlignment="1">
      <alignment horizontal="right"/>
    </xf>
    <xf numFmtId="4" fontId="202" fillId="0" borderId="51" xfId="310" applyNumberFormat="1" applyFont="1" applyBorder="1" applyAlignment="1">
      <alignment horizontal="right"/>
    </xf>
    <xf numFmtId="166" fontId="242" fillId="27" borderId="12" xfId="310" applyNumberFormat="1" applyFont="1" applyFill="1" applyBorder="1" applyAlignment="1">
      <alignment horizontal="right"/>
    </xf>
    <xf numFmtId="166" fontId="155" fillId="0" borderId="48" xfId="310" applyNumberFormat="1" applyFont="1" applyBorder="1" applyAlignment="1">
      <alignment horizontal="right"/>
    </xf>
    <xf numFmtId="4" fontId="239" fillId="27" borderId="67" xfId="310" applyNumberFormat="1" applyFont="1" applyFill="1" applyBorder="1" applyAlignment="1">
      <alignment horizontal="right"/>
    </xf>
    <xf numFmtId="4" fontId="155" fillId="27" borderId="66" xfId="310" applyNumberFormat="1" applyFont="1" applyFill="1" applyBorder="1" applyAlignment="1">
      <alignment horizontal="right"/>
    </xf>
    <xf numFmtId="4" fontId="34" fillId="27" borderId="68" xfId="310" applyNumberFormat="1" applyFont="1" applyFill="1" applyBorder="1" applyAlignment="1">
      <alignment horizontal="right"/>
    </xf>
    <xf numFmtId="4" fontId="155" fillId="27" borderId="67" xfId="310" applyNumberFormat="1" applyFont="1" applyFill="1" applyBorder="1" applyAlignment="1">
      <alignment horizontal="right"/>
    </xf>
    <xf numFmtId="4" fontId="239" fillId="27" borderId="151" xfId="310" applyNumberFormat="1" applyFont="1" applyFill="1" applyBorder="1" applyAlignment="1">
      <alignment horizontal="right"/>
    </xf>
    <xf numFmtId="4" fontId="239" fillId="27" borderId="65" xfId="310" applyNumberFormat="1" applyFont="1" applyFill="1" applyBorder="1" applyAlignment="1">
      <alignment horizontal="right"/>
    </xf>
    <xf numFmtId="0" fontId="202" fillId="0" borderId="48" xfId="310" applyFont="1" applyBorder="1" applyAlignment="1">
      <alignment horizontal="center"/>
    </xf>
    <xf numFmtId="4" fontId="224" fillId="27" borderId="66" xfId="310" applyNumberFormat="1" applyFont="1" applyFill="1" applyBorder="1" applyAlignment="1">
      <alignment horizontal="right"/>
    </xf>
    <xf numFmtId="4" fontId="216" fillId="27" borderId="68" xfId="310" applyNumberFormat="1" applyFont="1" applyFill="1" applyBorder="1" applyAlignment="1">
      <alignment horizontal="right"/>
    </xf>
    <xf numFmtId="4" fontId="155" fillId="27" borderId="151" xfId="310" applyNumberFormat="1" applyFont="1" applyFill="1" applyBorder="1" applyAlignment="1">
      <alignment horizontal="right"/>
    </xf>
    <xf numFmtId="4" fontId="155" fillId="27" borderId="65" xfId="310" applyNumberFormat="1" applyFont="1" applyFill="1" applyBorder="1" applyAlignment="1">
      <alignment horizontal="right"/>
    </xf>
    <xf numFmtId="166" fontId="242" fillId="27" borderId="65" xfId="251" applyNumberFormat="1" applyFont="1" applyFill="1" applyBorder="1" applyAlignment="1">
      <alignment horizontal="right"/>
    </xf>
    <xf numFmtId="4" fontId="155" fillId="0" borderId="123" xfId="310" applyNumberFormat="1" applyFont="1" applyBorder="1"/>
    <xf numFmtId="10" fontId="155" fillId="0" borderId="122" xfId="310" applyNumberFormat="1" applyFont="1" applyBorder="1" applyProtection="1">
      <protection locked="0"/>
    </xf>
    <xf numFmtId="10" fontId="155" fillId="0" borderId="108" xfId="310" applyNumberFormat="1" applyFont="1" applyBorder="1" applyProtection="1">
      <protection locked="0"/>
    </xf>
    <xf numFmtId="4" fontId="239" fillId="27" borderId="106" xfId="310" applyNumberFormat="1" applyFont="1" applyFill="1" applyBorder="1" applyAlignment="1">
      <alignment horizontal="right"/>
    </xf>
    <xf numFmtId="4" fontId="224" fillId="27" borderId="152" xfId="310" applyNumberFormat="1" applyFont="1" applyFill="1" applyBorder="1" applyAlignment="1">
      <alignment horizontal="right"/>
    </xf>
    <xf numFmtId="4" fontId="216" fillId="27" borderId="184" xfId="310" applyNumberFormat="1" applyFont="1" applyFill="1" applyBorder="1" applyAlignment="1">
      <alignment horizontal="right"/>
    </xf>
    <xf numFmtId="4" fontId="216" fillId="27" borderId="66" xfId="310" applyNumberFormat="1" applyFont="1" applyFill="1" applyBorder="1" applyAlignment="1">
      <alignment horizontal="right"/>
    </xf>
    <xf numFmtId="4" fontId="34" fillId="27" borderId="67" xfId="310" applyNumberFormat="1" applyFont="1" applyFill="1" applyBorder="1" applyAlignment="1">
      <alignment horizontal="right"/>
    </xf>
    <xf numFmtId="4" fontId="239" fillId="27" borderId="210" xfId="310" applyNumberFormat="1" applyFont="1" applyFill="1" applyBorder="1" applyAlignment="1">
      <alignment horizontal="right"/>
    </xf>
    <xf numFmtId="4" fontId="239" fillId="27" borderId="108" xfId="310" applyNumberFormat="1" applyFont="1" applyFill="1" applyBorder="1" applyAlignment="1">
      <alignment horizontal="right"/>
    </xf>
    <xf numFmtId="0" fontId="259" fillId="0" borderId="99" xfId="310" applyFont="1" applyBorder="1" applyAlignment="1">
      <alignment horizontal="center" vertical="center"/>
    </xf>
    <xf numFmtId="0" fontId="259" fillId="0" borderId="100" xfId="310" applyFont="1" applyBorder="1" applyAlignment="1">
      <alignment vertical="center"/>
    </xf>
    <xf numFmtId="0" fontId="235" fillId="0" borderId="101" xfId="310" applyFont="1" applyBorder="1" applyAlignment="1">
      <alignment horizontal="left" vertical="center"/>
    </xf>
    <xf numFmtId="4" fontId="220" fillId="0" borderId="101" xfId="310" applyNumberFormat="1" applyFont="1" applyBorder="1" applyAlignment="1">
      <alignment horizontal="right" vertical="center"/>
    </xf>
    <xf numFmtId="4" fontId="220" fillId="0" borderId="103" xfId="310" applyNumberFormat="1" applyFont="1" applyBorder="1" applyAlignment="1">
      <alignment vertical="center"/>
    </xf>
    <xf numFmtId="4" fontId="213" fillId="0" borderId="103" xfId="310" applyNumberFormat="1" applyFont="1" applyBorder="1"/>
    <xf numFmtId="4" fontId="220" fillId="0" borderId="33" xfId="310" applyNumberFormat="1" applyFont="1" applyBorder="1" applyAlignment="1">
      <alignment vertical="center"/>
    </xf>
    <xf numFmtId="4" fontId="223" fillId="0" borderId="100" xfId="310" applyNumberFormat="1" applyFont="1" applyBorder="1"/>
    <xf numFmtId="166" fontId="223" fillId="0" borderId="121" xfId="310" applyNumberFormat="1" applyFont="1" applyBorder="1" applyAlignment="1">
      <alignment horizontal="right"/>
    </xf>
    <xf numFmtId="166" fontId="223" fillId="0" borderId="100" xfId="310" applyNumberFormat="1" applyFont="1" applyBorder="1" applyAlignment="1">
      <alignment horizontal="right"/>
    </xf>
    <xf numFmtId="166" fontId="220" fillId="0" borderId="99" xfId="310" applyNumberFormat="1" applyFont="1" applyBorder="1" applyAlignment="1">
      <alignment horizontal="right"/>
    </xf>
    <xf numFmtId="4" fontId="220" fillId="0" borderId="105" xfId="310" applyNumberFormat="1" applyFont="1" applyBorder="1" applyAlignment="1">
      <alignment vertical="center"/>
    </xf>
    <xf numFmtId="10" fontId="220" fillId="0" borderId="101" xfId="310" applyNumberFormat="1" applyFont="1" applyBorder="1" applyAlignment="1" applyProtection="1">
      <alignment vertical="center"/>
      <protection locked="0"/>
    </xf>
    <xf numFmtId="10" fontId="220" fillId="0" borderId="100" xfId="310" applyNumberFormat="1" applyFont="1" applyBorder="1" applyAlignment="1" applyProtection="1">
      <alignment vertical="center"/>
      <protection locked="0"/>
    </xf>
    <xf numFmtId="4" fontId="221" fillId="0" borderId="103" xfId="310" applyNumberFormat="1" applyFont="1" applyBorder="1" applyAlignment="1">
      <alignment horizontal="right" vertical="center"/>
    </xf>
    <xf numFmtId="10" fontId="220" fillId="0" borderId="101" xfId="310" applyNumberFormat="1" applyFont="1" applyBorder="1" applyAlignment="1" applyProtection="1">
      <alignment vertical="center" shrinkToFit="1"/>
      <protection locked="0"/>
    </xf>
    <xf numFmtId="0" fontId="235" fillId="0" borderId="0" xfId="310" applyFont="1" applyAlignment="1">
      <alignment vertical="center"/>
    </xf>
    <xf numFmtId="10" fontId="235" fillId="0" borderId="0" xfId="310" applyNumberFormat="1" applyFont="1" applyAlignment="1" applyProtection="1">
      <alignment horizontal="right" vertical="center"/>
      <protection locked="0"/>
    </xf>
    <xf numFmtId="4" fontId="235" fillId="0" borderId="0" xfId="310" applyNumberFormat="1" applyFont="1" applyAlignment="1">
      <alignment vertical="center"/>
    </xf>
    <xf numFmtId="0" fontId="235" fillId="0" borderId="0" xfId="310" applyFont="1" applyAlignment="1">
      <alignment horizontal="center" vertical="center"/>
    </xf>
    <xf numFmtId="0" fontId="259" fillId="31" borderId="99" xfId="310" applyFont="1" applyFill="1" applyBorder="1" applyAlignment="1">
      <alignment horizontal="center" vertical="center"/>
    </xf>
    <xf numFmtId="0" fontId="259" fillId="31" borderId="100" xfId="310" applyFont="1" applyFill="1" applyBorder="1" applyAlignment="1">
      <alignment vertical="center"/>
    </xf>
    <xf numFmtId="0" fontId="235" fillId="31" borderId="101" xfId="310" applyFont="1" applyFill="1" applyBorder="1" applyAlignment="1">
      <alignment horizontal="left" vertical="center"/>
    </xf>
    <xf numFmtId="4" fontId="220" fillId="31" borderId="101" xfId="310" applyNumberFormat="1" applyFont="1" applyFill="1" applyBorder="1" applyAlignment="1">
      <alignment horizontal="right" vertical="center"/>
    </xf>
    <xf numFmtId="4" fontId="220" fillId="31" borderId="79" xfId="310" applyNumberFormat="1" applyFont="1" applyFill="1" applyBorder="1" applyAlignment="1">
      <alignment vertical="center"/>
    </xf>
    <xf numFmtId="4" fontId="220" fillId="31" borderId="77" xfId="310" applyNumberFormat="1" applyFont="1" applyFill="1" applyBorder="1" applyAlignment="1">
      <alignment vertical="center"/>
    </xf>
    <xf numFmtId="4" fontId="220" fillId="31" borderId="77" xfId="310" applyNumberFormat="1" applyFont="1" applyFill="1" applyBorder="1" applyAlignment="1">
      <alignment horizontal="center" vertical="center"/>
    </xf>
    <xf numFmtId="4" fontId="220" fillId="31" borderId="76" xfId="310" applyNumberFormat="1" applyFont="1" applyFill="1" applyBorder="1" applyAlignment="1">
      <alignment vertical="center"/>
    </xf>
    <xf numFmtId="4" fontId="223" fillId="31" borderId="100" xfId="310" applyNumberFormat="1" applyFont="1" applyFill="1" applyBorder="1"/>
    <xf numFmtId="166" fontId="223" fillId="31" borderId="121" xfId="310" applyNumberFormat="1" applyFont="1" applyFill="1" applyBorder="1" applyAlignment="1">
      <alignment horizontal="right"/>
    </xf>
    <xf numFmtId="166" fontId="223" fillId="31" borderId="100" xfId="310" applyNumberFormat="1" applyFont="1" applyFill="1" applyBorder="1" applyAlignment="1">
      <alignment horizontal="right"/>
    </xf>
    <xf numFmtId="166" fontId="220" fillId="31" borderId="99" xfId="310" applyNumberFormat="1" applyFont="1" applyFill="1" applyBorder="1" applyAlignment="1">
      <alignment horizontal="right"/>
    </xf>
    <xf numFmtId="4" fontId="220" fillId="32" borderId="105" xfId="310" applyNumberFormat="1" applyFont="1" applyFill="1" applyBorder="1" applyAlignment="1">
      <alignment vertical="center"/>
    </xf>
    <xf numFmtId="10" fontId="220" fillId="31" borderId="101" xfId="310" applyNumberFormat="1" applyFont="1" applyFill="1" applyBorder="1" applyAlignment="1" applyProtection="1">
      <alignment vertical="center"/>
      <protection locked="0"/>
    </xf>
    <xf numFmtId="10" fontId="220" fillId="31" borderId="100" xfId="310" applyNumberFormat="1" applyFont="1" applyFill="1" applyBorder="1" applyAlignment="1" applyProtection="1">
      <alignment vertical="center"/>
      <protection locked="0"/>
    </xf>
    <xf numFmtId="4" fontId="221" fillId="31" borderId="103" xfId="310" applyNumberFormat="1" applyFont="1" applyFill="1" applyBorder="1" applyAlignment="1">
      <alignment horizontal="right" vertical="center"/>
    </xf>
    <xf numFmtId="0" fontId="235" fillId="31" borderId="0" xfId="310" applyFont="1" applyFill="1" applyAlignment="1">
      <alignment vertical="center"/>
    </xf>
    <xf numFmtId="10" fontId="235" fillId="31" borderId="0" xfId="310" applyNumberFormat="1" applyFont="1" applyFill="1" applyAlignment="1" applyProtection="1">
      <alignment horizontal="right" vertical="center"/>
      <protection locked="0"/>
    </xf>
    <xf numFmtId="4" fontId="235" fillId="31" borderId="0" xfId="310" applyNumberFormat="1" applyFont="1" applyFill="1" applyAlignment="1">
      <alignment vertical="center"/>
    </xf>
    <xf numFmtId="0" fontId="235" fillId="31" borderId="0" xfId="310" applyFont="1" applyFill="1" applyAlignment="1">
      <alignment horizontal="center" vertical="center"/>
    </xf>
    <xf numFmtId="0" fontId="148" fillId="0" borderId="100" xfId="310" applyFont="1" applyBorder="1" applyAlignment="1">
      <alignment vertical="center" wrapText="1"/>
    </xf>
    <xf numFmtId="0" fontId="238" fillId="0" borderId="100" xfId="310" applyFont="1" applyBorder="1" applyAlignment="1">
      <alignment horizontal="left" vertical="center"/>
    </xf>
    <xf numFmtId="0" fontId="209" fillId="0" borderId="101" xfId="310" applyFont="1" applyBorder="1" applyAlignment="1">
      <alignment horizontal="left" vertical="center"/>
    </xf>
    <xf numFmtId="4" fontId="208" fillId="0" borderId="105" xfId="310" applyNumberFormat="1" applyFont="1" applyBorder="1" applyAlignment="1">
      <alignment vertical="center"/>
    </xf>
    <xf numFmtId="4" fontId="208" fillId="0" borderId="87" xfId="310" applyNumberFormat="1" applyFont="1" applyBorder="1" applyAlignment="1">
      <alignment vertical="center"/>
    </xf>
    <xf numFmtId="4" fontId="208" fillId="0" borderId="87" xfId="310" applyNumberFormat="1" applyFont="1" applyBorder="1" applyAlignment="1">
      <alignment horizontal="center" vertical="center"/>
    </xf>
    <xf numFmtId="4" fontId="208" fillId="0" borderId="88" xfId="310" applyNumberFormat="1" applyFont="1" applyBorder="1" applyAlignment="1">
      <alignment vertical="center"/>
    </xf>
    <xf numFmtId="166" fontId="34" fillId="0" borderId="99" xfId="310" applyNumberFormat="1" applyFont="1" applyBorder="1" applyAlignment="1">
      <alignment horizontal="right"/>
    </xf>
    <xf numFmtId="10" fontId="34" fillId="0" borderId="101" xfId="310" applyNumberFormat="1" applyFont="1" applyBorder="1" applyAlignment="1" applyProtection="1">
      <alignment vertical="center"/>
      <protection locked="0"/>
    </xf>
    <xf numFmtId="10" fontId="34" fillId="0" borderId="100" xfId="310" applyNumberFormat="1" applyFont="1" applyBorder="1" applyAlignment="1" applyProtection="1">
      <alignment vertical="center"/>
      <protection locked="0"/>
    </xf>
    <xf numFmtId="0" fontId="238" fillId="24" borderId="100" xfId="310" applyFont="1" applyFill="1" applyBorder="1" applyAlignment="1">
      <alignment horizontal="left" vertical="center"/>
    </xf>
    <xf numFmtId="10" fontId="223" fillId="24" borderId="100" xfId="310" applyNumberFormat="1" applyFont="1" applyFill="1" applyBorder="1"/>
    <xf numFmtId="10" fontId="34" fillId="24" borderId="105" xfId="310" applyNumberFormat="1" applyFont="1" applyFill="1" applyBorder="1" applyAlignment="1">
      <alignment horizontal="right" vertical="center"/>
    </xf>
    <xf numFmtId="10" fontId="34" fillId="24" borderId="124" xfId="310" applyNumberFormat="1" applyFont="1" applyFill="1" applyBorder="1" applyAlignment="1" applyProtection="1">
      <alignment vertical="center"/>
      <protection locked="0"/>
    </xf>
    <xf numFmtId="10" fontId="155" fillId="24" borderId="103" xfId="310" applyNumberFormat="1" applyFont="1" applyFill="1" applyBorder="1" applyAlignment="1">
      <alignment horizontal="right" vertical="center"/>
    </xf>
    <xf numFmtId="10" fontId="155" fillId="24" borderId="102" xfId="310" applyNumberFormat="1" applyFont="1" applyFill="1" applyBorder="1" applyAlignment="1">
      <alignment horizontal="right" vertical="center"/>
    </xf>
    <xf numFmtId="10" fontId="155" fillId="24" borderId="100" xfId="310" applyNumberFormat="1" applyFont="1" applyFill="1" applyBorder="1" applyAlignment="1">
      <alignment horizontal="right" vertical="center"/>
    </xf>
    <xf numFmtId="0" fontId="238" fillId="0" borderId="0" xfId="310" applyFont="1" applyAlignment="1">
      <alignment horizontal="center" vertical="center"/>
    </xf>
    <xf numFmtId="0" fontId="148" fillId="0" borderId="0" xfId="310" applyFont="1" applyAlignment="1">
      <alignment vertical="center" wrapText="1"/>
    </xf>
    <xf numFmtId="0" fontId="238" fillId="0" borderId="0" xfId="310" applyFont="1" applyAlignment="1">
      <alignment horizontal="left" vertical="center"/>
    </xf>
    <xf numFmtId="0" fontId="209" fillId="0" borderId="0" xfId="310" applyFont="1" applyAlignment="1">
      <alignment horizontal="left" vertical="center"/>
    </xf>
    <xf numFmtId="4" fontId="208" fillId="0" borderId="0" xfId="310" applyNumberFormat="1" applyFont="1" applyAlignment="1">
      <alignment horizontal="right" vertical="center"/>
    </xf>
    <xf numFmtId="10" fontId="223" fillId="0" borderId="0" xfId="310" applyNumberFormat="1" applyFont="1"/>
    <xf numFmtId="166" fontId="34" fillId="0" borderId="0" xfId="310" applyNumberFormat="1" applyFont="1" applyAlignment="1">
      <alignment horizontal="right"/>
    </xf>
    <xf numFmtId="10" fontId="34" fillId="0" borderId="0" xfId="310" applyNumberFormat="1" applyFont="1" applyAlignment="1">
      <alignment horizontal="right" vertical="center"/>
    </xf>
    <xf numFmtId="10" fontId="34" fillId="0" borderId="0" xfId="310" applyNumberFormat="1" applyFont="1" applyAlignment="1" applyProtection="1">
      <alignment vertical="center"/>
      <protection locked="0"/>
    </xf>
    <xf numFmtId="10" fontId="155" fillId="0" borderId="0" xfId="310" applyNumberFormat="1" applyFont="1" applyAlignment="1">
      <alignment horizontal="right" vertical="center"/>
    </xf>
    <xf numFmtId="10" fontId="34" fillId="0" borderId="100" xfId="310" applyNumberFormat="1" applyFont="1" applyBorder="1" applyAlignment="1">
      <alignment horizontal="right" vertical="center"/>
    </xf>
    <xf numFmtId="2" fontId="155" fillId="0" borderId="0" xfId="310" applyNumberFormat="1" applyFont="1" applyAlignment="1">
      <alignment horizontal="right" vertical="center"/>
    </xf>
    <xf numFmtId="4" fontId="223" fillId="0" borderId="33" xfId="310" applyNumberFormat="1" applyFont="1" applyBorder="1"/>
    <xf numFmtId="4" fontId="223" fillId="0" borderId="33" xfId="310" applyNumberFormat="1" applyFont="1" applyBorder="1" applyAlignment="1">
      <alignment horizontal="right"/>
    </xf>
    <xf numFmtId="0" fontId="238" fillId="30" borderId="99" xfId="310" applyFont="1" applyFill="1" applyBorder="1" applyAlignment="1">
      <alignment horizontal="center" vertical="center"/>
    </xf>
    <xf numFmtId="0" fontId="148" fillId="30" borderId="100" xfId="310" applyFont="1" applyFill="1" applyBorder="1" applyAlignment="1">
      <alignment vertical="center" wrapText="1"/>
    </xf>
    <xf numFmtId="0" fontId="238" fillId="30" borderId="100" xfId="310" applyFont="1" applyFill="1" applyBorder="1" applyAlignment="1">
      <alignment horizontal="left" vertical="center"/>
    </xf>
    <xf numFmtId="0" fontId="209" fillId="30" borderId="101" xfId="310" applyFont="1" applyFill="1" applyBorder="1" applyAlignment="1">
      <alignment horizontal="left" vertical="center"/>
    </xf>
    <xf numFmtId="10" fontId="223" fillId="30" borderId="100" xfId="310" applyNumberFormat="1" applyFont="1" applyFill="1" applyBorder="1"/>
    <xf numFmtId="166" fontId="223" fillId="30" borderId="121" xfId="310" applyNumberFormat="1" applyFont="1" applyFill="1" applyBorder="1" applyAlignment="1">
      <alignment horizontal="right"/>
    </xf>
    <xf numFmtId="166" fontId="223" fillId="30" borderId="100" xfId="310" applyNumberFormat="1" applyFont="1" applyFill="1" applyBorder="1" applyAlignment="1">
      <alignment horizontal="right"/>
    </xf>
    <xf numFmtId="166" fontId="34" fillId="30" borderId="99" xfId="310" applyNumberFormat="1" applyFont="1" applyFill="1" applyBorder="1" applyAlignment="1">
      <alignment horizontal="right"/>
    </xf>
    <xf numFmtId="10" fontId="34" fillId="30" borderId="105" xfId="310" applyNumberFormat="1" applyFont="1" applyFill="1" applyBorder="1" applyAlignment="1">
      <alignment horizontal="right" vertical="center"/>
    </xf>
    <xf numFmtId="10" fontId="34" fillId="30" borderId="124" xfId="310" applyNumberFormat="1" applyFont="1" applyFill="1" applyBorder="1" applyAlignment="1" applyProtection="1">
      <alignment vertical="center"/>
      <protection locked="0"/>
    </xf>
    <xf numFmtId="10" fontId="34" fillId="30" borderId="100" xfId="310" applyNumberFormat="1" applyFont="1" applyFill="1" applyBorder="1" applyAlignment="1" applyProtection="1">
      <alignment vertical="center"/>
      <protection locked="0"/>
    </xf>
    <xf numFmtId="10" fontId="155" fillId="30" borderId="103" xfId="310" applyNumberFormat="1" applyFont="1" applyFill="1" applyBorder="1" applyAlignment="1">
      <alignment horizontal="right" vertical="center"/>
    </xf>
    <xf numFmtId="10" fontId="155" fillId="30" borderId="102" xfId="310" applyNumberFormat="1" applyFont="1" applyFill="1" applyBorder="1" applyAlignment="1">
      <alignment horizontal="right" vertical="center"/>
    </xf>
    <xf numFmtId="10" fontId="34" fillId="30" borderId="159" xfId="310" applyNumberFormat="1" applyFont="1" applyFill="1" applyBorder="1" applyAlignment="1">
      <alignment horizontal="right" vertical="center"/>
    </xf>
    <xf numFmtId="10" fontId="155" fillId="30" borderId="161" xfId="310" applyNumberFormat="1" applyFont="1" applyFill="1" applyBorder="1" applyAlignment="1">
      <alignment horizontal="right" vertical="center"/>
    </xf>
    <xf numFmtId="10" fontId="155" fillId="30" borderId="100" xfId="310" applyNumberFormat="1" applyFont="1" applyFill="1" applyBorder="1" applyAlignment="1">
      <alignment horizontal="right" vertical="center"/>
    </xf>
    <xf numFmtId="0" fontId="202" fillId="0" borderId="0" xfId="310" applyFont="1" applyAlignment="1">
      <alignment horizontal="center" vertical="center" wrapText="1"/>
    </xf>
    <xf numFmtId="0" fontId="202" fillId="0" borderId="0" xfId="310" applyFont="1" applyAlignment="1">
      <alignment wrapText="1"/>
    </xf>
    <xf numFmtId="0" fontId="202" fillId="0" borderId="0" xfId="310" applyFont="1" applyAlignment="1">
      <alignment horizontal="left"/>
    </xf>
    <xf numFmtId="4" fontId="202" fillId="0" borderId="0" xfId="310" applyNumberFormat="1" applyFont="1" applyAlignment="1">
      <alignment horizontal="right"/>
    </xf>
    <xf numFmtId="4" fontId="202" fillId="0" borderId="79" xfId="310" applyNumberFormat="1" applyFont="1" applyBorder="1" applyAlignment="1">
      <alignment horizontal="right"/>
    </xf>
    <xf numFmtId="4" fontId="202" fillId="0" borderId="77" xfId="310" applyNumberFormat="1" applyFont="1" applyBorder="1" applyAlignment="1">
      <alignment horizontal="right"/>
    </xf>
    <xf numFmtId="4" fontId="129" fillId="0" borderId="0" xfId="310" applyNumberFormat="1" applyFont="1"/>
    <xf numFmtId="4" fontId="154" fillId="0" borderId="0" xfId="310" applyNumberFormat="1" applyFont="1"/>
    <xf numFmtId="4" fontId="154" fillId="0" borderId="0" xfId="310" applyNumberFormat="1" applyFont="1" applyAlignment="1">
      <alignment horizontal="right"/>
    </xf>
    <xf numFmtId="4" fontId="201" fillId="0" borderId="100" xfId="310" applyNumberFormat="1" applyFont="1" applyBorder="1" applyAlignment="1">
      <alignment horizontal="right"/>
    </xf>
    <xf numFmtId="0" fontId="202" fillId="0" borderId="23" xfId="310" applyFont="1" applyBorder="1" applyAlignment="1">
      <alignment horizontal="center" vertical="center"/>
    </xf>
    <xf numFmtId="0" fontId="202" fillId="26" borderId="90" xfId="310" applyFont="1" applyFill="1" applyBorder="1" applyAlignment="1">
      <alignment vertical="center" wrapText="1"/>
    </xf>
    <xf numFmtId="0" fontId="202" fillId="26" borderId="27" xfId="310" applyFont="1" applyFill="1" applyBorder="1" applyAlignment="1">
      <alignment horizontal="center" vertical="center"/>
    </xf>
    <xf numFmtId="0" fontId="202" fillId="26" borderId="91" xfId="310" applyFont="1" applyFill="1" applyBorder="1" applyAlignment="1">
      <alignment horizontal="left" vertical="center"/>
    </xf>
    <xf numFmtId="0" fontId="202" fillId="26" borderId="24" xfId="310" applyFont="1" applyFill="1" applyBorder="1" applyAlignment="1">
      <alignment horizontal="center" vertical="center"/>
    </xf>
    <xf numFmtId="4" fontId="213" fillId="26" borderId="26" xfId="310" applyNumberFormat="1" applyFont="1" applyFill="1" applyBorder="1" applyAlignment="1">
      <alignment horizontal="right" vertical="center"/>
    </xf>
    <xf numFmtId="0" fontId="129" fillId="26" borderId="27" xfId="310" applyFont="1" applyFill="1" applyBorder="1"/>
    <xf numFmtId="166" fontId="129" fillId="26" borderId="27" xfId="310" applyNumberFormat="1" applyFont="1" applyFill="1" applyBorder="1" applyAlignment="1">
      <alignment horizontal="right"/>
    </xf>
    <xf numFmtId="166" fontId="155" fillId="26" borderId="23" xfId="310" applyNumberFormat="1" applyFont="1" applyFill="1" applyBorder="1" applyAlignment="1">
      <alignment horizontal="right"/>
    </xf>
    <xf numFmtId="17" fontId="155" fillId="26" borderId="24" xfId="310" applyNumberFormat="1" applyFont="1" applyFill="1" applyBorder="1" applyAlignment="1">
      <alignment horizontal="center" vertical="center"/>
    </xf>
    <xf numFmtId="17" fontId="155" fillId="26" borderId="26" xfId="310" applyNumberFormat="1" applyFont="1" applyFill="1" applyBorder="1" applyAlignment="1">
      <alignment horizontal="center" vertical="center"/>
    </xf>
    <xf numFmtId="17" fontId="155" fillId="26" borderId="92" xfId="310" applyNumberFormat="1" applyFont="1" applyFill="1" applyBorder="1" applyAlignment="1">
      <alignment horizontal="center" vertical="center"/>
    </xf>
    <xf numFmtId="17" fontId="155" fillId="26" borderId="28" xfId="310" applyNumberFormat="1" applyFont="1" applyFill="1" applyBorder="1" applyAlignment="1">
      <alignment horizontal="right" vertical="center"/>
    </xf>
    <xf numFmtId="17" fontId="155" fillId="26" borderId="25" xfId="310" applyNumberFormat="1" applyFont="1" applyFill="1" applyBorder="1" applyAlignment="1">
      <alignment horizontal="right" vertical="center"/>
    </xf>
    <xf numFmtId="17" fontId="34" fillId="26" borderId="169" xfId="310" applyNumberFormat="1" applyFont="1" applyFill="1" applyBorder="1" applyAlignment="1">
      <alignment horizontal="right" vertical="center"/>
    </xf>
    <xf numFmtId="17" fontId="155" fillId="26" borderId="168" xfId="310" applyNumberFormat="1" applyFont="1" applyFill="1" applyBorder="1" applyAlignment="1">
      <alignment horizontal="right" vertical="center"/>
    </xf>
    <xf numFmtId="17" fontId="155" fillId="26" borderId="27" xfId="310" applyNumberFormat="1" applyFont="1" applyFill="1" applyBorder="1" applyAlignment="1">
      <alignment horizontal="right" vertical="center"/>
    </xf>
    <xf numFmtId="17" fontId="155" fillId="26" borderId="26" xfId="310" applyNumberFormat="1" applyFont="1" applyFill="1" applyBorder="1" applyAlignment="1">
      <alignment horizontal="center" vertical="center" shrinkToFit="1"/>
    </xf>
    <xf numFmtId="0" fontId="155" fillId="0" borderId="130" xfId="310" applyFont="1" applyBorder="1" applyAlignment="1">
      <alignment vertical="center"/>
    </xf>
    <xf numFmtId="0" fontId="209" fillId="0" borderId="60" xfId="310" applyFont="1" applyBorder="1" applyAlignment="1">
      <alignment horizontal="center" vertical="center" wrapText="1"/>
    </xf>
    <xf numFmtId="0" fontId="202" fillId="27" borderId="131" xfId="310" applyFont="1" applyFill="1" applyBorder="1" applyAlignment="1">
      <alignment wrapText="1"/>
    </xf>
    <xf numFmtId="0" fontId="209" fillId="27" borderId="132" xfId="310" applyFont="1" applyFill="1" applyBorder="1" applyAlignment="1">
      <alignment horizontal="center"/>
    </xf>
    <xf numFmtId="0" fontId="209" fillId="27" borderId="133" xfId="310" applyFont="1" applyFill="1" applyBorder="1" applyAlignment="1">
      <alignment horizontal="left"/>
    </xf>
    <xf numFmtId="0" fontId="209" fillId="0" borderId="69" xfId="310" applyFont="1" applyBorder="1" applyAlignment="1">
      <alignment horizontal="center"/>
    </xf>
    <xf numFmtId="4" fontId="209" fillId="27" borderId="57" xfId="310" applyNumberFormat="1" applyFont="1" applyFill="1" applyBorder="1" applyAlignment="1">
      <alignment horizontal="right"/>
    </xf>
    <xf numFmtId="4" fontId="212" fillId="27" borderId="54" xfId="310" applyNumberFormat="1" applyFont="1" applyFill="1" applyBorder="1" applyAlignment="1">
      <alignment horizontal="right" vertical="center"/>
    </xf>
    <xf numFmtId="4" fontId="212" fillId="27" borderId="53" xfId="310" applyNumberFormat="1" applyFont="1" applyFill="1" applyBorder="1" applyAlignment="1">
      <alignment horizontal="right" vertical="center"/>
    </xf>
    <xf numFmtId="4" fontId="208" fillId="0" borderId="58" xfId="310" applyNumberFormat="1" applyFont="1" applyBorder="1"/>
    <xf numFmtId="4" fontId="208" fillId="27" borderId="56" xfId="310" applyNumberFormat="1" applyFont="1" applyFill="1" applyBorder="1" applyAlignment="1">
      <alignment horizontal="center"/>
    </xf>
    <xf numFmtId="4" fontId="208" fillId="0" borderId="56" xfId="310" applyNumberFormat="1" applyFont="1" applyBorder="1"/>
    <xf numFmtId="4" fontId="212" fillId="0" borderId="56" xfId="310" applyNumberFormat="1" applyFont="1" applyBorder="1" applyAlignment="1">
      <alignment horizontal="right" vertical="center"/>
    </xf>
    <xf numFmtId="4" fontId="208" fillId="0" borderId="57" xfId="310" applyNumberFormat="1" applyFont="1" applyBorder="1"/>
    <xf numFmtId="0" fontId="258" fillId="27" borderId="65" xfId="310" applyFont="1" applyFill="1" applyBorder="1"/>
    <xf numFmtId="166" fontId="258" fillId="27" borderId="12" xfId="310" applyNumberFormat="1" applyFont="1" applyFill="1" applyBorder="1" applyAlignment="1">
      <alignment horizontal="right"/>
    </xf>
    <xf numFmtId="166" fontId="258" fillId="27" borderId="65" xfId="310" applyNumberFormat="1" applyFont="1" applyFill="1" applyBorder="1" applyAlignment="1">
      <alignment horizontal="right"/>
    </xf>
    <xf numFmtId="166" fontId="34" fillId="0" borderId="48" xfId="310" applyNumberFormat="1" applyFont="1" applyBorder="1" applyAlignment="1">
      <alignment horizontal="right"/>
    </xf>
    <xf numFmtId="4" fontId="34" fillId="0" borderId="58" xfId="310" applyNumberFormat="1" applyFont="1" applyBorder="1" applyAlignment="1">
      <alignment horizontal="right"/>
    </xf>
    <xf numFmtId="10" fontId="34" fillId="0" borderId="57" xfId="310" applyNumberFormat="1" applyFont="1" applyBorder="1" applyProtection="1">
      <protection locked="0"/>
    </xf>
    <xf numFmtId="10" fontId="34" fillId="0" borderId="59" xfId="310" applyNumberFormat="1" applyFont="1" applyBorder="1" applyProtection="1">
      <protection locked="0"/>
    </xf>
    <xf numFmtId="4" fontId="218" fillId="27" borderId="67" xfId="310" applyNumberFormat="1" applyFont="1" applyFill="1" applyBorder="1" applyAlignment="1">
      <alignment horizontal="right"/>
    </xf>
    <xf numFmtId="4" fontId="218" fillId="27" borderId="163" xfId="310" applyNumberFormat="1" applyFont="1" applyFill="1" applyBorder="1" applyAlignment="1">
      <alignment horizontal="right"/>
    </xf>
    <xf numFmtId="4" fontId="216" fillId="27" borderId="162" xfId="310" applyNumberFormat="1" applyFont="1" applyFill="1" applyBorder="1" applyAlignment="1">
      <alignment horizontal="right"/>
    </xf>
    <xf numFmtId="4" fontId="218" fillId="27" borderId="65" xfId="310" applyNumberFormat="1" applyFont="1" applyFill="1" applyBorder="1" applyAlignment="1">
      <alignment horizontal="right"/>
    </xf>
    <xf numFmtId="4" fontId="218" fillId="27" borderId="55" xfId="310" applyNumberFormat="1" applyFont="1" applyFill="1" applyBorder="1" applyAlignment="1">
      <alignment horizontal="right"/>
    </xf>
    <xf numFmtId="10" fontId="34" fillId="0" borderId="51" xfId="310" applyNumberFormat="1" applyFont="1" applyBorder="1" applyAlignment="1" applyProtection="1">
      <alignment shrinkToFit="1"/>
      <protection locked="0"/>
    </xf>
    <xf numFmtId="0" fontId="34" fillId="0" borderId="130" xfId="310" applyFont="1" applyBorder="1"/>
    <xf numFmtId="10" fontId="201" fillId="0" borderId="0" xfId="310" applyNumberFormat="1" applyFont="1" applyAlignment="1">
      <alignment horizontal="right"/>
    </xf>
    <xf numFmtId="4" fontId="209" fillId="0" borderId="0" xfId="310" applyNumberFormat="1" applyFont="1"/>
    <xf numFmtId="0" fontId="135" fillId="0" borderId="0" xfId="310" applyFont="1"/>
    <xf numFmtId="0" fontId="135" fillId="0" borderId="0" xfId="310" applyFont="1" applyAlignment="1">
      <alignment horizontal="center"/>
    </xf>
    <xf numFmtId="0" fontId="202" fillId="27" borderId="61" xfId="310" applyFont="1" applyFill="1" applyBorder="1" applyAlignment="1">
      <alignment wrapText="1"/>
    </xf>
    <xf numFmtId="0" fontId="202" fillId="27" borderId="12" xfId="310" applyFont="1" applyFill="1" applyBorder="1" applyAlignment="1">
      <alignment horizontal="center"/>
    </xf>
    <xf numFmtId="0" fontId="202" fillId="27" borderId="134" xfId="310" applyFont="1" applyFill="1" applyBorder="1" applyAlignment="1">
      <alignment horizontal="left"/>
    </xf>
    <xf numFmtId="10" fontId="155" fillId="0" borderId="57" xfId="310" applyNumberFormat="1" applyFont="1" applyBorder="1" applyProtection="1">
      <protection locked="0"/>
    </xf>
    <xf numFmtId="10" fontId="155" fillId="0" borderId="59" xfId="310" applyNumberFormat="1" applyFont="1" applyBorder="1" applyProtection="1">
      <protection locked="0"/>
    </xf>
    <xf numFmtId="4" fontId="224" fillId="27" borderId="162" xfId="310" applyNumberFormat="1" applyFont="1" applyFill="1" applyBorder="1" applyAlignment="1">
      <alignment horizontal="right"/>
    </xf>
    <xf numFmtId="4" fontId="239" fillId="27" borderId="55" xfId="310" applyNumberFormat="1" applyFont="1" applyFill="1" applyBorder="1" applyAlignment="1">
      <alignment horizontal="right"/>
    </xf>
    <xf numFmtId="0" fontId="155" fillId="0" borderId="130" xfId="310" applyFont="1" applyBorder="1"/>
    <xf numFmtId="0" fontId="202" fillId="0" borderId="135" xfId="310" applyFont="1" applyBorder="1" applyAlignment="1">
      <alignment horizontal="center" vertical="center" wrapText="1"/>
    </xf>
    <xf numFmtId="0" fontId="202" fillId="27" borderId="70" xfId="310" applyFont="1" applyFill="1" applyBorder="1" applyAlignment="1">
      <alignment wrapText="1"/>
    </xf>
    <xf numFmtId="0" fontId="202" fillId="27" borderId="73" xfId="310" applyFont="1" applyFill="1" applyBorder="1" applyAlignment="1">
      <alignment horizontal="center"/>
    </xf>
    <xf numFmtId="0" fontId="202" fillId="27" borderId="136" xfId="310" applyFont="1" applyFill="1" applyBorder="1" applyAlignment="1">
      <alignment horizontal="left"/>
    </xf>
    <xf numFmtId="0" fontId="202" fillId="0" borderId="80" xfId="310" applyFont="1" applyBorder="1" applyAlignment="1">
      <alignment horizontal="center"/>
    </xf>
    <xf numFmtId="4" fontId="202" fillId="27" borderId="76" xfId="310" applyNumberFormat="1" applyFont="1" applyFill="1" applyBorder="1" applyAlignment="1">
      <alignment horizontal="right"/>
    </xf>
    <xf numFmtId="4" fontId="215" fillId="27" borderId="137" xfId="310" applyNumberFormat="1" applyFont="1" applyFill="1" applyBorder="1" applyAlignment="1">
      <alignment horizontal="right" vertical="center"/>
    </xf>
    <xf numFmtId="4" fontId="215" fillId="27" borderId="0" xfId="310" applyNumberFormat="1" applyFont="1" applyFill="1" applyAlignment="1">
      <alignment horizontal="right" vertical="center"/>
    </xf>
    <xf numFmtId="4" fontId="213" fillId="27" borderId="74" xfId="310" applyNumberFormat="1" applyFont="1" applyFill="1" applyBorder="1" applyAlignment="1">
      <alignment horizontal="center"/>
    </xf>
    <xf numFmtId="4" fontId="215" fillId="0" borderId="74" xfId="310" applyNumberFormat="1" applyFont="1" applyBorder="1" applyAlignment="1">
      <alignment horizontal="right" vertical="center"/>
    </xf>
    <xf numFmtId="0" fontId="155" fillId="0" borderId="0" xfId="310" applyFont="1"/>
    <xf numFmtId="4" fontId="34" fillId="0" borderId="159" xfId="310" applyNumberFormat="1" applyFont="1" applyBorder="1" applyAlignment="1">
      <alignment horizontal="right" vertical="center"/>
    </xf>
    <xf numFmtId="4" fontId="155" fillId="0" borderId="161" xfId="310" applyNumberFormat="1" applyFont="1" applyBorder="1" applyAlignment="1">
      <alignment horizontal="right" vertical="center"/>
    </xf>
    <xf numFmtId="4" fontId="208" fillId="24" borderId="119" xfId="310" applyNumberFormat="1" applyFont="1" applyFill="1" applyBorder="1" applyAlignment="1">
      <alignment vertical="center"/>
    </xf>
    <xf numFmtId="4" fontId="208" fillId="24" borderId="176" xfId="310" applyNumberFormat="1" applyFont="1" applyFill="1" applyBorder="1" applyAlignment="1">
      <alignment horizontal="center" vertical="center"/>
    </xf>
    <xf numFmtId="4" fontId="208" fillId="24" borderId="176" xfId="310" applyNumberFormat="1" applyFont="1" applyFill="1" applyBorder="1" applyAlignment="1">
      <alignment vertical="center"/>
    </xf>
    <xf numFmtId="4" fontId="208" fillId="24" borderId="120" xfId="310" applyNumberFormat="1" applyFont="1" applyFill="1" applyBorder="1" applyAlignment="1">
      <alignment vertical="center"/>
    </xf>
    <xf numFmtId="4" fontId="223" fillId="24" borderId="100" xfId="310" applyNumberFormat="1" applyFont="1" applyFill="1" applyBorder="1"/>
    <xf numFmtId="4" fontId="155" fillId="24" borderId="171" xfId="310" applyNumberFormat="1" applyFont="1" applyFill="1" applyBorder="1" applyAlignment="1">
      <alignment horizontal="right" vertical="center"/>
    </xf>
    <xf numFmtId="4" fontId="155" fillId="24" borderId="172" xfId="310" applyNumberFormat="1" applyFont="1" applyFill="1" applyBorder="1" applyAlignment="1">
      <alignment horizontal="right" vertical="center"/>
    </xf>
    <xf numFmtId="4" fontId="155" fillId="24" borderId="170" xfId="310" applyNumberFormat="1" applyFont="1" applyFill="1" applyBorder="1" applyAlignment="1">
      <alignment horizontal="right" vertical="center"/>
    </xf>
    <xf numFmtId="0" fontId="202" fillId="0" borderId="0" xfId="310" applyFont="1"/>
    <xf numFmtId="4" fontId="118" fillId="0" borderId="0" xfId="310" applyNumberFormat="1" applyFont="1" applyAlignment="1">
      <alignment horizontal="right"/>
    </xf>
    <xf numFmtId="0" fontId="260" fillId="0" borderId="0" xfId="310" applyFont="1"/>
    <xf numFmtId="10" fontId="45" fillId="0" borderId="0" xfId="310" applyNumberFormat="1" applyFont="1" applyAlignment="1">
      <alignment horizontal="right"/>
    </xf>
    <xf numFmtId="0" fontId="196" fillId="0" borderId="218" xfId="310" applyFont="1" applyBorder="1" applyAlignment="1">
      <alignment vertical="center"/>
    </xf>
    <xf numFmtId="4" fontId="34" fillId="26" borderId="110" xfId="310" applyNumberFormat="1" applyFont="1" applyFill="1" applyBorder="1" applyAlignment="1">
      <alignment horizontal="right" vertical="center"/>
    </xf>
    <xf numFmtId="10" fontId="34" fillId="91" borderId="35" xfId="310" applyNumberFormat="1" applyFont="1" applyFill="1" applyBorder="1" applyAlignment="1" applyProtection="1">
      <alignment vertical="center"/>
      <protection locked="0"/>
    </xf>
    <xf numFmtId="10" fontId="34" fillId="0" borderId="174" xfId="310" applyNumberFormat="1" applyFont="1" applyBorder="1" applyAlignment="1" applyProtection="1">
      <alignment vertical="center"/>
      <protection locked="0"/>
    </xf>
    <xf numFmtId="4" fontId="155" fillId="29" borderId="41" xfId="310" applyNumberFormat="1" applyFont="1" applyFill="1" applyBorder="1" applyAlignment="1">
      <alignment horizontal="right" vertical="center"/>
    </xf>
    <xf numFmtId="4" fontId="155" fillId="27" borderId="41" xfId="310" applyNumberFormat="1" applyFont="1" applyFill="1" applyBorder="1" applyAlignment="1">
      <alignment horizontal="right" vertical="center"/>
    </xf>
    <xf numFmtId="4" fontId="34" fillId="0" borderId="41" xfId="310" applyNumberFormat="1" applyFont="1" applyBorder="1" applyAlignment="1">
      <alignment horizontal="right" vertical="center"/>
    </xf>
    <xf numFmtId="166" fontId="34" fillId="0" borderId="116" xfId="310" applyNumberFormat="1" applyFont="1" applyBorder="1" applyAlignment="1">
      <alignment horizontal="right" vertical="center"/>
    </xf>
    <xf numFmtId="4" fontId="216" fillId="0" borderId="151" xfId="310" applyNumberFormat="1" applyFont="1" applyBorder="1" applyAlignment="1">
      <alignment horizontal="right"/>
    </xf>
    <xf numFmtId="4" fontId="155" fillId="0" borderId="66" xfId="310" applyNumberFormat="1" applyFont="1" applyBorder="1" applyAlignment="1">
      <alignment horizontal="right"/>
    </xf>
    <xf numFmtId="4" fontId="224" fillId="0" borderId="227" xfId="310" applyNumberFormat="1" applyFont="1" applyBorder="1" applyAlignment="1">
      <alignment horizontal="right"/>
    </xf>
    <xf numFmtId="4" fontId="216" fillId="0" borderId="227" xfId="310" applyNumberFormat="1" applyFont="1" applyBorder="1" applyAlignment="1">
      <alignment horizontal="right"/>
    </xf>
    <xf numFmtId="4" fontId="224" fillId="0" borderId="22" xfId="310" applyNumberFormat="1" applyFont="1" applyBorder="1" applyAlignment="1">
      <alignment horizontal="right" vertical="center"/>
    </xf>
    <xf numFmtId="4" fontId="216" fillId="0" borderId="103" xfId="310" applyNumberFormat="1" applyFont="1" applyBorder="1" applyAlignment="1">
      <alignment horizontal="right" vertical="center"/>
    </xf>
    <xf numFmtId="4" fontId="135" fillId="0" borderId="173" xfId="310" applyNumberFormat="1" applyFont="1" applyBorder="1" applyAlignment="1">
      <alignment horizontal="center" vertical="center"/>
    </xf>
    <xf numFmtId="4" fontId="155" fillId="26" borderId="160" xfId="310" applyNumberFormat="1" applyFont="1" applyFill="1" applyBorder="1" applyAlignment="1">
      <alignment horizontal="right" vertical="center"/>
    </xf>
    <xf numFmtId="4" fontId="155" fillId="0" borderId="217" xfId="310" applyNumberFormat="1" applyFont="1" applyBorder="1" applyAlignment="1">
      <alignment horizontal="right"/>
    </xf>
    <xf numFmtId="4" fontId="224" fillId="0" borderId="161" xfId="310" applyNumberFormat="1" applyFont="1" applyBorder="1" applyAlignment="1">
      <alignment horizontal="right"/>
    </xf>
    <xf numFmtId="4" fontId="224" fillId="27" borderId="164" xfId="310" applyNumberFormat="1" applyFont="1" applyFill="1" applyBorder="1" applyAlignment="1">
      <alignment horizontal="right"/>
    </xf>
    <xf numFmtId="4" fontId="155" fillId="29" borderId="38" xfId="310" applyNumberFormat="1" applyFont="1" applyFill="1" applyBorder="1" applyAlignment="1">
      <alignment vertical="center"/>
    </xf>
    <xf numFmtId="4" fontId="216" fillId="27" borderId="95" xfId="310" applyNumberFormat="1" applyFont="1" applyFill="1" applyBorder="1" applyAlignment="1">
      <alignment horizontal="right" vertical="center"/>
    </xf>
    <xf numFmtId="4" fontId="244" fillId="0" borderId="186" xfId="310" applyNumberFormat="1" applyFont="1" applyBorder="1" applyAlignment="1">
      <alignment horizontal="right" vertical="center"/>
    </xf>
    <xf numFmtId="4" fontId="155" fillId="0" borderId="29" xfId="310" applyNumberFormat="1" applyFont="1" applyBorder="1" applyAlignment="1">
      <alignment horizontal="right" vertical="center"/>
    </xf>
    <xf numFmtId="4" fontId="135" fillId="0" borderId="186" xfId="310" applyNumberFormat="1" applyFont="1" applyBorder="1" applyAlignment="1">
      <alignment horizontal="right"/>
    </xf>
    <xf numFmtId="4" fontId="243" fillId="27" borderId="103" xfId="310" applyNumberFormat="1" applyFont="1" applyFill="1" applyBorder="1" applyAlignment="1">
      <alignment horizontal="right"/>
    </xf>
    <xf numFmtId="4" fontId="243" fillId="27" borderId="33" xfId="310" applyNumberFormat="1" applyFont="1" applyFill="1" applyBorder="1" applyAlignment="1">
      <alignment horizontal="right"/>
    </xf>
    <xf numFmtId="0" fontId="11" fillId="0" borderId="0" xfId="310" quotePrefix="1" applyFont="1" applyAlignment="1">
      <alignment horizontal="center"/>
    </xf>
    <xf numFmtId="4" fontId="202" fillId="90" borderId="40" xfId="310" applyNumberFormat="1" applyFont="1" applyFill="1" applyBorder="1" applyAlignment="1">
      <alignment horizontal="center"/>
    </xf>
    <xf numFmtId="4" fontId="129" fillId="90" borderId="40" xfId="310" applyNumberFormat="1" applyFont="1" applyFill="1" applyBorder="1" applyAlignment="1">
      <alignment horizontal="left"/>
    </xf>
    <xf numFmtId="4" fontId="155" fillId="90" borderId="40" xfId="310" applyNumberFormat="1" applyFont="1" applyFill="1" applyBorder="1" applyAlignment="1">
      <alignment horizontal="right"/>
    </xf>
    <xf numFmtId="0" fontId="45" fillId="0" borderId="40" xfId="24462" applyBorder="1" applyAlignment="1">
      <alignment vertical="center"/>
    </xf>
    <xf numFmtId="4" fontId="224" fillId="90" borderId="40" xfId="310" applyNumberFormat="1" applyFont="1" applyFill="1" applyBorder="1" applyAlignment="1">
      <alignment horizontal="right"/>
    </xf>
    <xf numFmtId="0" fontId="195" fillId="31" borderId="40" xfId="24462" applyFont="1" applyFill="1" applyBorder="1" applyAlignment="1">
      <alignment vertical="center"/>
    </xf>
    <xf numFmtId="0" fontId="195" fillId="0" borderId="40" xfId="24462" applyFont="1" applyBorder="1" applyAlignment="1">
      <alignment vertical="center"/>
    </xf>
    <xf numFmtId="0" fontId="194" fillId="31" borderId="40" xfId="0" applyFont="1" applyFill="1" applyBorder="1" applyAlignment="1">
      <alignment horizontal="left" vertical="center" wrapText="1"/>
    </xf>
    <xf numFmtId="0" fontId="72" fillId="0" borderId="13" xfId="310" applyFont="1" applyBorder="1" applyAlignment="1">
      <alignment horizontal="center" vertical="center"/>
    </xf>
    <xf numFmtId="166" fontId="72" fillId="0" borderId="13" xfId="310" applyNumberFormat="1" applyFont="1" applyBorder="1" applyAlignment="1">
      <alignment vertical="center" wrapText="1"/>
    </xf>
    <xf numFmtId="166" fontId="72" fillId="0" borderId="14" xfId="310" applyNumberFormat="1" applyFont="1" applyBorder="1" applyAlignment="1">
      <alignment vertical="center" wrapText="1"/>
    </xf>
    <xf numFmtId="49" fontId="209" fillId="90" borderId="40" xfId="310" applyNumberFormat="1" applyFont="1" applyFill="1" applyBorder="1" applyAlignment="1">
      <alignment horizontal="center" vertical="center"/>
    </xf>
    <xf numFmtId="0" fontId="135" fillId="90" borderId="40" xfId="24462" applyFont="1" applyFill="1" applyBorder="1" applyAlignment="1">
      <alignment vertical="center"/>
    </xf>
    <xf numFmtId="0" fontId="261" fillId="90" borderId="40" xfId="24462" applyFont="1" applyFill="1" applyBorder="1" applyAlignment="1">
      <alignment vertical="center"/>
    </xf>
    <xf numFmtId="0" fontId="222" fillId="90" borderId="40" xfId="0" applyFont="1" applyFill="1" applyBorder="1" applyAlignment="1">
      <alignment horizontal="left" vertical="center" wrapText="1"/>
    </xf>
    <xf numFmtId="10" fontId="72" fillId="0" borderId="89" xfId="310" applyNumberFormat="1" applyFont="1" applyBorder="1" applyAlignment="1" applyProtection="1">
      <alignment horizontal="right" vertical="center"/>
      <protection locked="0"/>
    </xf>
    <xf numFmtId="10" fontId="72" fillId="0" borderId="14" xfId="310" applyNumberFormat="1" applyFont="1" applyBorder="1" applyAlignment="1" applyProtection="1">
      <alignment vertical="center"/>
      <protection locked="0"/>
    </xf>
    <xf numFmtId="0" fontId="72" fillId="0" borderId="18" xfId="310" applyFont="1" applyBorder="1" applyAlignment="1">
      <alignment horizontal="left" wrapText="1"/>
    </xf>
    <xf numFmtId="0" fontId="72" fillId="0" borderId="19" xfId="310" applyFont="1" applyBorder="1" applyAlignment="1">
      <alignment horizontal="left" wrapText="1"/>
    </xf>
    <xf numFmtId="4" fontId="213" fillId="0" borderId="119" xfId="310" applyNumberFormat="1" applyFont="1" applyBorder="1"/>
    <xf numFmtId="4" fontId="215" fillId="27" borderId="176" xfId="310" applyNumberFormat="1" applyFont="1" applyFill="1" applyBorder="1" applyAlignment="1">
      <alignment horizontal="right" vertical="center"/>
    </xf>
    <xf numFmtId="4" fontId="155" fillId="27" borderId="176" xfId="310" applyNumberFormat="1" applyFont="1" applyFill="1" applyBorder="1" applyAlignment="1">
      <alignment horizontal="right"/>
    </xf>
    <xf numFmtId="4" fontId="155" fillId="27" borderId="120" xfId="310" applyNumberFormat="1" applyFont="1" applyFill="1" applyBorder="1" applyAlignment="1">
      <alignment horizontal="right"/>
    </xf>
    <xf numFmtId="4" fontId="155" fillId="0" borderId="40" xfId="310" applyNumberFormat="1" applyFont="1" applyBorder="1"/>
    <xf numFmtId="10" fontId="155" fillId="0" borderId="40" xfId="310" applyNumberFormat="1" applyFont="1" applyBorder="1" applyAlignment="1">
      <alignment horizontal="right"/>
    </xf>
    <xf numFmtId="166" fontId="213" fillId="0" borderId="40" xfId="310" applyNumberFormat="1" applyFont="1" applyBorder="1"/>
    <xf numFmtId="4" fontId="202" fillId="90" borderId="40" xfId="310" applyNumberFormat="1" applyFont="1" applyFill="1" applyBorder="1" applyAlignment="1">
      <alignment wrapText="1"/>
    </xf>
    <xf numFmtId="4" fontId="215" fillId="90" borderId="40" xfId="310" applyNumberFormat="1" applyFont="1" applyFill="1" applyBorder="1" applyAlignment="1">
      <alignment horizontal="left"/>
    </xf>
    <xf numFmtId="4" fontId="202" fillId="90" borderId="40" xfId="37816" applyNumberFormat="1" applyFont="1" applyFill="1" applyBorder="1" applyAlignment="1">
      <alignment horizontal="center"/>
    </xf>
    <xf numFmtId="4" fontId="129" fillId="90" borderId="40" xfId="310" applyNumberFormat="1" applyFont="1" applyFill="1" applyBorder="1" applyAlignment="1">
      <alignment horizontal="right"/>
    </xf>
    <xf numFmtId="4" fontId="34" fillId="90" borderId="40" xfId="310" applyNumberFormat="1" applyFont="1" applyFill="1" applyBorder="1" applyAlignment="1">
      <alignment horizontal="right" vertical="center"/>
    </xf>
    <xf numFmtId="166" fontId="215" fillId="90" borderId="40" xfId="310" applyNumberFormat="1" applyFont="1" applyFill="1" applyBorder="1" applyAlignment="1">
      <alignment horizontal="right" vertical="center"/>
    </xf>
    <xf numFmtId="4" fontId="213" fillId="90" borderId="40" xfId="310" applyNumberFormat="1" applyFont="1" applyFill="1" applyBorder="1" applyProtection="1">
      <protection locked="0"/>
    </xf>
    <xf numFmtId="4" fontId="202" fillId="29" borderId="40" xfId="310" applyNumberFormat="1" applyFont="1" applyFill="1" applyBorder="1" applyAlignment="1">
      <alignment wrapText="1"/>
    </xf>
    <xf numFmtId="4" fontId="215" fillId="29" borderId="40" xfId="310" applyNumberFormat="1" applyFont="1" applyFill="1" applyBorder="1" applyAlignment="1">
      <alignment horizontal="left"/>
    </xf>
    <xf numFmtId="4" fontId="202" fillId="0" borderId="40" xfId="37816" applyNumberFormat="1" applyFont="1" applyFill="1" applyBorder="1" applyAlignment="1">
      <alignment horizontal="center"/>
    </xf>
    <xf numFmtId="4" fontId="202" fillId="0" borderId="40" xfId="310" applyNumberFormat="1" applyFont="1" applyBorder="1" applyAlignment="1">
      <alignment horizontal="center"/>
    </xf>
    <xf numFmtId="4" fontId="215" fillId="29" borderId="40" xfId="310" applyNumberFormat="1" applyFont="1" applyFill="1" applyBorder="1" applyAlignment="1">
      <alignment horizontal="right"/>
    </xf>
    <xf numFmtId="4" fontId="213" fillId="0" borderId="40" xfId="310" applyNumberFormat="1" applyFont="1" applyBorder="1"/>
    <xf numFmtId="4" fontId="215" fillId="27" borderId="40" xfId="310" applyNumberFormat="1" applyFont="1" applyFill="1" applyBorder="1" applyAlignment="1">
      <alignment horizontal="right" vertical="center"/>
    </xf>
    <xf numFmtId="4" fontId="129" fillId="29" borderId="40" xfId="310" applyNumberFormat="1" applyFont="1" applyFill="1" applyBorder="1" applyAlignment="1">
      <alignment horizontal="right"/>
    </xf>
    <xf numFmtId="4" fontId="155" fillId="0" borderId="40" xfId="310" applyNumberFormat="1" applyFont="1" applyBorder="1" applyAlignment="1">
      <alignment horizontal="right"/>
    </xf>
    <xf numFmtId="4" fontId="213" fillId="0" borderId="40" xfId="310" applyNumberFormat="1" applyFont="1" applyBorder="1" applyProtection="1">
      <protection locked="0"/>
    </xf>
    <xf numFmtId="4" fontId="202" fillId="90" borderId="40" xfId="310" applyNumberFormat="1" applyFont="1" applyFill="1" applyBorder="1" applyAlignment="1">
      <alignment horizontal="left"/>
    </xf>
    <xf numFmtId="4" fontId="202" fillId="29" borderId="40" xfId="310" applyNumberFormat="1" applyFont="1" applyFill="1" applyBorder="1" applyAlignment="1">
      <alignment horizontal="center" wrapText="1"/>
    </xf>
    <xf numFmtId="0" fontId="202" fillId="0" borderId="40" xfId="310" applyFont="1" applyBorder="1" applyAlignment="1">
      <alignment horizontal="center" vertical="center"/>
    </xf>
    <xf numFmtId="4" fontId="202" fillId="29" borderId="40" xfId="310" applyNumberFormat="1" applyFont="1" applyFill="1" applyBorder="1" applyAlignment="1">
      <alignment horizontal="left"/>
    </xf>
    <xf numFmtId="0" fontId="129" fillId="29" borderId="40" xfId="310" applyFont="1" applyFill="1" applyBorder="1" applyAlignment="1">
      <alignment horizontal="right"/>
    </xf>
    <xf numFmtId="0" fontId="129" fillId="90" borderId="40" xfId="310" applyFont="1" applyFill="1" applyBorder="1" applyAlignment="1">
      <alignment horizontal="right"/>
    </xf>
    <xf numFmtId="0" fontId="135" fillId="90" borderId="40" xfId="0" applyFont="1" applyFill="1" applyBorder="1" applyAlignment="1">
      <alignment vertical="center" wrapText="1"/>
    </xf>
    <xf numFmtId="0" fontId="135" fillId="90" borderId="40" xfId="310" applyFont="1" applyFill="1" applyBorder="1" applyAlignment="1">
      <alignment vertical="center"/>
    </xf>
    <xf numFmtId="0" fontId="45" fillId="0" borderId="40" xfId="0" applyFont="1" applyBorder="1" applyAlignment="1">
      <alignment vertical="center"/>
    </xf>
    <xf numFmtId="4" fontId="202" fillId="27" borderId="40" xfId="310" applyNumberFormat="1" applyFont="1" applyFill="1" applyBorder="1" applyAlignment="1">
      <alignment horizontal="right"/>
    </xf>
    <xf numFmtId="4" fontId="236" fillId="29" borderId="40" xfId="310" applyNumberFormat="1" applyFont="1" applyFill="1" applyBorder="1" applyAlignment="1">
      <alignment horizontal="center"/>
    </xf>
    <xf numFmtId="49" fontId="118" fillId="29" borderId="40" xfId="310" applyNumberFormat="1" applyFont="1" applyFill="1" applyBorder="1" applyAlignment="1">
      <alignment horizontal="left"/>
    </xf>
    <xf numFmtId="0" fontId="118" fillId="29" borderId="40" xfId="310" applyFont="1" applyFill="1" applyBorder="1" applyAlignment="1">
      <alignment horizontal="left" wrapText="1"/>
    </xf>
    <xf numFmtId="4" fontId="129" fillId="27" borderId="40" xfId="310" applyNumberFormat="1" applyFont="1" applyFill="1" applyBorder="1" applyAlignment="1">
      <alignment horizontal="left"/>
    </xf>
    <xf numFmtId="0" fontId="135" fillId="0" borderId="40" xfId="0" applyFont="1" applyBorder="1" applyAlignment="1">
      <alignment wrapText="1"/>
    </xf>
    <xf numFmtId="0" fontId="135" fillId="0" borderId="40" xfId="0" applyFont="1" applyBorder="1" applyAlignment="1">
      <alignment vertical="center"/>
    </xf>
    <xf numFmtId="0" fontId="202" fillId="0" borderId="40" xfId="310" applyFont="1" applyBorder="1" applyAlignment="1">
      <alignment vertical="center" wrapText="1"/>
    </xf>
    <xf numFmtId="49" fontId="34" fillId="0" borderId="40" xfId="310" applyNumberFormat="1" applyFont="1" applyBorder="1" applyAlignment="1">
      <alignment horizontal="center" vertical="center"/>
    </xf>
    <xf numFmtId="165" fontId="34" fillId="0" borderId="40" xfId="251" applyFont="1" applyFill="1" applyBorder="1" applyAlignment="1">
      <alignment horizontal="center" vertical="center"/>
    </xf>
    <xf numFmtId="0" fontId="30" fillId="91" borderId="40" xfId="310" applyFont="1" applyFill="1" applyBorder="1" applyAlignment="1">
      <alignment horizontal="center" vertical="center"/>
    </xf>
    <xf numFmtId="0" fontId="30" fillId="0" borderId="40" xfId="310" quotePrefix="1" applyFont="1" applyBorder="1" applyAlignment="1">
      <alignment vertical="center"/>
    </xf>
    <xf numFmtId="0" fontId="45" fillId="29" borderId="40" xfId="310" applyFont="1" applyFill="1" applyBorder="1" applyAlignment="1">
      <alignment horizontal="left"/>
    </xf>
    <xf numFmtId="4" fontId="223" fillId="31" borderId="100" xfId="310" applyNumberFormat="1" applyFont="1" applyFill="1" applyBorder="1" applyAlignment="1">
      <alignment horizontal="left"/>
    </xf>
    <xf numFmtId="10" fontId="223" fillId="24" borderId="100" xfId="310" applyNumberFormat="1" applyFont="1" applyFill="1" applyBorder="1" applyAlignment="1">
      <alignment horizontal="left"/>
    </xf>
    <xf numFmtId="10" fontId="223" fillId="0" borderId="0" xfId="310" applyNumberFormat="1" applyFont="1" applyAlignment="1">
      <alignment horizontal="left"/>
    </xf>
    <xf numFmtId="4" fontId="223" fillId="0" borderId="101" xfId="310" applyNumberFormat="1" applyFont="1" applyBorder="1" applyAlignment="1">
      <alignment horizontal="left"/>
    </xf>
    <xf numFmtId="10" fontId="223" fillId="30" borderId="100" xfId="310" applyNumberFormat="1" applyFont="1" applyFill="1" applyBorder="1" applyAlignment="1">
      <alignment horizontal="left"/>
    </xf>
    <xf numFmtId="0" fontId="129" fillId="26" borderId="177" xfId="310" applyFont="1" applyFill="1" applyBorder="1" applyAlignment="1">
      <alignment horizontal="left"/>
    </xf>
    <xf numFmtId="0" fontId="258" fillId="27" borderId="62" xfId="310" applyFont="1" applyFill="1" applyBorder="1" applyAlignment="1">
      <alignment horizontal="left"/>
    </xf>
    <xf numFmtId="0" fontId="45" fillId="0" borderId="0" xfId="310" applyFont="1" applyAlignment="1">
      <alignment horizontal="left"/>
    </xf>
    <xf numFmtId="0" fontId="11" fillId="0" borderId="0" xfId="310" applyFont="1" applyAlignment="1">
      <alignment horizontal="left"/>
    </xf>
    <xf numFmtId="4" fontId="31" fillId="0" borderId="0" xfId="310" applyNumberFormat="1" applyFont="1" applyAlignment="1">
      <alignment horizontal="left"/>
    </xf>
    <xf numFmtId="184" fontId="21" fillId="0" borderId="0" xfId="310" applyNumberFormat="1" applyFont="1" applyAlignment="1">
      <alignment horizontal="left"/>
    </xf>
    <xf numFmtId="0" fontId="12" fillId="0" borderId="0" xfId="310" applyFont="1" applyAlignment="1">
      <alignment horizontal="left"/>
    </xf>
    <xf numFmtId="0" fontId="27" fillId="0" borderId="0" xfId="310" applyFont="1" applyAlignment="1">
      <alignment horizontal="left"/>
    </xf>
    <xf numFmtId="0" fontId="8" fillId="31" borderId="0" xfId="310" applyFont="1" applyFill="1" applyAlignment="1">
      <alignment horizontal="left"/>
    </xf>
    <xf numFmtId="0" fontId="11" fillId="31" borderId="0" xfId="310" applyFont="1" applyFill="1" applyAlignment="1">
      <alignment horizontal="left"/>
    </xf>
    <xf numFmtId="4" fontId="8" fillId="31" borderId="0" xfId="310" applyNumberFormat="1" applyFont="1" applyFill="1" applyAlignment="1" applyProtection="1">
      <alignment horizontal="left"/>
      <protection locked="0"/>
    </xf>
    <xf numFmtId="187" fontId="134" fillId="0" borderId="0" xfId="310" applyNumberFormat="1" applyFont="1" applyAlignment="1">
      <alignment horizontal="left"/>
    </xf>
    <xf numFmtId="0" fontId="152" fillId="0" borderId="45" xfId="310" applyFont="1" applyBorder="1" applyAlignment="1">
      <alignment horizontal="left"/>
    </xf>
    <xf numFmtId="4" fontId="34" fillId="26" borderId="112" xfId="310" applyNumberFormat="1" applyFont="1" applyFill="1" applyBorder="1" applyAlignment="1">
      <alignment horizontal="left"/>
    </xf>
    <xf numFmtId="4" fontId="34" fillId="91" borderId="40" xfId="310" applyNumberFormat="1" applyFont="1" applyFill="1" applyBorder="1" applyAlignment="1">
      <alignment horizontal="left"/>
    </xf>
    <xf numFmtId="4" fontId="34" fillId="29" borderId="40" xfId="310" applyNumberFormat="1" applyFont="1" applyFill="1" applyBorder="1" applyAlignment="1">
      <alignment horizontal="left"/>
    </xf>
    <xf numFmtId="0" fontId="216" fillId="27" borderId="40" xfId="310" applyFont="1" applyFill="1" applyBorder="1" applyAlignment="1">
      <alignment horizontal="left"/>
    </xf>
    <xf numFmtId="0" fontId="216" fillId="29" borderId="40" xfId="310" applyFont="1" applyFill="1" applyBorder="1" applyAlignment="1">
      <alignment horizontal="left"/>
    </xf>
    <xf numFmtId="0" fontId="34" fillId="29" borderId="40" xfId="310" applyFont="1" applyFill="1" applyBorder="1" applyAlignment="1">
      <alignment horizontal="left"/>
    </xf>
    <xf numFmtId="0" fontId="155" fillId="90" borderId="40" xfId="310" applyFont="1" applyFill="1" applyBorder="1" applyAlignment="1">
      <alignment horizontal="left"/>
    </xf>
    <xf numFmtId="0" fontId="155" fillId="29" borderId="40" xfId="310" applyFont="1" applyFill="1" applyBorder="1" applyAlignment="1">
      <alignment horizontal="left"/>
    </xf>
    <xf numFmtId="4" fontId="24" fillId="0" borderId="0" xfId="310" applyNumberFormat="1" applyFont="1" applyAlignment="1">
      <alignment horizontal="left"/>
    </xf>
    <xf numFmtId="4" fontId="11" fillId="0" borderId="0" xfId="310" applyNumberFormat="1" applyFont="1" applyAlignment="1">
      <alignment horizontal="left"/>
    </xf>
    <xf numFmtId="0" fontId="33" fillId="0" borderId="0" xfId="310" applyFont="1" applyAlignment="1">
      <alignment horizontal="left" wrapText="1"/>
    </xf>
    <xf numFmtId="0" fontId="24" fillId="0" borderId="0" xfId="310" applyFont="1" applyAlignment="1">
      <alignment horizontal="left"/>
    </xf>
    <xf numFmtId="0" fontId="13" fillId="0" borderId="0" xfId="310" applyFont="1" applyAlignment="1">
      <alignment horizontal="left"/>
    </xf>
    <xf numFmtId="0" fontId="8" fillId="0" borderId="0" xfId="310" applyFont="1" applyAlignment="1">
      <alignment horizontal="left"/>
    </xf>
    <xf numFmtId="0" fontId="268" fillId="0" borderId="0" xfId="310" applyFont="1" applyAlignment="1">
      <alignment horizontal="left"/>
    </xf>
    <xf numFmtId="0" fontId="153" fillId="0" borderId="47" xfId="310" applyFont="1" applyBorder="1" applyAlignment="1">
      <alignment horizontal="left"/>
    </xf>
    <xf numFmtId="0" fontId="34" fillId="26" borderId="112" xfId="310" applyFont="1" applyFill="1" applyBorder="1" applyAlignment="1">
      <alignment horizontal="left"/>
    </xf>
    <xf numFmtId="0" fontId="34" fillId="91" borderId="40" xfId="310" applyFont="1" applyFill="1" applyBorder="1" applyAlignment="1">
      <alignment horizontal="left"/>
    </xf>
    <xf numFmtId="0" fontId="217" fillId="27" borderId="40" xfId="310" applyFont="1" applyFill="1" applyBorder="1" applyAlignment="1">
      <alignment horizontal="left"/>
    </xf>
    <xf numFmtId="0" fontId="217" fillId="29" borderId="40" xfId="310" applyFont="1" applyFill="1" applyBorder="1" applyAlignment="1">
      <alignment horizontal="left"/>
    </xf>
    <xf numFmtId="0" fontId="229" fillId="29" borderId="40" xfId="310" applyFont="1" applyFill="1" applyBorder="1" applyAlignment="1">
      <alignment horizontal="left"/>
    </xf>
    <xf numFmtId="0" fontId="164" fillId="29" borderId="40" xfId="0" applyFont="1" applyFill="1" applyBorder="1" applyAlignment="1">
      <alignment horizontal="left" wrapText="1"/>
    </xf>
    <xf numFmtId="0" fontId="217" fillId="27" borderId="186" xfId="310" applyFont="1" applyFill="1" applyBorder="1" applyAlignment="1">
      <alignment horizontal="left"/>
    </xf>
    <xf numFmtId="0" fontId="164" fillId="0" borderId="127" xfId="310" applyFont="1" applyBorder="1" applyAlignment="1">
      <alignment horizontal="left"/>
    </xf>
    <xf numFmtId="0" fontId="164" fillId="0" borderId="47" xfId="310" applyFont="1" applyBorder="1" applyAlignment="1">
      <alignment horizontal="left"/>
    </xf>
    <xf numFmtId="0" fontId="164" fillId="0" borderId="216" xfId="310" applyFont="1" applyBorder="1" applyAlignment="1">
      <alignment horizontal="left"/>
    </xf>
    <xf numFmtId="0" fontId="199" fillId="0" borderId="126" xfId="310" applyFont="1" applyBorder="1" applyAlignment="1">
      <alignment horizontal="left"/>
    </xf>
    <xf numFmtId="0" fontId="270" fillId="90" borderId="40" xfId="310" applyFont="1" applyFill="1" applyBorder="1" applyAlignment="1">
      <alignment horizontal="left"/>
    </xf>
    <xf numFmtId="0" fontId="270" fillId="29" borderId="40" xfId="310" applyFont="1" applyFill="1" applyBorder="1" applyAlignment="1">
      <alignment horizontal="left"/>
    </xf>
    <xf numFmtId="0" fontId="135" fillId="29" borderId="40" xfId="310" applyFont="1" applyFill="1" applyBorder="1" applyAlignment="1">
      <alignment horizontal="left"/>
    </xf>
    <xf numFmtId="0" fontId="164" fillId="90" borderId="40" xfId="0" applyFont="1" applyFill="1" applyBorder="1" applyAlignment="1">
      <alignment horizontal="left" wrapText="1"/>
    </xf>
    <xf numFmtId="0" fontId="34" fillId="90" borderId="40" xfId="310" applyFont="1" applyFill="1" applyBorder="1" applyAlignment="1">
      <alignment horizontal="left"/>
    </xf>
    <xf numFmtId="0" fontId="270" fillId="27" borderId="40" xfId="310" applyFont="1" applyFill="1" applyBorder="1" applyAlignment="1">
      <alignment horizontal="left"/>
    </xf>
    <xf numFmtId="0" fontId="270" fillId="27" borderId="183" xfId="310" applyFont="1" applyFill="1" applyBorder="1" applyAlignment="1">
      <alignment horizontal="left"/>
    </xf>
    <xf numFmtId="0" fontId="270" fillId="27" borderId="54" xfId="310" applyFont="1" applyFill="1" applyBorder="1" applyAlignment="1">
      <alignment horizontal="left"/>
    </xf>
    <xf numFmtId="0" fontId="199" fillId="0" borderId="101" xfId="310" applyFont="1" applyBorder="1" applyAlignment="1">
      <alignment horizontal="left"/>
    </xf>
    <xf numFmtId="0" fontId="270" fillId="29" borderId="137" xfId="310" applyFont="1" applyFill="1" applyBorder="1" applyAlignment="1">
      <alignment horizontal="left"/>
    </xf>
    <xf numFmtId="0" fontId="269" fillId="0" borderId="127" xfId="310" applyFont="1" applyBorder="1" applyAlignment="1">
      <alignment horizontal="left"/>
    </xf>
    <xf numFmtId="0" fontId="199" fillId="0" borderId="183" xfId="310" applyFont="1" applyBorder="1" applyAlignment="1">
      <alignment horizontal="left"/>
    </xf>
    <xf numFmtId="0" fontId="164" fillId="0" borderId="121" xfId="310" applyFont="1" applyBorder="1" applyAlignment="1">
      <alignment horizontal="left"/>
    </xf>
    <xf numFmtId="0" fontId="164" fillId="24" borderId="121" xfId="310" applyFont="1" applyFill="1" applyBorder="1" applyAlignment="1">
      <alignment horizontal="left"/>
    </xf>
    <xf numFmtId="0" fontId="164" fillId="0" borderId="84" xfId="324" applyNumberFormat="1" applyFont="1" applyFill="1" applyBorder="1" applyAlignment="1">
      <alignment horizontal="left"/>
    </xf>
    <xf numFmtId="0" fontId="270" fillId="26" borderId="129" xfId="310" applyFont="1" applyFill="1" applyBorder="1" applyAlignment="1">
      <alignment horizontal="left"/>
    </xf>
    <xf numFmtId="0" fontId="270" fillId="0" borderId="12" xfId="310" applyFont="1" applyBorder="1" applyAlignment="1">
      <alignment horizontal="left"/>
    </xf>
    <xf numFmtId="0" fontId="270" fillId="0" borderId="84" xfId="310" applyFont="1" applyBorder="1" applyAlignment="1">
      <alignment horizontal="left"/>
    </xf>
    <xf numFmtId="0" fontId="271" fillId="0" borderId="121" xfId="310" applyFont="1" applyBorder="1" applyAlignment="1">
      <alignment horizontal="left"/>
    </xf>
    <xf numFmtId="0" fontId="270" fillId="24" borderId="121" xfId="310" applyFont="1" applyFill="1" applyBorder="1" applyAlignment="1">
      <alignment horizontal="left" wrapText="1"/>
    </xf>
    <xf numFmtId="0" fontId="270" fillId="0" borderId="0" xfId="310" applyFont="1" applyAlignment="1">
      <alignment horizontal="left"/>
    </xf>
    <xf numFmtId="0" fontId="164" fillId="85" borderId="121" xfId="310" applyFont="1" applyFill="1" applyBorder="1" applyAlignment="1">
      <alignment horizontal="left"/>
    </xf>
    <xf numFmtId="0" fontId="164" fillId="24" borderId="126" xfId="310" applyFont="1" applyFill="1" applyBorder="1" applyAlignment="1">
      <alignment horizontal="left"/>
    </xf>
    <xf numFmtId="0" fontId="164" fillId="0" borderId="0" xfId="310" applyFont="1" applyAlignment="1">
      <alignment horizontal="left"/>
    </xf>
    <xf numFmtId="0" fontId="164" fillId="26" borderId="47" xfId="310" applyFont="1" applyFill="1" applyBorder="1" applyAlignment="1">
      <alignment horizontal="left"/>
    </xf>
    <xf numFmtId="0" fontId="271" fillId="27" borderId="54" xfId="310" applyFont="1" applyFill="1" applyBorder="1" applyAlignment="1">
      <alignment horizontal="left"/>
    </xf>
    <xf numFmtId="0" fontId="271" fillId="27" borderId="12" xfId="310" applyFont="1" applyFill="1" applyBorder="1" applyAlignment="1">
      <alignment horizontal="left"/>
    </xf>
    <xf numFmtId="0" fontId="164" fillId="31" borderId="121" xfId="310" applyFont="1" applyFill="1" applyBorder="1" applyAlignment="1">
      <alignment horizontal="left"/>
    </xf>
    <xf numFmtId="0" fontId="164" fillId="0" borderId="33" xfId="310" applyFont="1" applyBorder="1" applyAlignment="1">
      <alignment horizontal="left"/>
    </xf>
    <xf numFmtId="0" fontId="164" fillId="30" borderId="121" xfId="310" applyFont="1" applyFill="1" applyBorder="1" applyAlignment="1">
      <alignment horizontal="left"/>
    </xf>
    <xf numFmtId="0" fontId="270" fillId="26" borderId="127" xfId="310" applyFont="1" applyFill="1" applyBorder="1" applyAlignment="1">
      <alignment horizontal="left"/>
    </xf>
    <xf numFmtId="0" fontId="272" fillId="27" borderId="12" xfId="310" applyFont="1" applyFill="1" applyBorder="1" applyAlignment="1">
      <alignment horizontal="left"/>
    </xf>
    <xf numFmtId="0" fontId="273" fillId="0" borderId="0" xfId="310" applyFont="1" applyAlignment="1">
      <alignment horizontal="left"/>
    </xf>
    <xf numFmtId="0" fontId="22" fillId="0" borderId="0" xfId="310" applyFont="1" applyAlignment="1">
      <alignment horizontal="left"/>
    </xf>
    <xf numFmtId="0" fontId="274" fillId="0" borderId="0" xfId="310" applyFont="1" applyAlignment="1">
      <alignment horizontal="left" wrapText="1"/>
    </xf>
    <xf numFmtId="0" fontId="40" fillId="0" borderId="0" xfId="310" applyFont="1" applyAlignment="1">
      <alignment horizontal="left"/>
    </xf>
    <xf numFmtId="0" fontId="275" fillId="0" borderId="0" xfId="310" applyFont="1" applyAlignment="1">
      <alignment horizontal="left"/>
    </xf>
    <xf numFmtId="0" fontId="9" fillId="0" borderId="0" xfId="310" applyFont="1" applyAlignment="1">
      <alignment horizontal="left"/>
    </xf>
    <xf numFmtId="0" fontId="29" fillId="0" borderId="0" xfId="310" applyFont="1" applyAlignment="1">
      <alignment horizontal="left"/>
    </xf>
    <xf numFmtId="0" fontId="30" fillId="29" borderId="40" xfId="310" applyFont="1" applyFill="1" applyBorder="1" applyAlignment="1">
      <alignment vertical="center"/>
    </xf>
    <xf numFmtId="0" fontId="142" fillId="29" borderId="150" xfId="310" applyFont="1" applyFill="1" applyBorder="1" applyAlignment="1">
      <alignment horizontal="left" vertical="center" wrapText="1"/>
    </xf>
    <xf numFmtId="0" fontId="142" fillId="29" borderId="48" xfId="310" applyFont="1" applyFill="1" applyBorder="1" applyAlignment="1">
      <alignment horizontal="left" vertical="center" wrapText="1"/>
    </xf>
    <xf numFmtId="0" fontId="142" fillId="29" borderId="60" xfId="310" applyFont="1" applyFill="1" applyBorder="1" applyAlignment="1">
      <alignment horizontal="left" vertical="center" wrapText="1"/>
    </xf>
    <xf numFmtId="4" fontId="224" fillId="27" borderId="40" xfId="310" applyNumberFormat="1" applyFont="1" applyFill="1" applyBorder="1" applyAlignment="1">
      <alignment horizontal="right" vertical="center"/>
    </xf>
    <xf numFmtId="4" fontId="155" fillId="0" borderId="40" xfId="310" applyNumberFormat="1" applyFont="1" applyBorder="1" applyAlignment="1">
      <alignment horizontal="right" vertical="center"/>
    </xf>
    <xf numFmtId="4" fontId="155" fillId="24" borderId="102" xfId="310" applyNumberFormat="1" applyFont="1" applyFill="1" applyBorder="1" applyAlignment="1">
      <alignment horizontal="right" vertical="center"/>
    </xf>
    <xf numFmtId="0" fontId="276" fillId="0" borderId="0" xfId="310" applyFont="1" applyAlignment="1">
      <alignment vertical="center"/>
    </xf>
    <xf numFmtId="4" fontId="134" fillId="0" borderId="0" xfId="310" applyNumberFormat="1" applyFont="1" applyAlignment="1">
      <alignment horizontal="center" vertical="center"/>
    </xf>
    <xf numFmtId="4" fontId="233" fillId="27" borderId="40" xfId="310" applyNumberFormat="1" applyFont="1" applyFill="1" applyBorder="1" applyAlignment="1">
      <alignment horizontal="right" vertical="center"/>
    </xf>
    <xf numFmtId="4" fontId="277" fillId="27" borderId="40" xfId="310" applyNumberFormat="1" applyFont="1" applyFill="1" applyBorder="1" applyAlignment="1">
      <alignment horizontal="right" vertical="center"/>
    </xf>
    <xf numFmtId="4" fontId="233" fillId="27" borderId="38" xfId="310" applyNumberFormat="1" applyFont="1" applyFill="1" applyBorder="1" applyAlignment="1">
      <alignment horizontal="right" vertical="center"/>
    </xf>
    <xf numFmtId="0" fontId="135" fillId="0" borderId="40" xfId="310" applyFont="1" applyBorder="1" applyAlignment="1">
      <alignment horizontal="left" vertical="center"/>
    </xf>
    <xf numFmtId="4" fontId="208" fillId="0" borderId="40" xfId="310" applyNumberFormat="1" applyFont="1" applyBorder="1" applyAlignment="1">
      <alignment vertical="center"/>
    </xf>
    <xf numFmtId="4" fontId="216" fillId="0" borderId="40" xfId="310" applyNumberFormat="1" applyFont="1" applyBorder="1" applyAlignment="1">
      <alignment horizontal="center" vertical="center"/>
    </xf>
    <xf numFmtId="4" fontId="216" fillId="0" borderId="40" xfId="251" applyNumberFormat="1" applyFont="1" applyFill="1" applyBorder="1" applyAlignment="1">
      <alignment horizontal="right" vertical="center"/>
    </xf>
    <xf numFmtId="4" fontId="72" fillId="0" borderId="0" xfId="310" applyNumberFormat="1" applyFont="1" applyAlignment="1">
      <alignment horizontal="right" vertical="center"/>
    </xf>
    <xf numFmtId="4" fontId="208" fillId="28" borderId="40" xfId="310" applyNumberFormat="1" applyFont="1" applyFill="1" applyBorder="1" applyAlignment="1">
      <alignment vertical="center"/>
    </xf>
    <xf numFmtId="4" fontId="34" fillId="28" borderId="40" xfId="310" applyNumberFormat="1" applyFont="1" applyFill="1" applyBorder="1" applyAlignment="1">
      <alignment horizontal="center" vertical="center"/>
    </xf>
    <xf numFmtId="4" fontId="34" fillId="28" borderId="40" xfId="251" applyNumberFormat="1" applyFont="1" applyFill="1" applyBorder="1" applyAlignment="1">
      <alignment horizontal="center" vertical="center"/>
    </xf>
    <xf numFmtId="4" fontId="231" fillId="29" borderId="39" xfId="310" applyNumberFormat="1" applyFont="1" applyFill="1" applyBorder="1" applyAlignment="1">
      <alignment horizontal="right" vertical="center"/>
    </xf>
    <xf numFmtId="4" fontId="231" fillId="29" borderId="38" xfId="310" applyNumberFormat="1" applyFont="1" applyFill="1" applyBorder="1" applyAlignment="1">
      <alignment horizontal="right" vertical="center"/>
    </xf>
    <xf numFmtId="0" fontId="278" fillId="0" borderId="0" xfId="0" applyFont="1" applyAlignment="1">
      <alignment horizontal="center" vertical="center"/>
    </xf>
    <xf numFmtId="0" fontId="279" fillId="0" borderId="0" xfId="0" applyFont="1" applyAlignment="1">
      <alignment vertical="center" wrapText="1"/>
    </xf>
    <xf numFmtId="0" fontId="279" fillId="0" borderId="0" xfId="0" applyFont="1" applyAlignment="1">
      <alignment horizontal="center" vertical="center"/>
    </xf>
    <xf numFmtId="0" fontId="279" fillId="0" borderId="0" xfId="0" applyFont="1" applyAlignment="1">
      <alignment vertical="center"/>
    </xf>
    <xf numFmtId="14" fontId="280" fillId="0" borderId="0" xfId="0" applyNumberFormat="1" applyFont="1" applyAlignment="1">
      <alignment horizontal="center" vertical="center"/>
    </xf>
    <xf numFmtId="0" fontId="281" fillId="0" borderId="0" xfId="0" applyFont="1" applyAlignment="1">
      <alignment vertical="center"/>
    </xf>
    <xf numFmtId="0" fontId="282" fillId="0" borderId="0" xfId="0" applyFont="1" applyAlignment="1">
      <alignment vertical="center"/>
    </xf>
    <xf numFmtId="0" fontId="282" fillId="0" borderId="0" xfId="0" applyFont="1" applyAlignment="1">
      <alignment horizontal="center"/>
    </xf>
    <xf numFmtId="0" fontId="280" fillId="0" borderId="0" xfId="0" applyFont="1" applyAlignment="1">
      <alignment horizontal="center" vertical="center" wrapText="1"/>
    </xf>
    <xf numFmtId="167" fontId="283" fillId="0" borderId="0" xfId="0" applyNumberFormat="1" applyFont="1" applyAlignment="1">
      <alignment horizontal="center" vertical="center" wrapText="1"/>
    </xf>
    <xf numFmtId="0" fontId="281" fillId="0" borderId="0" xfId="0" applyFont="1" applyAlignment="1">
      <alignment horizontal="center" vertical="center"/>
    </xf>
    <xf numFmtId="0" fontId="282" fillId="0" borderId="0" xfId="0" applyFont="1" applyAlignment="1">
      <alignment horizontal="center" vertical="center"/>
    </xf>
    <xf numFmtId="0" fontId="282" fillId="0" borderId="0" xfId="0" applyFont="1" applyAlignment="1">
      <alignment horizontal="center" wrapText="1"/>
    </xf>
    <xf numFmtId="0" fontId="285" fillId="108" borderId="40" xfId="0" applyFont="1" applyFill="1" applyBorder="1" applyAlignment="1">
      <alignment horizontal="center" vertical="center"/>
    </xf>
    <xf numFmtId="0" fontId="285" fillId="108" borderId="40" xfId="0" applyFont="1" applyFill="1" applyBorder="1" applyAlignment="1">
      <alignment horizontal="center" vertical="center" wrapText="1"/>
    </xf>
    <xf numFmtId="0" fontId="285" fillId="108" borderId="39" xfId="0" applyFont="1" applyFill="1" applyBorder="1" applyAlignment="1">
      <alignment horizontal="center" vertical="center" wrapText="1"/>
    </xf>
    <xf numFmtId="0" fontId="286" fillId="0" borderId="0" xfId="0" applyFont="1" applyAlignment="1">
      <alignment horizontal="center" vertical="center"/>
    </xf>
    <xf numFmtId="0" fontId="282" fillId="90" borderId="40" xfId="0" applyFont="1" applyFill="1" applyBorder="1" applyAlignment="1">
      <alignment horizontal="center"/>
    </xf>
    <xf numFmtId="0" fontId="282" fillId="90" borderId="40" xfId="0" applyFont="1" applyFill="1" applyBorder="1" applyAlignment="1">
      <alignment wrapText="1"/>
    </xf>
    <xf numFmtId="10" fontId="281" fillId="90" borderId="40" xfId="0" applyNumberFormat="1" applyFont="1" applyFill="1" applyBorder="1" applyAlignment="1">
      <alignment horizontal="center"/>
    </xf>
    <xf numFmtId="167" fontId="281" fillId="90" borderId="40" xfId="0" applyNumberFormat="1" applyFont="1" applyFill="1" applyBorder="1"/>
    <xf numFmtId="0" fontId="281" fillId="90" borderId="40" xfId="0" applyFont="1" applyFill="1" applyBorder="1"/>
    <xf numFmtId="0" fontId="282" fillId="90" borderId="40" xfId="0" applyFont="1" applyFill="1" applyBorder="1"/>
    <xf numFmtId="0" fontId="282" fillId="90" borderId="39" xfId="0" applyFont="1" applyFill="1" applyBorder="1" applyAlignment="1">
      <alignment horizontal="center"/>
    </xf>
    <xf numFmtId="0" fontId="279" fillId="0" borderId="0" xfId="0" applyFont="1"/>
    <xf numFmtId="0" fontId="282" fillId="0" borderId="40" xfId="0" applyFont="1" applyBorder="1" applyAlignment="1">
      <alignment horizontal="center" vertical="center"/>
    </xf>
    <xf numFmtId="0" fontId="282" fillId="0" borderId="40" xfId="0" applyFont="1" applyBorder="1" applyAlignment="1">
      <alignment horizontal="center" vertical="center" wrapText="1"/>
    </xf>
    <xf numFmtId="0" fontId="282" fillId="90" borderId="40" xfId="0" applyFont="1" applyFill="1" applyBorder="1" applyAlignment="1">
      <alignment horizontal="center" vertical="center"/>
    </xf>
    <xf numFmtId="10" fontId="282" fillId="90" borderId="40" xfId="0" applyNumberFormat="1" applyFont="1" applyFill="1" applyBorder="1" applyAlignment="1">
      <alignment horizontal="center" vertical="center"/>
    </xf>
    <xf numFmtId="10" fontId="281" fillId="0" borderId="40" xfId="0" applyNumberFormat="1" applyFont="1" applyBorder="1" applyAlignment="1">
      <alignment horizontal="center" vertical="center"/>
    </xf>
    <xf numFmtId="0" fontId="281" fillId="0" borderId="40" xfId="0" applyFont="1" applyBorder="1" applyAlignment="1">
      <alignment horizontal="center" vertical="center"/>
    </xf>
    <xf numFmtId="0" fontId="282" fillId="0" borderId="39" xfId="0" applyFont="1" applyBorder="1" applyAlignment="1">
      <alignment horizontal="center" vertical="center"/>
    </xf>
    <xf numFmtId="17" fontId="282" fillId="0" borderId="40" xfId="0" applyNumberFormat="1" applyFont="1" applyBorder="1" applyAlignment="1">
      <alignment horizontal="center" vertical="center"/>
    </xf>
    <xf numFmtId="0" fontId="287" fillId="0" borderId="0" xfId="0" applyFont="1" applyAlignment="1">
      <alignment horizontal="center" vertical="center"/>
    </xf>
    <xf numFmtId="167" fontId="282" fillId="90" borderId="40" xfId="0" applyNumberFormat="1" applyFont="1" applyFill="1" applyBorder="1" applyAlignment="1">
      <alignment horizontal="center" vertical="center"/>
    </xf>
    <xf numFmtId="167" fontId="282" fillId="0" borderId="40" xfId="0" applyNumberFormat="1" applyFont="1" applyBorder="1" applyAlignment="1">
      <alignment horizontal="center" vertical="center"/>
    </xf>
    <xf numFmtId="0" fontId="282" fillId="0" borderId="39" xfId="0" quotePrefix="1" applyFont="1" applyBorder="1" applyAlignment="1">
      <alignment horizontal="center" vertical="center"/>
    </xf>
    <xf numFmtId="17" fontId="287" fillId="0" borderId="0" xfId="0" applyNumberFormat="1" applyFont="1" applyAlignment="1">
      <alignment horizontal="center" vertical="center"/>
    </xf>
    <xf numFmtId="10" fontId="281" fillId="90" borderId="40" xfId="0" applyNumberFormat="1" applyFont="1" applyFill="1" applyBorder="1" applyAlignment="1">
      <alignment horizontal="center" vertical="center"/>
    </xf>
    <xf numFmtId="167" fontId="281" fillId="90" borderId="40" xfId="0" applyNumberFormat="1" applyFont="1" applyFill="1" applyBorder="1" applyAlignment="1">
      <alignment horizontal="center" vertical="center"/>
    </xf>
    <xf numFmtId="17" fontId="282" fillId="0" borderId="39" xfId="0" applyNumberFormat="1" applyFont="1" applyBorder="1" applyAlignment="1">
      <alignment horizontal="center" vertical="center"/>
    </xf>
    <xf numFmtId="0" fontId="281" fillId="90" borderId="40" xfId="0" applyFont="1" applyFill="1" applyBorder="1" applyAlignment="1">
      <alignment horizontal="center" vertical="center" wrapText="1"/>
    </xf>
    <xf numFmtId="16" fontId="282" fillId="0" borderId="40" xfId="0" applyNumberFormat="1" applyFont="1" applyBorder="1" applyAlignment="1">
      <alignment horizontal="center" vertical="center"/>
    </xf>
    <xf numFmtId="0" fontId="287" fillId="0" borderId="0" xfId="0" applyFont="1" applyAlignment="1">
      <alignment horizontal="center" vertical="center" wrapText="1"/>
    </xf>
    <xf numFmtId="10" fontId="287" fillId="0" borderId="0" xfId="0" applyNumberFormat="1" applyFont="1" applyAlignment="1">
      <alignment horizontal="center" vertical="center" wrapText="1"/>
    </xf>
    <xf numFmtId="10" fontId="288" fillId="0" borderId="0" xfId="0" applyNumberFormat="1" applyFont="1" applyAlignment="1">
      <alignment horizontal="center" vertical="center"/>
    </xf>
    <xf numFmtId="167" fontId="288" fillId="0" borderId="0" xfId="0" applyNumberFormat="1" applyFont="1" applyAlignment="1">
      <alignment horizontal="center" vertical="center"/>
    </xf>
    <xf numFmtId="10" fontId="281" fillId="0" borderId="0" xfId="0" applyNumberFormat="1" applyFont="1" applyAlignment="1">
      <alignment horizontal="center" vertical="center"/>
    </xf>
    <xf numFmtId="10" fontId="282" fillId="0" borderId="0" xfId="0" applyNumberFormat="1" applyFont="1" applyAlignment="1">
      <alignment horizontal="center" vertical="center"/>
    </xf>
    <xf numFmtId="10" fontId="287" fillId="0" borderId="0" xfId="0" applyNumberFormat="1" applyFont="1" applyAlignment="1">
      <alignment horizontal="center" vertical="center"/>
    </xf>
    <xf numFmtId="0" fontId="279" fillId="0" borderId="0" xfId="0" applyFont="1" applyAlignment="1">
      <alignment horizontal="center"/>
    </xf>
    <xf numFmtId="0" fontId="279" fillId="0" borderId="0" xfId="0" applyFont="1" applyAlignment="1">
      <alignment wrapText="1"/>
    </xf>
    <xf numFmtId="10" fontId="279" fillId="0" borderId="0" xfId="0" applyNumberFormat="1" applyFont="1" applyAlignment="1">
      <alignment horizontal="center"/>
    </xf>
    <xf numFmtId="0" fontId="281" fillId="0" borderId="0" xfId="0" applyFont="1"/>
    <xf numFmtId="0" fontId="282" fillId="0" borderId="0" xfId="0" applyFont="1"/>
    <xf numFmtId="10" fontId="282" fillId="0" borderId="0" xfId="0" applyNumberFormat="1" applyFont="1" applyAlignment="1">
      <alignment horizontal="center"/>
    </xf>
    <xf numFmtId="0" fontId="11" fillId="0" borderId="0" xfId="310" applyFont="1" applyAlignment="1">
      <alignment horizontal="center" vertical="center" wrapText="1"/>
    </xf>
    <xf numFmtId="0" fontId="238" fillId="87" borderId="13" xfId="310" applyFont="1" applyFill="1" applyBorder="1" applyAlignment="1">
      <alignment horizontal="center" vertical="center"/>
    </xf>
    <xf numFmtId="0" fontId="141" fillId="87" borderId="13" xfId="310" applyFont="1" applyFill="1" applyBorder="1" applyAlignment="1">
      <alignment vertical="center" wrapText="1"/>
    </xf>
    <xf numFmtId="4" fontId="154" fillId="0" borderId="69" xfId="310" applyNumberFormat="1" applyFont="1" applyBorder="1" applyAlignment="1">
      <alignment horizontal="center" vertical="center" wrapText="1"/>
    </xf>
    <xf numFmtId="4" fontId="154" fillId="27" borderId="57" xfId="310" applyNumberFormat="1" applyFont="1" applyFill="1" applyBorder="1" applyAlignment="1">
      <alignment horizontal="right" vertical="center"/>
    </xf>
    <xf numFmtId="0" fontId="224" fillId="27" borderId="64" xfId="310" applyFont="1" applyFill="1" applyBorder="1" applyAlignment="1">
      <alignment horizontal="right" vertical="center" wrapText="1"/>
    </xf>
    <xf numFmtId="4" fontId="202" fillId="27" borderId="64" xfId="310" applyNumberFormat="1" applyFont="1" applyFill="1" applyBorder="1" applyAlignment="1">
      <alignment vertical="center" wrapText="1"/>
    </xf>
    <xf numFmtId="4" fontId="202" fillId="27" borderId="65" xfId="310" applyNumberFormat="1" applyFont="1" applyFill="1" applyBorder="1" applyAlignment="1">
      <alignment horizontal="center" vertical="center"/>
    </xf>
    <xf numFmtId="4" fontId="202" fillId="27" borderId="63" xfId="310" applyNumberFormat="1" applyFont="1" applyFill="1" applyBorder="1" applyAlignment="1">
      <alignment horizontal="left" vertical="center"/>
    </xf>
    <xf numFmtId="4" fontId="215" fillId="27" borderId="125" xfId="310" applyNumberFormat="1" applyFont="1" applyFill="1" applyBorder="1" applyAlignment="1">
      <alignment horizontal="center" vertical="center"/>
    </xf>
    <xf numFmtId="4" fontId="213" fillId="27" borderId="56" xfId="310" applyNumberFormat="1" applyFont="1" applyFill="1" applyBorder="1" applyAlignment="1">
      <alignment horizontal="center" vertical="center"/>
    </xf>
    <xf numFmtId="4" fontId="215" fillId="27" borderId="56" xfId="310" applyNumberFormat="1" applyFont="1" applyFill="1" applyBorder="1" applyAlignment="1">
      <alignment horizontal="center" vertical="center"/>
    </xf>
    <xf numFmtId="4" fontId="202" fillId="0" borderId="55" xfId="310" applyNumberFormat="1" applyFont="1" applyBorder="1" applyAlignment="1">
      <alignment horizontal="center" vertical="center"/>
    </xf>
    <xf numFmtId="0" fontId="214" fillId="27" borderId="64" xfId="310" applyFont="1" applyFill="1" applyBorder="1" applyAlignment="1">
      <alignment horizontal="right" vertical="center" wrapText="1"/>
    </xf>
    <xf numFmtId="4" fontId="154" fillId="0" borderId="69" xfId="310" applyNumberFormat="1" applyFont="1" applyBorder="1" applyAlignment="1">
      <alignment horizontal="center" vertical="center"/>
    </xf>
    <xf numFmtId="4" fontId="202" fillId="0" borderId="69" xfId="310" applyNumberFormat="1" applyFont="1" applyBorder="1" applyAlignment="1">
      <alignment horizontal="center" vertical="center"/>
    </xf>
    <xf numFmtId="4" fontId="215" fillId="27" borderId="65" xfId="310" applyNumberFormat="1" applyFont="1" applyFill="1" applyBorder="1" applyAlignment="1">
      <alignment horizontal="center" vertical="center"/>
    </xf>
    <xf numFmtId="4" fontId="213" fillId="27" borderId="67" xfId="310" applyNumberFormat="1" applyFont="1" applyFill="1" applyBorder="1" applyAlignment="1">
      <alignment horizontal="center" vertical="center"/>
    </xf>
    <xf numFmtId="4" fontId="213" fillId="0" borderId="67" xfId="310" applyNumberFormat="1" applyFont="1" applyBorder="1" applyAlignment="1">
      <alignment vertical="center"/>
    </xf>
    <xf numFmtId="4" fontId="215" fillId="27" borderId="67" xfId="310" applyNumberFormat="1" applyFont="1" applyFill="1" applyBorder="1" applyAlignment="1">
      <alignment horizontal="center" vertical="center"/>
    </xf>
    <xf numFmtId="4" fontId="213" fillId="0" borderId="68" xfId="310" applyNumberFormat="1" applyFont="1" applyBorder="1" applyAlignment="1">
      <alignment vertical="center"/>
    </xf>
    <xf numFmtId="4" fontId="202" fillId="0" borderId="66" xfId="310" applyNumberFormat="1" applyFont="1" applyBorder="1" applyAlignment="1">
      <alignment horizontal="center" vertical="center"/>
    </xf>
    <xf numFmtId="4" fontId="213" fillId="0" borderId="67" xfId="310" applyNumberFormat="1" applyFont="1" applyBorder="1" applyAlignment="1">
      <alignment horizontal="center" vertical="center"/>
    </xf>
    <xf numFmtId="4" fontId="213" fillId="0" borderId="67" xfId="310" applyNumberFormat="1" applyFont="1" applyBorder="1" applyAlignment="1">
      <alignment horizontal="right" vertical="center"/>
    </xf>
    <xf numFmtId="0" fontId="142" fillId="27" borderId="64" xfId="310" applyFont="1" applyFill="1" applyBorder="1" applyAlignment="1">
      <alignment horizontal="left" vertical="center" wrapText="1"/>
    </xf>
    <xf numFmtId="4" fontId="215" fillId="27" borderId="62" xfId="310" applyNumberFormat="1" applyFont="1" applyFill="1" applyBorder="1" applyAlignment="1">
      <alignment horizontal="center" vertical="center"/>
    </xf>
    <xf numFmtId="4" fontId="202" fillId="27" borderId="57" xfId="310" applyNumberFormat="1" applyFont="1" applyFill="1" applyBorder="1" applyAlignment="1">
      <alignment horizontal="right" vertical="center"/>
    </xf>
    <xf numFmtId="0" fontId="118" fillId="0" borderId="93" xfId="310" applyFont="1" applyBorder="1" applyAlignment="1">
      <alignment horizontal="left" vertical="center" wrapText="1"/>
    </xf>
    <xf numFmtId="4" fontId="202" fillId="0" borderId="93" xfId="310" applyNumberFormat="1" applyFont="1" applyBorder="1" applyAlignment="1">
      <alignment vertical="center" wrapText="1"/>
    </xf>
    <xf numFmtId="4" fontId="202" fillId="0" borderId="22" xfId="310" applyNumberFormat="1" applyFont="1" applyBorder="1" applyAlignment="1">
      <alignment horizontal="center" vertical="center"/>
    </xf>
    <xf numFmtId="4" fontId="202" fillId="0" borderId="83" xfId="310" applyNumberFormat="1" applyFont="1" applyBorder="1" applyAlignment="1">
      <alignment horizontal="left" vertical="center"/>
    </xf>
    <xf numFmtId="4" fontId="202" fillId="0" borderId="98" xfId="310" applyNumberFormat="1" applyFont="1" applyBorder="1" applyAlignment="1">
      <alignment horizontal="center" vertical="center"/>
    </xf>
    <xf numFmtId="0" fontId="23" fillId="0" borderId="0" xfId="310" applyFont="1" applyAlignment="1">
      <alignment vertical="center"/>
    </xf>
    <xf numFmtId="0" fontId="162" fillId="0" borderId="0" xfId="38640" applyFont="1" applyAlignment="1" applyProtection="1">
      <alignment horizontal="right"/>
      <protection locked="0"/>
    </xf>
    <xf numFmtId="0" fontId="162" fillId="0" borderId="0" xfId="38640" applyFont="1" applyAlignment="1" applyProtection="1">
      <alignment horizontal="left"/>
      <protection locked="0"/>
    </xf>
    <xf numFmtId="3" fontId="141" fillId="0" borderId="0" xfId="310" applyNumberFormat="1" applyFont="1" applyAlignment="1">
      <alignment vertical="center" wrapText="1"/>
    </xf>
    <xf numFmtId="0" fontId="163" fillId="0" borderId="0" xfId="38640" applyFont="1" applyAlignment="1" applyProtection="1">
      <alignment horizontal="left" vertical="top"/>
      <protection locked="0"/>
    </xf>
    <xf numFmtId="0" fontId="163" fillId="0" borderId="0" xfId="38640" applyFont="1" applyAlignment="1" applyProtection="1">
      <alignment horizontal="left" vertical="top" wrapText="1"/>
      <protection locked="0"/>
    </xf>
    <xf numFmtId="0" fontId="162" fillId="0" borderId="0" xfId="38640" applyFont="1" applyAlignment="1" applyProtection="1">
      <alignment horizontal="left" vertical="center"/>
      <protection locked="0"/>
    </xf>
    <xf numFmtId="14" fontId="118" fillId="0" borderId="0" xfId="310" applyNumberFormat="1" applyFont="1" applyAlignment="1">
      <alignment vertical="center" wrapText="1"/>
    </xf>
    <xf numFmtId="0" fontId="118" fillId="0" borderId="0" xfId="310" applyFont="1" applyAlignment="1">
      <alignment vertical="center" wrapText="1"/>
    </xf>
    <xf numFmtId="3" fontId="23" fillId="0" borderId="0" xfId="310" applyNumberFormat="1" applyFont="1" applyAlignment="1">
      <alignment vertical="center"/>
    </xf>
    <xf numFmtId="4" fontId="4" fillId="0" borderId="0" xfId="310" applyNumberFormat="1"/>
    <xf numFmtId="0" fontId="289" fillId="0" borderId="0" xfId="310" applyFont="1"/>
    <xf numFmtId="10" fontId="289" fillId="0" borderId="0" xfId="310" applyNumberFormat="1" applyFont="1"/>
    <xf numFmtId="10" fontId="289" fillId="0" borderId="0" xfId="310" applyNumberFormat="1" applyFont="1" applyAlignment="1">
      <alignment vertical="center"/>
    </xf>
    <xf numFmtId="10" fontId="289" fillId="0" borderId="0" xfId="310" applyNumberFormat="1" applyFont="1" applyAlignment="1">
      <alignment horizontal="center" vertical="center"/>
    </xf>
    <xf numFmtId="0" fontId="30" fillId="0" borderId="38" xfId="310" applyFont="1" applyBorder="1" applyAlignment="1">
      <alignment vertical="center"/>
    </xf>
    <xf numFmtId="0" fontId="187" fillId="0" borderId="38" xfId="310" applyFont="1" applyBorder="1" applyAlignment="1">
      <alignment vertical="center"/>
    </xf>
    <xf numFmtId="0" fontId="158" fillId="0" borderId="38" xfId="310" applyFont="1" applyBorder="1" applyAlignment="1">
      <alignment vertical="center"/>
    </xf>
    <xf numFmtId="0" fontId="11" fillId="0" borderId="38" xfId="310" applyFont="1" applyBorder="1"/>
    <xf numFmtId="0" fontId="11" fillId="0" borderId="38" xfId="310" applyFont="1" applyBorder="1" applyAlignment="1">
      <alignment horizontal="center"/>
    </xf>
    <xf numFmtId="10" fontId="5" fillId="0" borderId="0" xfId="310" applyNumberFormat="1" applyFont="1"/>
    <xf numFmtId="10" fontId="5" fillId="0" borderId="0" xfId="310" applyNumberFormat="1" applyFont="1" applyAlignment="1">
      <alignment vertical="center"/>
    </xf>
    <xf numFmtId="4" fontId="5" fillId="0" borderId="0" xfId="310" applyNumberFormat="1" applyFont="1" applyAlignment="1">
      <alignment vertical="center"/>
    </xf>
    <xf numFmtId="10" fontId="5" fillId="0" borderId="0" xfId="310" applyNumberFormat="1" applyFont="1" applyAlignment="1">
      <alignment horizontal="center" vertical="center"/>
    </xf>
    <xf numFmtId="4" fontId="12" fillId="0" borderId="0" xfId="310" applyNumberFormat="1" applyFont="1" applyAlignment="1">
      <alignment horizontal="center" vertical="center" wrapText="1"/>
    </xf>
    <xf numFmtId="4" fontId="29" fillId="0" borderId="0" xfId="310" applyNumberFormat="1" applyFont="1" applyAlignment="1">
      <alignment vertical="center"/>
    </xf>
    <xf numFmtId="166" fontId="156" fillId="0" borderId="0" xfId="310" applyNumberFormat="1" applyFont="1" applyAlignment="1">
      <alignment vertical="center"/>
    </xf>
    <xf numFmtId="4" fontId="30" fillId="0" borderId="0" xfId="310" applyNumberFormat="1" applyFont="1" applyAlignment="1">
      <alignment vertical="center"/>
    </xf>
    <xf numFmtId="4" fontId="25" fillId="0" borderId="0" xfId="310" applyNumberFormat="1" applyFont="1" applyAlignment="1">
      <alignment vertical="center"/>
    </xf>
    <xf numFmtId="4" fontId="70" fillId="0" borderId="0" xfId="310" applyNumberFormat="1" applyFont="1" applyAlignment="1">
      <alignment vertical="center"/>
    </xf>
    <xf numFmtId="4" fontId="156" fillId="0" borderId="0" xfId="310" applyNumberFormat="1" applyFont="1" applyAlignment="1">
      <alignment vertical="center"/>
    </xf>
    <xf numFmtId="166" fontId="189" fillId="0" borderId="0" xfId="310" applyNumberFormat="1" applyFont="1" applyAlignment="1">
      <alignment vertical="center"/>
    </xf>
    <xf numFmtId="4" fontId="187" fillId="0" borderId="0" xfId="310" applyNumberFormat="1" applyFont="1" applyAlignment="1">
      <alignment vertical="center"/>
    </xf>
    <xf numFmtId="0" fontId="187" fillId="0" borderId="0" xfId="310" applyFont="1" applyAlignment="1">
      <alignment vertical="center"/>
    </xf>
    <xf numFmtId="4" fontId="188" fillId="0" borderId="0" xfId="310" applyNumberFormat="1" applyFont="1" applyAlignment="1">
      <alignment vertical="center"/>
    </xf>
    <xf numFmtId="0" fontId="70" fillId="0" borderId="0" xfId="310" applyFont="1" applyAlignment="1">
      <alignment vertical="center"/>
    </xf>
    <xf numFmtId="0" fontId="156" fillId="0" borderId="0" xfId="310" applyFont="1" applyAlignment="1">
      <alignment vertical="center"/>
    </xf>
    <xf numFmtId="0" fontId="25" fillId="0" borderId="0" xfId="310" applyFont="1" applyAlignment="1">
      <alignment vertical="center"/>
    </xf>
    <xf numFmtId="166" fontId="160" fillId="0" borderId="0" xfId="310" applyNumberFormat="1" applyFont="1" applyAlignment="1">
      <alignment vertical="center"/>
    </xf>
    <xf numFmtId="166" fontId="161" fillId="0" borderId="0" xfId="310" applyNumberFormat="1" applyFont="1" applyAlignment="1">
      <alignment vertical="center"/>
    </xf>
    <xf numFmtId="4" fontId="158" fillId="0" borderId="0" xfId="310" applyNumberFormat="1" applyFont="1" applyAlignment="1">
      <alignment vertical="center"/>
    </xf>
    <xf numFmtId="0" fontId="158" fillId="0" borderId="0" xfId="310" applyFont="1" applyAlignment="1">
      <alignment vertical="center"/>
    </xf>
    <xf numFmtId="4" fontId="159" fillId="0" borderId="0" xfId="310" applyNumberFormat="1" applyFont="1" applyAlignment="1">
      <alignment vertical="center"/>
    </xf>
    <xf numFmtId="4" fontId="9" fillId="0" borderId="0" xfId="310" applyNumberFormat="1" applyFont="1" applyAlignment="1">
      <alignment vertical="center"/>
    </xf>
    <xf numFmtId="4" fontId="71" fillId="0" borderId="0" xfId="310" applyNumberFormat="1" applyFont="1" applyAlignment="1">
      <alignment vertical="center"/>
    </xf>
    <xf numFmtId="0" fontId="18" fillId="0" borderId="0" xfId="310" applyFont="1"/>
    <xf numFmtId="166" fontId="70" fillId="0" borderId="0" xfId="310" applyNumberFormat="1" applyFont="1" applyAlignment="1">
      <alignment horizontal="center" vertical="center"/>
    </xf>
    <xf numFmtId="0" fontId="18" fillId="0" borderId="0" xfId="310" applyFont="1" applyAlignment="1">
      <alignment horizontal="center"/>
    </xf>
    <xf numFmtId="4" fontId="30" fillId="0" borderId="0" xfId="310" applyNumberFormat="1" applyFont="1" applyAlignment="1">
      <alignment horizontal="center" vertical="center"/>
    </xf>
    <xf numFmtId="4" fontId="137" fillId="0" borderId="0" xfId="310" applyNumberFormat="1" applyFont="1"/>
    <xf numFmtId="4" fontId="18" fillId="0" borderId="0" xfId="310" applyNumberFormat="1" applyFont="1"/>
    <xf numFmtId="4" fontId="22" fillId="0" borderId="0" xfId="310" applyNumberFormat="1" applyFont="1" applyAlignment="1">
      <alignment vertical="center"/>
    </xf>
    <xf numFmtId="4" fontId="36" fillId="0" borderId="0" xfId="310" applyNumberFormat="1" applyFont="1" applyAlignment="1">
      <alignment vertical="center"/>
    </xf>
    <xf numFmtId="4" fontId="11" fillId="0" borderId="0" xfId="310" applyNumberFormat="1" applyFont="1" applyAlignment="1">
      <alignment vertical="top"/>
    </xf>
    <xf numFmtId="4" fontId="131" fillId="0" borderId="0" xfId="310" applyNumberFormat="1" applyFont="1" applyAlignment="1">
      <alignment vertical="center"/>
    </xf>
    <xf numFmtId="0" fontId="45" fillId="0" borderId="40" xfId="24462" applyBorder="1" applyAlignment="1">
      <alignment vertical="center" wrapText="1"/>
    </xf>
    <xf numFmtId="4" fontId="213" fillId="27" borderId="40" xfId="310" applyNumberFormat="1" applyFont="1" applyFill="1" applyBorder="1" applyAlignment="1">
      <alignment horizontal="right"/>
    </xf>
    <xf numFmtId="4" fontId="213" fillId="0" borderId="40" xfId="310" applyNumberFormat="1" applyFont="1" applyBorder="1" applyAlignment="1">
      <alignment horizontal="right"/>
    </xf>
    <xf numFmtId="0" fontId="45" fillId="31" borderId="40" xfId="24462" applyFill="1" applyBorder="1" applyAlignment="1">
      <alignment vertical="center"/>
    </xf>
    <xf numFmtId="0" fontId="45" fillId="31" borderId="40" xfId="24462" applyFill="1" applyBorder="1" applyAlignment="1">
      <alignment vertical="center" wrapText="1"/>
    </xf>
    <xf numFmtId="0" fontId="140" fillId="0" borderId="40" xfId="0" applyFont="1" applyBorder="1" applyAlignment="1">
      <alignment horizontal="left" vertical="center" wrapText="1"/>
    </xf>
    <xf numFmtId="49" fontId="209" fillId="0" borderId="40" xfId="310" applyNumberFormat="1" applyFont="1" applyBorder="1" applyAlignment="1">
      <alignment horizontal="left" vertical="center"/>
    </xf>
    <xf numFmtId="0" fontId="202" fillId="0" borderId="40" xfId="310" applyFont="1" applyBorder="1" applyAlignment="1">
      <alignment horizontal="left"/>
    </xf>
    <xf numFmtId="0" fontId="129" fillId="29" borderId="40" xfId="310" applyFont="1" applyFill="1" applyBorder="1" applyAlignment="1">
      <alignment horizontal="left"/>
    </xf>
    <xf numFmtId="0" fontId="223" fillId="29" borderId="40" xfId="0" applyFont="1" applyFill="1" applyBorder="1" applyAlignment="1">
      <alignment horizontal="left" wrapText="1"/>
    </xf>
    <xf numFmtId="0" fontId="34" fillId="27" borderId="40" xfId="310" applyFont="1" applyFill="1" applyBorder="1" applyAlignment="1">
      <alignment horizontal="left"/>
    </xf>
    <xf numFmtId="0" fontId="164" fillId="29" borderId="36" xfId="38686" applyFont="1" applyFill="1" applyBorder="1" applyAlignment="1">
      <alignment horizontal="left"/>
    </xf>
    <xf numFmtId="0" fontId="164" fillId="29" borderId="40" xfId="38686" applyFont="1" applyFill="1" applyBorder="1" applyAlignment="1">
      <alignment horizontal="left"/>
    </xf>
    <xf numFmtId="0" fontId="290" fillId="27" borderId="40" xfId="310" applyFont="1" applyFill="1" applyBorder="1" applyAlignment="1">
      <alignment horizontal="left"/>
    </xf>
    <xf numFmtId="0" fontId="290" fillId="27" borderId="40" xfId="310" applyFont="1" applyFill="1" applyBorder="1" applyAlignment="1">
      <alignment horizontal="center" vertical="center"/>
    </xf>
    <xf numFmtId="166" fontId="290" fillId="27" borderId="40" xfId="310" applyNumberFormat="1" applyFont="1" applyFill="1" applyBorder="1" applyAlignment="1">
      <alignment horizontal="right" vertical="center"/>
    </xf>
    <xf numFmtId="166" fontId="34" fillId="27" borderId="40" xfId="310" applyNumberFormat="1" applyFont="1" applyFill="1" applyBorder="1" applyAlignment="1">
      <alignment horizontal="right" vertical="center"/>
    </xf>
    <xf numFmtId="0" fontId="34" fillId="29" borderId="40" xfId="310" applyFont="1" applyFill="1" applyBorder="1" applyAlignment="1">
      <alignment horizontal="center" vertical="center"/>
    </xf>
    <xf numFmtId="0" fontId="34" fillId="27" borderId="40" xfId="310" applyFont="1" applyFill="1" applyBorder="1" applyAlignment="1">
      <alignment horizontal="center" vertical="center"/>
    </xf>
    <xf numFmtId="16" fontId="135" fillId="0" borderId="40" xfId="310" quotePrefix="1" applyNumberFormat="1" applyFont="1" applyBorder="1" applyAlignment="1">
      <alignment vertical="center"/>
    </xf>
    <xf numFmtId="16" fontId="45" fillId="0" borderId="40" xfId="310" quotePrefix="1" applyNumberFormat="1" applyFont="1" applyBorder="1" applyAlignment="1">
      <alignment horizontal="left" vertical="center" indent="1"/>
    </xf>
    <xf numFmtId="16" fontId="45" fillId="0" borderId="40" xfId="310" quotePrefix="1" applyNumberFormat="1" applyFont="1" applyBorder="1" applyAlignment="1">
      <alignment horizontal="center" vertical="center"/>
    </xf>
    <xf numFmtId="0" fontId="141" fillId="0" borderId="40" xfId="310" quotePrefix="1" applyFont="1" applyBorder="1" applyAlignment="1">
      <alignment horizontal="left" vertical="center" wrapText="1"/>
    </xf>
    <xf numFmtId="4" fontId="213" fillId="90" borderId="40" xfId="310" applyNumberFormat="1" applyFont="1" applyFill="1" applyBorder="1" applyAlignment="1">
      <alignment horizontal="right"/>
    </xf>
    <xf numFmtId="4" fontId="213" fillId="29" borderId="40" xfId="310" applyNumberFormat="1" applyFont="1" applyFill="1" applyBorder="1" applyAlignment="1">
      <alignment horizontal="right"/>
    </xf>
    <xf numFmtId="4" fontId="214" fillId="90" borderId="40" xfId="310" applyNumberFormat="1" applyFont="1" applyFill="1" applyBorder="1" applyAlignment="1">
      <alignment horizontal="right"/>
    </xf>
    <xf numFmtId="4" fontId="291" fillId="90" borderId="40" xfId="310" applyNumberFormat="1" applyFont="1" applyFill="1" applyBorder="1" applyAlignment="1">
      <alignment horizontal="right"/>
    </xf>
    <xf numFmtId="4" fontId="214" fillId="29" borderId="40" xfId="310" applyNumberFormat="1" applyFont="1" applyFill="1" applyBorder="1" applyAlignment="1">
      <alignment horizontal="right"/>
    </xf>
    <xf numFmtId="4" fontId="291" fillId="29" borderId="40" xfId="310" applyNumberFormat="1" applyFont="1" applyFill="1" applyBorder="1" applyAlignment="1">
      <alignment horizontal="right"/>
    </xf>
    <xf numFmtId="4" fontId="214" fillId="27" borderId="40" xfId="310" applyNumberFormat="1" applyFont="1" applyFill="1" applyBorder="1" applyAlignment="1">
      <alignment horizontal="right"/>
    </xf>
    <xf numFmtId="4" fontId="214" fillId="0" borderId="40" xfId="310" applyNumberFormat="1" applyFont="1" applyBorder="1" applyAlignment="1">
      <alignment horizontal="right"/>
    </xf>
    <xf numFmtId="4" fontId="247" fillId="29" borderId="40" xfId="310" applyNumberFormat="1" applyFont="1" applyFill="1" applyBorder="1" applyAlignment="1">
      <alignment horizontal="right"/>
    </xf>
    <xf numFmtId="4" fontId="247" fillId="90" borderId="40" xfId="310" applyNumberFormat="1" applyFont="1" applyFill="1" applyBorder="1" applyAlignment="1">
      <alignment horizontal="right"/>
    </xf>
    <xf numFmtId="4" fontId="292" fillId="29" borderId="40" xfId="310" applyNumberFormat="1" applyFont="1" applyFill="1" applyBorder="1" applyAlignment="1">
      <alignment horizontal="right"/>
    </xf>
    <xf numFmtId="4" fontId="293" fillId="29" borderId="40" xfId="310" applyNumberFormat="1" applyFont="1" applyFill="1" applyBorder="1" applyAlignment="1">
      <alignment horizontal="right"/>
    </xf>
    <xf numFmtId="0" fontId="155" fillId="90" borderId="40" xfId="310" applyFont="1" applyFill="1" applyBorder="1"/>
    <xf numFmtId="0" fontId="155" fillId="29" borderId="40" xfId="310" applyFont="1" applyFill="1" applyBorder="1"/>
    <xf numFmtId="4" fontId="155" fillId="27" borderId="220" xfId="310" applyNumberFormat="1" applyFont="1" applyFill="1" applyBorder="1" applyAlignment="1">
      <alignment horizontal="right"/>
    </xf>
    <xf numFmtId="4" fontId="155" fillId="27" borderId="31" xfId="310" applyNumberFormat="1" applyFont="1" applyFill="1" applyBorder="1" applyAlignment="1">
      <alignment horizontal="right"/>
    </xf>
    <xf numFmtId="4" fontId="155" fillId="27" borderId="29" xfId="310" applyNumberFormat="1" applyFont="1" applyFill="1" applyBorder="1" applyAlignment="1">
      <alignment horizontal="right"/>
    </xf>
    <xf numFmtId="4" fontId="155" fillId="27" borderId="118" xfId="310" applyNumberFormat="1" applyFont="1" applyFill="1" applyBorder="1" applyAlignment="1">
      <alignment horizontal="right"/>
    </xf>
    <xf numFmtId="16" fontId="135" fillId="0" borderId="40" xfId="310" quotePrefix="1" applyNumberFormat="1" applyFont="1" applyBorder="1" applyAlignment="1">
      <alignment vertical="center" wrapText="1"/>
    </xf>
    <xf numFmtId="4" fontId="7" fillId="0" borderId="0" xfId="310" applyNumberFormat="1" applyFont="1" applyAlignment="1">
      <alignment horizontal="left"/>
    </xf>
    <xf numFmtId="4" fontId="8" fillId="0" borderId="0" xfId="310" applyNumberFormat="1" applyFont="1" applyAlignment="1">
      <alignment horizontal="right" vertical="center"/>
    </xf>
    <xf numFmtId="4" fontId="15" fillId="0" borderId="0" xfId="310" applyNumberFormat="1" applyFont="1" applyAlignment="1">
      <alignment horizontal="left" vertical="center"/>
    </xf>
    <xf numFmtId="4" fontId="6" fillId="0" borderId="0" xfId="310" applyNumberFormat="1" applyFont="1"/>
    <xf numFmtId="4" fontId="16" fillId="0" borderId="0" xfId="310" applyNumberFormat="1" applyFont="1" applyAlignment="1">
      <alignment horizontal="center" vertical="center"/>
    </xf>
    <xf numFmtId="4" fontId="16" fillId="0" borderId="0" xfId="310" applyNumberFormat="1" applyFont="1" applyAlignment="1">
      <alignment vertical="center"/>
    </xf>
    <xf numFmtId="4" fontId="15" fillId="31" borderId="0" xfId="310" applyNumberFormat="1" applyFont="1" applyFill="1" applyAlignment="1">
      <alignment horizontal="left" vertical="center"/>
    </xf>
    <xf numFmtId="4" fontId="8" fillId="31" borderId="0" xfId="310" applyNumberFormat="1" applyFont="1" applyFill="1" applyAlignment="1">
      <alignment horizontal="right" vertical="center"/>
    </xf>
    <xf numFmtId="4" fontId="4" fillId="31" borderId="0" xfId="310" applyNumberFormat="1" applyFill="1" applyAlignment="1">
      <alignment vertical="center"/>
    </xf>
    <xf numFmtId="4" fontId="7" fillId="31" borderId="0" xfId="310" applyNumberFormat="1" applyFont="1" applyFill="1"/>
    <xf numFmtId="4" fontId="4" fillId="0" borderId="0" xfId="310" applyNumberFormat="1" applyAlignment="1">
      <alignment horizontal="center" vertical="center" wrapText="1"/>
    </xf>
    <xf numFmtId="4" fontId="202" fillId="0" borderId="24" xfId="310" applyNumberFormat="1" applyFont="1" applyBorder="1" applyAlignment="1">
      <alignment horizontal="center" vertical="center" wrapText="1"/>
    </xf>
    <xf numFmtId="4" fontId="203" fillId="0" borderId="27" xfId="310" applyNumberFormat="1" applyFont="1" applyBorder="1" applyAlignment="1">
      <alignment horizontal="center" vertical="center" wrapText="1"/>
    </xf>
    <xf numFmtId="4" fontId="154" fillId="0" borderId="27" xfId="310" applyNumberFormat="1" applyFont="1" applyBorder="1" applyAlignment="1">
      <alignment horizontal="center" vertical="center" wrapText="1"/>
    </xf>
    <xf numFmtId="4" fontId="154" fillId="0" borderId="28" xfId="310" applyNumberFormat="1" applyFont="1" applyBorder="1" applyAlignment="1">
      <alignment horizontal="center" vertical="center" wrapText="1"/>
    </xf>
    <xf numFmtId="4" fontId="154" fillId="0" borderId="25" xfId="310" applyNumberFormat="1" applyFont="1" applyBorder="1" applyAlignment="1">
      <alignment horizontal="center" vertical="center" wrapText="1"/>
    </xf>
    <xf numFmtId="4" fontId="154" fillId="0" borderId="31" xfId="310" applyNumberFormat="1" applyFont="1" applyBorder="1" applyAlignment="1">
      <alignment horizontal="center" vertical="center" wrapText="1"/>
    </xf>
    <xf numFmtId="4" fontId="154" fillId="0" borderId="29" xfId="310" applyNumberFormat="1" applyFont="1" applyBorder="1" applyAlignment="1">
      <alignment horizontal="center" vertical="center" wrapText="1"/>
    </xf>
    <xf numFmtId="4" fontId="154" fillId="0" borderId="30" xfId="310" applyNumberFormat="1" applyFont="1" applyBorder="1" applyAlignment="1">
      <alignment horizontal="center" vertical="center" wrapText="1"/>
    </xf>
    <xf numFmtId="4" fontId="202" fillId="0" borderId="25" xfId="310" applyNumberFormat="1" applyFont="1" applyBorder="1" applyAlignment="1">
      <alignment horizontal="center" vertical="center" wrapText="1"/>
    </xf>
    <xf numFmtId="4" fontId="152" fillId="0" borderId="41" xfId="310" applyNumberFormat="1" applyFont="1" applyBorder="1" applyAlignment="1">
      <alignment horizontal="center" vertical="center"/>
    </xf>
    <xf numFmtId="4" fontId="205" fillId="0" borderId="42" xfId="310" applyNumberFormat="1" applyFont="1" applyBorder="1" applyAlignment="1">
      <alignment horizontal="center" vertical="center"/>
    </xf>
    <xf numFmtId="4" fontId="206" fillId="0" borderId="36" xfId="310" applyNumberFormat="1" applyFont="1" applyBorder="1" applyAlignment="1">
      <alignment horizontal="center" vertical="center"/>
    </xf>
    <xf numFmtId="4" fontId="152" fillId="0" borderId="36" xfId="310" applyNumberFormat="1" applyFont="1" applyBorder="1" applyAlignment="1">
      <alignment horizontal="center" vertical="center"/>
    </xf>
    <xf numFmtId="4" fontId="152" fillId="0" borderId="40" xfId="310" applyNumberFormat="1" applyFont="1" applyBorder="1" applyAlignment="1">
      <alignment horizontal="right" vertical="center"/>
    </xf>
    <xf numFmtId="4" fontId="152" fillId="0" borderId="38" xfId="310" applyNumberFormat="1" applyFont="1" applyBorder="1" applyAlignment="1">
      <alignment horizontal="right" vertical="center"/>
    </xf>
    <xf numFmtId="4" fontId="152" fillId="0" borderId="38" xfId="310" applyNumberFormat="1" applyFont="1" applyBorder="1" applyAlignment="1">
      <alignment horizontal="center" vertical="center"/>
    </xf>
    <xf numFmtId="4" fontId="152" fillId="0" borderId="40" xfId="310" applyNumberFormat="1" applyFont="1" applyBorder="1" applyAlignment="1">
      <alignment horizontal="center" vertical="center"/>
    </xf>
    <xf numFmtId="4" fontId="152" fillId="0" borderId="36" xfId="310" applyNumberFormat="1" applyFont="1" applyBorder="1" applyAlignment="1">
      <alignment horizontal="right" vertical="center"/>
    </xf>
    <xf numFmtId="4" fontId="205" fillId="0" borderId="36" xfId="310" applyNumberFormat="1" applyFont="1" applyBorder="1" applyAlignment="1">
      <alignment horizontal="center" vertical="center"/>
    </xf>
    <xf numFmtId="4" fontId="34" fillId="91" borderId="40" xfId="310" applyNumberFormat="1" applyFont="1" applyFill="1" applyBorder="1" applyAlignment="1">
      <alignment horizontal="center" vertical="center"/>
    </xf>
    <xf numFmtId="4" fontId="201" fillId="91" borderId="40" xfId="310" applyNumberFormat="1" applyFont="1" applyFill="1" applyBorder="1" applyAlignment="1">
      <alignment horizontal="center" vertical="center"/>
    </xf>
    <xf numFmtId="4" fontId="155" fillId="31" borderId="40" xfId="310" applyNumberFormat="1" applyFont="1" applyFill="1" applyBorder="1" applyAlignment="1">
      <alignment horizontal="right" vertical="center"/>
    </xf>
    <xf numFmtId="4" fontId="34" fillId="31" borderId="40" xfId="310" applyNumberFormat="1" applyFont="1" applyFill="1" applyBorder="1" applyAlignment="1">
      <alignment horizontal="right" vertical="center"/>
    </xf>
    <xf numFmtId="4" fontId="224" fillId="0" borderId="40" xfId="310" applyNumberFormat="1" applyFont="1" applyBorder="1" applyAlignment="1">
      <alignment horizontal="right" vertical="center"/>
    </xf>
    <xf numFmtId="4" fontId="230" fillId="31" borderId="40" xfId="310" applyNumberFormat="1" applyFont="1" applyFill="1" applyBorder="1" applyAlignment="1">
      <alignment horizontal="right" vertical="center"/>
    </xf>
    <xf numFmtId="4" fontId="228" fillId="27" borderId="40" xfId="310" applyNumberFormat="1" applyFont="1" applyFill="1" applyBorder="1" applyAlignment="1">
      <alignment horizontal="right" vertical="center"/>
    </xf>
    <xf numFmtId="4" fontId="208" fillId="91" borderId="40" xfId="310" applyNumberFormat="1" applyFont="1" applyFill="1" applyBorder="1" applyAlignment="1">
      <alignment horizontal="center" vertical="center"/>
    </xf>
    <xf numFmtId="4" fontId="202" fillId="27" borderId="186" xfId="310" applyNumberFormat="1" applyFont="1" applyFill="1" applyBorder="1" applyAlignment="1">
      <alignment horizontal="center" vertical="center"/>
    </xf>
    <xf numFmtId="4" fontId="208" fillId="31" borderId="186" xfId="310" applyNumberFormat="1" applyFont="1" applyFill="1" applyBorder="1" applyAlignment="1">
      <alignment vertical="center"/>
    </xf>
    <xf numFmtId="4" fontId="211" fillId="27" borderId="186" xfId="310" applyNumberFormat="1" applyFont="1" applyFill="1" applyBorder="1" applyAlignment="1">
      <alignment horizontal="center" vertical="center"/>
    </xf>
    <xf numFmtId="4" fontId="212" fillId="27" borderId="186" xfId="310" applyNumberFormat="1" applyFont="1" applyFill="1" applyBorder="1" applyAlignment="1">
      <alignment horizontal="right" vertical="center"/>
    </xf>
    <xf numFmtId="4" fontId="213" fillId="0" borderId="186" xfId="310" applyNumberFormat="1" applyFont="1" applyBorder="1" applyAlignment="1">
      <alignment vertical="center"/>
    </xf>
    <xf numFmtId="4" fontId="208" fillId="0" borderId="186" xfId="310" applyNumberFormat="1" applyFont="1" applyBorder="1" applyAlignment="1">
      <alignment vertical="center"/>
    </xf>
    <xf numFmtId="4" fontId="214" fillId="27" borderId="186" xfId="310" applyNumberFormat="1" applyFont="1" applyFill="1" applyBorder="1" applyAlignment="1">
      <alignment horizontal="center" vertical="center"/>
    </xf>
    <xf numFmtId="4" fontId="215" fillId="0" borderId="186" xfId="310" applyNumberFormat="1" applyFont="1" applyBorder="1" applyAlignment="1">
      <alignment horizontal="right" vertical="center"/>
    </xf>
    <xf numFmtId="4" fontId="213" fillId="31" borderId="186" xfId="310" applyNumberFormat="1" applyFont="1" applyFill="1" applyBorder="1" applyAlignment="1">
      <alignment vertical="center"/>
    </xf>
    <xf numFmtId="4" fontId="155" fillId="0" borderId="186" xfId="310" applyNumberFormat="1" applyFont="1" applyBorder="1" applyAlignment="1">
      <alignment vertical="center"/>
    </xf>
    <xf numFmtId="4" fontId="238" fillId="87" borderId="85" xfId="310" applyNumberFormat="1" applyFont="1" applyFill="1" applyBorder="1" applyAlignment="1">
      <alignment horizontal="center" vertical="center"/>
    </xf>
    <xf numFmtId="4" fontId="238" fillId="87" borderId="15" xfId="310" applyNumberFormat="1" applyFont="1" applyFill="1" applyBorder="1" applyAlignment="1">
      <alignment horizontal="center" vertical="center"/>
    </xf>
    <xf numFmtId="4" fontId="238" fillId="87" borderId="15" xfId="310" applyNumberFormat="1" applyFont="1" applyFill="1" applyBorder="1" applyAlignment="1">
      <alignment horizontal="right" vertical="center"/>
    </xf>
    <xf numFmtId="4" fontId="238" fillId="87" borderId="102" xfId="310" applyNumberFormat="1" applyFont="1" applyFill="1" applyBorder="1" applyAlignment="1">
      <alignment horizontal="center" vertical="center"/>
    </xf>
    <xf numFmtId="4" fontId="238" fillId="87" borderId="103" xfId="310" applyNumberFormat="1" applyFont="1" applyFill="1" applyBorder="1" applyAlignment="1">
      <alignment horizontal="center" vertical="center"/>
    </xf>
    <xf numFmtId="4" fontId="238" fillId="87" borderId="103" xfId="310" applyNumberFormat="1" applyFont="1" applyFill="1" applyBorder="1" applyAlignment="1">
      <alignment horizontal="right" vertical="center"/>
    </xf>
    <xf numFmtId="4" fontId="208" fillId="0" borderId="26" xfId="310" applyNumberFormat="1" applyFont="1" applyBorder="1" applyAlignment="1">
      <alignment vertical="center"/>
    </xf>
    <xf numFmtId="4" fontId="208" fillId="0" borderId="25" xfId="310" applyNumberFormat="1" applyFont="1" applyBorder="1" applyAlignment="1">
      <alignment vertical="center"/>
    </xf>
    <xf numFmtId="4" fontId="208" fillId="0" borderId="28" xfId="310" applyNumberFormat="1" applyFont="1" applyBorder="1" applyAlignment="1">
      <alignment vertical="center"/>
    </xf>
    <xf numFmtId="4" fontId="208" fillId="0" borderId="92" xfId="310" applyNumberFormat="1" applyFont="1" applyBorder="1" applyAlignment="1">
      <alignment vertical="center"/>
    </xf>
    <xf numFmtId="4" fontId="208" fillId="0" borderId="24" xfId="310" applyNumberFormat="1" applyFont="1" applyBorder="1" applyAlignment="1">
      <alignment vertical="center"/>
    </xf>
    <xf numFmtId="4" fontId="208" fillId="0" borderId="41" xfId="310" applyNumberFormat="1" applyFont="1" applyBorder="1" applyAlignment="1">
      <alignment vertical="center"/>
    </xf>
    <xf numFmtId="4" fontId="208" fillId="0" borderId="38" xfId="310" applyNumberFormat="1" applyFont="1" applyBorder="1" applyAlignment="1">
      <alignment vertical="center"/>
    </xf>
    <xf numFmtId="4" fontId="208" fillId="0" borderId="39" xfId="310" applyNumberFormat="1" applyFont="1" applyBorder="1" applyAlignment="1">
      <alignment vertical="center"/>
    </xf>
    <xf numFmtId="4" fontId="208" fillId="0" borderId="42" xfId="310" applyNumberFormat="1" applyFont="1" applyBorder="1" applyAlignment="1">
      <alignment vertical="center"/>
    </xf>
    <xf numFmtId="4" fontId="208" fillId="0" borderId="116" xfId="310" applyNumberFormat="1" applyFont="1" applyBorder="1" applyAlignment="1">
      <alignment vertical="center"/>
    </xf>
    <xf numFmtId="4" fontId="208" fillId="0" borderId="117" xfId="310" applyNumberFormat="1" applyFont="1" applyBorder="1" applyAlignment="1">
      <alignment vertical="center"/>
    </xf>
    <xf numFmtId="4" fontId="208" fillId="0" borderId="149" xfId="310" applyNumberFormat="1" applyFont="1" applyBorder="1" applyAlignment="1">
      <alignment vertical="center"/>
    </xf>
    <xf numFmtId="4" fontId="208" fillId="0" borderId="115" xfId="310" applyNumberFormat="1" applyFont="1" applyBorder="1" applyAlignment="1">
      <alignment vertical="center"/>
    </xf>
    <xf numFmtId="4" fontId="72" fillId="0" borderId="88" xfId="310" applyNumberFormat="1" applyFont="1" applyBorder="1" applyAlignment="1">
      <alignment vertical="center"/>
    </xf>
    <xf numFmtId="4" fontId="72" fillId="0" borderId="15" xfId="310" applyNumberFormat="1" applyFont="1" applyBorder="1" applyAlignment="1">
      <alignment horizontal="left" vertical="center"/>
    </xf>
    <xf numFmtId="4" fontId="72" fillId="0" borderId="15" xfId="310" applyNumberFormat="1" applyFont="1" applyBorder="1" applyAlignment="1">
      <alignment horizontal="center" vertical="center"/>
    </xf>
    <xf numFmtId="4" fontId="72" fillId="0" borderId="87" xfId="310" applyNumberFormat="1" applyFont="1" applyBorder="1" applyAlignment="1">
      <alignment vertical="center"/>
    </xf>
    <xf numFmtId="4" fontId="208" fillId="0" borderId="83" xfId="310" applyNumberFormat="1" applyFont="1" applyBorder="1" applyAlignment="1">
      <alignment horizontal="right" vertical="center"/>
    </xf>
    <xf numFmtId="4" fontId="208" fillId="0" borderId="98" xfId="324" applyNumberFormat="1" applyFont="1" applyFill="1" applyBorder="1" applyAlignment="1">
      <alignment horizontal="right" vertical="center"/>
    </xf>
    <xf numFmtId="4" fontId="208" fillId="0" borderId="76" xfId="324" applyNumberFormat="1" applyFont="1" applyFill="1" applyBorder="1" applyAlignment="1">
      <alignment horizontal="right" vertical="center"/>
    </xf>
    <xf numFmtId="4" fontId="213" fillId="0" borderId="120" xfId="324" applyNumberFormat="1" applyFont="1" applyFill="1" applyBorder="1" applyAlignment="1">
      <alignment horizontal="right" vertical="center"/>
    </xf>
    <xf numFmtId="4" fontId="118" fillId="0" borderId="119" xfId="324" applyNumberFormat="1" applyFont="1" applyBorder="1" applyAlignment="1" applyProtection="1">
      <alignment horizontal="center" vertical="center"/>
    </xf>
    <xf numFmtId="4" fontId="202" fillId="0" borderId="20" xfId="324" applyNumberFormat="1" applyFont="1" applyFill="1" applyBorder="1" applyAlignment="1">
      <alignment horizontal="left" vertical="center"/>
    </xf>
    <xf numFmtId="4" fontId="202" fillId="0" borderId="20" xfId="324" applyNumberFormat="1" applyFont="1" applyFill="1" applyBorder="1" applyAlignment="1">
      <alignment horizontal="center" vertical="center"/>
    </xf>
    <xf numFmtId="4" fontId="202" fillId="0" borderId="20" xfId="324" applyNumberFormat="1" applyFont="1" applyFill="1" applyBorder="1" applyAlignment="1">
      <alignment horizontal="right" vertical="center"/>
    </xf>
    <xf numFmtId="4" fontId="213" fillId="0" borderId="80" xfId="324" applyNumberFormat="1" applyFont="1" applyFill="1" applyBorder="1" applyAlignment="1">
      <alignment horizontal="right" vertical="center"/>
    </xf>
    <xf numFmtId="4" fontId="202" fillId="0" borderId="74" xfId="324" applyNumberFormat="1" applyFont="1" applyFill="1" applyBorder="1" applyAlignment="1">
      <alignment horizontal="center" vertical="center"/>
    </xf>
    <xf numFmtId="4" fontId="213" fillId="0" borderId="74" xfId="324" applyNumberFormat="1" applyFont="1" applyFill="1" applyBorder="1" applyAlignment="1">
      <alignment horizontal="right" vertical="center"/>
    </xf>
    <xf numFmtId="4" fontId="202" fillId="0" borderId="74" xfId="324" applyNumberFormat="1" applyFont="1" applyFill="1" applyBorder="1" applyAlignment="1">
      <alignment horizontal="right" vertical="center"/>
    </xf>
    <xf numFmtId="4" fontId="213" fillId="0" borderId="75" xfId="324" applyNumberFormat="1" applyFont="1" applyFill="1" applyBorder="1" applyAlignment="1">
      <alignment horizontal="right" vertical="center"/>
    </xf>
    <xf numFmtId="4" fontId="118" fillId="0" borderId="180" xfId="324" applyNumberFormat="1" applyFont="1" applyBorder="1" applyAlignment="1" applyProtection="1">
      <alignment horizontal="center" vertical="center"/>
    </xf>
    <xf numFmtId="4" fontId="238" fillId="24" borderId="119" xfId="310" applyNumberFormat="1" applyFont="1" applyFill="1" applyBorder="1" applyAlignment="1">
      <alignment horizontal="center" vertical="center"/>
    </xf>
    <xf numFmtId="4" fontId="238" fillId="24" borderId="20" xfId="310" applyNumberFormat="1" applyFont="1" applyFill="1" applyBorder="1" applyAlignment="1">
      <alignment horizontal="left" vertical="center"/>
    </xf>
    <xf numFmtId="4" fontId="238" fillId="24" borderId="20" xfId="310" applyNumberFormat="1" applyFont="1" applyFill="1" applyBorder="1" applyAlignment="1">
      <alignment horizontal="center" vertical="center"/>
    </xf>
    <xf numFmtId="4" fontId="238" fillId="24" borderId="20" xfId="310" applyNumberFormat="1" applyFont="1" applyFill="1" applyBorder="1" applyAlignment="1">
      <alignment horizontal="right" vertical="center"/>
    </xf>
    <xf numFmtId="4" fontId="238" fillId="88" borderId="102" xfId="310" applyNumberFormat="1" applyFont="1" applyFill="1" applyBorder="1" applyAlignment="1">
      <alignment horizontal="center" vertical="center"/>
    </xf>
    <xf numFmtId="4" fontId="208" fillId="88" borderId="103" xfId="310" applyNumberFormat="1" applyFont="1" applyFill="1" applyBorder="1" applyAlignment="1">
      <alignment horizontal="right" vertical="center"/>
    </xf>
    <xf numFmtId="4" fontId="142" fillId="0" borderId="105" xfId="310" applyNumberFormat="1" applyFont="1" applyBorder="1" applyAlignment="1">
      <alignment horizontal="center" vertical="center"/>
    </xf>
    <xf numFmtId="4" fontId="215" fillId="0" borderId="100" xfId="310" applyNumberFormat="1" applyFont="1" applyBorder="1" applyAlignment="1">
      <alignment horizontal="left" vertical="center"/>
    </xf>
    <xf numFmtId="4" fontId="215" fillId="0" borderId="100" xfId="310" applyNumberFormat="1" applyFont="1" applyBorder="1" applyAlignment="1">
      <alignment horizontal="center" vertical="center"/>
    </xf>
    <xf numFmtId="4" fontId="215" fillId="0" borderId="100" xfId="310" applyNumberFormat="1" applyFont="1" applyBorder="1" applyAlignment="1">
      <alignment horizontal="right" vertical="center"/>
    </xf>
    <xf numFmtId="4" fontId="214" fillId="0" borderId="77" xfId="310" applyNumberFormat="1" applyFont="1" applyBorder="1" applyAlignment="1">
      <alignment horizontal="right" vertical="center"/>
    </xf>
    <xf numFmtId="4" fontId="142" fillId="0" borderId="78" xfId="310" applyNumberFormat="1" applyFont="1" applyBorder="1" applyAlignment="1">
      <alignment horizontal="center" vertical="center"/>
    </xf>
    <xf numFmtId="4" fontId="215" fillId="0" borderId="77" xfId="310" applyNumberFormat="1" applyFont="1" applyBorder="1" applyAlignment="1">
      <alignment horizontal="center" vertical="center"/>
    </xf>
    <xf numFmtId="4" fontId="209" fillId="24" borderId="105" xfId="310" applyNumberFormat="1" applyFont="1" applyFill="1" applyBorder="1" applyAlignment="1">
      <alignment horizontal="center" vertical="center" wrapText="1"/>
    </xf>
    <xf numFmtId="4" fontId="209" fillId="24" borderId="100" xfId="310" applyNumberFormat="1" applyFont="1" applyFill="1" applyBorder="1" applyAlignment="1">
      <alignment vertical="center" wrapText="1"/>
    </xf>
    <xf numFmtId="4" fontId="209" fillId="24" borderId="100" xfId="310" applyNumberFormat="1" applyFont="1" applyFill="1" applyBorder="1" applyAlignment="1">
      <alignment horizontal="center" vertical="center" wrapText="1"/>
    </xf>
    <xf numFmtId="4" fontId="209" fillId="24" borderId="100" xfId="310" applyNumberFormat="1" applyFont="1" applyFill="1" applyBorder="1" applyAlignment="1">
      <alignment horizontal="right" vertical="center" wrapText="1"/>
    </xf>
    <xf numFmtId="4" fontId="209" fillId="24" borderId="102" xfId="310" applyNumberFormat="1" applyFont="1" applyFill="1" applyBorder="1" applyAlignment="1">
      <alignment horizontal="center" vertical="center" wrapText="1"/>
    </xf>
    <xf numFmtId="4" fontId="209" fillId="0" borderId="0" xfId="310" applyNumberFormat="1" applyFont="1" applyAlignment="1">
      <alignment vertical="center" wrapText="1"/>
    </xf>
    <xf numFmtId="4" fontId="209" fillId="0" borderId="0" xfId="310" applyNumberFormat="1" applyFont="1" applyAlignment="1">
      <alignment horizontal="center" vertical="center" wrapText="1"/>
    </xf>
    <xf numFmtId="4" fontId="209" fillId="0" borderId="0" xfId="310" applyNumberFormat="1" applyFont="1" applyAlignment="1">
      <alignment horizontal="right" vertical="center" wrapText="1"/>
    </xf>
    <xf numFmtId="4" fontId="201" fillId="31" borderId="56" xfId="37816" applyNumberFormat="1" applyFont="1" applyFill="1" applyBorder="1" applyAlignment="1">
      <alignment vertical="center"/>
    </xf>
    <xf numFmtId="4" fontId="253" fillId="31" borderId="56" xfId="37816" applyNumberFormat="1" applyFont="1" applyFill="1" applyBorder="1" applyAlignment="1">
      <alignment vertical="center"/>
    </xf>
    <xf numFmtId="4" fontId="201" fillId="31" borderId="57" xfId="37816" applyNumberFormat="1" applyFont="1" applyFill="1" applyBorder="1" applyAlignment="1">
      <alignment vertical="center"/>
    </xf>
    <xf numFmtId="4" fontId="202" fillId="0" borderId="0" xfId="310" applyNumberFormat="1" applyFont="1" applyAlignment="1">
      <alignment horizontal="left" vertical="top"/>
    </xf>
    <xf numFmtId="4" fontId="202" fillId="0" borderId="0" xfId="310" applyNumberFormat="1" applyFont="1" applyAlignment="1">
      <alignment horizontal="center" vertical="top"/>
    </xf>
    <xf numFmtId="4" fontId="238" fillId="85" borderId="105" xfId="310" applyNumberFormat="1" applyFont="1" applyFill="1" applyBorder="1" applyAlignment="1">
      <alignment vertical="center" wrapText="1"/>
    </xf>
    <xf numFmtId="4" fontId="209" fillId="85" borderId="100" xfId="310" applyNumberFormat="1" applyFont="1" applyFill="1" applyBorder="1" applyAlignment="1">
      <alignment horizontal="left" vertical="center"/>
    </xf>
    <xf numFmtId="4" fontId="209" fillId="85" borderId="100" xfId="310" applyNumberFormat="1" applyFont="1" applyFill="1" applyBorder="1" applyAlignment="1">
      <alignment horizontal="center" vertical="center"/>
    </xf>
    <xf numFmtId="4" fontId="209" fillId="85" borderId="100" xfId="310" applyNumberFormat="1" applyFont="1" applyFill="1" applyBorder="1" applyAlignment="1">
      <alignment horizontal="right" vertical="center"/>
    </xf>
    <xf numFmtId="4" fontId="208" fillId="85" borderId="103" xfId="310" applyNumberFormat="1" applyFont="1" applyFill="1" applyBorder="1" applyAlignment="1">
      <alignment horizontal="right" vertical="center"/>
    </xf>
    <xf numFmtId="4" fontId="238" fillId="85" borderId="103" xfId="310" applyNumberFormat="1" applyFont="1" applyFill="1" applyBorder="1" applyAlignment="1">
      <alignment vertical="center" wrapText="1"/>
    </xf>
    <xf numFmtId="4" fontId="238" fillId="24" borderId="105" xfId="310" applyNumberFormat="1" applyFont="1" applyFill="1" applyBorder="1" applyAlignment="1">
      <alignment vertical="center" wrapText="1"/>
    </xf>
    <xf numFmtId="4" fontId="209" fillId="24" borderId="100" xfId="310" applyNumberFormat="1" applyFont="1" applyFill="1" applyBorder="1" applyAlignment="1">
      <alignment horizontal="left" vertical="center"/>
    </xf>
    <xf numFmtId="4" fontId="209" fillId="24" borderId="100" xfId="310" applyNumberFormat="1" applyFont="1" applyFill="1" applyBorder="1" applyAlignment="1">
      <alignment horizontal="center" vertical="center"/>
    </xf>
    <xf numFmtId="4" fontId="209" fillId="24" borderId="100" xfId="310" applyNumberFormat="1" applyFont="1" applyFill="1" applyBorder="1" applyAlignment="1">
      <alignment horizontal="right" vertical="center"/>
    </xf>
    <xf numFmtId="4" fontId="208" fillId="24" borderId="77" xfId="310" applyNumberFormat="1" applyFont="1" applyFill="1" applyBorder="1" applyAlignment="1">
      <alignment horizontal="right" vertical="center"/>
    </xf>
    <xf numFmtId="4" fontId="238" fillId="24" borderId="77" xfId="310" applyNumberFormat="1" applyFont="1" applyFill="1" applyBorder="1" applyAlignment="1">
      <alignment vertical="center" wrapText="1"/>
    </xf>
    <xf numFmtId="4" fontId="238" fillId="24" borderId="89" xfId="310" applyNumberFormat="1" applyFont="1" applyFill="1" applyBorder="1" applyAlignment="1">
      <alignment vertical="center" wrapText="1"/>
    </xf>
    <xf numFmtId="4" fontId="209" fillId="24" borderId="15" xfId="310" applyNumberFormat="1" applyFont="1" applyFill="1" applyBorder="1" applyAlignment="1">
      <alignment horizontal="left" vertical="center"/>
    </xf>
    <xf numFmtId="4" fontId="209" fillId="24" borderId="15" xfId="310" applyNumberFormat="1" applyFont="1" applyFill="1" applyBorder="1" applyAlignment="1">
      <alignment horizontal="center" vertical="center"/>
    </xf>
    <xf numFmtId="4" fontId="209" fillId="24" borderId="15" xfId="310" applyNumberFormat="1" applyFont="1" applyFill="1" applyBorder="1" applyAlignment="1">
      <alignment horizontal="right" vertical="center"/>
    </xf>
    <xf numFmtId="4" fontId="208" fillId="24" borderId="121" xfId="310" applyNumberFormat="1" applyFont="1" applyFill="1" applyBorder="1" applyAlignment="1">
      <alignment horizontal="right" vertical="center"/>
    </xf>
    <xf numFmtId="4" fontId="238" fillId="24" borderId="121" xfId="310" applyNumberFormat="1" applyFont="1" applyFill="1" applyBorder="1" applyAlignment="1">
      <alignment vertical="center" wrapText="1"/>
    </xf>
    <xf numFmtId="4" fontId="208" fillId="0" borderId="77" xfId="310" applyNumberFormat="1" applyFont="1" applyBorder="1" applyAlignment="1">
      <alignment horizontal="right" vertical="center"/>
    </xf>
    <xf numFmtId="4" fontId="202" fillId="0" borderId="58" xfId="310" applyNumberFormat="1" applyFont="1" applyBorder="1" applyAlignment="1">
      <alignment horizontal="center"/>
    </xf>
    <xf numFmtId="4" fontId="202" fillId="0" borderId="125" xfId="310" applyNumberFormat="1" applyFont="1" applyBorder="1" applyAlignment="1">
      <alignment horizontal="center"/>
    </xf>
    <xf numFmtId="4" fontId="202" fillId="0" borderId="113" xfId="310" applyNumberFormat="1" applyFont="1" applyBorder="1" applyAlignment="1">
      <alignment horizontal="center"/>
    </xf>
    <xf numFmtId="4" fontId="202" fillId="0" borderId="53" xfId="310" applyNumberFormat="1" applyFont="1" applyBorder="1" applyAlignment="1">
      <alignment horizontal="right"/>
    </xf>
    <xf numFmtId="4" fontId="214" fillId="0" borderId="56" xfId="310" applyNumberFormat="1" applyFont="1" applyBorder="1" applyAlignment="1">
      <alignment horizontal="left"/>
    </xf>
    <xf numFmtId="4" fontId="202" fillId="0" borderId="65" xfId="310" applyNumberFormat="1" applyFont="1" applyBorder="1" applyAlignment="1">
      <alignment horizontal="center"/>
    </xf>
    <xf numFmtId="4" fontId="202" fillId="0" borderId="62" xfId="310" applyNumberFormat="1" applyFont="1" applyBorder="1" applyAlignment="1">
      <alignment horizontal="center"/>
    </xf>
    <xf numFmtId="4" fontId="202" fillId="0" borderId="65" xfId="310" applyNumberFormat="1" applyFont="1" applyBorder="1" applyAlignment="1">
      <alignment horizontal="right"/>
    </xf>
    <xf numFmtId="4" fontId="214" fillId="0" borderId="67" xfId="310" applyNumberFormat="1" applyFont="1" applyBorder="1" applyAlignment="1">
      <alignment horizontal="left"/>
    </xf>
    <xf numFmtId="4" fontId="202" fillId="0" borderId="12" xfId="310" applyNumberFormat="1" applyFont="1" applyBorder="1" applyAlignment="1">
      <alignment horizontal="right"/>
    </xf>
    <xf numFmtId="4" fontId="202" fillId="0" borderId="108" xfId="310" applyNumberFormat="1" applyFont="1" applyBorder="1" applyAlignment="1">
      <alignment horizontal="center"/>
    </xf>
    <xf numFmtId="4" fontId="202" fillId="0" borderId="107" xfId="310" applyNumberFormat="1" applyFont="1" applyBorder="1" applyAlignment="1">
      <alignment horizontal="center"/>
    </xf>
    <xf numFmtId="4" fontId="214" fillId="0" borderId="74" xfId="310" applyNumberFormat="1" applyFont="1" applyBorder="1" applyAlignment="1">
      <alignment horizontal="left"/>
    </xf>
    <xf numFmtId="4" fontId="259" fillId="0" borderId="105" xfId="310" applyNumberFormat="1" applyFont="1" applyBorder="1" applyAlignment="1">
      <alignment vertical="center"/>
    </xf>
    <xf numFmtId="4" fontId="235" fillId="0" borderId="100" xfId="310" applyNumberFormat="1" applyFont="1" applyBorder="1" applyAlignment="1">
      <alignment horizontal="left" vertical="center"/>
    </xf>
    <xf numFmtId="4" fontId="235" fillId="0" borderId="100" xfId="310" applyNumberFormat="1" applyFont="1" applyBorder="1" applyAlignment="1">
      <alignment horizontal="center" vertical="center"/>
    </xf>
    <xf numFmtId="4" fontId="235" fillId="0" borderId="100" xfId="310" applyNumberFormat="1" applyFont="1" applyBorder="1" applyAlignment="1">
      <alignment horizontal="right" vertical="center"/>
    </xf>
    <xf numFmtId="4" fontId="259" fillId="0" borderId="103" xfId="310" applyNumberFormat="1" applyFont="1" applyBorder="1" applyAlignment="1">
      <alignment vertical="center"/>
    </xf>
    <xf numFmtId="4" fontId="259" fillId="31" borderId="105" xfId="310" applyNumberFormat="1" applyFont="1" applyFill="1" applyBorder="1" applyAlignment="1">
      <alignment vertical="center"/>
    </xf>
    <xf numFmtId="4" fontId="235" fillId="31" borderId="100" xfId="310" applyNumberFormat="1" applyFont="1" applyFill="1" applyBorder="1" applyAlignment="1">
      <alignment horizontal="left" vertical="center"/>
    </xf>
    <xf numFmtId="4" fontId="235" fillId="31" borderId="100" xfId="310" applyNumberFormat="1" applyFont="1" applyFill="1" applyBorder="1" applyAlignment="1">
      <alignment horizontal="center" vertical="center"/>
    </xf>
    <xf numFmtId="4" fontId="235" fillId="31" borderId="100" xfId="310" applyNumberFormat="1" applyFont="1" applyFill="1" applyBorder="1" applyAlignment="1">
      <alignment horizontal="right" vertical="center"/>
    </xf>
    <xf numFmtId="4" fontId="259" fillId="31" borderId="77" xfId="310" applyNumberFormat="1" applyFont="1" applyFill="1" applyBorder="1" applyAlignment="1">
      <alignment vertical="center"/>
    </xf>
    <xf numFmtId="4" fontId="209" fillId="0" borderId="100" xfId="310" applyNumberFormat="1" applyFont="1" applyBorder="1" applyAlignment="1">
      <alignment horizontal="left" vertical="center"/>
    </xf>
    <xf numFmtId="4" fontId="208" fillId="0" borderId="87" xfId="310" applyNumberFormat="1" applyFont="1" applyBorder="1" applyAlignment="1">
      <alignment horizontal="right" vertical="center"/>
    </xf>
    <xf numFmtId="4" fontId="238" fillId="0" borderId="87" xfId="310" applyNumberFormat="1" applyFont="1" applyBorder="1" applyAlignment="1">
      <alignment horizontal="left" vertical="center"/>
    </xf>
    <xf numFmtId="4" fontId="238" fillId="0" borderId="0" xfId="310" applyNumberFormat="1" applyFont="1" applyAlignment="1">
      <alignment horizontal="left" vertical="center"/>
    </xf>
    <xf numFmtId="4" fontId="209" fillId="0" borderId="0" xfId="310" applyNumberFormat="1" applyFont="1" applyAlignment="1">
      <alignment horizontal="left" vertical="center"/>
    </xf>
    <xf numFmtId="4" fontId="209" fillId="0" borderId="0" xfId="310" applyNumberFormat="1" applyFont="1" applyAlignment="1">
      <alignment horizontal="center" vertical="center"/>
    </xf>
    <xf numFmtId="4" fontId="209" fillId="0" borderId="0" xfId="310" applyNumberFormat="1" applyFont="1" applyAlignment="1">
      <alignment horizontal="right" vertical="center"/>
    </xf>
    <xf numFmtId="4" fontId="208" fillId="0" borderId="80" xfId="310" applyNumberFormat="1" applyFont="1" applyBorder="1" applyAlignment="1">
      <alignment horizontal="right" vertical="center"/>
    </xf>
    <xf numFmtId="4" fontId="208" fillId="0" borderId="74" xfId="310" applyNumberFormat="1" applyFont="1" applyBorder="1" applyAlignment="1">
      <alignment horizontal="center" vertical="center"/>
    </xf>
    <xf numFmtId="4" fontId="238" fillId="0" borderId="77" xfId="310" applyNumberFormat="1" applyFont="1" applyBorder="1" applyAlignment="1">
      <alignment horizontal="left" vertical="center"/>
    </xf>
    <xf numFmtId="4" fontId="202" fillId="0" borderId="0" xfId="310" applyNumberFormat="1" applyFont="1" applyAlignment="1">
      <alignment horizontal="left"/>
    </xf>
    <xf numFmtId="4" fontId="202" fillId="0" borderId="77" xfId="310" applyNumberFormat="1" applyFont="1" applyBorder="1" applyAlignment="1">
      <alignment horizontal="left"/>
    </xf>
    <xf numFmtId="4" fontId="202" fillId="0" borderId="76" xfId="324" applyNumberFormat="1" applyFont="1" applyFill="1" applyBorder="1"/>
    <xf numFmtId="4" fontId="202" fillId="26" borderId="24" xfId="310" applyNumberFormat="1" applyFont="1" applyFill="1" applyBorder="1" applyAlignment="1">
      <alignment horizontal="center" vertical="center"/>
    </xf>
    <xf numFmtId="4" fontId="202" fillId="26" borderId="27" xfId="310" applyNumberFormat="1" applyFont="1" applyFill="1" applyBorder="1" applyAlignment="1">
      <alignment horizontal="center" vertical="center"/>
    </xf>
    <xf numFmtId="4" fontId="202" fillId="26" borderId="27" xfId="251" applyNumberFormat="1" applyFont="1" applyFill="1" applyBorder="1" applyAlignment="1">
      <alignment horizontal="right" vertical="center"/>
    </xf>
    <xf numFmtId="4" fontId="202" fillId="26" borderId="27" xfId="310" applyNumberFormat="1" applyFont="1" applyFill="1" applyBorder="1" applyAlignment="1">
      <alignment horizontal="right" vertical="center"/>
    </xf>
    <xf numFmtId="4" fontId="209" fillId="0" borderId="69" xfId="310" applyNumberFormat="1" applyFont="1" applyBorder="1" applyAlignment="1">
      <alignment horizontal="center"/>
    </xf>
    <xf numFmtId="4" fontId="212" fillId="27" borderId="125" xfId="310" applyNumberFormat="1" applyFont="1" applyFill="1" applyBorder="1" applyAlignment="1">
      <alignment horizontal="center"/>
    </xf>
    <xf numFmtId="4" fontId="212" fillId="27" borderId="113" xfId="310" applyNumberFormat="1" applyFont="1" applyFill="1" applyBorder="1" applyAlignment="1">
      <alignment horizontal="center"/>
    </xf>
    <xf numFmtId="4" fontId="212" fillId="27" borderId="56" xfId="310" applyNumberFormat="1" applyFont="1" applyFill="1" applyBorder="1" applyAlignment="1">
      <alignment horizontal="center"/>
    </xf>
    <xf numFmtId="4" fontId="209" fillId="0" borderId="56" xfId="310" applyNumberFormat="1" applyFont="1" applyBorder="1" applyAlignment="1">
      <alignment horizontal="center"/>
    </xf>
    <xf numFmtId="4" fontId="208" fillId="0" borderId="56" xfId="310" applyNumberFormat="1" applyFont="1" applyBorder="1" applyAlignment="1">
      <alignment horizontal="center"/>
    </xf>
    <xf numFmtId="4" fontId="208" fillId="0" borderId="56" xfId="310" applyNumberFormat="1" applyFont="1" applyBorder="1" applyAlignment="1">
      <alignment horizontal="right"/>
    </xf>
    <xf numFmtId="4" fontId="202" fillId="0" borderId="67" xfId="310" applyNumberFormat="1" applyFont="1" applyBorder="1" applyAlignment="1">
      <alignment horizontal="center"/>
    </xf>
    <xf numFmtId="4" fontId="202" fillId="0" borderId="80" xfId="310" applyNumberFormat="1" applyFont="1" applyBorder="1" applyAlignment="1">
      <alignment horizontal="center"/>
    </xf>
    <xf numFmtId="4" fontId="215" fillId="27" borderId="72" xfId="310" applyNumberFormat="1" applyFont="1" applyFill="1" applyBorder="1" applyAlignment="1">
      <alignment horizontal="center"/>
    </xf>
    <xf numFmtId="4" fontId="215" fillId="27" borderId="71" xfId="310" applyNumberFormat="1" applyFont="1" applyFill="1" applyBorder="1" applyAlignment="1">
      <alignment horizontal="center"/>
    </xf>
    <xf numFmtId="4" fontId="215" fillId="27" borderId="74" xfId="310" applyNumberFormat="1" applyFont="1" applyFill="1" applyBorder="1" applyAlignment="1">
      <alignment horizontal="center"/>
    </xf>
    <xf numFmtId="4" fontId="238" fillId="0" borderId="103" xfId="310" applyNumberFormat="1" applyFont="1" applyBorder="1" applyAlignment="1">
      <alignment horizontal="left" vertical="center"/>
    </xf>
    <xf numFmtId="4" fontId="208" fillId="24" borderId="176" xfId="310" applyNumberFormat="1" applyFont="1" applyFill="1" applyBorder="1" applyAlignment="1">
      <alignment horizontal="right" vertical="center"/>
    </xf>
    <xf numFmtId="4" fontId="238" fillId="24" borderId="176" xfId="310" applyNumberFormat="1" applyFont="1" applyFill="1" applyBorder="1" applyAlignment="1">
      <alignment vertical="center" wrapText="1"/>
    </xf>
    <xf numFmtId="4" fontId="118" fillId="0" borderId="0" xfId="310" applyNumberFormat="1" applyFont="1"/>
    <xf numFmtId="4" fontId="149" fillId="0" borderId="0" xfId="310" applyNumberFormat="1" applyFont="1"/>
    <xf numFmtId="4" fontId="260" fillId="0" borderId="0" xfId="310" applyNumberFormat="1" applyFont="1"/>
    <xf numFmtId="4" fontId="21" fillId="0" borderId="0" xfId="310" applyNumberFormat="1" applyFont="1" applyAlignment="1">
      <alignment horizontal="center"/>
    </xf>
    <xf numFmtId="4" fontId="39" fillId="0" borderId="0" xfId="310" applyNumberFormat="1" applyFont="1" applyAlignment="1">
      <alignment horizontal="center" vertical="center"/>
    </xf>
    <xf numFmtId="4" fontId="23" fillId="0" borderId="0" xfId="310" applyNumberFormat="1" applyFont="1" applyAlignment="1">
      <alignment vertical="center" wrapText="1"/>
    </xf>
    <xf numFmtId="4" fontId="26" fillId="0" borderId="0" xfId="310" applyNumberFormat="1" applyFont="1"/>
    <xf numFmtId="4" fontId="32" fillId="0" borderId="0" xfId="310" applyNumberFormat="1" applyFont="1" applyAlignment="1">
      <alignment horizontal="left" vertical="center" wrapText="1"/>
    </xf>
    <xf numFmtId="4" fontId="31" fillId="0" borderId="0" xfId="310" applyNumberFormat="1" applyFont="1" applyAlignment="1">
      <alignment vertical="center"/>
    </xf>
    <xf numFmtId="4" fontId="23" fillId="0" borderId="0" xfId="310" applyNumberFormat="1" applyFont="1" applyAlignment="1">
      <alignment horizontal="center" vertical="center"/>
    </xf>
    <xf numFmtId="4" fontId="40" fillId="0" borderId="0" xfId="310" applyNumberFormat="1" applyFont="1" applyAlignment="1">
      <alignment horizontal="left" vertical="center" wrapText="1"/>
    </xf>
    <xf numFmtId="4" fontId="28" fillId="0" borderId="0" xfId="310" applyNumberFormat="1" applyFont="1" applyAlignment="1">
      <alignment horizontal="center"/>
    </xf>
    <xf numFmtId="10" fontId="148" fillId="0" borderId="89" xfId="324" applyNumberFormat="1" applyFont="1" applyBorder="1"/>
    <xf numFmtId="10" fontId="209" fillId="0" borderId="15" xfId="324" applyNumberFormat="1" applyFont="1" applyBorder="1" applyAlignment="1">
      <alignment horizontal="left" vertical="center"/>
    </xf>
    <xf numFmtId="10" fontId="209" fillId="0" borderId="27" xfId="324" applyNumberFormat="1" applyFont="1" applyBorder="1" applyAlignment="1">
      <alignment horizontal="center" vertical="center"/>
    </xf>
    <xf numFmtId="10" fontId="209" fillId="0" borderId="27" xfId="324" applyNumberFormat="1" applyFont="1" applyBorder="1" applyAlignment="1">
      <alignment horizontal="right" vertical="center"/>
    </xf>
    <xf numFmtId="10" fontId="208" fillId="0" borderId="77" xfId="324" applyNumberFormat="1" applyFont="1" applyBorder="1" applyAlignment="1">
      <alignment horizontal="center" vertical="center"/>
    </xf>
    <xf numFmtId="10" fontId="208" fillId="0" borderId="77" xfId="324" applyNumberFormat="1" applyFont="1" applyBorder="1" applyAlignment="1">
      <alignment vertical="center"/>
    </xf>
    <xf numFmtId="10" fontId="208" fillId="0" borderId="77" xfId="324" applyNumberFormat="1" applyFont="1" applyBorder="1" applyAlignment="1">
      <alignment horizontal="right" vertical="center"/>
    </xf>
    <xf numFmtId="10" fontId="208" fillId="24" borderId="77" xfId="324" applyNumberFormat="1" applyFont="1" applyFill="1" applyBorder="1" applyAlignment="1">
      <alignment horizontal="right" vertical="center"/>
    </xf>
    <xf numFmtId="10" fontId="208" fillId="24" borderId="76" xfId="324" applyNumberFormat="1" applyFont="1" applyFill="1" applyBorder="1" applyAlignment="1">
      <alignment horizontal="right" vertical="center"/>
    </xf>
    <xf numFmtId="4" fontId="34" fillId="24" borderId="85" xfId="310" applyNumberFormat="1" applyFont="1" applyFill="1" applyBorder="1" applyAlignment="1">
      <alignment horizontal="right" vertical="center"/>
    </xf>
    <xf numFmtId="0" fontId="201" fillId="105" borderId="40" xfId="310" applyFont="1" applyFill="1" applyBorder="1" applyAlignment="1">
      <alignment horizontal="right" vertical="center"/>
    </xf>
    <xf numFmtId="4" fontId="201" fillId="105" borderId="40" xfId="310" applyNumberFormat="1" applyFont="1" applyFill="1" applyBorder="1" applyAlignment="1">
      <alignment horizontal="right" vertical="center"/>
    </xf>
    <xf numFmtId="14" fontId="133" fillId="24" borderId="12" xfId="310" quotePrefix="1" applyNumberFormat="1" applyFont="1" applyFill="1" applyBorder="1" applyAlignment="1">
      <alignment horizontal="center" vertical="center"/>
    </xf>
    <xf numFmtId="0" fontId="11" fillId="29" borderId="40" xfId="310" applyFont="1" applyFill="1" applyBorder="1"/>
    <xf numFmtId="0" fontId="140" fillId="0" borderId="40" xfId="0" applyFont="1" applyBorder="1" applyAlignment="1">
      <alignment horizontal="left" vertical="center" wrapText="1" indent="1"/>
    </xf>
    <xf numFmtId="0" fontId="294" fillId="0" borderId="40" xfId="0" applyFont="1" applyBorder="1" applyAlignment="1">
      <alignment horizontal="center" vertical="center" wrapText="1"/>
    </xf>
    <xf numFmtId="4" fontId="279" fillId="0" borderId="0" xfId="0" applyNumberFormat="1" applyFont="1" applyAlignment="1">
      <alignment vertical="center"/>
    </xf>
    <xf numFmtId="4" fontId="285" fillId="108" borderId="39" xfId="0" applyNumberFormat="1" applyFont="1" applyFill="1" applyBorder="1" applyAlignment="1">
      <alignment horizontal="center" vertical="center" wrapText="1"/>
    </xf>
    <xf numFmtId="4" fontId="279" fillId="90" borderId="40" xfId="0" applyNumberFormat="1" applyFont="1" applyFill="1" applyBorder="1"/>
    <xf numFmtId="4" fontId="287" fillId="0" borderId="40" xfId="0" applyNumberFormat="1" applyFont="1" applyBorder="1" applyAlignment="1">
      <alignment horizontal="center" vertical="center"/>
    </xf>
    <xf numFmtId="4" fontId="287" fillId="0" borderId="0" xfId="0" applyNumberFormat="1" applyFont="1" applyAlignment="1">
      <alignment horizontal="center" vertical="center"/>
    </xf>
    <xf numFmtId="4" fontId="279" fillId="0" borderId="0" xfId="0" applyNumberFormat="1" applyFont="1"/>
    <xf numFmtId="4" fontId="45" fillId="0" borderId="0" xfId="300" applyNumberFormat="1" applyAlignment="1">
      <alignment horizontal="center" vertical="center"/>
    </xf>
    <xf numFmtId="3" fontId="45" fillId="0" borderId="0" xfId="300" applyNumberFormat="1"/>
    <xf numFmtId="0" fontId="25" fillId="0" borderId="0" xfId="300" applyFont="1" applyAlignment="1">
      <alignment horizontal="right" vertical="center"/>
    </xf>
    <xf numFmtId="3" fontId="4" fillId="92" borderId="40" xfId="300" applyNumberFormat="1" applyFont="1" applyFill="1" applyBorder="1" applyAlignment="1" applyProtection="1">
      <alignment horizontal="right" vertical="center"/>
      <protection locked="0"/>
    </xf>
    <xf numFmtId="0" fontId="4" fillId="0" borderId="23" xfId="300" applyFont="1" applyBorder="1" applyAlignment="1">
      <alignment vertical="center"/>
    </xf>
    <xf numFmtId="0" fontId="4" fillId="0" borderId="34" xfId="300" applyFont="1" applyBorder="1" applyAlignment="1">
      <alignment vertical="center"/>
    </xf>
    <xf numFmtId="0" fontId="4" fillId="0" borderId="81" xfId="300" applyFont="1" applyBorder="1" applyAlignment="1">
      <alignment vertical="center"/>
    </xf>
    <xf numFmtId="4" fontId="155" fillId="0" borderId="99" xfId="300" applyNumberFormat="1" applyFont="1" applyBorder="1" applyAlignment="1">
      <alignment horizontal="center" vertical="center" wrapText="1"/>
    </xf>
    <xf numFmtId="4" fontId="150" fillId="0" borderId="105" xfId="300" applyNumberFormat="1" applyFont="1" applyBorder="1" applyAlignment="1">
      <alignment horizontal="center" vertical="center"/>
    </xf>
    <xf numFmtId="4" fontId="150" fillId="0" borderId="103" xfId="300" applyNumberFormat="1" applyFont="1" applyBorder="1" applyAlignment="1">
      <alignment horizontal="center" vertical="center"/>
    </xf>
    <xf numFmtId="4" fontId="150" fillId="0" borderId="33" xfId="300" applyNumberFormat="1" applyFont="1" applyBorder="1" applyAlignment="1">
      <alignment horizontal="center" vertical="center"/>
    </xf>
    <xf numFmtId="17" fontId="155" fillId="0" borderId="99" xfId="300" applyNumberFormat="1" applyFont="1" applyBorder="1" applyAlignment="1">
      <alignment horizontal="center" vertical="center"/>
    </xf>
    <xf numFmtId="17" fontId="155" fillId="0" borderId="103" xfId="300" applyNumberFormat="1" applyFont="1" applyBorder="1" applyAlignment="1">
      <alignment horizontal="center" vertical="center"/>
    </xf>
    <xf numFmtId="17" fontId="155" fillId="0" borderId="33" xfId="300" applyNumberFormat="1" applyFont="1" applyBorder="1" applyAlignment="1">
      <alignment horizontal="center" vertical="center"/>
    </xf>
    <xf numFmtId="3" fontId="132" fillId="0" borderId="23" xfId="300" applyNumberFormat="1" applyFont="1" applyBorder="1" applyAlignment="1" applyProtection="1">
      <alignment horizontal="right" vertical="center"/>
      <protection locked="0"/>
    </xf>
    <xf numFmtId="3" fontId="4" fillId="0" borderId="81" xfId="300" applyNumberFormat="1" applyFont="1" applyBorder="1" applyAlignment="1" applyProtection="1">
      <alignment horizontal="right" vertical="center"/>
      <protection locked="0"/>
    </xf>
    <xf numFmtId="3" fontId="4" fillId="0" borderId="42" xfId="300" applyNumberFormat="1" applyFont="1" applyBorder="1" applyAlignment="1" applyProtection="1">
      <alignment horizontal="right" vertical="center"/>
      <protection locked="0"/>
    </xf>
    <xf numFmtId="3" fontId="4" fillId="0" borderId="98" xfId="300" applyNumberFormat="1" applyFont="1" applyBorder="1" applyAlignment="1" applyProtection="1">
      <alignment horizontal="right" vertical="center"/>
      <protection locked="0"/>
    </xf>
    <xf numFmtId="4" fontId="150" fillId="0" borderId="24" xfId="300" applyNumberFormat="1" applyFont="1" applyBorder="1" applyAlignment="1">
      <alignment horizontal="center" vertical="center"/>
    </xf>
    <xf numFmtId="4" fontId="150" fillId="0" borderId="28" xfId="300" applyNumberFormat="1" applyFont="1" applyBorder="1" applyAlignment="1">
      <alignment horizontal="center" vertical="center"/>
    </xf>
    <xf numFmtId="4" fontId="296" fillId="0" borderId="0" xfId="0" applyNumberFormat="1" applyFont="1" applyAlignment="1">
      <alignment horizontal="center" vertical="center"/>
    </xf>
    <xf numFmtId="3" fontId="4" fillId="0" borderId="24" xfId="300" applyNumberFormat="1" applyFont="1" applyBorder="1" applyAlignment="1" applyProtection="1">
      <alignment horizontal="right" vertical="center"/>
      <protection locked="0"/>
    </xf>
    <xf numFmtId="3" fontId="4" fillId="0" borderId="28" xfId="300" applyNumberFormat="1" applyFont="1" applyBorder="1" applyAlignment="1" applyProtection="1">
      <alignment horizontal="right" vertical="center"/>
      <protection locked="0"/>
    </xf>
    <xf numFmtId="3" fontId="4" fillId="0" borderId="26" xfId="300" applyNumberFormat="1" applyFont="1" applyBorder="1" applyAlignment="1" applyProtection="1">
      <alignment horizontal="right" vertical="center"/>
      <protection locked="0"/>
    </xf>
    <xf numFmtId="4" fontId="297" fillId="0" borderId="40" xfId="0" applyNumberFormat="1" applyFont="1" applyBorder="1" applyAlignment="1">
      <alignment horizontal="center" vertical="center"/>
    </xf>
    <xf numFmtId="167" fontId="294" fillId="0" borderId="40" xfId="0" applyNumberFormat="1" applyFont="1" applyBorder="1" applyAlignment="1">
      <alignment horizontal="center" vertical="center"/>
    </xf>
    <xf numFmtId="17" fontId="294" fillId="0" borderId="40" xfId="0" applyNumberFormat="1" applyFont="1" applyBorder="1" applyAlignment="1">
      <alignment horizontal="center" vertical="center"/>
    </xf>
    <xf numFmtId="10" fontId="298" fillId="0" borderId="40" xfId="0" applyNumberFormat="1" applyFont="1" applyBorder="1" applyAlignment="1">
      <alignment horizontal="center" vertical="center"/>
    </xf>
    <xf numFmtId="0" fontId="294" fillId="0" borderId="40" xfId="0" applyFont="1" applyBorder="1" applyAlignment="1">
      <alignment horizontal="center" vertical="center"/>
    </xf>
    <xf numFmtId="10" fontId="208" fillId="24" borderId="101" xfId="324" applyNumberFormat="1" applyFont="1" applyFill="1" applyBorder="1" applyAlignment="1">
      <alignment horizontal="right" vertical="center"/>
    </xf>
    <xf numFmtId="10" fontId="238" fillId="24" borderId="105" xfId="324" applyNumberFormat="1" applyFont="1" applyFill="1" applyBorder="1" applyAlignment="1">
      <alignment horizontal="left" vertical="center"/>
    </xf>
    <xf numFmtId="10" fontId="209" fillId="24" borderId="100" xfId="324" applyNumberFormat="1" applyFont="1" applyFill="1" applyBorder="1" applyAlignment="1">
      <alignment horizontal="left" vertical="center"/>
    </xf>
    <xf numFmtId="10" fontId="209" fillId="24" borderId="100" xfId="324" applyNumberFormat="1" applyFont="1" applyFill="1" applyBorder="1" applyAlignment="1">
      <alignment horizontal="center" vertical="center"/>
    </xf>
    <xf numFmtId="10" fontId="209" fillId="24" borderId="100" xfId="324" applyNumberFormat="1" applyFont="1" applyFill="1" applyBorder="1" applyAlignment="1">
      <alignment horizontal="right" vertical="center"/>
    </xf>
    <xf numFmtId="10" fontId="208" fillId="24" borderId="56" xfId="324" applyNumberFormat="1" applyFont="1" applyFill="1" applyBorder="1" applyAlignment="1">
      <alignment horizontal="center" vertical="center"/>
    </xf>
    <xf numFmtId="10" fontId="208" fillId="24" borderId="103" xfId="324" applyNumberFormat="1" applyFont="1" applyFill="1" applyBorder="1" applyAlignment="1">
      <alignment horizontal="right" vertical="center"/>
    </xf>
    <xf numFmtId="10" fontId="208" fillId="24" borderId="103" xfId="324" applyNumberFormat="1" applyFont="1" applyFill="1" applyBorder="1" applyAlignment="1">
      <alignment horizontal="center" vertical="center"/>
    </xf>
    <xf numFmtId="10" fontId="238" fillId="24" borderId="103" xfId="324" applyNumberFormat="1" applyFont="1" applyFill="1" applyBorder="1" applyAlignment="1">
      <alignment horizontal="left" vertical="center"/>
    </xf>
    <xf numFmtId="10" fontId="208" fillId="24" borderId="33" xfId="324" applyNumberFormat="1" applyFont="1" applyFill="1" applyBorder="1" applyAlignment="1">
      <alignment horizontal="right" vertical="center"/>
    </xf>
    <xf numFmtId="10" fontId="208" fillId="30" borderId="101" xfId="324" applyNumberFormat="1" applyFont="1" applyFill="1" applyBorder="1" applyAlignment="1">
      <alignment horizontal="right" vertical="center"/>
    </xf>
    <xf numFmtId="10" fontId="238" fillId="30" borderId="105" xfId="324" applyNumberFormat="1" applyFont="1" applyFill="1" applyBorder="1" applyAlignment="1">
      <alignment horizontal="left" vertical="center"/>
    </xf>
    <xf numFmtId="10" fontId="209" fillId="30" borderId="100" xfId="324" applyNumberFormat="1" applyFont="1" applyFill="1" applyBorder="1" applyAlignment="1">
      <alignment horizontal="left" vertical="center"/>
    </xf>
    <xf numFmtId="10" fontId="209" fillId="30" borderId="100" xfId="324" applyNumberFormat="1" applyFont="1" applyFill="1" applyBorder="1" applyAlignment="1">
      <alignment horizontal="center" vertical="center"/>
    </xf>
    <xf numFmtId="10" fontId="209" fillId="30" borderId="100" xfId="324" applyNumberFormat="1" applyFont="1" applyFill="1" applyBorder="1" applyAlignment="1">
      <alignment horizontal="right" vertical="center"/>
    </xf>
    <xf numFmtId="10" fontId="208" fillId="30" borderId="105" xfId="324" applyNumberFormat="1" applyFont="1" applyFill="1" applyBorder="1" applyAlignment="1">
      <alignment horizontal="right" vertical="center"/>
    </xf>
    <xf numFmtId="10" fontId="208" fillId="30" borderId="103" xfId="324" applyNumberFormat="1" applyFont="1" applyFill="1" applyBorder="1" applyAlignment="1">
      <alignment horizontal="center" vertical="center"/>
    </xf>
    <xf numFmtId="10" fontId="208" fillId="30" borderId="103" xfId="324" applyNumberFormat="1" applyFont="1" applyFill="1" applyBorder="1" applyAlignment="1">
      <alignment horizontal="right" vertical="center"/>
    </xf>
    <xf numFmtId="10" fontId="238" fillId="30" borderId="103" xfId="324" applyNumberFormat="1" applyFont="1" applyFill="1" applyBorder="1" applyAlignment="1">
      <alignment horizontal="left" vertical="center"/>
    </xf>
    <xf numFmtId="10" fontId="208" fillId="30" borderId="33" xfId="324" applyNumberFormat="1" applyFont="1" applyFill="1" applyBorder="1" applyAlignment="1">
      <alignment horizontal="right" vertical="center"/>
    </xf>
    <xf numFmtId="0" fontId="281" fillId="0" borderId="40" xfId="0" quotePrefix="1" applyFont="1" applyBorder="1" applyAlignment="1">
      <alignment horizontal="center" vertical="center"/>
    </xf>
    <xf numFmtId="17" fontId="155" fillId="0" borderId="98" xfId="300" quotePrefix="1" applyNumberFormat="1" applyFont="1" applyBorder="1" applyAlignment="1">
      <alignment horizontal="center" vertical="center"/>
    </xf>
    <xf numFmtId="17" fontId="155" fillId="0" borderId="95" xfId="300" quotePrefix="1" applyNumberFormat="1" applyFont="1" applyBorder="1" applyAlignment="1">
      <alignment horizontal="center" vertical="center"/>
    </xf>
    <xf numFmtId="4" fontId="219" fillId="29" borderId="40" xfId="310" applyNumberFormat="1" applyFont="1" applyFill="1" applyBorder="1" applyAlignment="1">
      <alignment horizontal="right"/>
    </xf>
    <xf numFmtId="4" fontId="155" fillId="29" borderId="40" xfId="310" applyNumberFormat="1" applyFont="1" applyFill="1" applyBorder="1" applyAlignment="1">
      <alignment horizontal="left"/>
    </xf>
    <xf numFmtId="4" fontId="219" fillId="29" borderId="39" xfId="310" applyNumberFormat="1" applyFont="1" applyFill="1" applyBorder="1" applyAlignment="1">
      <alignment horizontal="right" vertical="center"/>
    </xf>
    <xf numFmtId="0" fontId="299" fillId="29" borderId="40" xfId="310" applyFont="1" applyFill="1" applyBorder="1"/>
    <xf numFmtId="0" fontId="30" fillId="29" borderId="39" xfId="310" applyFont="1" applyFill="1" applyBorder="1" applyAlignment="1">
      <alignment vertical="center"/>
    </xf>
    <xf numFmtId="3" fontId="4" fillId="32" borderId="34" xfId="300" applyNumberFormat="1" applyFont="1" applyFill="1" applyBorder="1" applyAlignment="1" applyProtection="1">
      <alignment horizontal="right" vertical="center"/>
      <protection locked="0"/>
    </xf>
    <xf numFmtId="3" fontId="4" fillId="32" borderId="40" xfId="300" applyNumberFormat="1" applyFont="1" applyFill="1" applyBorder="1" applyAlignment="1" applyProtection="1">
      <alignment horizontal="right" vertical="center"/>
      <protection locked="0"/>
    </xf>
    <xf numFmtId="17" fontId="155" fillId="0" borderId="44" xfId="300" applyNumberFormat="1" applyFont="1" applyBorder="1" applyAlignment="1">
      <alignment horizontal="center" vertical="center"/>
    </xf>
    <xf numFmtId="1" fontId="11" fillId="0" borderId="0" xfId="300" applyNumberFormat="1" applyFont="1" applyAlignment="1" applyProtection="1">
      <alignment horizontal="left" vertical="center" wrapText="1"/>
      <protection locked="0"/>
    </xf>
    <xf numFmtId="3" fontId="11" fillId="0" borderId="0" xfId="300" applyNumberFormat="1" applyFont="1" applyAlignment="1" applyProtection="1">
      <alignment horizontal="left" vertical="center" wrapText="1"/>
      <protection locked="0"/>
    </xf>
    <xf numFmtId="49" fontId="209" fillId="0" borderId="40" xfId="310" quotePrefix="1" applyNumberFormat="1" applyFont="1" applyBorder="1" applyAlignment="1">
      <alignment horizontal="left" vertical="center"/>
    </xf>
    <xf numFmtId="16" fontId="45" fillId="0" borderId="40" xfId="310" quotePrefix="1" applyNumberFormat="1" applyFont="1" applyBorder="1" applyAlignment="1">
      <alignment horizontal="left" vertical="center"/>
    </xf>
    <xf numFmtId="166" fontId="301" fillId="29" borderId="40" xfId="310" applyNumberFormat="1" applyFont="1" applyFill="1" applyBorder="1" applyAlignment="1">
      <alignment horizontal="right" vertical="center"/>
    </xf>
    <xf numFmtId="0" fontId="11" fillId="29" borderId="40" xfId="310" applyFont="1" applyFill="1" applyBorder="1" applyAlignment="1">
      <alignment horizontal="center"/>
    </xf>
    <xf numFmtId="4" fontId="300" fillId="29" borderId="40" xfId="310" applyNumberFormat="1" applyFont="1" applyFill="1" applyBorder="1" applyAlignment="1">
      <alignment vertical="center"/>
    </xf>
    <xf numFmtId="9" fontId="287" fillId="0" borderId="0" xfId="324" applyFont="1" applyAlignment="1">
      <alignment horizontal="center" vertical="center"/>
    </xf>
    <xf numFmtId="9" fontId="282" fillId="0" borderId="39" xfId="324" applyFont="1" applyBorder="1" applyAlignment="1">
      <alignment horizontal="center" vertical="center"/>
    </xf>
    <xf numFmtId="4" fontId="0" fillId="0" borderId="0" xfId="0" applyNumberFormat="1"/>
    <xf numFmtId="0" fontId="195" fillId="0" borderId="40" xfId="310" applyFont="1" applyBorder="1" applyAlignment="1">
      <alignment vertical="center"/>
    </xf>
    <xf numFmtId="16" fontId="45" fillId="0" borderId="40" xfId="310" quotePrefix="1" applyNumberFormat="1" applyFont="1" applyBorder="1" applyAlignment="1">
      <alignment vertical="center" wrapText="1"/>
    </xf>
    <xf numFmtId="4" fontId="34" fillId="26" borderId="111" xfId="310" applyNumberFormat="1" applyFont="1" applyFill="1" applyBorder="1" applyAlignment="1">
      <alignment horizontal="right" vertical="center"/>
    </xf>
    <xf numFmtId="4" fontId="155" fillId="29" borderId="29" xfId="310" applyNumberFormat="1" applyFont="1" applyFill="1" applyBorder="1" applyAlignment="1">
      <alignment horizontal="right" vertical="center"/>
    </xf>
    <xf numFmtId="4" fontId="155" fillId="29" borderId="29" xfId="310" applyNumberFormat="1" applyFont="1" applyFill="1" applyBorder="1" applyAlignment="1">
      <alignment vertical="center"/>
    </xf>
    <xf numFmtId="4" fontId="155" fillId="29" borderId="30" xfId="310" applyNumberFormat="1" applyFont="1" applyFill="1" applyBorder="1" applyAlignment="1">
      <alignment horizontal="right" vertical="center"/>
    </xf>
    <xf numFmtId="0" fontId="204" fillId="86" borderId="169" xfId="310" applyFont="1" applyFill="1" applyBorder="1" applyAlignment="1">
      <alignment horizontal="center" vertical="center" wrapText="1"/>
    </xf>
    <xf numFmtId="0" fontId="45" fillId="0" borderId="40" xfId="0" applyFont="1" applyBorder="1" applyAlignment="1">
      <alignment horizontal="left" vertical="center" wrapText="1"/>
    </xf>
    <xf numFmtId="0" fontId="34" fillId="29" borderId="36" xfId="310" applyFont="1" applyFill="1" applyBorder="1" applyAlignment="1">
      <alignment horizontal="left" vertical="center"/>
    </xf>
    <xf numFmtId="4" fontId="155" fillId="90" borderId="38" xfId="310" applyNumberFormat="1" applyFont="1" applyFill="1" applyBorder="1" applyAlignment="1">
      <alignment horizontal="right"/>
    </xf>
    <xf numFmtId="4" fontId="155" fillId="29" borderId="38" xfId="310" applyNumberFormat="1" applyFont="1" applyFill="1" applyBorder="1" applyAlignment="1">
      <alignment horizontal="right"/>
    </xf>
    <xf numFmtId="0" fontId="11" fillId="29" borderId="38" xfId="310" applyFont="1" applyFill="1" applyBorder="1"/>
    <xf numFmtId="4" fontId="155" fillId="27" borderId="38" xfId="310" applyNumberFormat="1" applyFont="1" applyFill="1" applyBorder="1" applyAlignment="1">
      <alignment horizontal="right"/>
    </xf>
    <xf numFmtId="4" fontId="155" fillId="90" borderId="41" xfId="310" applyNumberFormat="1" applyFont="1" applyFill="1" applyBorder="1" applyAlignment="1">
      <alignment horizontal="right"/>
    </xf>
    <xf numFmtId="4" fontId="155" fillId="29" borderId="41" xfId="310" applyNumberFormat="1" applyFont="1" applyFill="1" applyBorder="1" applyAlignment="1">
      <alignment horizontal="right"/>
    </xf>
    <xf numFmtId="4" fontId="155" fillId="29" borderId="41" xfId="310" applyNumberFormat="1" applyFont="1" applyFill="1" applyBorder="1" applyAlignment="1">
      <alignment horizontal="center"/>
    </xf>
    <xf numFmtId="0" fontId="11" fillId="29" borderId="41" xfId="310" applyFont="1" applyFill="1" applyBorder="1"/>
    <xf numFmtId="4" fontId="155" fillId="27" borderId="41" xfId="310" applyNumberFormat="1" applyFont="1" applyFill="1" applyBorder="1" applyAlignment="1">
      <alignment horizontal="right"/>
    </xf>
    <xf numFmtId="0" fontId="303" fillId="0" borderId="40" xfId="24462" applyFont="1" applyBorder="1" applyAlignment="1">
      <alignment vertical="center"/>
    </xf>
    <xf numFmtId="0" fontId="303" fillId="31" borderId="40" xfId="24462" applyFont="1" applyFill="1" applyBorder="1" applyAlignment="1">
      <alignment vertical="center"/>
    </xf>
    <xf numFmtId="0" fontId="193" fillId="90" borderId="40" xfId="24462" applyFont="1" applyFill="1" applyBorder="1" applyAlignment="1">
      <alignment vertical="center"/>
    </xf>
    <xf numFmtId="0" fontId="34" fillId="27" borderId="40" xfId="310" applyFont="1" applyFill="1" applyBorder="1" applyAlignment="1">
      <alignment horizontal="left" vertical="center"/>
    </xf>
    <xf numFmtId="43" fontId="155" fillId="29" borderId="40" xfId="38703" applyFont="1" applyFill="1" applyBorder="1" applyAlignment="1">
      <alignment horizontal="center"/>
    </xf>
    <xf numFmtId="43" fontId="155" fillId="29" borderId="40" xfId="38703" applyFont="1" applyFill="1" applyBorder="1" applyAlignment="1">
      <alignment horizontal="right"/>
    </xf>
    <xf numFmtId="4" fontId="219" fillId="29" borderId="41" xfId="310" applyNumberFormat="1" applyFont="1" applyFill="1" applyBorder="1" applyAlignment="1">
      <alignment horizontal="right"/>
    </xf>
    <xf numFmtId="4" fontId="155" fillId="27" borderId="96" xfId="310" applyNumberFormat="1" applyFont="1" applyFill="1" applyBorder="1" applyAlignment="1">
      <alignment horizontal="right"/>
    </xf>
    <xf numFmtId="4" fontId="155" fillId="0" borderId="228" xfId="310" applyNumberFormat="1" applyFont="1" applyBorder="1" applyAlignment="1">
      <alignment horizontal="right"/>
    </xf>
    <xf numFmtId="4" fontId="135" fillId="0" borderId="101" xfId="310" applyNumberFormat="1" applyFont="1" applyBorder="1" applyAlignment="1">
      <alignment horizontal="right"/>
    </xf>
    <xf numFmtId="4" fontId="155" fillId="27" borderId="76" xfId="310" applyNumberFormat="1" applyFont="1" applyFill="1" applyBorder="1" applyAlignment="1">
      <alignment horizontal="right"/>
    </xf>
    <xf numFmtId="4" fontId="135" fillId="0" borderId="120" xfId="310" applyNumberFormat="1" applyFont="1" applyBorder="1" applyAlignment="1">
      <alignment horizontal="center" vertical="center"/>
    </xf>
    <xf numFmtId="4" fontId="155" fillId="0" borderId="33" xfId="310" applyNumberFormat="1" applyFont="1" applyBorder="1" applyAlignment="1">
      <alignment horizontal="right" vertical="center"/>
    </xf>
    <xf numFmtId="4" fontId="34" fillId="24" borderId="211" xfId="310" applyNumberFormat="1" applyFont="1" applyFill="1" applyBorder="1" applyAlignment="1">
      <alignment horizontal="right" vertical="center"/>
    </xf>
    <xf numFmtId="0" fontId="155" fillId="29" borderId="41" xfId="310" applyFont="1" applyFill="1" applyBorder="1"/>
    <xf numFmtId="4" fontId="219" fillId="27" borderId="41" xfId="310" applyNumberFormat="1" applyFont="1" applyFill="1" applyBorder="1" applyAlignment="1">
      <alignment horizontal="right"/>
    </xf>
    <xf numFmtId="4" fontId="155" fillId="0" borderId="229" xfId="310" applyNumberFormat="1" applyFont="1" applyBorder="1" applyAlignment="1">
      <alignment horizontal="right" vertical="center"/>
    </xf>
    <xf numFmtId="10" fontId="155" fillId="0" borderId="224" xfId="324" applyNumberFormat="1" applyFont="1" applyFill="1" applyBorder="1" applyAlignment="1">
      <alignment horizontal="right" vertical="center"/>
    </xf>
    <xf numFmtId="4" fontId="155" fillId="26" borderId="112" xfId="310" applyNumberFormat="1" applyFont="1" applyFill="1" applyBorder="1" applyAlignment="1">
      <alignment horizontal="right" vertical="center"/>
    </xf>
    <xf numFmtId="4" fontId="224" fillId="0" borderId="68" xfId="310" applyNumberFormat="1" applyFont="1" applyBorder="1" applyAlignment="1">
      <alignment horizontal="right"/>
    </xf>
    <xf numFmtId="4" fontId="155" fillId="0" borderId="68" xfId="310" applyNumberFormat="1" applyFont="1" applyBorder="1" applyAlignment="1">
      <alignment horizontal="right"/>
    </xf>
    <xf numFmtId="4" fontId="220" fillId="24" borderId="101" xfId="310" applyNumberFormat="1" applyFont="1" applyFill="1" applyBorder="1" applyAlignment="1">
      <alignment horizontal="right" vertical="center"/>
    </xf>
    <xf numFmtId="4" fontId="155" fillId="0" borderId="96" xfId="310" applyNumberFormat="1" applyFont="1" applyBorder="1" applyAlignment="1">
      <alignment horizontal="right" vertical="center"/>
    </xf>
    <xf numFmtId="4" fontId="34" fillId="24" borderId="91" xfId="310" applyNumberFormat="1" applyFont="1" applyFill="1" applyBorder="1" applyAlignment="1">
      <alignment horizontal="right" vertical="center"/>
    </xf>
    <xf numFmtId="4" fontId="243" fillId="27" borderId="102" xfId="310" applyNumberFormat="1" applyFont="1" applyFill="1" applyBorder="1" applyAlignment="1">
      <alignment horizontal="right"/>
    </xf>
    <xf numFmtId="4" fontId="34" fillId="0" borderId="230" xfId="310" applyNumberFormat="1" applyFont="1" applyBorder="1" applyAlignment="1">
      <alignment horizontal="right" vertical="center"/>
    </xf>
    <xf numFmtId="4" fontId="34" fillId="0" borderId="30" xfId="310" applyNumberFormat="1" applyFont="1" applyBorder="1" applyAlignment="1">
      <alignment horizontal="right" vertical="center"/>
    </xf>
    <xf numFmtId="4" fontId="34" fillId="0" borderId="31" xfId="310" applyNumberFormat="1" applyFont="1" applyBorder="1" applyAlignment="1">
      <alignment horizontal="right" vertical="center"/>
    </xf>
    <xf numFmtId="4" fontId="155" fillId="27" borderId="103" xfId="310" applyNumberFormat="1" applyFont="1" applyFill="1" applyBorder="1" applyAlignment="1">
      <alignment horizontal="right"/>
    </xf>
    <xf numFmtId="4" fontId="243" fillId="27" borderId="104" xfId="310" applyNumberFormat="1" applyFont="1" applyFill="1" applyBorder="1" applyAlignment="1">
      <alignment horizontal="right"/>
    </xf>
    <xf numFmtId="0" fontId="10" fillId="0" borderId="0" xfId="310" applyFont="1"/>
    <xf numFmtId="4" fontId="25" fillId="0" borderId="0" xfId="310" applyNumberFormat="1" applyFont="1"/>
    <xf numFmtId="187" fontId="134" fillId="0" borderId="0" xfId="310" applyNumberFormat="1" applyFont="1" applyAlignment="1">
      <alignment vertical="center"/>
    </xf>
    <xf numFmtId="4" fontId="242" fillId="29" borderId="40" xfId="310" applyNumberFormat="1" applyFont="1" applyFill="1" applyBorder="1" applyAlignment="1">
      <alignment horizontal="left"/>
    </xf>
    <xf numFmtId="4" fontId="233" fillId="29" borderId="40" xfId="310" applyNumberFormat="1" applyFont="1" applyFill="1" applyBorder="1" applyAlignment="1">
      <alignment horizontal="right" vertical="center"/>
    </xf>
    <xf numFmtId="0" fontId="216" fillId="27" borderId="40" xfId="310" applyFont="1" applyFill="1" applyBorder="1" applyAlignment="1">
      <alignment horizontal="left" vertical="center"/>
    </xf>
    <xf numFmtId="4" fontId="155" fillId="90" borderId="39" xfId="310" applyNumberFormat="1" applyFont="1" applyFill="1" applyBorder="1" applyAlignment="1">
      <alignment horizontal="right"/>
    </xf>
    <xf numFmtId="4" fontId="243" fillId="0" borderId="38" xfId="310" applyNumberFormat="1" applyFont="1" applyBorder="1" applyAlignment="1">
      <alignment horizontal="right"/>
    </xf>
    <xf numFmtId="4" fontId="135" fillId="0" borderId="117" xfId="310" applyNumberFormat="1" applyFont="1" applyBorder="1" applyAlignment="1">
      <alignment horizontal="right"/>
    </xf>
    <xf numFmtId="4" fontId="248" fillId="0" borderId="38" xfId="310" applyNumberFormat="1" applyFont="1" applyBorder="1" applyAlignment="1">
      <alignment horizontal="center" vertical="center"/>
    </xf>
    <xf numFmtId="4" fontId="244" fillId="0" borderId="117" xfId="310" applyNumberFormat="1" applyFont="1" applyBorder="1" applyAlignment="1">
      <alignment horizontal="right" vertical="center"/>
    </xf>
    <xf numFmtId="4" fontId="155" fillId="29" borderId="39" xfId="310" applyNumberFormat="1" applyFont="1" applyFill="1" applyBorder="1" applyAlignment="1">
      <alignment horizontal="right"/>
    </xf>
    <xf numFmtId="4" fontId="155" fillId="27" borderId="94" xfId="310" applyNumberFormat="1" applyFont="1" applyFill="1" applyBorder="1" applyAlignment="1">
      <alignment horizontal="right"/>
    </xf>
    <xf numFmtId="4" fontId="155" fillId="24" borderId="85" xfId="310" applyNumberFormat="1" applyFont="1" applyFill="1" applyBorder="1" applyAlignment="1">
      <alignment horizontal="right" vertical="center"/>
    </xf>
    <xf numFmtId="10" fontId="34" fillId="0" borderId="34" xfId="310" applyNumberFormat="1" applyFont="1" applyBorder="1" applyAlignment="1" applyProtection="1">
      <alignment vertical="center"/>
      <protection locked="0"/>
    </xf>
    <xf numFmtId="10" fontId="34" fillId="91" borderId="34" xfId="310" applyNumberFormat="1" applyFont="1" applyFill="1" applyBorder="1" applyAlignment="1" applyProtection="1">
      <alignment vertical="center"/>
      <protection locked="0"/>
    </xf>
    <xf numFmtId="0" fontId="34" fillId="0" borderId="34" xfId="310" applyFont="1" applyBorder="1" applyAlignment="1" applyProtection="1">
      <alignment vertical="center"/>
      <protection locked="0"/>
    </xf>
    <xf numFmtId="10" fontId="230" fillId="0" borderId="34" xfId="310" applyNumberFormat="1" applyFont="1" applyBorder="1" applyAlignment="1" applyProtection="1">
      <alignment vertical="center"/>
      <protection locked="0"/>
    </xf>
    <xf numFmtId="16" fontId="45" fillId="0" borderId="40" xfId="310" quotePrefix="1" applyNumberFormat="1" applyFont="1" applyBorder="1" applyAlignment="1">
      <alignment horizontal="left" vertical="center" wrapText="1"/>
    </xf>
    <xf numFmtId="174" fontId="45" fillId="0" borderId="0" xfId="324" applyNumberFormat="1" applyFont="1"/>
    <xf numFmtId="4" fontId="216" fillId="29" borderId="40" xfId="310" applyNumberFormat="1" applyFont="1" applyFill="1" applyBorder="1" applyAlignment="1">
      <alignment horizontal="left"/>
    </xf>
    <xf numFmtId="4" fontId="219" fillId="27" borderId="40" xfId="310" applyNumberFormat="1" applyFont="1" applyFill="1" applyBorder="1" applyAlignment="1">
      <alignment horizontal="right"/>
    </xf>
    <xf numFmtId="166" fontId="11" fillId="0" borderId="0" xfId="310" applyNumberFormat="1" applyFont="1"/>
    <xf numFmtId="4" fontId="305" fillId="29" borderId="40" xfId="310" applyNumberFormat="1" applyFont="1" applyFill="1" applyBorder="1" applyAlignment="1">
      <alignment horizontal="right"/>
    </xf>
    <xf numFmtId="43" fontId="11" fillId="0" borderId="0" xfId="38703" quotePrefix="1" applyFont="1" applyAlignment="1">
      <alignment horizontal="center"/>
    </xf>
    <xf numFmtId="43" fontId="11" fillId="0" borderId="0" xfId="38703" applyFont="1"/>
    <xf numFmtId="0" fontId="154" fillId="0" borderId="24" xfId="310" applyFont="1" applyBorder="1" applyAlignment="1">
      <alignment horizontal="left" vertical="center" wrapText="1"/>
    </xf>
    <xf numFmtId="0" fontId="201" fillId="0" borderId="28" xfId="310" applyFont="1" applyBorder="1" applyAlignment="1">
      <alignment horizontal="left" vertical="center" wrapText="1"/>
    </xf>
    <xf numFmtId="4" fontId="305" fillId="27" borderId="40" xfId="310" applyNumberFormat="1" applyFont="1" applyFill="1" applyBorder="1" applyAlignment="1">
      <alignment horizontal="right"/>
    </xf>
    <xf numFmtId="16" fontId="45" fillId="0" borderId="40" xfId="310" quotePrefix="1" applyNumberFormat="1" applyFont="1" applyBorder="1" applyAlignment="1">
      <alignment vertical="center"/>
    </xf>
    <xf numFmtId="0" fontId="45" fillId="0" borderId="40" xfId="0" applyFont="1" applyBorder="1" applyAlignment="1">
      <alignment vertical="center" wrapText="1"/>
    </xf>
    <xf numFmtId="43" fontId="219" fillId="29" borderId="40" xfId="38703" applyFont="1" applyFill="1" applyBorder="1" applyAlignment="1">
      <alignment horizontal="right"/>
    </xf>
    <xf numFmtId="43" fontId="10" fillId="0" borderId="0" xfId="38703" applyFont="1"/>
    <xf numFmtId="43" fontId="139" fillId="0" borderId="0" xfId="38703" applyFont="1"/>
    <xf numFmtId="0" fontId="158" fillId="29" borderId="40" xfId="310" applyFont="1" applyFill="1" applyBorder="1" applyAlignment="1">
      <alignment vertical="center"/>
    </xf>
    <xf numFmtId="0" fontId="135" fillId="26" borderId="34" xfId="310" applyFont="1" applyFill="1" applyBorder="1" applyAlignment="1">
      <alignment horizontal="left" vertical="center" wrapText="1"/>
    </xf>
    <xf numFmtId="0" fontId="24" fillId="91" borderId="40" xfId="310" applyFont="1" applyFill="1" applyBorder="1" applyAlignment="1">
      <alignment horizontal="left" vertical="center" indent="1"/>
    </xf>
    <xf numFmtId="4" fontId="34" fillId="91" borderId="36" xfId="310" applyNumberFormat="1" applyFont="1" applyFill="1" applyBorder="1" applyAlignment="1">
      <alignment horizontal="right" vertical="center"/>
    </xf>
    <xf numFmtId="4" fontId="155" fillId="29" borderId="36" xfId="310" applyNumberFormat="1" applyFont="1" applyFill="1" applyBorder="1" applyAlignment="1">
      <alignment horizontal="right" vertical="center"/>
    </xf>
    <xf numFmtId="166" fontId="290" fillId="29" borderId="40" xfId="310" applyNumberFormat="1" applyFont="1" applyFill="1" applyBorder="1" applyAlignment="1">
      <alignment horizontal="right" vertical="center"/>
    </xf>
    <xf numFmtId="166" fontId="34" fillId="0" borderId="95" xfId="310" applyNumberFormat="1" applyFont="1" applyBorder="1" applyAlignment="1">
      <alignment horizontal="right" vertical="center"/>
    </xf>
    <xf numFmtId="4" fontId="34" fillId="0" borderId="95" xfId="310" applyNumberFormat="1" applyFont="1" applyBorder="1" applyAlignment="1">
      <alignment horizontal="right" vertical="center"/>
    </xf>
    <xf numFmtId="166" fontId="223" fillId="24" borderId="140" xfId="310" applyNumberFormat="1" applyFont="1" applyFill="1" applyBorder="1" applyAlignment="1">
      <alignment horizontal="right"/>
    </xf>
    <xf numFmtId="4" fontId="155" fillId="0" borderId="48" xfId="310" applyNumberFormat="1" applyFont="1" applyBorder="1" applyAlignment="1">
      <alignment horizontal="right"/>
    </xf>
    <xf numFmtId="166" fontId="155" fillId="0" borderId="18" xfId="310" applyNumberFormat="1" applyFont="1" applyBorder="1" applyAlignment="1">
      <alignment horizontal="right"/>
    </xf>
    <xf numFmtId="4" fontId="72" fillId="0" borderId="77" xfId="310" applyNumberFormat="1" applyFont="1" applyBorder="1" applyAlignment="1">
      <alignment horizontal="right" vertical="center"/>
    </xf>
    <xf numFmtId="4" fontId="72" fillId="0" borderId="130" xfId="310" applyNumberFormat="1" applyFont="1" applyBorder="1" applyAlignment="1">
      <alignment horizontal="right" vertical="center"/>
    </xf>
    <xf numFmtId="4" fontId="34" fillId="0" borderId="94" xfId="310" applyNumberFormat="1" applyFont="1" applyBorder="1" applyAlignment="1">
      <alignment horizontal="right" vertical="center"/>
    </xf>
    <xf numFmtId="43" fontId="306" fillId="29" borderId="40" xfId="38703" applyFont="1" applyFill="1" applyBorder="1" applyAlignment="1">
      <alignment horizontal="center"/>
    </xf>
    <xf numFmtId="4" fontId="34" fillId="26" borderId="40" xfId="310" applyNumberFormat="1" applyFont="1" applyFill="1" applyBorder="1" applyAlignment="1">
      <alignment horizontal="right" vertical="center"/>
    </xf>
    <xf numFmtId="0" fontId="208" fillId="87" borderId="33" xfId="310" applyFont="1" applyFill="1" applyBorder="1" applyAlignment="1">
      <alignment horizontal="left" vertical="center"/>
    </xf>
    <xf numFmtId="4" fontId="155" fillId="27" borderId="97" xfId="310" applyNumberFormat="1" applyFont="1" applyFill="1" applyBorder="1" applyAlignment="1">
      <alignment horizontal="right"/>
    </xf>
    <xf numFmtId="49" fontId="202" fillId="0" borderId="40" xfId="310" quotePrefix="1" applyNumberFormat="1" applyFont="1" applyBorder="1" applyAlignment="1">
      <alignment horizontal="left" vertical="center"/>
    </xf>
    <xf numFmtId="3" fontId="4" fillId="109" borderId="40" xfId="300" applyNumberFormat="1" applyFont="1" applyFill="1" applyBorder="1" applyAlignment="1" applyProtection="1">
      <alignment horizontal="right" vertical="center"/>
      <protection locked="0"/>
    </xf>
    <xf numFmtId="3" fontId="4" fillId="109" borderId="34" xfId="300" applyNumberFormat="1" applyFont="1" applyFill="1" applyBorder="1" applyAlignment="1" applyProtection="1">
      <alignment horizontal="right" vertical="center"/>
      <protection locked="0"/>
    </xf>
    <xf numFmtId="188" fontId="11" fillId="0" borderId="0" xfId="300" quotePrefix="1" applyNumberFormat="1" applyFont="1" applyAlignment="1" applyProtection="1">
      <alignment horizontal="right" vertical="center"/>
      <protection locked="0"/>
    </xf>
    <xf numFmtId="3" fontId="11" fillId="0" borderId="0" xfId="300" quotePrefix="1" applyNumberFormat="1" applyFont="1" applyAlignment="1" applyProtection="1">
      <alignment horizontal="right" vertical="center"/>
      <protection locked="0"/>
    </xf>
    <xf numFmtId="0" fontId="30" fillId="29" borderId="38" xfId="310" applyFont="1" applyFill="1" applyBorder="1" applyAlignment="1">
      <alignment vertical="center"/>
    </xf>
    <xf numFmtId="43" fontId="302" fillId="29" borderId="40" xfId="38703" applyFont="1" applyFill="1" applyBorder="1"/>
    <xf numFmtId="4" fontId="22" fillId="0" borderId="0" xfId="310" applyNumberFormat="1" applyFont="1" applyAlignment="1">
      <alignment horizontal="left"/>
    </xf>
    <xf numFmtId="0" fontId="204" fillId="86" borderId="231" xfId="310" applyFont="1" applyFill="1" applyBorder="1" applyAlignment="1">
      <alignment horizontal="center" vertical="center" wrapText="1"/>
    </xf>
    <xf numFmtId="4" fontId="34" fillId="26" borderId="38" xfId="310" applyNumberFormat="1" applyFont="1" applyFill="1" applyBorder="1" applyAlignment="1">
      <alignment horizontal="right" vertical="center"/>
    </xf>
    <xf numFmtId="4" fontId="224" fillId="90" borderId="38" xfId="310" applyNumberFormat="1" applyFont="1" applyFill="1" applyBorder="1" applyAlignment="1">
      <alignment horizontal="right"/>
    </xf>
    <xf numFmtId="43" fontId="155" fillId="29" borderId="38" xfId="38703" applyFont="1" applyFill="1" applyBorder="1" applyAlignment="1">
      <alignment horizontal="right"/>
    </xf>
    <xf numFmtId="4" fontId="155" fillId="29" borderId="38" xfId="310" applyNumberFormat="1" applyFont="1" applyFill="1" applyBorder="1" applyAlignment="1">
      <alignment horizontal="center"/>
    </xf>
    <xf numFmtId="0" fontId="155" fillId="29" borderId="38" xfId="310" applyFont="1" applyFill="1" applyBorder="1"/>
    <xf numFmtId="10" fontId="155" fillId="0" borderId="85" xfId="324" applyNumberFormat="1" applyFont="1" applyFill="1" applyBorder="1" applyAlignment="1">
      <alignment horizontal="right" vertical="center"/>
    </xf>
    <xf numFmtId="4" fontId="155" fillId="26" borderId="38" xfId="310" applyNumberFormat="1" applyFont="1" applyFill="1" applyBorder="1" applyAlignment="1">
      <alignment horizontal="center" vertical="center"/>
    </xf>
    <xf numFmtId="4" fontId="221" fillId="0" borderId="102" xfId="310" applyNumberFormat="1" applyFont="1" applyBorder="1" applyAlignment="1">
      <alignment horizontal="right" vertical="center"/>
    </xf>
    <xf numFmtId="0" fontId="204" fillId="86" borderId="232" xfId="310" applyFont="1" applyFill="1" applyBorder="1" applyAlignment="1">
      <alignment horizontal="center" vertical="center" wrapText="1"/>
    </xf>
    <xf numFmtId="17" fontId="153" fillId="0" borderId="233" xfId="310" applyNumberFormat="1" applyFont="1" applyBorder="1" applyAlignment="1">
      <alignment horizontal="center" vertical="center"/>
    </xf>
    <xf numFmtId="4" fontId="34" fillId="26" borderId="234" xfId="310" applyNumberFormat="1" applyFont="1" applyFill="1" applyBorder="1" applyAlignment="1">
      <alignment horizontal="right" vertical="center"/>
    </xf>
    <xf numFmtId="4" fontId="34" fillId="91" borderId="234" xfId="310" applyNumberFormat="1" applyFont="1" applyFill="1" applyBorder="1" applyAlignment="1">
      <alignment horizontal="right" vertical="center"/>
    </xf>
    <xf numFmtId="4" fontId="155" fillId="29" borderId="234" xfId="310" applyNumberFormat="1" applyFont="1" applyFill="1" applyBorder="1" applyAlignment="1">
      <alignment horizontal="right" vertical="center"/>
    </xf>
    <xf numFmtId="4" fontId="155" fillId="27" borderId="234" xfId="310" applyNumberFormat="1" applyFont="1" applyFill="1" applyBorder="1" applyAlignment="1">
      <alignment horizontal="right" vertical="center"/>
    </xf>
    <xf numFmtId="4" fontId="155" fillId="29" borderId="234" xfId="310" applyNumberFormat="1" applyFont="1" applyFill="1" applyBorder="1" applyAlignment="1">
      <alignment vertical="center"/>
    </xf>
    <xf numFmtId="4" fontId="233" fillId="27" borderId="234" xfId="310" applyNumberFormat="1" applyFont="1" applyFill="1" applyBorder="1" applyAlignment="1">
      <alignment horizontal="right" vertical="center"/>
    </xf>
    <xf numFmtId="0" fontId="30" fillId="29" borderId="234" xfId="310" applyFont="1" applyFill="1" applyBorder="1" applyAlignment="1">
      <alignment vertical="center"/>
    </xf>
    <xf numFmtId="4" fontId="34" fillId="27" borderId="235" xfId="310" applyNumberFormat="1" applyFont="1" applyFill="1" applyBorder="1" applyAlignment="1">
      <alignment horizontal="right" vertical="center"/>
    </xf>
    <xf numFmtId="4" fontId="34" fillId="0" borderId="234" xfId="310" applyNumberFormat="1" applyFont="1" applyBorder="1" applyAlignment="1">
      <alignment horizontal="right" vertical="center"/>
    </xf>
    <xf numFmtId="4" fontId="34" fillId="0" borderId="236" xfId="310" applyNumberFormat="1" applyFont="1" applyBorder="1" applyAlignment="1">
      <alignment horizontal="right" vertical="center"/>
    </xf>
    <xf numFmtId="4" fontId="72" fillId="0" borderId="237" xfId="310" applyNumberFormat="1" applyFont="1" applyBorder="1" applyAlignment="1">
      <alignment horizontal="right" vertical="center"/>
    </xf>
    <xf numFmtId="4" fontId="224" fillId="90" borderId="234" xfId="310" applyNumberFormat="1" applyFont="1" applyFill="1" applyBorder="1" applyAlignment="1">
      <alignment horizontal="right"/>
    </xf>
    <xf numFmtId="43" fontId="306" fillId="29" borderId="234" xfId="38703" applyFont="1" applyFill="1" applyBorder="1" applyAlignment="1">
      <alignment horizontal="center"/>
    </xf>
    <xf numFmtId="43" fontId="155" fillId="29" borderId="234" xfId="38703" applyFont="1" applyFill="1" applyBorder="1" applyAlignment="1">
      <alignment horizontal="right"/>
    </xf>
    <xf numFmtId="4" fontId="155" fillId="90" borderId="234" xfId="310" applyNumberFormat="1" applyFont="1" applyFill="1" applyBorder="1" applyAlignment="1">
      <alignment horizontal="right"/>
    </xf>
    <xf numFmtId="4" fontId="155" fillId="29" borderId="234" xfId="310" applyNumberFormat="1" applyFont="1" applyFill="1" applyBorder="1" applyAlignment="1">
      <alignment horizontal="center"/>
    </xf>
    <xf numFmtId="0" fontId="11" fillId="29" borderId="234" xfId="310" applyFont="1" applyFill="1" applyBorder="1"/>
    <xf numFmtId="4" fontId="155" fillId="29" borderId="234" xfId="310" applyNumberFormat="1" applyFont="1" applyFill="1" applyBorder="1" applyAlignment="1">
      <alignment horizontal="right"/>
    </xf>
    <xf numFmtId="0" fontId="155" fillId="29" borderId="234" xfId="310" applyFont="1" applyFill="1" applyBorder="1"/>
    <xf numFmtId="4" fontId="305" fillId="29" borderId="234" xfId="310" applyNumberFormat="1" applyFont="1" applyFill="1" applyBorder="1" applyAlignment="1">
      <alignment horizontal="right"/>
    </xf>
    <xf numFmtId="4" fontId="155" fillId="27" borderId="234" xfId="310" applyNumberFormat="1" applyFont="1" applyFill="1" applyBorder="1" applyAlignment="1">
      <alignment horizontal="right"/>
    </xf>
    <xf numFmtId="4" fontId="155" fillId="27" borderId="238" xfId="310" applyNumberFormat="1" applyFont="1" applyFill="1" applyBorder="1" applyAlignment="1">
      <alignment horizontal="right"/>
    </xf>
    <xf numFmtId="4" fontId="243" fillId="0" borderId="239" xfId="310" applyNumberFormat="1" applyFont="1" applyBorder="1" applyAlignment="1">
      <alignment horizontal="right"/>
    </xf>
    <xf numFmtId="4" fontId="135" fillId="0" borderId="240" xfId="310" applyNumberFormat="1" applyFont="1" applyBorder="1" applyAlignment="1">
      <alignment horizontal="right"/>
    </xf>
    <xf numFmtId="4" fontId="243" fillId="27" borderId="241" xfId="310" applyNumberFormat="1" applyFont="1" applyFill="1" applyBorder="1" applyAlignment="1">
      <alignment horizontal="right"/>
    </xf>
    <xf numFmtId="4" fontId="34" fillId="0" borderId="242" xfId="310" applyNumberFormat="1" applyFont="1" applyBorder="1" applyAlignment="1">
      <alignment horizontal="right" vertical="center"/>
    </xf>
    <xf numFmtId="4" fontId="248" fillId="0" borderId="240" xfId="310" applyNumberFormat="1" applyFont="1" applyBorder="1" applyAlignment="1">
      <alignment horizontal="center" vertical="center"/>
    </xf>
    <xf numFmtId="4" fontId="244" fillId="0" borderId="243" xfId="310" applyNumberFormat="1" applyFont="1" applyBorder="1" applyAlignment="1">
      <alignment horizontal="right" vertical="center"/>
    </xf>
    <xf numFmtId="4" fontId="34" fillId="24" borderId="244" xfId="310" applyNumberFormat="1" applyFont="1" applyFill="1" applyBorder="1" applyAlignment="1">
      <alignment horizontal="right" vertical="center"/>
    </xf>
    <xf numFmtId="4" fontId="155" fillId="0" borderId="245" xfId="310" applyNumberFormat="1" applyFont="1" applyBorder="1" applyAlignment="1">
      <alignment horizontal="right" vertical="center"/>
    </xf>
    <xf numFmtId="10" fontId="155" fillId="0" borderId="246" xfId="324" applyNumberFormat="1" applyFont="1" applyFill="1" applyBorder="1" applyAlignment="1">
      <alignment horizontal="right" vertical="center"/>
    </xf>
    <xf numFmtId="4" fontId="244" fillId="26" borderId="247" xfId="310" applyNumberFormat="1" applyFont="1" applyFill="1" applyBorder="1" applyAlignment="1">
      <alignment horizontal="right" vertical="center"/>
    </xf>
    <xf numFmtId="4" fontId="243" fillId="0" borderId="234" xfId="310" applyNumberFormat="1" applyFont="1" applyBorder="1" applyAlignment="1">
      <alignment horizontal="right"/>
    </xf>
    <xf numFmtId="4" fontId="155" fillId="27" borderId="236" xfId="310" applyNumberFormat="1" applyFont="1" applyFill="1" applyBorder="1" applyAlignment="1">
      <alignment horizontal="right"/>
    </xf>
    <xf numFmtId="4" fontId="220" fillId="24" borderId="243" xfId="310" applyNumberFormat="1" applyFont="1" applyFill="1" applyBorder="1" applyAlignment="1">
      <alignment horizontal="right" vertical="center"/>
    </xf>
    <xf numFmtId="4" fontId="243" fillId="0" borderId="248" xfId="310" applyNumberFormat="1" applyFont="1" applyBorder="1" applyAlignment="1">
      <alignment horizontal="right" vertical="center"/>
    </xf>
    <xf numFmtId="4" fontId="34" fillId="24" borderId="249" xfId="310" applyNumberFormat="1" applyFont="1" applyFill="1" applyBorder="1" applyAlignment="1">
      <alignment horizontal="right" vertical="center"/>
    </xf>
    <xf numFmtId="4" fontId="201" fillId="105" borderId="234" xfId="310" applyNumberFormat="1" applyFont="1" applyFill="1" applyBorder="1" applyAlignment="1">
      <alignment horizontal="right" vertical="center"/>
    </xf>
    <xf numFmtId="4" fontId="154" fillId="0" borderId="241" xfId="310" applyNumberFormat="1" applyFont="1" applyBorder="1" applyAlignment="1">
      <alignment horizontal="right" vertical="top"/>
    </xf>
    <xf numFmtId="4" fontId="155" fillId="85" borderId="243" xfId="310" applyNumberFormat="1" applyFont="1" applyFill="1" applyBorder="1" applyAlignment="1">
      <alignment horizontal="right" vertical="center"/>
    </xf>
    <xf numFmtId="4" fontId="155" fillId="24" borderId="244" xfId="310" applyNumberFormat="1" applyFont="1" applyFill="1" applyBorder="1" applyAlignment="1">
      <alignment horizontal="right" vertical="center"/>
    </xf>
    <xf numFmtId="4" fontId="155" fillId="24" borderId="250" xfId="310" applyNumberFormat="1" applyFont="1" applyFill="1" applyBorder="1" applyAlignment="1">
      <alignment horizontal="right" vertical="center"/>
    </xf>
    <xf numFmtId="10" fontId="155" fillId="0" borderId="251" xfId="324" applyNumberFormat="1" applyFont="1" applyFill="1" applyBorder="1" applyAlignment="1">
      <alignment horizontal="right" vertical="center"/>
    </xf>
    <xf numFmtId="4" fontId="155" fillId="26" borderId="252" xfId="310" applyNumberFormat="1" applyFont="1" applyFill="1" applyBorder="1" applyAlignment="1">
      <alignment horizontal="center" vertical="center"/>
    </xf>
    <xf numFmtId="4" fontId="224" fillId="27" borderId="253" xfId="310" applyNumberFormat="1" applyFont="1" applyFill="1" applyBorder="1" applyAlignment="1">
      <alignment horizontal="right"/>
    </xf>
    <xf numFmtId="4" fontId="224" fillId="27" borderId="254" xfId="310" applyNumberFormat="1" applyFont="1" applyFill="1" applyBorder="1" applyAlignment="1">
      <alignment horizontal="right"/>
    </xf>
    <xf numFmtId="4" fontId="224" fillId="27" borderId="255" xfId="310" applyNumberFormat="1" applyFont="1" applyFill="1" applyBorder="1" applyAlignment="1">
      <alignment horizontal="right"/>
    </xf>
    <xf numFmtId="4" fontId="239" fillId="27" borderId="255" xfId="310" applyNumberFormat="1" applyFont="1" applyFill="1" applyBorder="1" applyAlignment="1">
      <alignment horizontal="right"/>
    </xf>
    <xf numFmtId="4" fontId="155" fillId="27" borderId="255" xfId="310" applyNumberFormat="1" applyFont="1" applyFill="1" applyBorder="1" applyAlignment="1">
      <alignment horizontal="right"/>
    </xf>
    <xf numFmtId="4" fontId="239" fillId="27" borderId="256" xfId="310" applyNumberFormat="1" applyFont="1" applyFill="1" applyBorder="1" applyAlignment="1">
      <alignment horizontal="right"/>
    </xf>
    <xf numFmtId="4" fontId="221" fillId="0" borderId="257" xfId="310" applyNumberFormat="1" applyFont="1" applyBorder="1" applyAlignment="1">
      <alignment horizontal="right" vertical="center"/>
    </xf>
    <xf numFmtId="4" fontId="155" fillId="0" borderId="257" xfId="310" applyNumberFormat="1" applyFont="1" applyBorder="1" applyAlignment="1">
      <alignment horizontal="right" vertical="center"/>
    </xf>
    <xf numFmtId="10" fontId="155" fillId="24" borderId="257" xfId="310" applyNumberFormat="1" applyFont="1" applyFill="1" applyBorder="1" applyAlignment="1">
      <alignment horizontal="right" vertical="center"/>
    </xf>
    <xf numFmtId="2" fontId="155" fillId="0" borderId="241" xfId="310" applyNumberFormat="1" applyFont="1" applyBorder="1" applyAlignment="1">
      <alignment horizontal="right" vertical="center"/>
    </xf>
    <xf numFmtId="10" fontId="155" fillId="30" borderId="257" xfId="310" applyNumberFormat="1" applyFont="1" applyFill="1" applyBorder="1" applyAlignment="1">
      <alignment horizontal="right" vertical="center"/>
    </xf>
    <xf numFmtId="4" fontId="154" fillId="0" borderId="241" xfId="310" applyNumberFormat="1" applyFont="1" applyBorder="1" applyAlignment="1">
      <alignment horizontal="right"/>
    </xf>
    <xf numFmtId="17" fontId="155" fillId="26" borderId="258" xfId="310" applyNumberFormat="1" applyFont="1" applyFill="1" applyBorder="1" applyAlignment="1">
      <alignment horizontal="right" vertical="center"/>
    </xf>
    <xf numFmtId="4" fontId="218" fillId="27" borderId="259" xfId="310" applyNumberFormat="1" applyFont="1" applyFill="1" applyBorder="1" applyAlignment="1">
      <alignment horizontal="right"/>
    </xf>
    <xf numFmtId="4" fontId="239" fillId="27" borderId="259" xfId="310" applyNumberFormat="1" applyFont="1" applyFill="1" applyBorder="1" applyAlignment="1">
      <alignment horizontal="right"/>
    </xf>
    <xf numFmtId="4" fontId="155" fillId="24" borderId="260" xfId="310" applyNumberFormat="1" applyFont="1" applyFill="1" applyBorder="1" applyAlignment="1">
      <alignment horizontal="right" vertical="center"/>
    </xf>
    <xf numFmtId="4" fontId="188" fillId="29" borderId="40" xfId="310" applyNumberFormat="1" applyFont="1" applyFill="1" applyBorder="1" applyAlignment="1">
      <alignment horizontal="right" vertical="center"/>
    </xf>
    <xf numFmtId="0" fontId="135" fillId="83" borderId="0" xfId="310" applyFont="1" applyFill="1" applyAlignment="1">
      <alignment vertical="center" wrapText="1"/>
    </xf>
    <xf numFmtId="0" fontId="154" fillId="0" borderId="111" xfId="310" applyFont="1" applyBorder="1" applyAlignment="1">
      <alignment horizontal="center" vertical="center" wrapText="1"/>
    </xf>
    <xf numFmtId="10" fontId="34" fillId="91" borderId="36" xfId="310" applyNumberFormat="1" applyFont="1" applyFill="1" applyBorder="1" applyAlignment="1" applyProtection="1">
      <alignment vertical="center"/>
      <protection locked="0"/>
    </xf>
    <xf numFmtId="166" fontId="215" fillId="29" borderId="36" xfId="310" applyNumberFormat="1" applyFont="1" applyFill="1" applyBorder="1" applyAlignment="1">
      <alignment horizontal="right" vertical="center"/>
    </xf>
    <xf numFmtId="166" fontId="215" fillId="27" borderId="36" xfId="310" applyNumberFormat="1" applyFont="1" applyFill="1" applyBorder="1" applyAlignment="1">
      <alignment horizontal="right" vertical="center"/>
    </xf>
    <xf numFmtId="166" fontId="215" fillId="27" borderId="185" xfId="310" applyNumberFormat="1" applyFont="1" applyFill="1" applyBorder="1" applyAlignment="1">
      <alignment horizontal="right" vertical="center"/>
    </xf>
    <xf numFmtId="166" fontId="215" fillId="27" borderId="0" xfId="310" applyNumberFormat="1" applyFont="1" applyFill="1" applyAlignment="1">
      <alignment horizontal="right" vertical="center"/>
    </xf>
    <xf numFmtId="10" fontId="155" fillId="0" borderId="22" xfId="324" applyNumberFormat="1" applyFont="1" applyFill="1" applyBorder="1" applyAlignment="1" applyProtection="1">
      <alignment vertical="center"/>
      <protection locked="0"/>
    </xf>
    <xf numFmtId="4" fontId="155" fillId="26" borderId="0" xfId="310" applyNumberFormat="1" applyFont="1" applyFill="1" applyAlignment="1">
      <alignment horizontal="center" vertical="center"/>
    </xf>
    <xf numFmtId="4" fontId="155" fillId="0" borderId="53" xfId="310" applyNumberFormat="1" applyFont="1" applyBorder="1" applyProtection="1">
      <protection locked="0"/>
    </xf>
    <xf numFmtId="4" fontId="155" fillId="0" borderId="65" xfId="310" applyNumberFormat="1" applyFont="1" applyBorder="1" applyProtection="1">
      <protection locked="0"/>
    </xf>
    <xf numFmtId="4" fontId="155" fillId="0" borderId="185" xfId="310" applyNumberFormat="1" applyFont="1" applyBorder="1" applyAlignment="1" applyProtection="1">
      <alignment horizontal="center"/>
      <protection locked="0"/>
    </xf>
    <xf numFmtId="10" fontId="34" fillId="24" borderId="100" xfId="310" applyNumberFormat="1" applyFont="1" applyFill="1" applyBorder="1" applyAlignment="1" applyProtection="1">
      <alignment horizontal="right" vertical="center"/>
      <protection locked="0"/>
    </xf>
    <xf numFmtId="10" fontId="239" fillId="0" borderId="22" xfId="310" applyNumberFormat="1" applyFont="1" applyBorder="1" applyAlignment="1" applyProtection="1">
      <alignment vertical="center"/>
      <protection locked="0"/>
    </xf>
    <xf numFmtId="10" fontId="34" fillId="24" borderId="20" xfId="310" applyNumberFormat="1" applyFont="1" applyFill="1" applyBorder="1" applyAlignment="1" applyProtection="1">
      <alignment vertical="center"/>
      <protection locked="0"/>
    </xf>
    <xf numFmtId="4" fontId="188" fillId="29" borderId="40" xfId="310" applyNumberFormat="1" applyFont="1" applyFill="1" applyBorder="1" applyAlignment="1">
      <alignment vertical="center"/>
    </xf>
    <xf numFmtId="4" fontId="188" fillId="0" borderId="40" xfId="310" applyNumberFormat="1" applyFont="1" applyBorder="1" applyAlignment="1">
      <alignment horizontal="right" vertical="center"/>
    </xf>
    <xf numFmtId="4" fontId="308" fillId="0" borderId="40" xfId="310" applyNumberFormat="1" applyFont="1" applyBorder="1" applyAlignment="1">
      <alignment horizontal="right" vertical="center"/>
    </xf>
    <xf numFmtId="166" fontId="187" fillId="29" borderId="40" xfId="310" applyNumberFormat="1" applyFont="1" applyFill="1" applyBorder="1" applyAlignment="1">
      <alignment horizontal="right" vertical="center"/>
    </xf>
    <xf numFmtId="4" fontId="187" fillId="0" borderId="40" xfId="310" applyNumberFormat="1" applyFont="1" applyBorder="1" applyAlignment="1">
      <alignment horizontal="right" vertical="center"/>
    </xf>
    <xf numFmtId="166" fontId="309" fillId="27" borderId="39" xfId="310" applyNumberFormat="1" applyFont="1" applyFill="1" applyBorder="1" applyAlignment="1">
      <alignment horizontal="right" vertical="center"/>
    </xf>
    <xf numFmtId="166" fontId="309" fillId="27" borderId="36" xfId="310" applyNumberFormat="1" applyFont="1" applyFill="1" applyBorder="1" applyAlignment="1">
      <alignment horizontal="right" vertical="center"/>
    </xf>
    <xf numFmtId="4" fontId="188" fillId="27" borderId="40" xfId="310" applyNumberFormat="1" applyFont="1" applyFill="1" applyBorder="1" applyAlignment="1">
      <alignment horizontal="right" vertical="center"/>
    </xf>
    <xf numFmtId="0" fontId="135" fillId="0" borderId="24" xfId="310" applyFont="1" applyBorder="1" applyAlignment="1">
      <alignment horizontal="center" vertical="center" wrapText="1"/>
    </xf>
    <xf numFmtId="0" fontId="135" fillId="0" borderId="28" xfId="310" applyFont="1" applyBorder="1" applyAlignment="1">
      <alignment horizontal="center" vertical="center" wrapText="1"/>
    </xf>
    <xf numFmtId="0" fontId="135" fillId="0" borderId="26" xfId="310" applyFont="1" applyBorder="1" applyAlignment="1">
      <alignment horizontal="center" vertical="center" wrapText="1"/>
    </xf>
    <xf numFmtId="0" fontId="135" fillId="0" borderId="98" xfId="310" applyFont="1" applyBorder="1" applyAlignment="1">
      <alignment horizontal="center" vertical="center" wrapText="1"/>
    </xf>
    <xf numFmtId="0" fontId="135" fillId="0" borderId="95" xfId="310" applyFont="1" applyBorder="1" applyAlignment="1">
      <alignment horizontal="center" vertical="center" wrapText="1"/>
    </xf>
    <xf numFmtId="0" fontId="135" fillId="0" borderId="96" xfId="310" applyFont="1" applyBorder="1" applyAlignment="1">
      <alignment horizontal="center" vertical="center" wrapText="1"/>
    </xf>
    <xf numFmtId="4" fontId="155" fillId="0" borderId="14" xfId="310" applyNumberFormat="1" applyFont="1" applyBorder="1" applyAlignment="1">
      <alignment horizontal="center" vertical="center" wrapText="1"/>
    </xf>
    <xf numFmtId="4" fontId="155" fillId="0" borderId="16" xfId="310" applyNumberFormat="1" applyFont="1" applyBorder="1" applyAlignment="1">
      <alignment horizontal="center" vertical="center" wrapText="1"/>
    </xf>
    <xf numFmtId="4" fontId="155" fillId="0" borderId="19" xfId="310" applyNumberFormat="1" applyFont="1" applyBorder="1" applyAlignment="1">
      <alignment horizontal="center" vertical="center" wrapText="1"/>
    </xf>
    <xf numFmtId="4" fontId="155" fillId="0" borderId="21" xfId="310" applyNumberFormat="1" applyFont="1" applyBorder="1" applyAlignment="1">
      <alignment horizontal="center" vertical="center" wrapText="1"/>
    </xf>
    <xf numFmtId="0" fontId="311" fillId="27" borderId="40" xfId="310" applyFont="1" applyFill="1" applyBorder="1" applyAlignment="1">
      <alignment horizontal="center" vertical="center"/>
    </xf>
    <xf numFmtId="0" fontId="311" fillId="27" borderId="40" xfId="310" applyFont="1" applyFill="1" applyBorder="1" applyAlignment="1">
      <alignment horizontal="left" vertical="center"/>
    </xf>
    <xf numFmtId="0" fontId="312" fillId="27" borderId="40" xfId="310" applyFont="1" applyFill="1" applyBorder="1" applyAlignment="1">
      <alignment horizontal="center" vertical="center"/>
    </xf>
    <xf numFmtId="4" fontId="187" fillId="31" borderId="40" xfId="310" applyNumberFormat="1" applyFont="1" applyFill="1" applyBorder="1" applyAlignment="1">
      <alignment horizontal="right" vertical="center"/>
    </xf>
    <xf numFmtId="4" fontId="310" fillId="27" borderId="40" xfId="310" applyNumberFormat="1" applyFont="1" applyFill="1" applyBorder="1" applyAlignment="1">
      <alignment horizontal="right" vertical="center"/>
    </xf>
    <xf numFmtId="4" fontId="313" fillId="0" borderId="40" xfId="310" applyNumberFormat="1" applyFont="1" applyBorder="1" applyAlignment="1">
      <alignment horizontal="right" vertical="center"/>
    </xf>
    <xf numFmtId="0" fontId="312" fillId="27" borderId="40" xfId="310" applyFont="1" applyFill="1" applyBorder="1" applyAlignment="1">
      <alignment vertical="center" wrapText="1"/>
    </xf>
    <xf numFmtId="4" fontId="308" fillId="27" borderId="40" xfId="310" applyNumberFormat="1" applyFont="1" applyFill="1" applyBorder="1" applyAlignment="1">
      <alignment horizontal="right" vertical="center"/>
    </xf>
    <xf numFmtId="0" fontId="314" fillId="27" borderId="40" xfId="310" applyFont="1" applyFill="1" applyBorder="1" applyAlignment="1">
      <alignment horizontal="left"/>
    </xf>
    <xf numFmtId="0" fontId="314" fillId="27" borderId="40" xfId="310" applyFont="1" applyFill="1" applyBorder="1" applyAlignment="1">
      <alignment horizontal="center" vertical="center"/>
    </xf>
    <xf numFmtId="166" fontId="314" fillId="27" borderId="40" xfId="310" applyNumberFormat="1" applyFont="1" applyFill="1" applyBorder="1" applyAlignment="1">
      <alignment horizontal="right" vertical="center"/>
    </xf>
    <xf numFmtId="10" fontId="187" fillId="0" borderId="34" xfId="310" applyNumberFormat="1" applyFont="1" applyBorder="1" applyAlignment="1" applyProtection="1">
      <alignment vertical="center"/>
      <protection locked="0"/>
    </xf>
    <xf numFmtId="4" fontId="315" fillId="27" borderId="40" xfId="310" applyNumberFormat="1" applyFont="1" applyFill="1" applyBorder="1" applyAlignment="1">
      <alignment horizontal="right" vertical="center"/>
    </xf>
    <xf numFmtId="4" fontId="188" fillId="27" borderId="39" xfId="310" applyNumberFormat="1" applyFont="1" applyFill="1" applyBorder="1" applyAlignment="1">
      <alignment horizontal="right" vertical="center"/>
    </xf>
    <xf numFmtId="4" fontId="187" fillId="0" borderId="40" xfId="310" applyNumberFormat="1" applyFont="1" applyBorder="1" applyAlignment="1">
      <alignment vertical="center"/>
    </xf>
    <xf numFmtId="4" fontId="316" fillId="0" borderId="40" xfId="310" applyNumberFormat="1" applyFont="1" applyBorder="1" applyAlignment="1">
      <alignment vertical="center"/>
    </xf>
    <xf numFmtId="4" fontId="310" fillId="0" borderId="40" xfId="310" applyNumberFormat="1" applyFont="1" applyBorder="1" applyAlignment="1">
      <alignment horizontal="center" vertical="center"/>
    </xf>
    <xf numFmtId="4" fontId="310" fillId="0" borderId="40" xfId="251" applyNumberFormat="1" applyFont="1" applyFill="1" applyBorder="1" applyAlignment="1">
      <alignment horizontal="right" vertical="center"/>
    </xf>
    <xf numFmtId="4" fontId="189" fillId="0" borderId="0" xfId="310" applyNumberFormat="1" applyFont="1" applyAlignment="1">
      <alignment vertical="center"/>
    </xf>
    <xf numFmtId="4" fontId="190" fillId="0" borderId="0" xfId="310" applyNumberFormat="1" applyFont="1" applyAlignment="1">
      <alignment vertical="center"/>
    </xf>
    <xf numFmtId="4" fontId="34" fillId="0" borderId="149" xfId="310" applyNumberFormat="1" applyFont="1" applyBorder="1" applyAlignment="1">
      <alignment horizontal="right" vertical="center"/>
    </xf>
    <xf numFmtId="4" fontId="72" fillId="0" borderId="86" xfId="310" applyNumberFormat="1" applyFont="1" applyBorder="1" applyAlignment="1">
      <alignment horizontal="right" vertical="center"/>
    </xf>
    <xf numFmtId="4" fontId="155" fillId="29" borderId="39" xfId="310" applyNumberFormat="1" applyFont="1" applyFill="1" applyBorder="1" applyAlignment="1">
      <alignment horizontal="center"/>
    </xf>
    <xf numFmtId="4" fontId="219" fillId="29" borderId="39" xfId="310" applyNumberFormat="1" applyFont="1" applyFill="1" applyBorder="1" applyAlignment="1">
      <alignment horizontal="right"/>
    </xf>
    <xf numFmtId="0" fontId="11" fillId="29" borderId="39" xfId="310" applyFont="1" applyFill="1" applyBorder="1"/>
    <xf numFmtId="4" fontId="155" fillId="27" borderId="39" xfId="310" applyNumberFormat="1" applyFont="1" applyFill="1" applyBorder="1" applyAlignment="1">
      <alignment horizontal="right"/>
    </xf>
    <xf numFmtId="4" fontId="135" fillId="0" borderId="100" xfId="310" applyNumberFormat="1" applyFont="1" applyBorder="1" applyAlignment="1">
      <alignment horizontal="right"/>
    </xf>
    <xf numFmtId="4" fontId="135" fillId="0" borderId="220" xfId="310" applyNumberFormat="1" applyFont="1" applyBorder="1" applyAlignment="1">
      <alignment horizontal="center" vertical="center"/>
    </xf>
    <xf numFmtId="4" fontId="155" fillId="0" borderId="100" xfId="310" applyNumberFormat="1" applyFont="1" applyBorder="1" applyAlignment="1">
      <alignment horizontal="right" vertical="center"/>
    </xf>
    <xf numFmtId="4" fontId="220" fillId="24" borderId="100" xfId="310" applyNumberFormat="1" applyFont="1" applyFill="1" applyBorder="1" applyAlignment="1">
      <alignment horizontal="right" vertical="center"/>
    </xf>
    <xf numFmtId="4" fontId="224" fillId="0" borderId="97" xfId="310" applyNumberFormat="1" applyFont="1" applyBorder="1" applyAlignment="1">
      <alignment horizontal="right" vertical="center"/>
    </xf>
    <xf numFmtId="4" fontId="155" fillId="26" borderId="261" xfId="310" applyNumberFormat="1" applyFont="1" applyFill="1" applyBorder="1" applyAlignment="1">
      <alignment horizontal="center" vertical="center"/>
    </xf>
    <xf numFmtId="4" fontId="224" fillId="27" borderId="59" xfId="310" applyNumberFormat="1" applyFont="1" applyFill="1" applyBorder="1" applyAlignment="1">
      <alignment horizontal="right"/>
    </xf>
    <xf numFmtId="4" fontId="221" fillId="0" borderId="104" xfId="310" applyNumberFormat="1" applyFont="1" applyBorder="1" applyAlignment="1">
      <alignment horizontal="right" vertical="center"/>
    </xf>
    <xf numFmtId="4" fontId="155" fillId="0" borderId="104" xfId="310" applyNumberFormat="1" applyFont="1" applyBorder="1" applyAlignment="1">
      <alignment horizontal="right" vertical="center"/>
    </xf>
    <xf numFmtId="10" fontId="155" fillId="24" borderId="104" xfId="310" applyNumberFormat="1" applyFont="1" applyFill="1" applyBorder="1" applyAlignment="1">
      <alignment horizontal="right" vertical="center"/>
    </xf>
    <xf numFmtId="10" fontId="155" fillId="30" borderId="104" xfId="310" applyNumberFormat="1" applyFont="1" applyFill="1" applyBorder="1" applyAlignment="1">
      <alignment horizontal="right" vertical="center"/>
    </xf>
    <xf numFmtId="17" fontId="155" fillId="26" borderId="92" xfId="310" applyNumberFormat="1" applyFont="1" applyFill="1" applyBorder="1" applyAlignment="1">
      <alignment horizontal="right" vertical="center"/>
    </xf>
    <xf numFmtId="4" fontId="155" fillId="24" borderId="262" xfId="310" applyNumberFormat="1" applyFont="1" applyFill="1" applyBorder="1" applyAlignment="1">
      <alignment horizontal="right" vertical="center"/>
    </xf>
    <xf numFmtId="17" fontId="153" fillId="0" borderId="265" xfId="310" applyNumberFormat="1" applyFont="1" applyBorder="1" applyAlignment="1">
      <alignment horizontal="center" vertical="center"/>
    </xf>
    <xf numFmtId="4" fontId="155" fillId="26" borderId="264" xfId="310" applyNumberFormat="1" applyFont="1" applyFill="1" applyBorder="1" applyAlignment="1">
      <alignment horizontal="right" vertical="center"/>
    </xf>
    <xf numFmtId="4" fontId="34" fillId="91" borderId="266" xfId="310" applyNumberFormat="1" applyFont="1" applyFill="1" applyBorder="1" applyAlignment="1">
      <alignment horizontal="right" vertical="center"/>
    </xf>
    <xf numFmtId="4" fontId="155" fillId="29" borderId="265" xfId="310" applyNumberFormat="1" applyFont="1" applyFill="1" applyBorder="1" applyAlignment="1">
      <alignment horizontal="right" vertical="center"/>
    </xf>
    <xf numFmtId="4" fontId="155" fillId="29" borderId="266" xfId="310" applyNumberFormat="1" applyFont="1" applyFill="1" applyBorder="1" applyAlignment="1">
      <alignment vertical="center"/>
    </xf>
    <xf numFmtId="4" fontId="155" fillId="29" borderId="266" xfId="310" applyNumberFormat="1" applyFont="1" applyFill="1" applyBorder="1" applyAlignment="1">
      <alignment horizontal="right" vertical="center"/>
    </xf>
    <xf numFmtId="4" fontId="155" fillId="91" borderId="266" xfId="310" applyNumberFormat="1" applyFont="1" applyFill="1" applyBorder="1" applyAlignment="1">
      <alignment horizontal="right" vertical="center"/>
    </xf>
    <xf numFmtId="0" fontId="30" fillId="29" borderId="266" xfId="310" applyFont="1" applyFill="1" applyBorder="1" applyAlignment="1">
      <alignment vertical="center"/>
    </xf>
    <xf numFmtId="4" fontId="155" fillId="27" borderId="266" xfId="310" applyNumberFormat="1" applyFont="1" applyFill="1" applyBorder="1" applyAlignment="1">
      <alignment horizontal="right" vertical="center"/>
    </xf>
    <xf numFmtId="4" fontId="224" fillId="27" borderId="266" xfId="310" applyNumberFormat="1" applyFont="1" applyFill="1" applyBorder="1" applyAlignment="1">
      <alignment horizontal="right" vertical="center"/>
    </xf>
    <xf numFmtId="4" fontId="308" fillId="27" borderId="266" xfId="310" applyNumberFormat="1" applyFont="1" applyFill="1" applyBorder="1" applyAlignment="1">
      <alignment horizontal="right" vertical="center"/>
    </xf>
    <xf numFmtId="4" fontId="224" fillId="29" borderId="266" xfId="310" applyNumberFormat="1" applyFont="1" applyFill="1" applyBorder="1" applyAlignment="1">
      <alignment horizontal="right" vertical="center"/>
    </xf>
    <xf numFmtId="4" fontId="231" fillId="29" borderId="266" xfId="310" applyNumberFormat="1" applyFont="1" applyFill="1" applyBorder="1" applyAlignment="1">
      <alignment horizontal="right" vertical="center"/>
    </xf>
    <xf numFmtId="4" fontId="224" fillId="27" borderId="267" xfId="310" applyNumberFormat="1" applyFont="1" applyFill="1" applyBorder="1" applyAlignment="1">
      <alignment horizontal="right" vertical="center"/>
    </xf>
    <xf numFmtId="4" fontId="155" fillId="0" borderId="266" xfId="310" applyNumberFormat="1" applyFont="1" applyBorder="1" applyAlignment="1">
      <alignment horizontal="right" vertical="center"/>
    </xf>
    <xf numFmtId="4" fontId="155" fillId="0" borderId="267" xfId="310" applyNumberFormat="1" applyFont="1" applyBorder="1" applyAlignment="1">
      <alignment horizontal="right" vertical="center"/>
    </xf>
    <xf numFmtId="4" fontId="45" fillId="0" borderId="269" xfId="310" applyNumberFormat="1" applyFont="1" applyBorder="1" applyAlignment="1">
      <alignment horizontal="right" vertical="center"/>
    </xf>
    <xf numFmtId="4" fontId="155" fillId="90" borderId="266" xfId="310" applyNumberFormat="1" applyFont="1" applyFill="1" applyBorder="1" applyAlignment="1">
      <alignment horizontal="right"/>
    </xf>
    <xf numFmtId="4" fontId="219" fillId="29" borderId="266" xfId="310" applyNumberFormat="1" applyFont="1" applyFill="1" applyBorder="1" applyAlignment="1">
      <alignment horizontal="right"/>
    </xf>
    <xf numFmtId="4" fontId="155" fillId="29" borderId="266" xfId="310" applyNumberFormat="1" applyFont="1" applyFill="1" applyBorder="1" applyAlignment="1">
      <alignment horizontal="center"/>
    </xf>
    <xf numFmtId="4" fontId="155" fillId="29" borderId="266" xfId="310" applyNumberFormat="1" applyFont="1" applyFill="1" applyBorder="1" applyAlignment="1">
      <alignment horizontal="right"/>
    </xf>
    <xf numFmtId="0" fontId="155" fillId="29" borderId="266" xfId="310" applyFont="1" applyFill="1" applyBorder="1"/>
    <xf numFmtId="4" fontId="155" fillId="27" borderId="266" xfId="310" applyNumberFormat="1" applyFont="1" applyFill="1" applyBorder="1" applyAlignment="1">
      <alignment horizontal="right"/>
    </xf>
    <xf numFmtId="4" fontId="155" fillId="27" borderId="270" xfId="310" applyNumberFormat="1" applyFont="1" applyFill="1" applyBorder="1" applyAlignment="1">
      <alignment horizontal="right"/>
    </xf>
    <xf numFmtId="4" fontId="224" fillId="0" borderId="271" xfId="310" applyNumberFormat="1" applyFont="1" applyBorder="1" applyAlignment="1">
      <alignment horizontal="right"/>
    </xf>
    <xf numFmtId="4" fontId="45" fillId="0" borderId="272" xfId="310" applyNumberFormat="1" applyFont="1" applyBorder="1" applyAlignment="1">
      <alignment horizontal="right"/>
    </xf>
    <xf numFmtId="4" fontId="224" fillId="27" borderId="273" xfId="310" applyNumberFormat="1" applyFont="1" applyFill="1" applyBorder="1" applyAlignment="1">
      <alignment horizontal="right"/>
    </xf>
    <xf numFmtId="4" fontId="155" fillId="0" borderId="274" xfId="310" applyNumberFormat="1" applyFont="1" applyBorder="1" applyAlignment="1">
      <alignment horizontal="right" vertical="center"/>
    </xf>
    <xf numFmtId="4" fontId="45" fillId="0" borderId="273" xfId="1" applyNumberFormat="1" applyFont="1" applyBorder="1"/>
    <xf numFmtId="4" fontId="155" fillId="0" borderId="272" xfId="310" applyNumberFormat="1" applyFont="1" applyBorder="1" applyAlignment="1">
      <alignment horizontal="right" vertical="center"/>
    </xf>
    <xf numFmtId="4" fontId="34" fillId="83" borderId="272" xfId="310" applyNumberFormat="1" applyFont="1" applyFill="1" applyBorder="1" applyAlignment="1">
      <alignment horizontal="right" vertical="center"/>
    </xf>
    <xf numFmtId="4" fontId="155" fillId="0" borderId="275" xfId="310" applyNumberFormat="1" applyFont="1" applyBorder="1" applyAlignment="1">
      <alignment horizontal="right" vertical="center"/>
    </xf>
    <xf numFmtId="10" fontId="155" fillId="0" borderId="276" xfId="324" applyNumberFormat="1" applyFont="1" applyFill="1" applyBorder="1" applyAlignment="1">
      <alignment horizontal="right" vertical="center"/>
    </xf>
    <xf numFmtId="4" fontId="155" fillId="26" borderId="270" xfId="310" applyNumberFormat="1" applyFont="1" applyFill="1" applyBorder="1" applyAlignment="1">
      <alignment horizontal="right" vertical="center"/>
    </xf>
    <xf numFmtId="4" fontId="224" fillId="0" borderId="277" xfId="310" applyNumberFormat="1" applyFont="1" applyBorder="1" applyAlignment="1">
      <alignment horizontal="right"/>
    </xf>
    <xf numFmtId="4" fontId="224" fillId="0" borderId="278" xfId="310" applyNumberFormat="1" applyFont="1" applyBorder="1" applyAlignment="1">
      <alignment horizontal="right"/>
    </xf>
    <xf numFmtId="4" fontId="155" fillId="27" borderId="276" xfId="310" applyNumberFormat="1" applyFont="1" applyFill="1" applyBorder="1" applyAlignment="1">
      <alignment horizontal="right"/>
    </xf>
    <xf numFmtId="4" fontId="155" fillId="24" borderId="272" xfId="310" applyNumberFormat="1" applyFont="1" applyFill="1" applyBorder="1" applyAlignment="1">
      <alignment horizontal="right" vertical="center"/>
    </xf>
    <xf numFmtId="4" fontId="224" fillId="0" borderId="276" xfId="310" applyNumberFormat="1" applyFont="1" applyBorder="1" applyAlignment="1">
      <alignment horizontal="right" vertical="center"/>
    </xf>
    <xf numFmtId="4" fontId="154" fillId="0" borderId="279" xfId="310" applyNumberFormat="1" applyFont="1" applyBorder="1" applyAlignment="1">
      <alignment horizontal="right" vertical="center"/>
    </xf>
    <xf numFmtId="4" fontId="154" fillId="0" borderId="280" xfId="310" applyNumberFormat="1" applyFont="1" applyBorder="1" applyAlignment="1">
      <alignment horizontal="right" vertical="top"/>
    </xf>
    <xf numFmtId="4" fontId="155" fillId="85" borderId="272" xfId="310" applyNumberFormat="1" applyFont="1" applyFill="1" applyBorder="1" applyAlignment="1">
      <alignment horizontal="right" vertical="center"/>
    </xf>
    <xf numFmtId="4" fontId="155" fillId="24" borderId="269" xfId="310" applyNumberFormat="1" applyFont="1" applyFill="1" applyBorder="1" applyAlignment="1">
      <alignment horizontal="right" vertical="center"/>
    </xf>
    <xf numFmtId="10" fontId="155" fillId="0" borderId="269" xfId="324" applyNumberFormat="1" applyFont="1" applyFill="1" applyBorder="1" applyAlignment="1">
      <alignment horizontal="right" vertical="center"/>
    </xf>
    <xf numFmtId="4" fontId="155" fillId="26" borderId="266" xfId="310" applyNumberFormat="1" applyFont="1" applyFill="1" applyBorder="1" applyAlignment="1">
      <alignment horizontal="center" vertical="center"/>
    </xf>
    <xf numFmtId="4" fontId="224" fillId="27" borderId="277" xfId="310" applyNumberFormat="1" applyFont="1" applyFill="1" applyBorder="1" applyAlignment="1">
      <alignment horizontal="right"/>
    </xf>
    <xf numFmtId="4" fontId="224" fillId="27" borderId="278" xfId="310" applyNumberFormat="1" applyFont="1" applyFill="1" applyBorder="1" applyAlignment="1">
      <alignment horizontal="right"/>
    </xf>
    <xf numFmtId="4" fontId="155" fillId="27" borderId="278" xfId="310" applyNumberFormat="1" applyFont="1" applyFill="1" applyBorder="1" applyAlignment="1">
      <alignment horizontal="right"/>
    </xf>
    <xf numFmtId="4" fontId="224" fillId="27" borderId="281" xfId="310" applyNumberFormat="1" applyFont="1" applyFill="1" applyBorder="1" applyAlignment="1">
      <alignment horizontal="right"/>
    </xf>
    <xf numFmtId="10" fontId="155" fillId="24" borderId="272" xfId="310" applyNumberFormat="1" applyFont="1" applyFill="1" applyBorder="1" applyAlignment="1">
      <alignment horizontal="right" vertical="center"/>
    </xf>
    <xf numFmtId="10" fontId="155" fillId="0" borderId="273" xfId="310" applyNumberFormat="1" applyFont="1" applyBorder="1" applyAlignment="1">
      <alignment horizontal="right" vertical="center"/>
    </xf>
    <xf numFmtId="10" fontId="155" fillId="30" borderId="272" xfId="310" applyNumberFormat="1" applyFont="1" applyFill="1" applyBorder="1" applyAlignment="1">
      <alignment horizontal="right" vertical="center"/>
    </xf>
    <xf numFmtId="4" fontId="154" fillId="0" borderId="273" xfId="310" applyNumberFormat="1" applyFont="1" applyBorder="1" applyAlignment="1">
      <alignment horizontal="right"/>
    </xf>
    <xf numFmtId="17" fontId="155" fillId="26" borderId="268" xfId="310" applyNumberFormat="1" applyFont="1" applyFill="1" applyBorder="1" applyAlignment="1">
      <alignment horizontal="right" vertical="center"/>
    </xf>
    <xf numFmtId="4" fontId="155" fillId="24" borderId="282" xfId="310" applyNumberFormat="1" applyFont="1" applyFill="1" applyBorder="1" applyAlignment="1">
      <alignment horizontal="right" vertical="center"/>
    </xf>
    <xf numFmtId="4" fontId="34" fillId="91" borderId="265" xfId="310" applyNumberFormat="1" applyFont="1" applyFill="1" applyBorder="1" applyAlignment="1">
      <alignment horizontal="right" vertical="center"/>
    </xf>
    <xf numFmtId="17" fontId="153" fillId="0" borderId="266" xfId="310" applyNumberFormat="1" applyFont="1" applyBorder="1" applyAlignment="1">
      <alignment horizontal="center" vertical="center"/>
    </xf>
    <xf numFmtId="0" fontId="204" fillId="86" borderId="30" xfId="310" applyFont="1" applyFill="1" applyBorder="1" applyAlignment="1">
      <alignment horizontal="center" vertical="center" wrapText="1"/>
    </xf>
    <xf numFmtId="4" fontId="34" fillId="26" borderId="39" xfId="310" applyNumberFormat="1" applyFont="1" applyFill="1" applyBorder="1" applyAlignment="1">
      <alignment horizontal="right" vertical="center"/>
    </xf>
    <xf numFmtId="0" fontId="304" fillId="29" borderId="39" xfId="310" applyFont="1" applyFill="1" applyBorder="1" applyAlignment="1">
      <alignment vertical="center"/>
    </xf>
    <xf numFmtId="43" fontId="38" fillId="29" borderId="39" xfId="38703" applyFont="1" applyFill="1" applyBorder="1" applyAlignment="1">
      <alignment vertical="center"/>
    </xf>
    <xf numFmtId="4" fontId="210" fillId="29" borderId="39" xfId="310" applyNumberFormat="1" applyFont="1" applyFill="1" applyBorder="1" applyAlignment="1">
      <alignment horizontal="right" vertical="center"/>
    </xf>
    <xf numFmtId="4" fontId="307" fillId="29" borderId="39" xfId="310" applyNumberFormat="1" applyFont="1" applyFill="1" applyBorder="1" applyAlignment="1">
      <alignment vertical="center"/>
    </xf>
    <xf numFmtId="4" fontId="219" fillId="29" borderId="39" xfId="310" applyNumberFormat="1" applyFont="1" applyFill="1" applyBorder="1" applyAlignment="1">
      <alignment vertical="center"/>
    </xf>
    <xf numFmtId="0" fontId="38" fillId="29" borderId="39" xfId="310" applyFont="1" applyFill="1" applyBorder="1" applyAlignment="1">
      <alignment vertical="center"/>
    </xf>
    <xf numFmtId="4" fontId="188" fillId="29" borderId="39" xfId="310" applyNumberFormat="1" applyFont="1" applyFill="1" applyBorder="1" applyAlignment="1">
      <alignment horizontal="right" vertical="center"/>
    </xf>
    <xf numFmtId="4" fontId="216" fillId="27" borderId="97" xfId="310" applyNumberFormat="1" applyFont="1" applyFill="1" applyBorder="1" applyAlignment="1">
      <alignment horizontal="right" vertical="center"/>
    </xf>
    <xf numFmtId="166" fontId="34" fillId="0" borderId="97" xfId="310" applyNumberFormat="1" applyFont="1" applyBorder="1" applyAlignment="1">
      <alignment horizontal="right" vertical="center"/>
    </xf>
    <xf numFmtId="43" fontId="219" fillId="29" borderId="39" xfId="38703" applyFont="1" applyFill="1" applyBorder="1" applyAlignment="1">
      <alignment horizontal="center"/>
    </xf>
    <xf numFmtId="43" fontId="219" fillId="29" borderId="39" xfId="38703" applyFont="1" applyFill="1" applyBorder="1" applyAlignment="1">
      <alignment horizontal="right"/>
    </xf>
    <xf numFmtId="4" fontId="219" fillId="29" borderId="39" xfId="310" applyNumberFormat="1" applyFont="1" applyFill="1" applyBorder="1" applyAlignment="1">
      <alignment horizontal="center"/>
    </xf>
    <xf numFmtId="0" fontId="299" fillId="29" borderId="39" xfId="310" applyFont="1" applyFill="1" applyBorder="1"/>
    <xf numFmtId="0" fontId="155" fillId="29" borderId="39" xfId="310" applyFont="1" applyFill="1" applyBorder="1"/>
    <xf numFmtId="0" fontId="155" fillId="90" borderId="39" xfId="310" applyFont="1" applyFill="1" applyBorder="1"/>
    <xf numFmtId="4" fontId="299" fillId="29" borderId="39" xfId="310" applyNumberFormat="1" applyFont="1" applyFill="1" applyBorder="1"/>
    <xf numFmtId="4" fontId="155" fillId="29" borderId="220" xfId="310" applyNumberFormat="1" applyFont="1" applyFill="1" applyBorder="1" applyAlignment="1">
      <alignment horizontal="right"/>
    </xf>
    <xf numFmtId="4" fontId="155" fillId="26" borderId="30" xfId="310" applyNumberFormat="1" applyFont="1" applyFill="1" applyBorder="1" applyAlignment="1">
      <alignment horizontal="right" vertical="center"/>
    </xf>
    <xf numFmtId="4" fontId="218" fillId="27" borderId="151" xfId="310" applyNumberFormat="1" applyFont="1" applyFill="1" applyBorder="1" applyAlignment="1">
      <alignment horizontal="right"/>
    </xf>
    <xf numFmtId="0" fontId="204" fillId="86" borderId="275" xfId="310" applyFont="1" applyFill="1" applyBorder="1" applyAlignment="1">
      <alignment horizontal="center" vertical="center" wrapText="1"/>
    </xf>
    <xf numFmtId="4" fontId="34" fillId="26" borderId="264" xfId="310" applyNumberFormat="1" applyFont="1" applyFill="1" applyBorder="1" applyAlignment="1">
      <alignment horizontal="right" vertical="center"/>
    </xf>
    <xf numFmtId="4" fontId="155" fillId="29" borderId="265" xfId="310" applyNumberFormat="1" applyFont="1" applyFill="1" applyBorder="1" applyAlignment="1">
      <alignment horizontal="right"/>
    </xf>
    <xf numFmtId="4" fontId="188" fillId="29" borderId="266" xfId="310" applyNumberFormat="1" applyFont="1" applyFill="1" applyBorder="1" applyAlignment="1">
      <alignment horizontal="right" vertical="center"/>
    </xf>
    <xf numFmtId="4" fontId="34" fillId="91" borderId="233" xfId="310" applyNumberFormat="1" applyFont="1" applyFill="1" applyBorder="1" applyAlignment="1">
      <alignment horizontal="right" vertical="center"/>
    </xf>
    <xf numFmtId="4" fontId="34" fillId="0" borderId="266" xfId="310" applyNumberFormat="1" applyFont="1" applyBorder="1" applyAlignment="1">
      <alignment horizontal="right" vertical="center"/>
    </xf>
    <xf numFmtId="4" fontId="34" fillId="0" borderId="276" xfId="310" applyNumberFormat="1" applyFont="1" applyBorder="1" applyAlignment="1">
      <alignment horizontal="right" vertical="center"/>
    </xf>
    <xf numFmtId="4" fontId="72" fillId="0" borderId="273" xfId="310" applyNumberFormat="1" applyFont="1" applyBorder="1" applyAlignment="1">
      <alignment horizontal="right" vertical="center"/>
    </xf>
    <xf numFmtId="4" fontId="243" fillId="0" borderId="268" xfId="310" applyNumberFormat="1" applyFont="1" applyBorder="1" applyAlignment="1">
      <alignment horizontal="right"/>
    </xf>
    <xf numFmtId="4" fontId="135" fillId="0" borderId="267" xfId="310" applyNumberFormat="1" applyFont="1" applyBorder="1" applyAlignment="1">
      <alignment horizontal="right"/>
    </xf>
    <xf numFmtId="4" fontId="243" fillId="27" borderId="272" xfId="310" applyNumberFormat="1" applyFont="1" applyFill="1" applyBorder="1" applyAlignment="1">
      <alignment horizontal="right"/>
    </xf>
    <xf numFmtId="4" fontId="34" fillId="0" borderId="275" xfId="310" applyNumberFormat="1" applyFont="1" applyBorder="1" applyAlignment="1">
      <alignment horizontal="right" vertical="center"/>
    </xf>
    <xf numFmtId="4" fontId="248" fillId="0" borderId="266" xfId="310" applyNumberFormat="1" applyFont="1" applyBorder="1" applyAlignment="1">
      <alignment horizontal="center" vertical="center"/>
    </xf>
    <xf numFmtId="4" fontId="244" fillId="0" borderId="276" xfId="310" applyNumberFormat="1" applyFont="1" applyBorder="1" applyAlignment="1">
      <alignment horizontal="right" vertical="center"/>
    </xf>
    <xf numFmtId="4" fontId="34" fillId="24" borderId="263" xfId="310" applyNumberFormat="1" applyFont="1" applyFill="1" applyBorder="1" applyAlignment="1">
      <alignment horizontal="right" vertical="center"/>
    </xf>
    <xf numFmtId="10" fontId="155" fillId="0" borderId="266" xfId="324" applyNumberFormat="1" applyFont="1" applyFill="1" applyBorder="1" applyAlignment="1">
      <alignment horizontal="right" vertical="center"/>
    </xf>
    <xf numFmtId="4" fontId="244" fillId="26" borderId="266" xfId="310" applyNumberFormat="1" applyFont="1" applyFill="1" applyBorder="1" applyAlignment="1">
      <alignment horizontal="right" vertical="center"/>
    </xf>
    <xf numFmtId="4" fontId="224" fillId="0" borderId="266" xfId="310" applyNumberFormat="1" applyFont="1" applyBorder="1" applyAlignment="1">
      <alignment horizontal="right"/>
    </xf>
    <xf numFmtId="4" fontId="243" fillId="0" borderId="266" xfId="310" applyNumberFormat="1" applyFont="1" applyBorder="1" applyAlignment="1">
      <alignment horizontal="right"/>
    </xf>
    <xf numFmtId="4" fontId="251" fillId="0" borderId="266" xfId="0" applyNumberFormat="1" applyFont="1" applyBorder="1" applyAlignment="1">
      <alignment horizontal="right"/>
    </xf>
    <xf numFmtId="4" fontId="220" fillId="24" borderId="272" xfId="310" applyNumberFormat="1" applyFont="1" applyFill="1" applyBorder="1" applyAlignment="1">
      <alignment horizontal="right" vertical="center"/>
    </xf>
    <xf numFmtId="4" fontId="243" fillId="0" borderId="284" xfId="310" applyNumberFormat="1" applyFont="1" applyBorder="1" applyAlignment="1">
      <alignment horizontal="right" vertical="center"/>
    </xf>
    <xf numFmtId="4" fontId="34" fillId="24" borderId="272" xfId="310" applyNumberFormat="1" applyFont="1" applyFill="1" applyBorder="1" applyAlignment="1">
      <alignment horizontal="right" vertical="center"/>
    </xf>
    <xf numFmtId="4" fontId="201" fillId="0" borderId="280" xfId="310" applyNumberFormat="1" applyFont="1" applyBorder="1" applyAlignment="1">
      <alignment horizontal="right" vertical="center"/>
    </xf>
    <xf numFmtId="4" fontId="155" fillId="85" borderId="263" xfId="310" applyNumberFormat="1" applyFont="1" applyFill="1" applyBorder="1" applyAlignment="1">
      <alignment horizontal="right" vertical="center"/>
    </xf>
    <xf numFmtId="4" fontId="239" fillId="27" borderId="285" xfId="310" applyNumberFormat="1" applyFont="1" applyFill="1" applyBorder="1" applyAlignment="1">
      <alignment horizontal="right"/>
    </xf>
    <xf numFmtId="4" fontId="155" fillId="27" borderId="285" xfId="310" applyNumberFormat="1" applyFont="1" applyFill="1" applyBorder="1" applyAlignment="1">
      <alignment horizontal="right"/>
    </xf>
    <xf numFmtId="4" fontId="239" fillId="27" borderId="286" xfId="310" applyNumberFormat="1" applyFont="1" applyFill="1" applyBorder="1" applyAlignment="1">
      <alignment horizontal="right"/>
    </xf>
    <xf numFmtId="4" fontId="221" fillId="0" borderId="272" xfId="310" applyNumberFormat="1" applyFont="1" applyBorder="1" applyAlignment="1">
      <alignment horizontal="right" vertical="center"/>
    </xf>
    <xf numFmtId="2" fontId="155" fillId="0" borderId="280" xfId="310" applyNumberFormat="1" applyFont="1" applyBorder="1" applyAlignment="1">
      <alignment horizontal="right" vertical="center"/>
    </xf>
    <xf numFmtId="4" fontId="154" fillId="0" borderId="280" xfId="310" applyNumberFormat="1" applyFont="1" applyBorder="1" applyAlignment="1">
      <alignment horizontal="right"/>
    </xf>
    <xf numFmtId="17" fontId="155" fillId="26" borderId="287" xfId="310" applyNumberFormat="1" applyFont="1" applyFill="1" applyBorder="1" applyAlignment="1">
      <alignment horizontal="right" vertical="center"/>
    </xf>
    <xf numFmtId="4" fontId="218" fillId="27" borderId="285" xfId="310" applyNumberFormat="1" applyFont="1" applyFill="1" applyBorder="1" applyAlignment="1">
      <alignment horizontal="right"/>
    </xf>
    <xf numFmtId="17" fontId="11" fillId="0" borderId="0" xfId="310" quotePrefix="1" applyNumberFormat="1" applyFont="1" applyAlignment="1">
      <alignment horizontal="center"/>
    </xf>
    <xf numFmtId="0" fontId="204" fillId="86" borderId="288" xfId="310" applyFont="1" applyFill="1" applyBorder="1" applyAlignment="1">
      <alignment horizontal="center" vertical="center" wrapText="1"/>
    </xf>
    <xf numFmtId="4" fontId="218" fillId="0" borderId="39" xfId="310" applyNumberFormat="1" applyFont="1" applyBorder="1" applyAlignment="1">
      <alignment horizontal="right" vertical="center"/>
    </xf>
    <xf numFmtId="4" fontId="313" fillId="0" borderId="39" xfId="310" applyNumberFormat="1" applyFont="1" applyBorder="1" applyAlignment="1">
      <alignment horizontal="right" vertical="center"/>
    </xf>
    <xf numFmtId="0" fontId="218" fillId="0" borderId="39" xfId="310" applyFont="1" applyBorder="1" applyAlignment="1">
      <alignment horizontal="right" vertical="center"/>
    </xf>
    <xf numFmtId="4" fontId="232" fillId="0" borderId="39" xfId="310" applyNumberFormat="1" applyFont="1" applyBorder="1" applyAlignment="1">
      <alignment horizontal="right" vertical="center"/>
    </xf>
    <xf numFmtId="4" fontId="218" fillId="0" borderId="149" xfId="310" applyNumberFormat="1" applyFont="1" applyBorder="1" applyAlignment="1">
      <alignment horizontal="right" vertical="center"/>
    </xf>
    <xf numFmtId="4" fontId="155" fillId="0" borderId="111" xfId="310" applyNumberFormat="1" applyFont="1" applyBorder="1" applyAlignment="1">
      <alignment horizontal="right" vertical="center"/>
    </xf>
    <xf numFmtId="10" fontId="155" fillId="0" borderId="22" xfId="324" applyNumberFormat="1" applyFont="1" applyFill="1" applyBorder="1" applyAlignment="1">
      <alignment horizontal="right" vertical="center"/>
    </xf>
    <xf numFmtId="4" fontId="239" fillId="0" borderId="53" xfId="310" applyNumberFormat="1" applyFont="1" applyBorder="1" applyAlignment="1">
      <alignment horizontal="right"/>
    </xf>
    <xf numFmtId="4" fontId="239" fillId="0" borderId="22" xfId="310" applyNumberFormat="1" applyFont="1" applyBorder="1" applyAlignment="1">
      <alignment vertical="center"/>
    </xf>
    <xf numFmtId="10" fontId="34" fillId="26" borderId="46" xfId="310" applyNumberFormat="1" applyFont="1" applyFill="1" applyBorder="1" applyAlignment="1">
      <alignment horizontal="right" vertical="center"/>
    </xf>
    <xf numFmtId="10" fontId="34" fillId="91" borderId="38" xfId="310" applyNumberFormat="1" applyFont="1" applyFill="1" applyBorder="1" applyAlignment="1" applyProtection="1">
      <alignment vertical="center" shrinkToFit="1"/>
      <protection locked="0"/>
    </xf>
    <xf numFmtId="10" fontId="34" fillId="0" borderId="38" xfId="310" applyNumberFormat="1" applyFont="1" applyBorder="1" applyAlignment="1" applyProtection="1">
      <alignment vertical="center" shrinkToFit="1"/>
      <protection locked="0"/>
    </xf>
    <xf numFmtId="4" fontId="34" fillId="0" borderId="38" xfId="310" applyNumberFormat="1" applyFont="1" applyBorder="1" applyAlignment="1" applyProtection="1">
      <alignment vertical="center" shrinkToFit="1"/>
      <protection locked="0"/>
    </xf>
    <xf numFmtId="10" fontId="34" fillId="91" borderId="38" xfId="310" applyNumberFormat="1" applyFont="1" applyFill="1" applyBorder="1" applyAlignment="1">
      <alignment horizontal="right" vertical="center"/>
    </xf>
    <xf numFmtId="10" fontId="34" fillId="0" borderId="37" xfId="310" applyNumberFormat="1" applyFont="1" applyBorder="1" applyAlignment="1" applyProtection="1">
      <alignment vertical="center" shrinkToFit="1"/>
      <protection locked="0"/>
    </xf>
    <xf numFmtId="10" fontId="155" fillId="0" borderId="38" xfId="310" applyNumberFormat="1" applyFont="1" applyBorder="1" applyAlignment="1" applyProtection="1">
      <alignment shrinkToFit="1"/>
      <protection locked="0"/>
    </xf>
    <xf numFmtId="174" fontId="135" fillId="0" borderId="83" xfId="310" applyNumberFormat="1" applyFont="1" applyBorder="1" applyAlignment="1" applyProtection="1">
      <alignment horizontal="center" vertical="center" shrinkToFit="1"/>
      <protection locked="0"/>
    </xf>
    <xf numFmtId="10" fontId="155" fillId="0" borderId="46" xfId="310" applyNumberFormat="1" applyFont="1" applyBorder="1" applyAlignment="1" applyProtection="1">
      <alignment vertical="center" shrinkToFit="1"/>
      <protection locked="0"/>
    </xf>
    <xf numFmtId="10" fontId="155" fillId="0" borderId="289" xfId="310" applyNumberFormat="1" applyFont="1" applyBorder="1" applyAlignment="1" applyProtection="1">
      <alignment vertical="center" shrinkToFit="1"/>
      <protection locked="0"/>
    </xf>
    <xf numFmtId="17" fontId="155" fillId="26" borderId="46" xfId="310" applyNumberFormat="1" applyFont="1" applyFill="1" applyBorder="1" applyAlignment="1">
      <alignment horizontal="center" vertical="center" shrinkToFit="1"/>
    </xf>
    <xf numFmtId="10" fontId="155" fillId="0" borderId="63" xfId="310" applyNumberFormat="1" applyFont="1" applyBorder="1" applyAlignment="1" applyProtection="1">
      <alignment shrinkToFit="1"/>
      <protection locked="0"/>
    </xf>
    <xf numFmtId="10" fontId="155" fillId="0" borderId="175" xfId="310" applyNumberFormat="1" applyFont="1" applyBorder="1" applyAlignment="1" applyProtection="1">
      <alignment horizontal="center" shrinkToFit="1"/>
      <protection locked="0"/>
    </xf>
    <xf numFmtId="10" fontId="34" fillId="24" borderId="101" xfId="310" applyNumberFormat="1" applyFont="1" applyFill="1" applyBorder="1" applyAlignment="1" applyProtection="1">
      <alignment horizontal="center" vertical="center" shrinkToFit="1"/>
      <protection locked="0"/>
    </xf>
    <xf numFmtId="10" fontId="239" fillId="0" borderId="83" xfId="310" applyNumberFormat="1" applyFont="1" applyBorder="1" applyAlignment="1" applyProtection="1">
      <alignment vertical="center" shrinkToFit="1"/>
      <protection locked="0"/>
    </xf>
    <xf numFmtId="10" fontId="34" fillId="24" borderId="21" xfId="310" applyNumberFormat="1" applyFont="1" applyFill="1" applyBorder="1" applyAlignment="1" applyProtection="1">
      <alignment vertical="center" shrinkToFit="1"/>
      <protection locked="0"/>
    </xf>
    <xf numFmtId="4" fontId="34" fillId="91" borderId="34" xfId="310" applyNumberFormat="1" applyFont="1" applyFill="1" applyBorder="1" applyAlignment="1">
      <alignment horizontal="right" vertical="center"/>
    </xf>
    <xf numFmtId="4" fontId="34" fillId="0" borderId="34" xfId="310" applyNumberFormat="1" applyFont="1" applyBorder="1" applyAlignment="1">
      <alignment horizontal="right" vertical="center"/>
    </xf>
    <xf numFmtId="4" fontId="34" fillId="0" borderId="114" xfId="310" applyNumberFormat="1" applyFont="1" applyBorder="1" applyAlignment="1">
      <alignment horizontal="right" vertical="center"/>
    </xf>
    <xf numFmtId="4" fontId="155" fillId="0" borderId="60" xfId="310" applyNumberFormat="1" applyFont="1" applyBorder="1"/>
    <xf numFmtId="17" fontId="11" fillId="105" borderId="39" xfId="310" applyNumberFormat="1" applyFont="1" applyFill="1" applyBorder="1"/>
    <xf numFmtId="4" fontId="11" fillId="105" borderId="39" xfId="310" applyNumberFormat="1" applyFont="1" applyFill="1" applyBorder="1"/>
    <xf numFmtId="0" fontId="30" fillId="29" borderId="36" xfId="310" applyFont="1" applyFill="1" applyBorder="1" applyAlignment="1">
      <alignment vertical="center"/>
    </xf>
    <xf numFmtId="4" fontId="231" fillId="29" borderId="36" xfId="310" applyNumberFormat="1" applyFont="1" applyFill="1" applyBorder="1" applyAlignment="1">
      <alignment horizontal="right" vertical="center"/>
    </xf>
    <xf numFmtId="4" fontId="155" fillId="27" borderId="36" xfId="310" applyNumberFormat="1" applyFont="1" applyFill="1" applyBorder="1" applyAlignment="1">
      <alignment horizontal="right" vertical="center"/>
    </xf>
    <xf numFmtId="4" fontId="34" fillId="0" borderId="36" xfId="310" applyNumberFormat="1" applyFont="1" applyBorder="1" applyAlignment="1">
      <alignment horizontal="right" vertical="center"/>
    </xf>
    <xf numFmtId="4" fontId="34" fillId="0" borderId="185" xfId="310" applyNumberFormat="1" applyFont="1" applyBorder="1" applyAlignment="1">
      <alignment horizontal="right" vertical="center"/>
    </xf>
    <xf numFmtId="4" fontId="155" fillId="90" borderId="36" xfId="310" applyNumberFormat="1" applyFont="1" applyFill="1" applyBorder="1" applyAlignment="1">
      <alignment horizontal="right"/>
    </xf>
    <xf numFmtId="4" fontId="155" fillId="29" borderId="36" xfId="310" applyNumberFormat="1" applyFont="1" applyFill="1" applyBorder="1" applyAlignment="1">
      <alignment horizontal="right"/>
    </xf>
    <xf numFmtId="4" fontId="155" fillId="29" borderId="36" xfId="310" applyNumberFormat="1" applyFont="1" applyFill="1" applyBorder="1" applyAlignment="1">
      <alignment horizontal="center"/>
    </xf>
    <xf numFmtId="0" fontId="11" fillId="29" borderId="36" xfId="310" applyFont="1" applyFill="1" applyBorder="1"/>
    <xf numFmtId="4" fontId="155" fillId="27" borderId="36" xfId="310" applyNumberFormat="1" applyFont="1" applyFill="1" applyBorder="1" applyAlignment="1">
      <alignment horizontal="right"/>
    </xf>
    <xf numFmtId="4" fontId="155" fillId="27" borderId="20" xfId="310" applyNumberFormat="1" applyFont="1" applyFill="1" applyBorder="1" applyAlignment="1">
      <alignment horizontal="right"/>
    </xf>
    <xf numFmtId="4" fontId="34" fillId="0" borderId="290" xfId="310" applyNumberFormat="1" applyFont="1" applyBorder="1" applyAlignment="1">
      <alignment horizontal="right" vertical="center"/>
    </xf>
    <xf numFmtId="4" fontId="155" fillId="27" borderId="22" xfId="310" applyNumberFormat="1" applyFont="1" applyFill="1" applyBorder="1" applyAlignment="1">
      <alignment horizontal="right"/>
    </xf>
    <xf numFmtId="4" fontId="155" fillId="24" borderId="100" xfId="310" applyNumberFormat="1" applyFont="1" applyFill="1" applyBorder="1" applyAlignment="1">
      <alignment horizontal="right" vertical="center"/>
    </xf>
    <xf numFmtId="4" fontId="155" fillId="24" borderId="15" xfId="310" applyNumberFormat="1" applyFont="1" applyFill="1" applyBorder="1" applyAlignment="1">
      <alignment horizontal="right" vertical="center"/>
    </xf>
    <xf numFmtId="4" fontId="221" fillId="0" borderId="100" xfId="310" applyNumberFormat="1" applyFont="1" applyBorder="1" applyAlignment="1">
      <alignment horizontal="right" vertical="center"/>
    </xf>
    <xf numFmtId="4" fontId="155" fillId="24" borderId="219" xfId="310" applyNumberFormat="1" applyFont="1" applyFill="1" applyBorder="1" applyAlignment="1">
      <alignment horizontal="right" vertical="center"/>
    </xf>
    <xf numFmtId="0" fontId="204" fillId="86" borderId="23" xfId="310" applyFont="1" applyFill="1" applyBorder="1" applyAlignment="1">
      <alignment horizontal="center" vertical="center" wrapText="1"/>
    </xf>
    <xf numFmtId="4" fontId="72" fillId="0" borderId="13" xfId="310" applyNumberFormat="1" applyFont="1" applyBorder="1" applyAlignment="1">
      <alignment horizontal="right" vertical="center"/>
    </xf>
    <xf numFmtId="4" fontId="155" fillId="90" borderId="34" xfId="310" applyNumberFormat="1" applyFont="1" applyFill="1" applyBorder="1" applyAlignment="1">
      <alignment horizontal="right"/>
    </xf>
    <xf numFmtId="4" fontId="155" fillId="29" borderId="34" xfId="310" applyNumberFormat="1" applyFont="1" applyFill="1" applyBorder="1" applyAlignment="1">
      <alignment horizontal="right"/>
    </xf>
    <xf numFmtId="4" fontId="155" fillId="29" borderId="34" xfId="310" applyNumberFormat="1" applyFont="1" applyFill="1" applyBorder="1" applyAlignment="1">
      <alignment horizontal="center"/>
    </xf>
    <xf numFmtId="4" fontId="155" fillId="27" borderId="34" xfId="310" applyNumberFormat="1" applyFont="1" applyFill="1" applyBorder="1" applyAlignment="1">
      <alignment horizontal="right"/>
    </xf>
    <xf numFmtId="4" fontId="155" fillId="27" borderId="18" xfId="310" applyNumberFormat="1" applyFont="1" applyFill="1" applyBorder="1" applyAlignment="1">
      <alignment horizontal="right"/>
    </xf>
    <xf numFmtId="4" fontId="154" fillId="0" borderId="43" xfId="310" applyNumberFormat="1" applyFont="1" applyBorder="1" applyAlignment="1">
      <alignment horizontal="right" vertical="top"/>
    </xf>
    <xf numFmtId="4" fontId="154" fillId="0" borderId="43" xfId="310" applyNumberFormat="1" applyFont="1" applyBorder="1" applyAlignment="1">
      <alignment horizontal="right"/>
    </xf>
    <xf numFmtId="0" fontId="11" fillId="0" borderId="280" xfId="310" quotePrefix="1" applyFont="1" applyBorder="1" applyAlignment="1">
      <alignment horizontal="center"/>
    </xf>
    <xf numFmtId="0" fontId="11" fillId="0" borderId="280" xfId="310" applyFont="1" applyBorder="1"/>
    <xf numFmtId="4" fontId="224" fillId="90" borderId="39" xfId="310" applyNumberFormat="1" applyFont="1" applyFill="1" applyBorder="1" applyAlignment="1">
      <alignment horizontal="right"/>
    </xf>
    <xf numFmtId="4" fontId="243" fillId="0" borderId="291" xfId="310" applyNumberFormat="1" applyFont="1" applyBorder="1" applyAlignment="1">
      <alignment horizontal="right"/>
    </xf>
    <xf numFmtId="4" fontId="135" fillId="0" borderId="20" xfId="310" applyNumberFormat="1" applyFont="1" applyBorder="1" applyAlignment="1">
      <alignment horizontal="right"/>
    </xf>
    <xf numFmtId="4" fontId="243" fillId="27" borderId="0" xfId="310" applyNumberFormat="1" applyFont="1" applyFill="1" applyAlignment="1">
      <alignment horizontal="right"/>
    </xf>
    <xf numFmtId="4" fontId="248" fillId="0" borderId="20" xfId="310" applyNumberFormat="1" applyFont="1" applyBorder="1" applyAlignment="1">
      <alignment horizontal="center" vertical="center"/>
    </xf>
    <xf numFmtId="0" fontId="152" fillId="0" borderId="37" xfId="310" quotePrefix="1" applyFont="1" applyBorder="1" applyAlignment="1">
      <alignment horizontal="center" vertical="center"/>
    </xf>
    <xf numFmtId="4" fontId="34" fillId="91" borderId="37" xfId="310" applyNumberFormat="1" applyFont="1" applyFill="1" applyBorder="1" applyAlignment="1">
      <alignment horizontal="right" vertical="center"/>
    </xf>
    <xf numFmtId="4" fontId="34" fillId="0" borderId="37" xfId="310" applyNumberFormat="1" applyFont="1" applyBorder="1" applyAlignment="1">
      <alignment horizontal="right" vertical="center"/>
    </xf>
    <xf numFmtId="4" fontId="34" fillId="0" borderId="37" xfId="310" applyNumberFormat="1" applyFont="1" applyBorder="1" applyAlignment="1">
      <alignment vertical="center"/>
    </xf>
    <xf numFmtId="4" fontId="72" fillId="0" borderId="16" xfId="310" applyNumberFormat="1" applyFont="1" applyBorder="1" applyAlignment="1">
      <alignment vertical="center"/>
    </xf>
    <xf numFmtId="4" fontId="155" fillId="0" borderId="37" xfId="310" applyNumberFormat="1" applyFont="1" applyBorder="1"/>
    <xf numFmtId="4" fontId="155" fillId="0" borderId="51" xfId="310" applyNumberFormat="1" applyFont="1" applyBorder="1"/>
    <xf numFmtId="4" fontId="245" fillId="0" borderId="101" xfId="310" applyNumberFormat="1" applyFont="1" applyBorder="1" applyAlignment="1">
      <alignment horizontal="right"/>
    </xf>
    <xf numFmtId="4" fontId="155" fillId="0" borderId="17" xfId="310" applyNumberFormat="1" applyFont="1" applyBorder="1"/>
    <xf numFmtId="4" fontId="155" fillId="0" borderId="91" xfId="310" applyNumberFormat="1" applyFont="1" applyBorder="1" applyAlignment="1">
      <alignment vertical="center"/>
    </xf>
    <xf numFmtId="174" fontId="34" fillId="0" borderId="83" xfId="324" applyNumberFormat="1" applyFont="1" applyFill="1" applyBorder="1" applyAlignment="1">
      <alignment horizontal="center" vertical="center"/>
    </xf>
    <xf numFmtId="4" fontId="34" fillId="0" borderId="101" xfId="310" applyNumberFormat="1" applyFont="1" applyBorder="1" applyAlignment="1">
      <alignment vertical="center"/>
    </xf>
    <xf numFmtId="4" fontId="155" fillId="0" borderId="46" xfId="310" applyNumberFormat="1" applyFont="1" applyBorder="1" applyAlignment="1">
      <alignment vertical="center"/>
    </xf>
    <xf numFmtId="10" fontId="155" fillId="0" borderId="83" xfId="310" applyNumberFormat="1" applyFont="1" applyBorder="1" applyAlignment="1">
      <alignment horizontal="right" vertical="center"/>
    </xf>
    <xf numFmtId="17" fontId="155" fillId="26" borderId="46" xfId="310" applyNumberFormat="1" applyFont="1" applyFill="1" applyBorder="1" applyAlignment="1">
      <alignment horizontal="center" vertical="center"/>
    </xf>
    <xf numFmtId="4" fontId="34" fillId="24" borderId="101" xfId="310" applyNumberFormat="1" applyFont="1" applyFill="1" applyBorder="1" applyAlignment="1">
      <alignment vertical="center"/>
    </xf>
    <xf numFmtId="4" fontId="224" fillId="0" borderId="83" xfId="310" applyNumberFormat="1" applyFont="1" applyBorder="1" applyAlignment="1">
      <alignment vertical="center"/>
    </xf>
    <xf numFmtId="4" fontId="34" fillId="24" borderId="21" xfId="310" applyNumberFormat="1" applyFont="1" applyFill="1" applyBorder="1" applyAlignment="1">
      <alignment vertical="center"/>
    </xf>
    <xf numFmtId="4" fontId="201" fillId="0" borderId="17" xfId="310" applyNumberFormat="1" applyFont="1" applyBorder="1" applyAlignment="1">
      <alignment vertical="center"/>
    </xf>
    <xf numFmtId="4" fontId="154" fillId="0" borderId="17" xfId="310" applyNumberFormat="1" applyFont="1" applyBorder="1" applyAlignment="1">
      <alignment vertical="top"/>
    </xf>
    <xf numFmtId="4" fontId="34" fillId="85" borderId="101" xfId="310" applyNumberFormat="1" applyFont="1" applyFill="1" applyBorder="1" applyAlignment="1">
      <alignment vertical="center"/>
    </xf>
    <xf numFmtId="4" fontId="34" fillId="24" borderId="16" xfId="310" applyNumberFormat="1" applyFont="1" applyFill="1" applyBorder="1" applyAlignment="1">
      <alignment vertical="center"/>
    </xf>
    <xf numFmtId="4" fontId="155" fillId="0" borderId="63" xfId="310" applyNumberFormat="1" applyFont="1" applyBorder="1"/>
    <xf numFmtId="4" fontId="220" fillId="0" borderId="101" xfId="310" applyNumberFormat="1" applyFont="1" applyBorder="1" applyAlignment="1">
      <alignment vertical="center"/>
    </xf>
    <xf numFmtId="4" fontId="34" fillId="0" borderId="102" xfId="310" applyNumberFormat="1" applyFont="1" applyBorder="1" applyAlignment="1">
      <alignment vertical="center"/>
    </xf>
    <xf numFmtId="10" fontId="34" fillId="24" borderId="102" xfId="310" applyNumberFormat="1" applyFont="1" applyFill="1" applyBorder="1" applyAlignment="1">
      <alignment horizontal="right" vertical="center"/>
    </xf>
    <xf numFmtId="10" fontId="34" fillId="30" borderId="102" xfId="310" applyNumberFormat="1" applyFont="1" applyFill="1" applyBorder="1" applyAlignment="1">
      <alignment horizontal="right" vertical="center"/>
    </xf>
    <xf numFmtId="17" fontId="155" fillId="26" borderId="25" xfId="310" applyNumberFormat="1" applyFont="1" applyFill="1" applyBorder="1" applyAlignment="1">
      <alignment horizontal="center" vertical="center"/>
    </xf>
    <xf numFmtId="4" fontId="34" fillId="0" borderId="55" xfId="310" applyNumberFormat="1" applyFont="1" applyBorder="1"/>
    <xf numFmtId="4" fontId="155" fillId="0" borderId="55" xfId="310" applyNumberFormat="1" applyFont="1" applyBorder="1"/>
    <xf numFmtId="4" fontId="34" fillId="24" borderId="102" xfId="310" applyNumberFormat="1" applyFont="1" applyFill="1" applyBorder="1" applyAlignment="1">
      <alignment vertical="center"/>
    </xf>
    <xf numFmtId="17" fontId="153" fillId="0" borderId="34" xfId="310" quotePrefix="1" applyNumberFormat="1" applyFont="1" applyBorder="1" applyAlignment="1">
      <alignment horizontal="center" vertical="center"/>
    </xf>
    <xf numFmtId="4" fontId="34" fillId="26" borderId="34" xfId="310" applyNumberFormat="1" applyFont="1" applyFill="1" applyBorder="1" applyAlignment="1">
      <alignment horizontal="right" vertical="center"/>
    </xf>
    <xf numFmtId="4" fontId="218" fillId="0" borderId="34" xfId="310" applyNumberFormat="1" applyFont="1" applyBorder="1" applyAlignment="1">
      <alignment horizontal="right" vertical="center"/>
    </xf>
    <xf numFmtId="4" fontId="313" fillId="0" borderId="34" xfId="310" applyNumberFormat="1" applyFont="1" applyBorder="1" applyAlignment="1">
      <alignment horizontal="right" vertical="center"/>
    </xf>
    <xf numFmtId="0" fontId="218" fillId="0" borderId="34" xfId="310" applyFont="1" applyBorder="1" applyAlignment="1">
      <alignment horizontal="right" vertical="center"/>
    </xf>
    <xf numFmtId="4" fontId="232" fillId="0" borderId="34" xfId="310" applyNumberFormat="1" applyFont="1" applyBorder="1" applyAlignment="1">
      <alignment horizontal="right" vertical="center"/>
    </xf>
    <xf numFmtId="4" fontId="218" fillId="0" borderId="114" xfId="310" applyNumberFormat="1" applyFont="1" applyBorder="1" applyAlignment="1">
      <alignment horizontal="right" vertical="center"/>
    </xf>
    <xf numFmtId="4" fontId="224" fillId="90" borderId="34" xfId="310" applyNumberFormat="1" applyFont="1" applyFill="1" applyBorder="1" applyAlignment="1">
      <alignment horizontal="right"/>
    </xf>
    <xf numFmtId="0" fontId="155" fillId="29" borderId="34" xfId="310" applyFont="1" applyFill="1" applyBorder="1"/>
    <xf numFmtId="4" fontId="243" fillId="0" borderId="18" xfId="310" applyNumberFormat="1" applyFont="1" applyBorder="1" applyAlignment="1">
      <alignment horizontal="right"/>
    </xf>
    <xf numFmtId="4" fontId="135" fillId="0" borderId="18" xfId="310" applyNumberFormat="1" applyFont="1" applyBorder="1" applyAlignment="1">
      <alignment horizontal="right"/>
    </xf>
    <xf numFmtId="4" fontId="243" fillId="27" borderId="43" xfId="310" applyNumberFormat="1" applyFont="1" applyFill="1" applyBorder="1" applyAlignment="1">
      <alignment horizontal="right"/>
    </xf>
    <xf numFmtId="4" fontId="248" fillId="0" borderId="18" xfId="310" applyNumberFormat="1" applyFont="1" applyBorder="1" applyAlignment="1">
      <alignment horizontal="center" vertical="center"/>
    </xf>
    <xf numFmtId="4" fontId="155" fillId="0" borderId="99" xfId="310" applyNumberFormat="1" applyFont="1" applyBorder="1" applyAlignment="1">
      <alignment vertical="center"/>
    </xf>
    <xf numFmtId="4" fontId="239" fillId="0" borderId="48" xfId="310" applyNumberFormat="1" applyFont="1" applyBorder="1" applyAlignment="1">
      <alignment horizontal="right"/>
    </xf>
    <xf numFmtId="4" fontId="239" fillId="0" borderId="81" xfId="310" applyNumberFormat="1" applyFont="1" applyBorder="1" applyAlignment="1">
      <alignment vertical="center"/>
    </xf>
    <xf numFmtId="4" fontId="155" fillId="85" borderId="99" xfId="310" applyNumberFormat="1" applyFont="1" applyFill="1" applyBorder="1" applyAlignment="1">
      <alignment vertical="center"/>
    </xf>
    <xf numFmtId="4" fontId="239" fillId="0" borderId="48" xfId="310" applyNumberFormat="1" applyFont="1" applyBorder="1"/>
    <xf numFmtId="4" fontId="239" fillId="0" borderId="60" xfId="310" applyNumberFormat="1" applyFont="1" applyBorder="1"/>
    <xf numFmtId="4" fontId="239" fillId="0" borderId="135" xfId="310" applyNumberFormat="1" applyFont="1" applyBorder="1"/>
    <xf numFmtId="17" fontId="155" fillId="0" borderId="23" xfId="310" applyNumberFormat="1" applyFont="1" applyBorder="1" applyAlignment="1">
      <alignment horizontal="center" vertical="center"/>
    </xf>
    <xf numFmtId="4" fontId="218" fillId="0" borderId="48" xfId="310" applyNumberFormat="1" applyFont="1" applyBorder="1" applyAlignment="1">
      <alignment horizontal="right"/>
    </xf>
    <xf numFmtId="4" fontId="34" fillId="26" borderId="36" xfId="310" applyNumberFormat="1" applyFont="1" applyFill="1" applyBorder="1" applyAlignment="1">
      <alignment horizontal="right" vertical="center"/>
    </xf>
    <xf numFmtId="4" fontId="34" fillId="27" borderId="185" xfId="310" applyNumberFormat="1" applyFont="1" applyFill="1" applyBorder="1" applyAlignment="1">
      <alignment horizontal="right" vertical="center"/>
    </xf>
    <xf numFmtId="4" fontId="224" fillId="90" borderId="36" xfId="310" applyNumberFormat="1" applyFont="1" applyFill="1" applyBorder="1" applyAlignment="1">
      <alignment horizontal="right"/>
    </xf>
    <xf numFmtId="43" fontId="155" fillId="29" borderId="36" xfId="38703" applyFont="1" applyFill="1" applyBorder="1" applyAlignment="1">
      <alignment horizontal="right"/>
    </xf>
    <xf numFmtId="0" fontId="155" fillId="29" borderId="36" xfId="310" applyFont="1" applyFill="1" applyBorder="1"/>
    <xf numFmtId="4" fontId="243" fillId="0" borderId="20" xfId="310" applyNumberFormat="1" applyFont="1" applyBorder="1" applyAlignment="1">
      <alignment horizontal="right"/>
    </xf>
    <xf numFmtId="4" fontId="244" fillId="26" borderId="111" xfId="310" applyNumberFormat="1" applyFont="1" applyFill="1" applyBorder="1" applyAlignment="1">
      <alignment horizontal="right" vertical="center"/>
    </xf>
    <xf numFmtId="4" fontId="243" fillId="0" borderId="36" xfId="310" applyNumberFormat="1" applyFont="1" applyBorder="1" applyAlignment="1">
      <alignment horizontal="right"/>
    </xf>
    <xf numFmtId="4" fontId="243" fillId="0" borderId="22" xfId="310" applyNumberFormat="1" applyFont="1" applyBorder="1" applyAlignment="1">
      <alignment horizontal="right" vertical="center"/>
    </xf>
    <xf numFmtId="4" fontId="218" fillId="27" borderId="53" xfId="310" applyNumberFormat="1" applyFont="1" applyFill="1" applyBorder="1" applyAlignment="1">
      <alignment horizontal="right"/>
    </xf>
    <xf numFmtId="4" fontId="239" fillId="27" borderId="53" xfId="310" applyNumberFormat="1" applyFont="1" applyFill="1" applyBorder="1" applyAlignment="1">
      <alignment horizontal="right"/>
    </xf>
    <xf numFmtId="0" fontId="10" fillId="0" borderId="280" xfId="310" applyFont="1" applyBorder="1" applyAlignment="1">
      <alignment horizontal="center"/>
    </xf>
    <xf numFmtId="0" fontId="10" fillId="0" borderId="280" xfId="310" applyFont="1" applyBorder="1" applyAlignment="1">
      <alignment horizontal="center" vertical="center"/>
    </xf>
    <xf numFmtId="187" fontId="134" fillId="0" borderId="280" xfId="310" applyNumberFormat="1" applyFont="1" applyBorder="1" applyAlignment="1">
      <alignment horizontal="center" vertical="center"/>
    </xf>
    <xf numFmtId="43" fontId="221" fillId="29" borderId="40" xfId="38703" applyFont="1" applyFill="1" applyBorder="1" applyAlignment="1">
      <alignment horizontal="right"/>
    </xf>
    <xf numFmtId="4" fontId="221" fillId="29" borderId="34" xfId="310" applyNumberFormat="1" applyFont="1" applyFill="1" applyBorder="1" applyAlignment="1">
      <alignment horizontal="right"/>
    </xf>
    <xf numFmtId="4" fontId="221" fillId="90" borderId="266" xfId="310" applyNumberFormat="1" applyFont="1" applyFill="1" applyBorder="1" applyAlignment="1">
      <alignment horizontal="right"/>
    </xf>
    <xf numFmtId="4" fontId="221" fillId="90" borderId="41" xfId="310" applyNumberFormat="1" applyFont="1" applyFill="1" applyBorder="1" applyAlignment="1">
      <alignment horizontal="right"/>
    </xf>
    <xf numFmtId="4" fontId="221" fillId="29" borderId="266" xfId="310" applyNumberFormat="1" applyFont="1" applyFill="1" applyBorder="1" applyAlignment="1">
      <alignment horizontal="center"/>
    </xf>
    <xf numFmtId="4" fontId="221" fillId="29" borderId="40" xfId="310" applyNumberFormat="1" applyFont="1" applyFill="1" applyBorder="1" applyAlignment="1">
      <alignment horizontal="center"/>
    </xf>
    <xf numFmtId="0" fontId="73" fillId="29" borderId="40" xfId="310" applyFont="1" applyFill="1" applyBorder="1" applyAlignment="1">
      <alignment horizontal="center"/>
    </xf>
    <xf numFmtId="0" fontId="73" fillId="29" borderId="41" xfId="310" applyFont="1" applyFill="1" applyBorder="1" applyAlignment="1">
      <alignment horizontal="center"/>
    </xf>
    <xf numFmtId="0" fontId="73" fillId="29" borderId="39" xfId="310" applyFont="1" applyFill="1" applyBorder="1" applyAlignment="1">
      <alignment horizontal="center"/>
    </xf>
    <xf numFmtId="4" fontId="221" fillId="29" borderId="266" xfId="310" applyNumberFormat="1" applyFont="1" applyFill="1" applyBorder="1" applyAlignment="1">
      <alignment horizontal="right"/>
    </xf>
    <xf numFmtId="4" fontId="221" fillId="29" borderId="40" xfId="310" applyNumberFormat="1" applyFont="1" applyFill="1" applyBorder="1" applyAlignment="1">
      <alignment horizontal="right"/>
    </xf>
    <xf numFmtId="4" fontId="221" fillId="29" borderId="234" xfId="310" applyNumberFormat="1" applyFont="1" applyFill="1" applyBorder="1" applyAlignment="1">
      <alignment horizontal="center"/>
    </xf>
    <xf numFmtId="4" fontId="221" fillId="29" borderId="38" xfId="310" applyNumberFormat="1" applyFont="1" applyFill="1" applyBorder="1" applyAlignment="1">
      <alignment horizontal="center"/>
    </xf>
    <xf numFmtId="4" fontId="221" fillId="29" borderId="36" xfId="310" applyNumberFormat="1" applyFont="1" applyFill="1" applyBorder="1" applyAlignment="1">
      <alignment horizontal="center"/>
    </xf>
    <xf numFmtId="4" fontId="73" fillId="29" borderId="41" xfId="310" applyNumberFormat="1" applyFont="1" applyFill="1" applyBorder="1" applyAlignment="1">
      <alignment horizontal="center"/>
    </xf>
    <xf numFmtId="4" fontId="73" fillId="29" borderId="40" xfId="310" applyNumberFormat="1" applyFont="1" applyFill="1" applyBorder="1" applyAlignment="1">
      <alignment horizontal="center"/>
    </xf>
    <xf numFmtId="4" fontId="73" fillId="29" borderId="39" xfId="310" applyNumberFormat="1" applyFont="1" applyFill="1" applyBorder="1" applyAlignment="1">
      <alignment horizontal="center"/>
    </xf>
    <xf numFmtId="4" fontId="221" fillId="29" borderId="39" xfId="310" applyNumberFormat="1" applyFont="1" applyFill="1" applyBorder="1" applyAlignment="1">
      <alignment horizontal="right"/>
    </xf>
    <xf numFmtId="4" fontId="221" fillId="29" borderId="41" xfId="310" applyNumberFormat="1" applyFont="1" applyFill="1" applyBorder="1" applyAlignment="1">
      <alignment horizontal="right"/>
    </xf>
    <xf numFmtId="4" fontId="221" fillId="29" borderId="234" xfId="310" applyNumberFormat="1" applyFont="1" applyFill="1" applyBorder="1" applyAlignment="1">
      <alignment horizontal="right"/>
    </xf>
    <xf numFmtId="4" fontId="221" fillId="29" borderId="38" xfId="310" applyNumberFormat="1" applyFont="1" applyFill="1" applyBorder="1" applyAlignment="1">
      <alignment horizontal="right"/>
    </xf>
    <xf numFmtId="4" fontId="221" fillId="29" borderId="36" xfId="310" applyNumberFormat="1" applyFont="1" applyFill="1" applyBorder="1" applyAlignment="1">
      <alignment horizontal="right"/>
    </xf>
    <xf numFmtId="0" fontId="73" fillId="29" borderId="40" xfId="310" applyFont="1" applyFill="1" applyBorder="1"/>
    <xf numFmtId="0" fontId="73" fillId="29" borderId="41" xfId="310" applyFont="1" applyFill="1" applyBorder="1"/>
    <xf numFmtId="0" fontId="73" fillId="29" borderId="39" xfId="310" applyFont="1" applyFill="1" applyBorder="1"/>
    <xf numFmtId="4" fontId="221" fillId="29" borderId="266" xfId="310" applyNumberFormat="1" applyFont="1" applyFill="1" applyBorder="1" applyAlignment="1">
      <alignment horizontal="right" vertical="center"/>
    </xf>
    <xf numFmtId="14" fontId="157" fillId="28" borderId="0" xfId="310" quotePrefix="1" applyNumberFormat="1" applyFont="1" applyFill="1" applyAlignment="1">
      <alignment horizontal="center" vertical="center"/>
    </xf>
    <xf numFmtId="10" fontId="213" fillId="0" borderId="75" xfId="324" applyNumberFormat="1" applyFont="1" applyFill="1" applyBorder="1" applyAlignment="1">
      <alignment horizontal="right" vertical="center"/>
    </xf>
    <xf numFmtId="4" fontId="221" fillId="0" borderId="40" xfId="310" applyNumberFormat="1" applyFont="1" applyBorder="1" applyAlignment="1">
      <alignment horizontal="right"/>
    </xf>
    <xf numFmtId="166" fontId="317" fillId="27" borderId="40" xfId="310" applyNumberFormat="1" applyFont="1" applyFill="1" applyBorder="1" applyAlignment="1">
      <alignment horizontal="right" vertical="center"/>
    </xf>
    <xf numFmtId="3" fontId="234" fillId="0" borderId="51" xfId="310" applyNumberFormat="1" applyFont="1" applyBorder="1" applyAlignment="1">
      <alignment horizontal="right"/>
    </xf>
    <xf numFmtId="4" fontId="221" fillId="0" borderId="57" xfId="310" applyNumberFormat="1" applyFont="1" applyBorder="1" applyAlignment="1">
      <alignment vertical="center"/>
    </xf>
    <xf numFmtId="2" fontId="129" fillId="29" borderId="40" xfId="310" applyNumberFormat="1" applyFont="1" applyFill="1" applyBorder="1" applyAlignment="1">
      <alignment horizontal="right"/>
    </xf>
    <xf numFmtId="2" fontId="73" fillId="29" borderId="40" xfId="310" applyNumberFormat="1" applyFont="1" applyFill="1" applyBorder="1"/>
    <xf numFmtId="2" fontId="73" fillId="29" borderId="41" xfId="310" applyNumberFormat="1" applyFont="1" applyFill="1" applyBorder="1"/>
    <xf numFmtId="2" fontId="73" fillId="29" borderId="39" xfId="310" applyNumberFormat="1" applyFont="1" applyFill="1" applyBorder="1"/>
    <xf numFmtId="2" fontId="221" fillId="29" borderId="266" xfId="310" applyNumberFormat="1" applyFont="1" applyFill="1" applyBorder="1" applyAlignment="1">
      <alignment horizontal="right" vertical="center"/>
    </xf>
    <xf numFmtId="2" fontId="221" fillId="29" borderId="40" xfId="310" applyNumberFormat="1" applyFont="1" applyFill="1" applyBorder="1" applyAlignment="1">
      <alignment horizontal="right" vertical="center"/>
    </xf>
    <xf numFmtId="2" fontId="221" fillId="29" borderId="40" xfId="310" applyNumberFormat="1" applyFont="1" applyFill="1" applyBorder="1" applyAlignment="1">
      <alignment horizontal="right"/>
    </xf>
    <xf numFmtId="2" fontId="221" fillId="29" borderId="234" xfId="310" applyNumberFormat="1" applyFont="1" applyFill="1" applyBorder="1" applyAlignment="1">
      <alignment horizontal="right"/>
    </xf>
    <xf numFmtId="2" fontId="221" fillId="29" borderId="38" xfId="310" applyNumberFormat="1" applyFont="1" applyFill="1" applyBorder="1" applyAlignment="1">
      <alignment horizontal="right"/>
    </xf>
    <xf numFmtId="2" fontId="221" fillId="29" borderId="36" xfId="310" applyNumberFormat="1" applyFont="1" applyFill="1" applyBorder="1" applyAlignment="1">
      <alignment horizontal="right"/>
    </xf>
    <xf numFmtId="0" fontId="149" fillId="0" borderId="40" xfId="24462" applyFont="1" applyBorder="1" applyAlignment="1">
      <alignment vertical="center"/>
    </xf>
    <xf numFmtId="0" fontId="318" fillId="31" borderId="40" xfId="24462" applyFont="1" applyFill="1" applyBorder="1" applyAlignment="1">
      <alignment vertical="center" wrapText="1"/>
    </xf>
    <xf numFmtId="17" fontId="153" fillId="0" borderId="40" xfId="310" applyNumberFormat="1" applyFont="1" applyBorder="1" applyAlignment="1">
      <alignment horizontal="center" vertical="center"/>
    </xf>
    <xf numFmtId="17" fontId="153" fillId="0" borderId="37" xfId="310" quotePrefix="1" applyNumberFormat="1" applyFont="1" applyBorder="1" applyAlignment="1">
      <alignment horizontal="center" vertical="center"/>
    </xf>
    <xf numFmtId="4" fontId="218" fillId="0" borderId="37" xfId="310" applyNumberFormat="1" applyFont="1" applyBorder="1" applyAlignment="1">
      <alignment horizontal="right" vertical="center"/>
    </xf>
    <xf numFmtId="4" fontId="313" fillId="0" borderId="37" xfId="310" applyNumberFormat="1" applyFont="1" applyBorder="1" applyAlignment="1">
      <alignment horizontal="right" vertical="center"/>
    </xf>
    <xf numFmtId="0" fontId="218" fillId="0" borderId="37" xfId="310" applyFont="1" applyBorder="1" applyAlignment="1">
      <alignment horizontal="right" vertical="center"/>
    </xf>
    <xf numFmtId="4" fontId="232" fillId="0" borderId="37" xfId="310" applyNumberFormat="1" applyFont="1" applyBorder="1" applyAlignment="1">
      <alignment horizontal="right" vertical="center"/>
    </xf>
    <xf numFmtId="4" fontId="218" fillId="0" borderId="175" xfId="310" applyNumberFormat="1" applyFont="1" applyBorder="1" applyAlignment="1">
      <alignment horizontal="right" vertical="center"/>
    </xf>
    <xf numFmtId="4" fontId="224" fillId="90" borderId="37" xfId="310" applyNumberFormat="1" applyFont="1" applyFill="1" applyBorder="1" applyAlignment="1">
      <alignment horizontal="right"/>
    </xf>
    <xf numFmtId="4" fontId="155" fillId="29" borderId="37" xfId="310" applyNumberFormat="1" applyFont="1" applyFill="1" applyBorder="1" applyAlignment="1">
      <alignment horizontal="right"/>
    </xf>
    <xf numFmtId="4" fontId="221" fillId="29" borderId="37" xfId="310" applyNumberFormat="1" applyFont="1" applyFill="1" applyBorder="1" applyAlignment="1">
      <alignment horizontal="right"/>
    </xf>
    <xf numFmtId="4" fontId="155" fillId="90" borderId="37" xfId="310" applyNumberFormat="1" applyFont="1" applyFill="1" applyBorder="1" applyAlignment="1">
      <alignment horizontal="right"/>
    </xf>
    <xf numFmtId="4" fontId="155" fillId="29" borderId="37" xfId="310" applyNumberFormat="1" applyFont="1" applyFill="1" applyBorder="1" applyAlignment="1">
      <alignment horizontal="center"/>
    </xf>
    <xf numFmtId="0" fontId="155" fillId="29" borderId="37" xfId="310" applyFont="1" applyFill="1" applyBorder="1"/>
    <xf numFmtId="4" fontId="155" fillId="27" borderId="37" xfId="310" applyNumberFormat="1" applyFont="1" applyFill="1" applyBorder="1" applyAlignment="1">
      <alignment horizontal="right"/>
    </xf>
    <xf numFmtId="4" fontId="243" fillId="27" borderId="17" xfId="310" applyNumberFormat="1" applyFont="1" applyFill="1" applyBorder="1" applyAlignment="1">
      <alignment horizontal="right"/>
    </xf>
    <xf numFmtId="4" fontId="248" fillId="0" borderId="21" xfId="310" applyNumberFormat="1" applyFont="1" applyBorder="1" applyAlignment="1">
      <alignment horizontal="center" vertical="center"/>
    </xf>
    <xf numFmtId="4" fontId="155" fillId="0" borderId="101" xfId="310" applyNumberFormat="1" applyFont="1" applyBorder="1" applyAlignment="1">
      <alignment vertical="center"/>
    </xf>
    <xf numFmtId="4" fontId="239" fillId="0" borderId="51" xfId="310" applyNumberFormat="1" applyFont="1" applyBorder="1" applyAlignment="1">
      <alignment horizontal="right"/>
    </xf>
    <xf numFmtId="4" fontId="239" fillId="0" borderId="83" xfId="310" applyNumberFormat="1" applyFont="1" applyBorder="1" applyAlignment="1">
      <alignment vertical="center"/>
    </xf>
    <xf numFmtId="4" fontId="154" fillId="0" borderId="17" xfId="310" applyNumberFormat="1" applyFont="1" applyBorder="1" applyAlignment="1">
      <alignment horizontal="right" vertical="top"/>
    </xf>
    <xf numFmtId="4" fontId="155" fillId="85" borderId="101" xfId="310" applyNumberFormat="1" applyFont="1" applyFill="1" applyBorder="1" applyAlignment="1">
      <alignment vertical="center"/>
    </xf>
    <xf numFmtId="4" fontId="239" fillId="0" borderId="63" xfId="310" applyNumberFormat="1" applyFont="1" applyBorder="1"/>
    <xf numFmtId="4" fontId="239" fillId="0" borderId="292" xfId="310" applyNumberFormat="1" applyFont="1" applyBorder="1"/>
    <xf numFmtId="17" fontId="155" fillId="0" borderId="27" xfId="310" applyNumberFormat="1" applyFont="1" applyBorder="1" applyAlignment="1">
      <alignment horizontal="center" vertical="center"/>
    </xf>
    <xf numFmtId="4" fontId="218" fillId="0" borderId="53" xfId="310" applyNumberFormat="1" applyFont="1" applyBorder="1" applyAlignment="1">
      <alignment horizontal="right"/>
    </xf>
    <xf numFmtId="4" fontId="215" fillId="27" borderId="59" xfId="310" applyNumberFormat="1" applyFont="1" applyFill="1" applyBorder="1" applyAlignment="1">
      <alignment horizontal="right" vertical="center"/>
    </xf>
    <xf numFmtId="4" fontId="213" fillId="0" borderId="99" xfId="310" applyNumberFormat="1" applyFont="1" applyBorder="1"/>
    <xf numFmtId="4" fontId="129" fillId="27" borderId="293" xfId="310" applyNumberFormat="1" applyFont="1" applyFill="1" applyBorder="1" applyAlignment="1">
      <alignment horizontal="right"/>
    </xf>
    <xf numFmtId="0" fontId="129" fillId="29" borderId="186" xfId="310" applyFont="1" applyFill="1" applyBorder="1" applyAlignment="1">
      <alignment horizontal="right"/>
    </xf>
    <xf numFmtId="4" fontId="129" fillId="27" borderId="99" xfId="310" applyNumberFormat="1" applyFont="1" applyFill="1" applyBorder="1" applyAlignment="1">
      <alignment horizontal="right"/>
    </xf>
    <xf numFmtId="4" fontId="319" fillId="0" borderId="40" xfId="310" applyNumberFormat="1" applyFont="1" applyBorder="1" applyAlignment="1">
      <alignment horizontal="right"/>
    </xf>
    <xf numFmtId="2" fontId="155" fillId="29" borderId="40" xfId="310" applyNumberFormat="1" applyFont="1" applyFill="1" applyBorder="1"/>
    <xf numFmtId="4" fontId="320" fillId="29" borderId="40" xfId="310" applyNumberFormat="1" applyFont="1" applyFill="1" applyBorder="1" applyAlignment="1">
      <alignment horizontal="right"/>
    </xf>
    <xf numFmtId="4" fontId="319" fillId="29" borderId="40" xfId="310" applyNumberFormat="1" applyFont="1" applyFill="1" applyBorder="1" applyAlignment="1">
      <alignment horizontal="right"/>
    </xf>
    <xf numFmtId="4" fontId="319" fillId="90" borderId="40" xfId="310" applyNumberFormat="1" applyFont="1" applyFill="1" applyBorder="1" applyAlignment="1">
      <alignment horizontal="right"/>
    </xf>
    <xf numFmtId="3" fontId="213" fillId="29" borderId="40" xfId="310" applyNumberFormat="1" applyFont="1" applyFill="1" applyBorder="1" applyAlignment="1">
      <alignment horizontal="right"/>
    </xf>
    <xf numFmtId="4" fontId="135" fillId="86" borderId="19" xfId="310" applyNumberFormat="1" applyFont="1" applyFill="1" applyBorder="1" applyAlignment="1">
      <alignment horizontal="center" vertical="center"/>
    </xf>
    <xf numFmtId="4" fontId="220" fillId="29" borderId="40" xfId="310" applyNumberFormat="1" applyFont="1" applyFill="1" applyBorder="1" applyAlignment="1">
      <alignment horizontal="left"/>
    </xf>
    <xf numFmtId="14" fontId="30" fillId="0" borderId="40" xfId="310" quotePrefix="1" applyNumberFormat="1" applyFont="1" applyBorder="1" applyAlignment="1">
      <alignment vertical="center"/>
    </xf>
    <xf numFmtId="0" fontId="72" fillId="0" borderId="99" xfId="310" applyFont="1" applyBorder="1" applyAlignment="1">
      <alignment horizontal="left" vertical="center" wrapText="1"/>
    </xf>
    <xf numFmtId="4" fontId="135" fillId="86" borderId="21" xfId="310" applyNumberFormat="1" applyFont="1" applyFill="1" applyBorder="1" applyAlignment="1">
      <alignment vertical="center"/>
    </xf>
    <xf numFmtId="49" fontId="321" fillId="0" borderId="40" xfId="0" applyNumberFormat="1" applyFont="1" applyBorder="1" applyAlignment="1" applyProtection="1">
      <alignment horizontal="left" vertical="center" wrapText="1"/>
      <protection locked="0"/>
    </xf>
    <xf numFmtId="49" fontId="321" fillId="0" borderId="40" xfId="0" applyNumberFormat="1" applyFont="1" applyBorder="1" applyAlignment="1" applyProtection="1">
      <alignment horizontal="left" vertical="center"/>
      <protection locked="0"/>
    </xf>
    <xf numFmtId="49" fontId="322" fillId="0" borderId="40" xfId="0" applyNumberFormat="1" applyFont="1" applyBorder="1" applyAlignment="1" applyProtection="1">
      <alignment horizontal="left" vertical="center" wrapText="1"/>
      <protection locked="0"/>
    </xf>
    <xf numFmtId="4" fontId="221" fillId="0" borderId="40" xfId="310" applyNumberFormat="1" applyFont="1" applyBorder="1" applyAlignment="1">
      <alignment horizontal="right" vertical="center"/>
    </xf>
    <xf numFmtId="0" fontId="30" fillId="109" borderId="40" xfId="310" applyFont="1" applyFill="1" applyBorder="1" applyAlignment="1">
      <alignment vertical="center"/>
    </xf>
    <xf numFmtId="49" fontId="321" fillId="110" borderId="40" xfId="0" applyNumberFormat="1" applyFont="1" applyFill="1" applyBorder="1" applyAlignment="1" applyProtection="1">
      <alignment horizontal="left" vertical="center" wrapText="1"/>
      <protection locked="0"/>
    </xf>
    <xf numFmtId="49" fontId="321" fillId="109" borderId="40" xfId="0" applyNumberFormat="1" applyFont="1" applyFill="1" applyBorder="1" applyAlignment="1" applyProtection="1">
      <alignment horizontal="left" vertical="center" wrapText="1"/>
      <protection locked="0"/>
    </xf>
    <xf numFmtId="49" fontId="321" fillId="88" borderId="40" xfId="0" applyNumberFormat="1" applyFont="1" applyFill="1" applyBorder="1" applyAlignment="1" applyProtection="1">
      <alignment horizontal="left" vertical="center" wrapText="1"/>
      <protection locked="0"/>
    </xf>
    <xf numFmtId="4" fontId="155" fillId="27" borderId="77" xfId="310" applyNumberFormat="1" applyFont="1" applyFill="1" applyBorder="1" applyAlignment="1">
      <alignment vertical="center"/>
    </xf>
    <xf numFmtId="4" fontId="30" fillId="109" borderId="40" xfId="310" applyNumberFormat="1" applyFont="1" applyFill="1" applyBorder="1" applyAlignment="1">
      <alignment vertical="center"/>
    </xf>
    <xf numFmtId="0" fontId="30" fillId="109" borderId="39" xfId="310" applyFont="1" applyFill="1" applyBorder="1" applyAlignment="1">
      <alignment vertical="center"/>
    </xf>
    <xf numFmtId="4" fontId="30" fillId="109" borderId="266" xfId="310" applyNumberFormat="1" applyFont="1" applyFill="1" applyBorder="1" applyAlignment="1">
      <alignment vertical="center"/>
    </xf>
    <xf numFmtId="0" fontId="30" fillId="109" borderId="266" xfId="310" applyFont="1" applyFill="1" applyBorder="1" applyAlignment="1">
      <alignment vertical="center"/>
    </xf>
    <xf numFmtId="4" fontId="155" fillId="88" borderId="40" xfId="310" applyNumberFormat="1" applyFont="1" applyFill="1" applyBorder="1" applyAlignment="1">
      <alignment horizontal="right" vertical="center"/>
    </xf>
    <xf numFmtId="4" fontId="216" fillId="88" borderId="40" xfId="310" applyNumberFormat="1" applyFont="1" applyFill="1" applyBorder="1" applyAlignment="1">
      <alignment horizontal="right" vertical="center"/>
    </xf>
    <xf numFmtId="4" fontId="224" fillId="88" borderId="40" xfId="310" applyNumberFormat="1" applyFont="1" applyFill="1" applyBorder="1" applyAlignment="1">
      <alignment horizontal="right" vertical="center"/>
    </xf>
    <xf numFmtId="4" fontId="223" fillId="0" borderId="40" xfId="310" applyNumberFormat="1" applyFont="1" applyBorder="1" applyAlignment="1">
      <alignment horizontal="right" vertical="center"/>
    </xf>
    <xf numFmtId="4" fontId="320" fillId="88" borderId="40" xfId="310" applyNumberFormat="1" applyFont="1" applyFill="1" applyBorder="1" applyAlignment="1">
      <alignment horizontal="right"/>
    </xf>
    <xf numFmtId="0" fontId="149" fillId="0" borderId="40" xfId="24462" applyFont="1" applyBorder="1" applyAlignment="1">
      <alignment vertical="center" wrapText="1"/>
    </xf>
    <xf numFmtId="16" fontId="30" fillId="109" borderId="40" xfId="310" quotePrefix="1" applyNumberFormat="1" applyFont="1" applyFill="1" applyBorder="1" applyAlignment="1">
      <alignment vertical="center"/>
    </xf>
    <xf numFmtId="0" fontId="30" fillId="109" borderId="40" xfId="310" quotePrefix="1" applyFont="1" applyFill="1" applyBorder="1" applyAlignment="1">
      <alignment vertical="center"/>
    </xf>
    <xf numFmtId="16" fontId="208" fillId="91" borderId="40" xfId="310" applyNumberFormat="1" applyFont="1" applyFill="1" applyBorder="1" applyAlignment="1">
      <alignment horizontal="center" vertical="center" wrapText="1"/>
    </xf>
    <xf numFmtId="16" fontId="45" fillId="110" borderId="40" xfId="310" quotePrefix="1" applyNumberFormat="1" applyFont="1" applyFill="1" applyBorder="1" applyAlignment="1">
      <alignment vertical="center"/>
    </xf>
    <xf numFmtId="49" fontId="321" fillId="110" borderId="40" xfId="0" applyNumberFormat="1" applyFont="1" applyFill="1" applyBorder="1" applyAlignment="1" applyProtection="1">
      <alignment horizontal="center" vertical="center" wrapText="1"/>
      <protection locked="0"/>
    </xf>
    <xf numFmtId="4" fontId="155" fillId="27" borderId="186" xfId="310" applyNumberFormat="1" applyFont="1" applyFill="1" applyBorder="1" applyAlignment="1">
      <alignment vertical="center"/>
    </xf>
    <xf numFmtId="49" fontId="321" fillId="110" borderId="40" xfId="0" quotePrefix="1" applyNumberFormat="1" applyFont="1" applyFill="1" applyBorder="1" applyAlignment="1" applyProtection="1">
      <alignment horizontal="center" vertical="center" wrapText="1"/>
      <protection locked="0"/>
    </xf>
    <xf numFmtId="49" fontId="321" fillId="0" borderId="40" xfId="0" applyNumberFormat="1" applyFont="1" applyBorder="1" applyAlignment="1" applyProtection="1">
      <alignment horizontal="center" vertical="center" wrapText="1"/>
      <protection locked="0"/>
    </xf>
    <xf numFmtId="49" fontId="321" fillId="0" borderId="40" xfId="0" quotePrefix="1" applyNumberFormat="1" applyFont="1" applyBorder="1" applyAlignment="1" applyProtection="1">
      <alignment horizontal="center" vertical="center" wrapText="1"/>
      <protection locked="0"/>
    </xf>
    <xf numFmtId="0" fontId="154" fillId="0" borderId="13" xfId="310" applyFont="1" applyBorder="1" applyAlignment="1">
      <alignment horizontal="center" vertical="center"/>
    </xf>
    <xf numFmtId="0" fontId="154" fillId="0" borderId="18" xfId="310" applyFont="1" applyBorder="1" applyAlignment="1">
      <alignment horizontal="center" vertical="center"/>
    </xf>
    <xf numFmtId="0" fontId="164" fillId="27" borderId="40" xfId="310" applyFont="1" applyFill="1" applyBorder="1" applyAlignment="1">
      <alignment horizontal="center" vertical="center"/>
    </xf>
    <xf numFmtId="166" fontId="164" fillId="27" borderId="40" xfId="310" applyNumberFormat="1" applyFont="1" applyFill="1" applyBorder="1" applyAlignment="1">
      <alignment horizontal="right" vertical="center"/>
    </xf>
    <xf numFmtId="0" fontId="34" fillId="0" borderId="0" xfId="310" quotePrefix="1" applyFont="1" applyAlignment="1">
      <alignment horizontal="center" vertical="center"/>
    </xf>
    <xf numFmtId="0" fontId="148" fillId="0" borderId="18" xfId="310" applyFont="1" applyBorder="1" applyAlignment="1">
      <alignment horizontal="center" vertical="center"/>
    </xf>
    <xf numFmtId="0" fontId="238" fillId="24" borderId="18" xfId="310" applyFont="1" applyFill="1" applyBorder="1" applyAlignment="1">
      <alignment horizontal="center" vertical="center" wrapText="1"/>
    </xf>
    <xf numFmtId="0" fontId="142" fillId="0" borderId="43" xfId="310" applyFont="1" applyBorder="1" applyAlignment="1">
      <alignment horizontal="center" vertical="center"/>
    </xf>
    <xf numFmtId="0" fontId="238" fillId="24" borderId="18" xfId="310" applyFont="1" applyFill="1" applyBorder="1" applyAlignment="1">
      <alignment horizontal="center" vertical="center"/>
    </xf>
    <xf numFmtId="0" fontId="202" fillId="0" borderId="35" xfId="310" applyFont="1" applyBorder="1" applyAlignment="1">
      <alignment horizontal="center" vertical="center"/>
    </xf>
    <xf numFmtId="0" fontId="21" fillId="27" borderId="0" xfId="310" applyFont="1" applyFill="1" applyAlignment="1">
      <alignment horizontal="center"/>
    </xf>
    <xf numFmtId="49" fontId="208" fillId="0" borderId="40" xfId="310" applyNumberFormat="1" applyFont="1" applyBorder="1" applyAlignment="1">
      <alignment horizontal="left" vertical="center"/>
    </xf>
    <xf numFmtId="49" fontId="208" fillId="0" borderId="40" xfId="310" quotePrefix="1" applyNumberFormat="1" applyFont="1" applyBorder="1" applyAlignment="1">
      <alignment horizontal="left" vertical="center"/>
    </xf>
    <xf numFmtId="0" fontId="196" fillId="0" borderId="15" xfId="310" applyFont="1" applyBorder="1" applyAlignment="1">
      <alignment vertical="center"/>
    </xf>
    <xf numFmtId="4" fontId="323" fillId="109" borderId="40" xfId="310" applyNumberFormat="1" applyFont="1" applyFill="1" applyBorder="1" applyAlignment="1">
      <alignment vertical="center"/>
    </xf>
    <xf numFmtId="2" fontId="30" fillId="109" borderId="40" xfId="310" applyNumberFormat="1" applyFont="1" applyFill="1" applyBorder="1" applyAlignment="1">
      <alignment vertical="center"/>
    </xf>
    <xf numFmtId="4" fontId="220" fillId="29" borderId="39" xfId="310" applyNumberFormat="1" applyFont="1" applyFill="1" applyBorder="1" applyAlignment="1">
      <alignment horizontal="right" vertical="center"/>
    </xf>
    <xf numFmtId="4" fontId="220" fillId="29" borderId="40" xfId="310" applyNumberFormat="1" applyFont="1" applyFill="1" applyBorder="1" applyAlignment="1">
      <alignment horizontal="right" vertical="center"/>
    </xf>
    <xf numFmtId="4" fontId="220" fillId="29" borderId="40" xfId="310" applyNumberFormat="1" applyFont="1" applyFill="1" applyBorder="1" applyAlignment="1">
      <alignment vertical="center"/>
    </xf>
    <xf numFmtId="4" fontId="34" fillId="29" borderId="39" xfId="310" applyNumberFormat="1" applyFont="1" applyFill="1" applyBorder="1" applyAlignment="1">
      <alignment horizontal="right" vertical="center"/>
    </xf>
    <xf numFmtId="4" fontId="155" fillId="29" borderId="40" xfId="310" applyNumberFormat="1" applyFont="1" applyFill="1" applyBorder="1" applyAlignment="1">
      <alignment horizontal="center" vertical="center"/>
    </xf>
    <xf numFmtId="4" fontId="155" fillId="29" borderId="266" xfId="310" applyNumberFormat="1" applyFont="1" applyFill="1" applyBorder="1" applyAlignment="1">
      <alignment horizontal="center" vertical="center"/>
    </xf>
    <xf numFmtId="4" fontId="38" fillId="29" borderId="39" xfId="310" applyNumberFormat="1" applyFont="1" applyFill="1" applyBorder="1" applyAlignment="1">
      <alignment horizontal="center" vertical="center"/>
    </xf>
    <xf numFmtId="4" fontId="38" fillId="29" borderId="40" xfId="310" applyNumberFormat="1" applyFont="1" applyFill="1" applyBorder="1" applyAlignment="1">
      <alignment vertical="center"/>
    </xf>
    <xf numFmtId="4" fontId="38" fillId="29" borderId="39" xfId="310" applyNumberFormat="1" applyFont="1" applyFill="1" applyBorder="1" applyAlignment="1">
      <alignment vertical="center"/>
    </xf>
    <xf numFmtId="4" fontId="220" fillId="27" borderId="40" xfId="310" applyNumberFormat="1" applyFont="1" applyFill="1" applyBorder="1" applyAlignment="1">
      <alignment horizontal="right" vertical="center"/>
    </xf>
    <xf numFmtId="4" fontId="220" fillId="27" borderId="39" xfId="310" applyNumberFormat="1" applyFont="1" applyFill="1" applyBorder="1" applyAlignment="1">
      <alignment horizontal="right" vertical="center"/>
    </xf>
    <xf numFmtId="4" fontId="324" fillId="27" borderId="186" xfId="310" applyNumberFormat="1" applyFont="1" applyFill="1" applyBorder="1" applyAlignment="1">
      <alignment horizontal="right" vertical="center"/>
    </xf>
    <xf numFmtId="4" fontId="324" fillId="27" borderId="149" xfId="310" applyNumberFormat="1" applyFont="1" applyFill="1" applyBorder="1" applyAlignment="1">
      <alignment horizontal="right" vertical="center"/>
    </xf>
    <xf numFmtId="4" fontId="324" fillId="27" borderId="95" xfId="310" applyNumberFormat="1" applyFont="1" applyFill="1" applyBorder="1" applyAlignment="1">
      <alignment horizontal="right" vertical="center"/>
    </xf>
    <xf numFmtId="4" fontId="30" fillId="0" borderId="40" xfId="310" applyNumberFormat="1" applyFont="1" applyBorder="1" applyAlignment="1">
      <alignment vertical="center"/>
    </xf>
    <xf numFmtId="4" fontId="325" fillId="32" borderId="0" xfId="310" applyNumberFormat="1" applyFont="1" applyFill="1"/>
    <xf numFmtId="10" fontId="220" fillId="31" borderId="101" xfId="310" applyNumberFormat="1" applyFont="1" applyFill="1" applyBorder="1" applyAlignment="1">
      <alignment vertical="center" shrinkToFit="1"/>
    </xf>
    <xf numFmtId="0" fontId="5" fillId="0" borderId="0" xfId="310" applyFont="1" applyAlignment="1">
      <alignment horizontal="left"/>
    </xf>
    <xf numFmtId="0" fontId="4" fillId="0" borderId="0" xfId="310" applyAlignment="1">
      <alignment horizontal="left" vertical="center"/>
    </xf>
    <xf numFmtId="0" fontId="5" fillId="0" borderId="0" xfId="310" applyFont="1" applyAlignment="1">
      <alignment horizontal="left" vertical="center"/>
    </xf>
    <xf numFmtId="0" fontId="134" fillId="0" borderId="0" xfId="310" applyFont="1" applyAlignment="1">
      <alignment horizontal="left" vertical="center"/>
    </xf>
    <xf numFmtId="0" fontId="154" fillId="0" borderId="13" xfId="310" applyFont="1" applyBorder="1" applyAlignment="1">
      <alignment horizontal="left" vertical="center" wrapText="1"/>
    </xf>
    <xf numFmtId="0" fontId="152" fillId="0" borderId="34" xfId="310" applyFont="1" applyBorder="1" applyAlignment="1">
      <alignment horizontal="left" vertical="center"/>
    </xf>
    <xf numFmtId="0" fontId="34" fillId="26" borderId="34" xfId="310" applyFont="1" applyFill="1" applyBorder="1" applyAlignment="1">
      <alignment horizontal="left" vertical="center"/>
    </xf>
    <xf numFmtId="0" fontId="30" fillId="91" borderId="40" xfId="310" applyFont="1" applyFill="1" applyBorder="1" applyAlignment="1">
      <alignment horizontal="left" vertical="center"/>
    </xf>
    <xf numFmtId="0" fontId="30" fillId="0" borderId="40" xfId="310" quotePrefix="1" applyFont="1" applyBorder="1" applyAlignment="1">
      <alignment horizontal="left" vertical="center"/>
    </xf>
    <xf numFmtId="14" fontId="30" fillId="0" borderId="40" xfId="310" quotePrefix="1" applyNumberFormat="1" applyFont="1" applyBorder="1" applyAlignment="1">
      <alignment horizontal="left" vertical="center"/>
    </xf>
    <xf numFmtId="16" fontId="208" fillId="91" borderId="40" xfId="310" applyNumberFormat="1" applyFont="1" applyFill="1" applyBorder="1" applyAlignment="1">
      <alignment horizontal="left" vertical="center" wrapText="1"/>
    </xf>
    <xf numFmtId="0" fontId="208" fillId="91" borderId="40" xfId="310" applyFont="1" applyFill="1" applyBorder="1" applyAlignment="1">
      <alignment horizontal="left" vertical="center" wrapText="1"/>
    </xf>
    <xf numFmtId="16" fontId="30" fillId="109" borderId="40" xfId="310" quotePrefix="1" applyNumberFormat="1" applyFont="1" applyFill="1" applyBorder="1" applyAlignment="1">
      <alignment horizontal="left" vertical="center"/>
    </xf>
    <xf numFmtId="16" fontId="135" fillId="0" borderId="40" xfId="310" quotePrefix="1" applyNumberFormat="1" applyFont="1" applyBorder="1" applyAlignment="1">
      <alignment horizontal="left" vertical="center"/>
    </xf>
    <xf numFmtId="0" fontId="30" fillId="109" borderId="40" xfId="310" quotePrefix="1" applyFont="1" applyFill="1" applyBorder="1" applyAlignment="1">
      <alignment horizontal="left" vertical="center"/>
    </xf>
    <xf numFmtId="16" fontId="45" fillId="110" borderId="40" xfId="310" quotePrefix="1" applyNumberFormat="1" applyFont="1" applyFill="1" applyBorder="1" applyAlignment="1">
      <alignment horizontal="left" vertical="center"/>
    </xf>
    <xf numFmtId="0" fontId="155" fillId="0" borderId="40" xfId="310" quotePrefix="1" applyFont="1" applyBorder="1" applyAlignment="1">
      <alignment horizontal="left" vertical="center"/>
    </xf>
    <xf numFmtId="49" fontId="321" fillId="110" borderId="40" xfId="0" quotePrefix="1" applyNumberFormat="1" applyFont="1" applyFill="1" applyBorder="1" applyAlignment="1" applyProtection="1">
      <alignment horizontal="left" vertical="center" wrapText="1"/>
      <protection locked="0"/>
    </xf>
    <xf numFmtId="49" fontId="321" fillId="0" borderId="40" xfId="0" quotePrefix="1" applyNumberFormat="1" applyFont="1" applyBorder="1" applyAlignment="1" applyProtection="1">
      <alignment horizontal="left" vertical="center" wrapText="1"/>
      <protection locked="0"/>
    </xf>
    <xf numFmtId="0" fontId="34" fillId="0" borderId="186" xfId="310" quotePrefix="1" applyFont="1" applyBorder="1" applyAlignment="1">
      <alignment horizontal="left" vertical="center"/>
    </xf>
    <xf numFmtId="0" fontId="238" fillId="87" borderId="13" xfId="310" applyFont="1" applyFill="1" applyBorder="1" applyAlignment="1">
      <alignment horizontal="left" vertical="center"/>
    </xf>
    <xf numFmtId="0" fontId="238" fillId="0" borderId="23" xfId="310" applyFont="1" applyBorder="1" applyAlignment="1">
      <alignment horizontal="left" vertical="center"/>
    </xf>
    <xf numFmtId="0" fontId="238" fillId="0" borderId="34" xfId="310" applyFont="1" applyBorder="1" applyAlignment="1">
      <alignment horizontal="left" vertical="center"/>
    </xf>
    <xf numFmtId="0" fontId="238" fillId="0" borderId="114" xfId="310" applyFont="1" applyBorder="1" applyAlignment="1">
      <alignment horizontal="left" vertical="center"/>
    </xf>
    <xf numFmtId="0" fontId="72" fillId="0" borderId="13" xfId="310" applyFont="1" applyBorder="1" applyAlignment="1">
      <alignment horizontal="left" vertical="center"/>
    </xf>
    <xf numFmtId="49" fontId="209" fillId="90" borderId="40" xfId="310" applyNumberFormat="1" applyFont="1" applyFill="1" applyBorder="1" applyAlignment="1">
      <alignment horizontal="left" vertical="center"/>
    </xf>
    <xf numFmtId="0" fontId="202" fillId="0" borderId="43" xfId="310" applyFont="1" applyBorder="1" applyAlignment="1">
      <alignment horizontal="left"/>
    </xf>
    <xf numFmtId="0" fontId="141" fillId="0" borderId="99" xfId="310" applyFont="1" applyBorder="1" applyAlignment="1">
      <alignment horizontal="left"/>
    </xf>
    <xf numFmtId="0" fontId="193" fillId="0" borderId="13" xfId="310" applyFont="1" applyBorder="1" applyAlignment="1">
      <alignment horizontal="left" vertical="center"/>
    </xf>
    <xf numFmtId="0" fontId="141" fillId="0" borderId="81" xfId="310" applyFont="1" applyBorder="1" applyAlignment="1">
      <alignment horizontal="left" vertical="center"/>
    </xf>
    <xf numFmtId="0" fontId="238" fillId="0" borderId="99" xfId="310" applyFont="1" applyBorder="1" applyAlignment="1">
      <alignment horizontal="left" vertical="center"/>
    </xf>
    <xf numFmtId="0" fontId="238" fillId="24" borderId="99" xfId="310" applyFont="1" applyFill="1" applyBorder="1" applyAlignment="1">
      <alignment horizontal="left" vertical="center"/>
    </xf>
    <xf numFmtId="0" fontId="148" fillId="0" borderId="190" xfId="310" applyFont="1" applyBorder="1" applyAlignment="1">
      <alignment horizontal="left" vertical="center"/>
    </xf>
    <xf numFmtId="0" fontId="148" fillId="0" borderId="196" xfId="310" applyFont="1" applyBorder="1" applyAlignment="1">
      <alignment horizontal="left" vertical="center"/>
    </xf>
    <xf numFmtId="0" fontId="202" fillId="0" borderId="109" xfId="310" applyFont="1" applyBorder="1" applyAlignment="1">
      <alignment horizontal="left" vertical="center"/>
    </xf>
    <xf numFmtId="0" fontId="202" fillId="0" borderId="60" xfId="310" applyFont="1" applyBorder="1" applyAlignment="1">
      <alignment horizontal="left" vertical="center" wrapText="1"/>
    </xf>
    <xf numFmtId="0" fontId="202" fillId="0" borderId="114" xfId="310" applyFont="1" applyBorder="1" applyAlignment="1">
      <alignment horizontal="left" vertical="center" wrapText="1"/>
    </xf>
    <xf numFmtId="0" fontId="238" fillId="24" borderId="99" xfId="310" applyFont="1" applyFill="1" applyBorder="1" applyAlignment="1">
      <alignment horizontal="left" vertical="center" wrapText="1"/>
    </xf>
    <xf numFmtId="0" fontId="142" fillId="0" borderId="114" xfId="310" applyFont="1" applyBorder="1" applyAlignment="1">
      <alignment horizontal="left" vertical="center"/>
    </xf>
    <xf numFmtId="0" fontId="238" fillId="85" borderId="99" xfId="310" applyFont="1" applyFill="1" applyBorder="1" applyAlignment="1">
      <alignment horizontal="left" vertical="center"/>
    </xf>
    <xf numFmtId="0" fontId="238" fillId="24" borderId="13" xfId="310" applyFont="1" applyFill="1" applyBorder="1" applyAlignment="1">
      <alignment horizontal="left" vertical="center"/>
    </xf>
    <xf numFmtId="0" fontId="238" fillId="24" borderId="81" xfId="310" applyFont="1" applyFill="1" applyBorder="1" applyAlignment="1">
      <alignment horizontal="left" vertical="center"/>
    </xf>
    <xf numFmtId="0" fontId="209" fillId="0" borderId="109" xfId="310" applyFont="1" applyBorder="1" applyAlignment="1">
      <alignment horizontal="left" vertical="center"/>
    </xf>
    <xf numFmtId="0" fontId="202" fillId="0" borderId="34" xfId="310" applyFont="1" applyBorder="1" applyAlignment="1">
      <alignment horizontal="left" vertical="center"/>
    </xf>
    <xf numFmtId="0" fontId="202" fillId="0" borderId="60" xfId="310" applyFont="1" applyBorder="1" applyAlignment="1">
      <alignment horizontal="left"/>
    </xf>
    <xf numFmtId="0" fontId="202" fillId="0" borderId="48" xfId="310" applyFont="1" applyBorder="1" applyAlignment="1">
      <alignment horizontal="left"/>
    </xf>
    <xf numFmtId="0" fontId="259" fillId="0" borderId="99" xfId="310" applyFont="1" applyBorder="1" applyAlignment="1">
      <alignment horizontal="left" vertical="center"/>
    </xf>
    <xf numFmtId="0" fontId="259" fillId="31" borderId="99" xfId="310" applyFont="1" applyFill="1" applyBorder="1" applyAlignment="1">
      <alignment horizontal="left" vertical="center"/>
    </xf>
    <xf numFmtId="0" fontId="238" fillId="30" borderId="99" xfId="310" applyFont="1" applyFill="1" applyBorder="1" applyAlignment="1">
      <alignment horizontal="left" vertical="center"/>
    </xf>
    <xf numFmtId="0" fontId="202" fillId="0" borderId="0" xfId="310" applyFont="1" applyAlignment="1">
      <alignment horizontal="left" vertical="center" wrapText="1"/>
    </xf>
    <xf numFmtId="0" fontId="202" fillId="0" borderId="23" xfId="310" applyFont="1" applyBorder="1" applyAlignment="1">
      <alignment horizontal="left" vertical="center"/>
    </xf>
    <xf numFmtId="0" fontId="209" fillId="0" borderId="60" xfId="310" applyFont="1" applyBorder="1" applyAlignment="1">
      <alignment horizontal="left" vertical="center" wrapText="1"/>
    </xf>
    <xf numFmtId="0" fontId="202" fillId="0" borderId="135" xfId="310" applyFont="1" applyBorder="1" applyAlignment="1">
      <alignment horizontal="left" vertical="center" wrapText="1"/>
    </xf>
    <xf numFmtId="0" fontId="118" fillId="0" borderId="0" xfId="310" applyFont="1" applyAlignment="1">
      <alignment horizontal="left"/>
    </xf>
    <xf numFmtId="0" fontId="31" fillId="0" borderId="0" xfId="310" applyFont="1" applyAlignment="1">
      <alignment horizontal="left"/>
    </xf>
    <xf numFmtId="0" fontId="39" fillId="0" borderId="0" xfId="310" applyFont="1" applyAlignment="1">
      <alignment horizontal="left" vertical="center"/>
    </xf>
    <xf numFmtId="0" fontId="31" fillId="0" borderId="0" xfId="310" applyFont="1" applyAlignment="1">
      <alignment horizontal="left" vertical="center"/>
    </xf>
    <xf numFmtId="0" fontId="40" fillId="0" borderId="0" xfId="310" quotePrefix="1" applyFont="1" applyAlignment="1">
      <alignment horizontal="left" vertical="center"/>
    </xf>
    <xf numFmtId="0" fontId="21" fillId="27" borderId="49" xfId="310" applyFont="1" applyFill="1" applyBorder="1" applyAlignment="1">
      <alignment horizontal="left"/>
    </xf>
    <xf numFmtId="0" fontId="21" fillId="27" borderId="61" xfId="310" applyFont="1" applyFill="1" applyBorder="1" applyAlignment="1">
      <alignment horizontal="left"/>
    </xf>
    <xf numFmtId="0" fontId="21" fillId="27" borderId="70" xfId="310" applyFont="1" applyFill="1" applyBorder="1" applyAlignment="1">
      <alignment horizontal="left"/>
    </xf>
    <xf numFmtId="4" fontId="216" fillId="27" borderId="40" xfId="310" applyNumberFormat="1" applyFont="1" applyFill="1" applyBorder="1" applyAlignment="1">
      <alignment horizontal="left"/>
    </xf>
    <xf numFmtId="0" fontId="185" fillId="0" borderId="0" xfId="0" applyFont="1"/>
    <xf numFmtId="17" fontId="185" fillId="0" borderId="0" xfId="0" applyNumberFormat="1" applyFont="1"/>
    <xf numFmtId="10" fontId="0" fillId="0" borderId="0" xfId="324" applyNumberFormat="1" applyFont="1"/>
    <xf numFmtId="189" fontId="0" fillId="0" borderId="0" xfId="0" applyNumberFormat="1"/>
    <xf numFmtId="17" fontId="155" fillId="0" borderId="44" xfId="300" quotePrefix="1" applyNumberFormat="1" applyFont="1" applyBorder="1" applyAlignment="1">
      <alignment horizontal="center" vertical="center"/>
    </xf>
    <xf numFmtId="49" fontId="209" fillId="90" borderId="40" xfId="310" quotePrefix="1" applyNumberFormat="1" applyFont="1" applyFill="1" applyBorder="1" applyAlignment="1">
      <alignment horizontal="center" vertical="center"/>
    </xf>
    <xf numFmtId="4" fontId="320" fillId="32" borderId="40" xfId="310" applyNumberFormat="1" applyFont="1" applyFill="1" applyBorder="1" applyAlignment="1">
      <alignment horizontal="right"/>
    </xf>
    <xf numFmtId="49" fontId="209" fillId="32" borderId="40" xfId="310" quotePrefix="1" applyNumberFormat="1" applyFont="1" applyFill="1" applyBorder="1" applyAlignment="1">
      <alignment horizontal="left" vertical="center"/>
    </xf>
    <xf numFmtId="49" fontId="202" fillId="32" borderId="40" xfId="310" quotePrefix="1" applyNumberFormat="1" applyFont="1" applyFill="1" applyBorder="1" applyAlignment="1">
      <alignment horizontal="left" vertical="center"/>
    </xf>
    <xf numFmtId="4" fontId="11" fillId="29" borderId="41" xfId="310" applyNumberFormat="1" applyFont="1" applyFill="1" applyBorder="1"/>
    <xf numFmtId="4" fontId="155" fillId="29" borderId="40" xfId="310" applyNumberFormat="1" applyFont="1" applyFill="1" applyBorder="1"/>
    <xf numFmtId="4" fontId="155" fillId="29" borderId="39" xfId="310" applyNumberFormat="1" applyFont="1" applyFill="1" applyBorder="1"/>
    <xf numFmtId="10" fontId="326" fillId="0" borderId="0" xfId="0" applyNumberFormat="1" applyFont="1"/>
    <xf numFmtId="0" fontId="324" fillId="27" borderId="40" xfId="310" applyFont="1" applyFill="1" applyBorder="1" applyAlignment="1">
      <alignment horizontal="left"/>
    </xf>
    <xf numFmtId="4" fontId="223" fillId="0" borderId="40" xfId="310" applyNumberFormat="1" applyFont="1" applyBorder="1" applyAlignment="1">
      <alignment horizontal="right"/>
    </xf>
    <xf numFmtId="16" fontId="141" fillId="0" borderId="40" xfId="310" quotePrefix="1" applyNumberFormat="1" applyFont="1" applyBorder="1" applyAlignment="1">
      <alignment horizontal="left" vertical="center" wrapText="1"/>
    </xf>
    <xf numFmtId="4" fontId="221" fillId="29" borderId="39" xfId="310" applyNumberFormat="1" applyFont="1" applyFill="1" applyBorder="1" applyAlignment="1">
      <alignment vertical="center"/>
    </xf>
    <xf numFmtId="4" fontId="220" fillId="0" borderId="40" xfId="310" applyNumberFormat="1" applyFont="1" applyBorder="1" applyAlignment="1">
      <alignment horizontal="right" vertical="center"/>
    </xf>
    <xf numFmtId="16" fontId="34" fillId="0" borderId="186" xfId="310" quotePrefix="1" applyNumberFormat="1" applyFont="1" applyBorder="1" applyAlignment="1">
      <alignment horizontal="left" vertical="center"/>
    </xf>
    <xf numFmtId="2" fontId="327" fillId="29" borderId="40" xfId="310" applyNumberFormat="1" applyFont="1" applyFill="1" applyBorder="1"/>
    <xf numFmtId="4" fontId="73" fillId="29" borderId="41" xfId="310" applyNumberFormat="1" applyFont="1" applyFill="1" applyBorder="1"/>
    <xf numFmtId="4" fontId="220" fillId="29" borderId="38" xfId="310" applyNumberFormat="1" applyFont="1" applyFill="1" applyBorder="1" applyAlignment="1">
      <alignment horizontal="right"/>
    </xf>
    <xf numFmtId="4" fontId="220" fillId="0" borderId="40" xfId="310" applyNumberFormat="1" applyFont="1" applyBorder="1" applyAlignment="1">
      <alignment horizontal="right"/>
    </xf>
    <xf numFmtId="4" fontId="223" fillId="32" borderId="40" xfId="310" applyNumberFormat="1" applyFont="1" applyFill="1" applyBorder="1" applyAlignment="1">
      <alignment horizontal="right"/>
    </xf>
    <xf numFmtId="4" fontId="220" fillId="29" borderId="40" xfId="310" applyNumberFormat="1" applyFont="1" applyFill="1" applyBorder="1" applyAlignment="1">
      <alignment horizontal="right"/>
    </xf>
    <xf numFmtId="4" fontId="213" fillId="32" borderId="40" xfId="310" applyNumberFormat="1" applyFont="1" applyFill="1" applyBorder="1" applyAlignment="1">
      <alignment horizontal="right"/>
    </xf>
    <xf numFmtId="4" fontId="34" fillId="31" borderId="40" xfId="310" applyNumberFormat="1" applyFont="1" applyFill="1" applyBorder="1" applyAlignment="1">
      <alignment horizontal="right"/>
    </xf>
    <xf numFmtId="0" fontId="194" fillId="31" borderId="40" xfId="24462" applyFont="1" applyFill="1" applyBorder="1" applyAlignment="1">
      <alignment vertical="center" wrapText="1"/>
    </xf>
    <xf numFmtId="4" fontId="223" fillId="91" borderId="40" xfId="310" applyNumberFormat="1" applyFont="1" applyFill="1" applyBorder="1" applyAlignment="1">
      <alignment horizontal="right"/>
    </xf>
    <xf numFmtId="4" fontId="155" fillId="28" borderId="266" xfId="310" applyNumberFormat="1" applyFont="1" applyFill="1" applyBorder="1" applyAlignment="1">
      <alignment horizontal="right"/>
    </xf>
    <xf numFmtId="4" fontId="220" fillId="28" borderId="266" xfId="310" applyNumberFormat="1" applyFont="1" applyFill="1" applyBorder="1" applyAlignment="1">
      <alignment horizontal="right"/>
    </xf>
    <xf numFmtId="4" fontId="219" fillId="28" borderId="266" xfId="310" applyNumberFormat="1" applyFont="1" applyFill="1" applyBorder="1" applyAlignment="1">
      <alignment horizontal="right"/>
    </xf>
    <xf numFmtId="4" fontId="155" fillId="28" borderId="265" xfId="310" applyNumberFormat="1" applyFont="1" applyFill="1" applyBorder="1" applyAlignment="1">
      <alignment horizontal="right" vertical="center"/>
    </xf>
    <xf numFmtId="4" fontId="155" fillId="28" borderId="266" xfId="310" applyNumberFormat="1" applyFont="1" applyFill="1" applyBorder="1" applyAlignment="1">
      <alignment vertical="center"/>
    </xf>
    <xf numFmtId="4" fontId="155" fillId="28" borderId="40" xfId="310" applyNumberFormat="1" applyFont="1" applyFill="1" applyBorder="1" applyAlignment="1">
      <alignment horizontal="right" vertical="center"/>
    </xf>
    <xf numFmtId="4" fontId="324" fillId="27" borderId="277" xfId="310" applyNumberFormat="1" applyFont="1" applyFill="1" applyBorder="1" applyAlignment="1">
      <alignment horizontal="right"/>
    </xf>
    <xf numFmtId="4" fontId="324" fillId="27" borderId="278" xfId="310" applyNumberFormat="1" applyFont="1" applyFill="1" applyBorder="1" applyAlignment="1">
      <alignment horizontal="right"/>
    </xf>
    <xf numFmtId="4" fontId="9" fillId="28" borderId="0" xfId="310" applyNumberFormat="1" applyFont="1" applyFill="1" applyAlignment="1">
      <alignment vertical="center"/>
    </xf>
    <xf numFmtId="4" fontId="221" fillId="28" borderId="40" xfId="310" applyNumberFormat="1" applyFont="1" applyFill="1" applyBorder="1" applyAlignment="1">
      <alignment horizontal="right" vertical="center"/>
    </xf>
    <xf numFmtId="188" fontId="213" fillId="29" borderId="40" xfId="310" applyNumberFormat="1" applyFont="1" applyFill="1" applyBorder="1" applyAlignment="1">
      <alignment horizontal="right"/>
    </xf>
    <xf numFmtId="0" fontId="204" fillId="28" borderId="283" xfId="310" applyFont="1" applyFill="1" applyBorder="1" applyAlignment="1">
      <alignment horizontal="center" vertical="center" wrapText="1"/>
    </xf>
    <xf numFmtId="4" fontId="34" fillId="32" borderId="40" xfId="310" applyNumberFormat="1" applyFont="1" applyFill="1" applyBorder="1" applyAlignment="1">
      <alignment horizontal="right" vertical="center"/>
    </xf>
    <xf numFmtId="4" fontId="208" fillId="0" borderId="0" xfId="310" applyNumberFormat="1" applyFont="1" applyAlignment="1">
      <alignment vertical="center"/>
    </xf>
    <xf numFmtId="4" fontId="34" fillId="0" borderId="0" xfId="310" applyNumberFormat="1" applyFont="1" applyAlignment="1">
      <alignment vertical="center"/>
    </xf>
    <xf numFmtId="4" fontId="216" fillId="0" borderId="0" xfId="310" applyNumberFormat="1" applyFont="1" applyAlignment="1">
      <alignment horizontal="center" vertical="center"/>
    </xf>
    <xf numFmtId="4" fontId="216" fillId="0" borderId="0" xfId="251" applyNumberFormat="1" applyFont="1" applyFill="1" applyBorder="1" applyAlignment="1">
      <alignment horizontal="right" vertical="center"/>
    </xf>
    <xf numFmtId="0" fontId="71" fillId="29" borderId="41" xfId="310" applyFont="1" applyFill="1" applyBorder="1" applyAlignment="1">
      <alignment horizontal="center"/>
    </xf>
    <xf numFmtId="0" fontId="71" fillId="29" borderId="40" xfId="310" applyFont="1" applyFill="1" applyBorder="1" applyAlignment="1">
      <alignment horizontal="center"/>
    </xf>
    <xf numFmtId="0" fontId="71" fillId="29" borderId="39" xfId="310" applyFont="1" applyFill="1" applyBorder="1" applyAlignment="1">
      <alignment horizontal="center"/>
    </xf>
    <xf numFmtId="4" fontId="220" fillId="29" borderId="266" xfId="310" applyNumberFormat="1" applyFont="1" applyFill="1" applyBorder="1" applyAlignment="1">
      <alignment horizontal="right"/>
    </xf>
    <xf numFmtId="4" fontId="34" fillId="90" borderId="40" xfId="310" applyNumberFormat="1" applyFont="1" applyFill="1" applyBorder="1" applyAlignment="1">
      <alignment horizontal="right"/>
    </xf>
    <xf numFmtId="4" fontId="155" fillId="32" borderId="40" xfId="310" applyNumberFormat="1" applyFont="1" applyFill="1" applyBorder="1" applyAlignment="1">
      <alignment horizontal="right"/>
    </xf>
    <xf numFmtId="4" fontId="221" fillId="32" borderId="40" xfId="310" applyNumberFormat="1" applyFont="1" applyFill="1" applyBorder="1" applyAlignment="1">
      <alignment horizontal="right"/>
    </xf>
    <xf numFmtId="0" fontId="45" fillId="0" borderId="213" xfId="0" applyFont="1" applyBorder="1" applyAlignment="1">
      <alignment horizontal="left" vertical="center" wrapText="1"/>
    </xf>
    <xf numFmtId="4" fontId="242" fillId="27" borderId="65" xfId="310" applyNumberFormat="1" applyFont="1" applyFill="1" applyBorder="1" applyAlignment="1">
      <alignment horizontal="left"/>
    </xf>
    <xf numFmtId="4" fontId="155" fillId="112" borderId="40" xfId="310" applyNumberFormat="1" applyFont="1" applyFill="1" applyBorder="1" applyAlignment="1">
      <alignment horizontal="right" vertical="center"/>
    </xf>
    <xf numFmtId="4" fontId="220" fillId="29" borderId="234" xfId="310" applyNumberFormat="1" applyFont="1" applyFill="1" applyBorder="1" applyAlignment="1">
      <alignment horizontal="right" vertical="center"/>
    </xf>
    <xf numFmtId="4" fontId="155" fillId="28" borderId="266" xfId="310" applyNumberFormat="1" applyFont="1" applyFill="1" applyBorder="1" applyAlignment="1">
      <alignment horizontal="center"/>
    </xf>
    <xf numFmtId="4" fontId="223" fillId="28" borderId="266" xfId="310" applyNumberFormat="1" applyFont="1" applyFill="1" applyBorder="1" applyAlignment="1">
      <alignment horizontal="right"/>
    </xf>
    <xf numFmtId="4" fontId="223" fillId="111" borderId="266" xfId="310" applyNumberFormat="1" applyFont="1" applyFill="1" applyBorder="1" applyAlignment="1">
      <alignment horizontal="right"/>
    </xf>
    <xf numFmtId="0" fontId="332" fillId="0" borderId="40" xfId="24462" applyFont="1" applyBorder="1" applyAlignment="1">
      <alignment vertical="center"/>
    </xf>
    <xf numFmtId="4" fontId="155" fillId="83" borderId="40" xfId="310" applyNumberFormat="1" applyFont="1" applyFill="1" applyBorder="1" applyAlignment="1">
      <alignment horizontal="right" vertical="center"/>
    </xf>
    <xf numFmtId="4" fontId="221" fillId="0" borderId="186" xfId="310" applyNumberFormat="1" applyFont="1" applyBorder="1" applyAlignment="1">
      <alignment vertical="center"/>
    </xf>
    <xf numFmtId="4" fontId="223" fillId="83" borderId="40" xfId="310" applyNumberFormat="1" applyFont="1" applyFill="1" applyBorder="1" applyAlignment="1">
      <alignment horizontal="right" vertical="center"/>
    </xf>
    <xf numFmtId="4" fontId="34" fillId="29" borderId="40" xfId="310" applyNumberFormat="1" applyFont="1" applyFill="1" applyBorder="1" applyAlignment="1">
      <alignment horizontal="center"/>
    </xf>
    <xf numFmtId="14" fontId="155" fillId="0" borderId="40" xfId="310" quotePrefix="1" applyNumberFormat="1" applyFont="1" applyBorder="1" applyAlignment="1">
      <alignment horizontal="left" vertical="center"/>
    </xf>
    <xf numFmtId="4" fontId="220" fillId="31" borderId="40" xfId="310" applyNumberFormat="1" applyFont="1" applyFill="1" applyBorder="1" applyAlignment="1">
      <alignment horizontal="right" vertical="center"/>
    </xf>
    <xf numFmtId="4" fontId="223" fillId="83" borderId="266" xfId="310" applyNumberFormat="1" applyFont="1" applyFill="1" applyBorder="1" applyAlignment="1">
      <alignment horizontal="right"/>
    </xf>
    <xf numFmtId="4" fontId="155" fillId="83" borderId="266" xfId="310" applyNumberFormat="1" applyFont="1" applyFill="1" applyBorder="1" applyAlignment="1">
      <alignment horizontal="center"/>
    </xf>
    <xf numFmtId="4" fontId="221" fillId="83" borderId="265" xfId="310" applyNumberFormat="1" applyFont="1" applyFill="1" applyBorder="1" applyAlignment="1">
      <alignment horizontal="right" vertical="center"/>
    </xf>
    <xf numFmtId="4" fontId="155" fillId="83" borderId="266" xfId="310" applyNumberFormat="1" applyFont="1" applyFill="1" applyBorder="1" applyAlignment="1">
      <alignment horizontal="right"/>
    </xf>
    <xf numFmtId="4" fontId="155" fillId="83" borderId="266" xfId="310" applyNumberFormat="1" applyFont="1" applyFill="1" applyBorder="1" applyAlignment="1">
      <alignment horizontal="right" vertical="center"/>
    </xf>
    <xf numFmtId="4" fontId="224" fillId="83" borderId="266" xfId="310" applyNumberFormat="1" applyFont="1" applyFill="1" applyBorder="1" applyAlignment="1">
      <alignment horizontal="right" vertical="center"/>
    </xf>
    <xf numFmtId="4" fontId="221" fillId="28" borderId="266" xfId="310" applyNumberFormat="1" applyFont="1" applyFill="1" applyBorder="1" applyAlignment="1">
      <alignment horizontal="center"/>
    </xf>
    <xf numFmtId="4" fontId="34" fillId="0" borderId="44" xfId="310" applyNumberFormat="1" applyFont="1" applyBorder="1" applyAlignment="1">
      <alignment vertical="center"/>
    </xf>
    <xf numFmtId="2" fontId="34" fillId="0" borderId="111" xfId="310" applyNumberFormat="1" applyFont="1" applyBorder="1" applyAlignment="1" applyProtection="1">
      <alignment vertical="center"/>
      <protection locked="0"/>
    </xf>
    <xf numFmtId="10" fontId="34" fillId="0" borderId="111" xfId="310" applyNumberFormat="1" applyFont="1" applyBorder="1" applyAlignment="1" applyProtection="1">
      <alignment vertical="center"/>
      <protection locked="0"/>
    </xf>
    <xf numFmtId="10" fontId="34" fillId="0" borderId="110" xfId="310" applyNumberFormat="1" applyFont="1" applyBorder="1" applyAlignment="1" applyProtection="1">
      <alignment vertical="center"/>
      <protection locked="0"/>
    </xf>
    <xf numFmtId="4" fontId="208" fillId="0" borderId="105" xfId="310" applyNumberFormat="1" applyFont="1" applyBorder="1" applyAlignment="1">
      <alignment horizontal="right" vertical="center"/>
    </xf>
    <xf numFmtId="10" fontId="34" fillId="0" borderId="32" xfId="310" applyNumberFormat="1" applyFont="1" applyBorder="1" applyAlignment="1" applyProtection="1">
      <alignment vertical="center"/>
      <protection locked="0"/>
    </xf>
    <xf numFmtId="4" fontId="34" fillId="0" borderId="103" xfId="310" applyNumberFormat="1" applyFont="1" applyBorder="1" applyAlignment="1">
      <alignment horizontal="right" vertical="center"/>
    </xf>
    <xf numFmtId="4" fontId="34" fillId="0" borderId="33" xfId="310" applyNumberFormat="1" applyFont="1" applyBorder="1" applyAlignment="1">
      <alignment horizontal="right" vertical="center"/>
    </xf>
    <xf numFmtId="4" fontId="238" fillId="87" borderId="104" xfId="310" applyNumberFormat="1" applyFont="1" applyFill="1" applyBorder="1" applyAlignment="1">
      <alignment horizontal="right" vertical="center"/>
    </xf>
    <xf numFmtId="0" fontId="34" fillId="29" borderId="186" xfId="310" applyFont="1" applyFill="1" applyBorder="1" applyAlignment="1">
      <alignment horizontal="left"/>
    </xf>
    <xf numFmtId="4" fontId="216" fillId="27" borderId="149" xfId="310" applyNumberFormat="1" applyFont="1" applyFill="1" applyBorder="1" applyAlignment="1">
      <alignment horizontal="right" vertical="center"/>
    </xf>
    <xf numFmtId="4" fontId="155" fillId="29" borderId="267" xfId="310" applyNumberFormat="1" applyFont="1" applyFill="1" applyBorder="1" applyAlignment="1">
      <alignment horizontal="right"/>
    </xf>
    <xf numFmtId="4" fontId="155" fillId="29" borderId="186" xfId="310" applyNumberFormat="1" applyFont="1" applyFill="1" applyBorder="1" applyAlignment="1">
      <alignment horizontal="right"/>
    </xf>
    <xf numFmtId="4" fontId="34" fillId="91" borderId="175" xfId="310" applyNumberFormat="1" applyFont="1" applyFill="1" applyBorder="1" applyAlignment="1">
      <alignment horizontal="right" vertical="center"/>
    </xf>
    <xf numFmtId="10" fontId="34" fillId="91" borderId="117" xfId="310" applyNumberFormat="1" applyFont="1" applyFill="1" applyBorder="1" applyAlignment="1">
      <alignment horizontal="right" vertical="center"/>
    </xf>
    <xf numFmtId="10" fontId="34" fillId="0" borderId="186" xfId="310" applyNumberFormat="1" applyFont="1" applyBorder="1" applyAlignment="1" applyProtection="1">
      <alignment vertical="center" shrinkToFit="1"/>
      <protection locked="0"/>
    </xf>
    <xf numFmtId="4" fontId="208" fillId="0" borderId="112" xfId="310" applyNumberFormat="1" applyFont="1" applyBorder="1" applyAlignment="1">
      <alignment vertical="center"/>
    </xf>
    <xf numFmtId="0" fontId="34" fillId="29" borderId="29" xfId="310" applyFont="1" applyFill="1" applyBorder="1" applyAlignment="1">
      <alignment horizontal="left"/>
    </xf>
    <xf numFmtId="0" fontId="164" fillId="0" borderId="129" xfId="310" applyFont="1" applyBorder="1" applyAlignment="1">
      <alignment horizontal="left"/>
    </xf>
    <xf numFmtId="166" fontId="223" fillId="0" borderId="129" xfId="310" applyNumberFormat="1" applyFont="1" applyBorder="1" applyAlignment="1">
      <alignment horizontal="left" vertical="center"/>
    </xf>
    <xf numFmtId="166" fontId="34" fillId="0" borderId="46" xfId="310" applyNumberFormat="1" applyFont="1" applyBorder="1" applyAlignment="1">
      <alignment horizontal="right" vertical="center"/>
    </xf>
    <xf numFmtId="4" fontId="34" fillId="0" borderId="112" xfId="310" applyNumberFormat="1" applyFont="1" applyBorder="1" applyAlignment="1">
      <alignment horizontal="right" vertical="center"/>
    </xf>
    <xf numFmtId="4" fontId="34" fillId="0" borderId="294" xfId="310" applyNumberFormat="1" applyFont="1" applyBorder="1" applyAlignment="1">
      <alignment horizontal="right" vertical="center"/>
    </xf>
    <xf numFmtId="4" fontId="34" fillId="0" borderId="111" xfId="310" applyNumberFormat="1" applyFont="1" applyBorder="1" applyAlignment="1">
      <alignment horizontal="right" vertical="center"/>
    </xf>
    <xf numFmtId="4" fontId="34" fillId="0" borderId="109" xfId="310" applyNumberFormat="1" applyFont="1" applyBorder="1" applyAlignment="1">
      <alignment horizontal="right" vertical="center"/>
    </xf>
    <xf numFmtId="4" fontId="34" fillId="91" borderId="46" xfId="310" applyNumberFormat="1" applyFont="1" applyFill="1" applyBorder="1" applyAlignment="1">
      <alignment horizontal="right" vertical="center"/>
    </xf>
    <xf numFmtId="10" fontId="34" fillId="91" borderId="31" xfId="310" applyNumberFormat="1" applyFont="1" applyFill="1" applyBorder="1" applyAlignment="1">
      <alignment horizontal="right" vertical="center"/>
    </xf>
    <xf numFmtId="10" fontId="34" fillId="0" borderId="29" xfId="310" applyNumberFormat="1" applyFont="1" applyBorder="1" applyAlignment="1" applyProtection="1">
      <alignment vertical="center" shrinkToFit="1"/>
      <protection locked="0"/>
    </xf>
    <xf numFmtId="4" fontId="208" fillId="87" borderId="99" xfId="310" applyNumberFormat="1" applyFont="1" applyFill="1" applyBorder="1" applyAlignment="1">
      <alignment horizontal="right" vertical="center"/>
    </xf>
    <xf numFmtId="4" fontId="34" fillId="0" borderId="102" xfId="310" applyNumberFormat="1" applyFont="1" applyBorder="1" applyAlignment="1">
      <alignment horizontal="right" vertical="center"/>
    </xf>
    <xf numFmtId="4" fontId="34" fillId="0" borderId="104" xfId="310" applyNumberFormat="1" applyFont="1" applyBorder="1" applyAlignment="1">
      <alignment horizontal="right" vertical="center"/>
    </xf>
    <xf numFmtId="4" fontId="34" fillId="0" borderId="272" xfId="310" applyNumberFormat="1" applyFont="1" applyBorder="1" applyAlignment="1">
      <alignment horizontal="right" vertical="center"/>
    </xf>
    <xf numFmtId="4" fontId="34" fillId="0" borderId="257" xfId="310" applyNumberFormat="1" applyFont="1" applyBorder="1" applyAlignment="1">
      <alignment horizontal="right" vertical="center"/>
    </xf>
    <xf numFmtId="4" fontId="34" fillId="0" borderId="100" xfId="310" applyNumberFormat="1" applyFont="1" applyBorder="1" applyAlignment="1">
      <alignment horizontal="right" vertical="center"/>
    </xf>
    <xf numFmtId="4" fontId="34" fillId="0" borderId="99" xfId="310" applyNumberFormat="1" applyFont="1" applyBorder="1" applyAlignment="1">
      <alignment horizontal="right" vertical="center"/>
    </xf>
    <xf numFmtId="4" fontId="34" fillId="91" borderId="101" xfId="310" applyNumberFormat="1" applyFont="1" applyFill="1" applyBorder="1" applyAlignment="1">
      <alignment horizontal="right" vertical="center"/>
    </xf>
    <xf numFmtId="10" fontId="34" fillId="91" borderId="102" xfId="310" applyNumberFormat="1" applyFont="1" applyFill="1" applyBorder="1" applyAlignment="1">
      <alignment horizontal="right" vertical="center"/>
    </xf>
    <xf numFmtId="10" fontId="34" fillId="0" borderId="33" xfId="310" applyNumberFormat="1" applyFont="1" applyBorder="1" applyAlignment="1" applyProtection="1">
      <alignment vertical="center" shrinkToFit="1"/>
      <protection locked="0"/>
    </xf>
    <xf numFmtId="166" fontId="34" fillId="83" borderId="40" xfId="310" applyNumberFormat="1" applyFont="1" applyFill="1" applyBorder="1" applyAlignment="1">
      <alignment horizontal="right" vertical="center"/>
    </xf>
    <xf numFmtId="4" fontId="220" fillId="88" borderId="40" xfId="310" applyNumberFormat="1" applyFont="1" applyFill="1" applyBorder="1" applyAlignment="1">
      <alignment horizontal="right" vertical="center"/>
    </xf>
    <xf numFmtId="4" fontId="155" fillId="29" borderId="38" xfId="310" applyNumberFormat="1" applyFont="1" applyFill="1" applyBorder="1" applyAlignment="1">
      <alignment horizontal="center" vertical="center"/>
    </xf>
    <xf numFmtId="4" fontId="219" fillId="29" borderId="38" xfId="310" applyNumberFormat="1" applyFont="1" applyFill="1" applyBorder="1" applyAlignment="1">
      <alignment horizontal="right"/>
    </xf>
    <xf numFmtId="4" fontId="223" fillId="113" borderId="40" xfId="310" applyNumberFormat="1" applyFont="1" applyFill="1" applyBorder="1" applyAlignment="1">
      <alignment horizontal="right"/>
    </xf>
    <xf numFmtId="4" fontId="34" fillId="113" borderId="40" xfId="310" applyNumberFormat="1" applyFont="1" applyFill="1" applyBorder="1" applyAlignment="1">
      <alignment horizontal="right"/>
    </xf>
    <xf numFmtId="4" fontId="155" fillId="28" borderId="40" xfId="310" applyNumberFormat="1" applyFont="1" applyFill="1" applyBorder="1" applyAlignment="1">
      <alignment horizontal="right"/>
    </xf>
    <xf numFmtId="4" fontId="219" fillId="28" borderId="39" xfId="310" applyNumberFormat="1" applyFont="1" applyFill="1" applyBorder="1" applyAlignment="1">
      <alignment horizontal="right" vertical="center"/>
    </xf>
    <xf numFmtId="4" fontId="224" fillId="28" borderId="266" xfId="310" applyNumberFormat="1" applyFont="1" applyFill="1" applyBorder="1" applyAlignment="1">
      <alignment horizontal="right" vertical="center"/>
    </xf>
    <xf numFmtId="4" fontId="155" fillId="28" borderId="40" xfId="310" applyNumberFormat="1" applyFont="1" applyFill="1" applyBorder="1" applyAlignment="1">
      <alignment horizontal="center"/>
    </xf>
    <xf numFmtId="4" fontId="11" fillId="29" borderId="40" xfId="310" applyNumberFormat="1" applyFont="1" applyFill="1" applyBorder="1" applyAlignment="1">
      <alignment horizontal="center"/>
    </xf>
    <xf numFmtId="0" fontId="11" fillId="28" borderId="40" xfId="310" applyFont="1" applyFill="1" applyBorder="1"/>
    <xf numFmtId="4" fontId="219" fillId="28" borderId="40" xfId="310" applyNumberFormat="1" applyFont="1" applyFill="1" applyBorder="1" applyAlignment="1">
      <alignment horizontal="right"/>
    </xf>
    <xf numFmtId="4" fontId="201" fillId="0" borderId="0" xfId="310" applyNumberFormat="1" applyFont="1" applyAlignment="1">
      <alignment horizontal="left"/>
    </xf>
    <xf numFmtId="191" fontId="11" fillId="29" borderId="40" xfId="310" applyNumberFormat="1" applyFont="1" applyFill="1" applyBorder="1" applyAlignment="1">
      <alignment horizontal="center"/>
    </xf>
    <xf numFmtId="191" fontId="11" fillId="29" borderId="41" xfId="310" applyNumberFormat="1" applyFont="1" applyFill="1" applyBorder="1" applyAlignment="1">
      <alignment horizontal="center"/>
    </xf>
    <xf numFmtId="191" fontId="11" fillId="29" borderId="39" xfId="310" applyNumberFormat="1" applyFont="1" applyFill="1" applyBorder="1" applyAlignment="1">
      <alignment horizontal="center"/>
    </xf>
    <xf numFmtId="4" fontId="11" fillId="0" borderId="40" xfId="310" applyNumberFormat="1" applyFont="1" applyBorder="1"/>
    <xf numFmtId="4" fontId="221" fillId="28" borderId="40" xfId="310" applyNumberFormat="1" applyFont="1" applyFill="1" applyBorder="1" applyAlignment="1">
      <alignment horizontal="right"/>
    </xf>
    <xf numFmtId="4" fontId="220" fillId="28" borderId="40" xfId="310" applyNumberFormat="1" applyFont="1" applyFill="1" applyBorder="1" applyAlignment="1">
      <alignment horizontal="right"/>
    </xf>
    <xf numFmtId="4" fontId="221" fillId="29" borderId="40" xfId="310" applyNumberFormat="1" applyFont="1" applyFill="1" applyBorder="1" applyAlignment="1">
      <alignment vertical="center"/>
    </xf>
    <xf numFmtId="4" fontId="221" fillId="29" borderId="39" xfId="310" applyNumberFormat="1" applyFont="1" applyFill="1" applyBorder="1" applyAlignment="1">
      <alignment horizontal="right" vertical="center"/>
    </xf>
    <xf numFmtId="191" fontId="73" fillId="29" borderId="40" xfId="310" applyNumberFormat="1" applyFont="1" applyFill="1" applyBorder="1" applyAlignment="1">
      <alignment horizontal="center"/>
    </xf>
    <xf numFmtId="4" fontId="210" fillId="29" borderId="40" xfId="310" applyNumberFormat="1" applyFont="1" applyFill="1" applyBorder="1" applyAlignment="1">
      <alignment horizontal="right" vertical="center"/>
    </xf>
    <xf numFmtId="9" fontId="0" fillId="0" borderId="0" xfId="324" applyFont="1"/>
    <xf numFmtId="4" fontId="218" fillId="0" borderId="36" xfId="310" applyNumberFormat="1" applyFont="1" applyBorder="1" applyAlignment="1">
      <alignment horizontal="right" vertical="center"/>
    </xf>
    <xf numFmtId="0" fontId="34" fillId="27" borderId="40" xfId="310" applyFont="1" applyFill="1" applyBorder="1" applyAlignment="1">
      <alignment horizontal="left" wrapText="1"/>
    </xf>
    <xf numFmtId="4" fontId="224" fillId="90" borderId="40" xfId="310" applyNumberFormat="1" applyFont="1" applyFill="1" applyBorder="1" applyAlignment="1">
      <alignment horizontal="right" vertical="center"/>
    </xf>
    <xf numFmtId="9" fontId="0" fillId="0" borderId="0" xfId="0" applyNumberFormat="1"/>
    <xf numFmtId="4" fontId="208" fillId="32" borderId="40" xfId="310" applyNumberFormat="1" applyFont="1" applyFill="1" applyBorder="1" applyAlignment="1">
      <alignment horizontal="right"/>
    </xf>
    <xf numFmtId="16" fontId="72" fillId="0" borderId="40" xfId="310" quotePrefix="1" applyNumberFormat="1" applyFont="1" applyBorder="1" applyAlignment="1">
      <alignment horizontal="left" vertical="center"/>
    </xf>
    <xf numFmtId="16" fontId="72" fillId="0" borderId="40" xfId="310" quotePrefix="1" applyNumberFormat="1" applyFont="1" applyBorder="1" applyAlignment="1">
      <alignment vertical="center"/>
    </xf>
    <xf numFmtId="0" fontId="72" fillId="0" borderId="40" xfId="0" applyFont="1" applyBorder="1" applyAlignment="1">
      <alignment horizontal="left" vertical="center" wrapText="1"/>
    </xf>
    <xf numFmtId="0" fontId="235" fillId="27" borderId="40" xfId="310" applyFont="1" applyFill="1" applyBorder="1" applyAlignment="1">
      <alignment horizontal="center" vertical="center"/>
    </xf>
    <xf numFmtId="0" fontId="235" fillId="27" borderId="40" xfId="310" applyFont="1" applyFill="1" applyBorder="1" applyAlignment="1">
      <alignment horizontal="left" vertical="center"/>
    </xf>
    <xf numFmtId="0" fontId="234" fillId="29" borderId="40" xfId="310" applyFont="1" applyFill="1" applyBorder="1" applyAlignment="1">
      <alignment horizontal="center" vertical="center"/>
    </xf>
    <xf numFmtId="4" fontId="324" fillId="27" borderId="40" xfId="310" applyNumberFormat="1" applyFont="1" applyFill="1" applyBorder="1" applyAlignment="1">
      <alignment horizontal="right" vertical="center"/>
    </xf>
    <xf numFmtId="4" fontId="324" fillId="29" borderId="40" xfId="310" applyNumberFormat="1" applyFont="1" applyFill="1" applyBorder="1" applyAlignment="1">
      <alignment horizontal="right" vertical="center"/>
    </xf>
    <xf numFmtId="4" fontId="293" fillId="29" borderId="40" xfId="310" applyNumberFormat="1" applyFont="1" applyFill="1" applyBorder="1" applyAlignment="1">
      <alignment horizontal="right" vertical="center"/>
    </xf>
    <xf numFmtId="4" fontId="293" fillId="0" borderId="40" xfId="310" applyNumberFormat="1" applyFont="1" applyBorder="1" applyAlignment="1">
      <alignment horizontal="right" vertical="center"/>
    </xf>
    <xf numFmtId="4" fontId="221" fillId="31" borderId="40" xfId="310" applyNumberFormat="1" applyFont="1" applyFill="1" applyBorder="1" applyAlignment="1">
      <alignment horizontal="right" vertical="center"/>
    </xf>
    <xf numFmtId="0" fontId="220" fillId="27" borderId="40" xfId="310" applyFont="1" applyFill="1" applyBorder="1" applyAlignment="1">
      <alignment horizontal="left"/>
    </xf>
    <xf numFmtId="166" fontId="220" fillId="27" borderId="40" xfId="310" applyNumberFormat="1" applyFont="1" applyFill="1" applyBorder="1" applyAlignment="1">
      <alignment horizontal="right" vertical="center"/>
    </xf>
    <xf numFmtId="166" fontId="220" fillId="29" borderId="40" xfId="310" applyNumberFormat="1" applyFont="1" applyFill="1" applyBorder="1" applyAlignment="1">
      <alignment horizontal="right" vertical="center"/>
    </xf>
    <xf numFmtId="166" fontId="236" fillId="27" borderId="39" xfId="310" applyNumberFormat="1" applyFont="1" applyFill="1" applyBorder="1" applyAlignment="1">
      <alignment horizontal="right" vertical="center"/>
    </xf>
    <xf numFmtId="166" fontId="236" fillId="27" borderId="36" xfId="310" applyNumberFormat="1" applyFont="1" applyFill="1" applyBorder="1" applyAlignment="1">
      <alignment horizontal="right" vertical="center"/>
    </xf>
    <xf numFmtId="10" fontId="220" fillId="0" borderId="35" xfId="310" applyNumberFormat="1" applyFont="1" applyBorder="1" applyAlignment="1" applyProtection="1">
      <alignment vertical="center"/>
      <protection locked="0"/>
    </xf>
    <xf numFmtId="4" fontId="221" fillId="29" borderId="265" xfId="310" applyNumberFormat="1" applyFont="1" applyFill="1" applyBorder="1" applyAlignment="1">
      <alignment horizontal="right" vertical="center"/>
    </xf>
    <xf numFmtId="4" fontId="221" fillId="29" borderId="29" xfId="310" applyNumberFormat="1" applyFont="1" applyFill="1" applyBorder="1" applyAlignment="1">
      <alignment horizontal="right" vertical="center"/>
    </xf>
    <xf numFmtId="4" fontId="221" fillId="29" borderId="29" xfId="310" applyNumberFormat="1" applyFont="1" applyFill="1" applyBorder="1" applyAlignment="1">
      <alignment vertical="center"/>
    </xf>
    <xf numFmtId="4" fontId="221" fillId="29" borderId="30" xfId="310" applyNumberFormat="1" applyFont="1" applyFill="1" applyBorder="1" applyAlignment="1">
      <alignment horizontal="right" vertical="center"/>
    </xf>
    <xf numFmtId="4" fontId="221" fillId="27" borderId="266" xfId="310" applyNumberFormat="1" applyFont="1" applyFill="1" applyBorder="1" applyAlignment="1">
      <alignment horizontal="right" vertical="center"/>
    </xf>
    <xf numFmtId="4" fontId="221" fillId="27" borderId="38" xfId="310" applyNumberFormat="1" applyFont="1" applyFill="1" applyBorder="1" applyAlignment="1">
      <alignment horizontal="right" vertical="center"/>
    </xf>
    <xf numFmtId="4" fontId="221" fillId="27" borderId="234" xfId="310" applyNumberFormat="1" applyFont="1" applyFill="1" applyBorder="1" applyAlignment="1">
      <alignment horizontal="right" vertical="center"/>
    </xf>
    <xf numFmtId="4" fontId="221" fillId="27" borderId="36" xfId="310" applyNumberFormat="1" applyFont="1" applyFill="1" applyBorder="1" applyAlignment="1">
      <alignment horizontal="right" vertical="center"/>
    </xf>
    <xf numFmtId="4" fontId="324" fillId="0" borderId="40" xfId="310" applyNumberFormat="1" applyFont="1" applyBorder="1" applyAlignment="1">
      <alignment horizontal="right" vertical="center"/>
    </xf>
    <xf numFmtId="4" fontId="324" fillId="0" borderId="39" xfId="310" applyNumberFormat="1" applyFont="1" applyBorder="1" applyAlignment="1">
      <alignment horizontal="right" vertical="center"/>
    </xf>
    <xf numFmtId="4" fontId="324" fillId="0" borderId="34" xfId="310" applyNumberFormat="1" applyFont="1" applyBorder="1" applyAlignment="1">
      <alignment horizontal="right" vertical="center"/>
    </xf>
    <xf numFmtId="4" fontId="324" fillId="0" borderId="37" xfId="310" applyNumberFormat="1" applyFont="1" applyBorder="1" applyAlignment="1">
      <alignment horizontal="right" vertical="center"/>
    </xf>
    <xf numFmtId="10" fontId="220" fillId="0" borderId="38" xfId="310" applyNumberFormat="1" applyFont="1" applyBorder="1" applyAlignment="1" applyProtection="1">
      <alignment vertical="center" shrinkToFit="1"/>
      <protection locked="0"/>
    </xf>
    <xf numFmtId="10" fontId="220" fillId="0" borderId="40" xfId="310" applyNumberFormat="1" applyFont="1" applyBorder="1" applyAlignment="1" applyProtection="1">
      <alignment vertical="center" shrinkToFit="1"/>
      <protection locked="0"/>
    </xf>
    <xf numFmtId="10" fontId="220" fillId="0" borderId="40" xfId="310" applyNumberFormat="1" applyFont="1" applyBorder="1" applyAlignment="1">
      <alignment horizontal="right" vertical="center"/>
    </xf>
    <xf numFmtId="166" fontId="220" fillId="0" borderId="40" xfId="310" applyNumberFormat="1" applyFont="1" applyBorder="1" applyAlignment="1">
      <alignment vertical="center"/>
    </xf>
    <xf numFmtId="0" fontId="220" fillId="0" borderId="40" xfId="310" applyFont="1" applyBorder="1" applyAlignment="1">
      <alignment vertical="center"/>
    </xf>
    <xf numFmtId="0" fontId="324" fillId="0" borderId="40" xfId="310" applyFont="1" applyBorder="1" applyAlignment="1">
      <alignment horizontal="center" vertical="center"/>
    </xf>
    <xf numFmtId="165" fontId="324" fillId="0" borderId="40" xfId="251" applyFont="1" applyFill="1" applyBorder="1" applyAlignment="1">
      <alignment horizontal="right" vertical="center"/>
    </xf>
    <xf numFmtId="166" fontId="220" fillId="31" borderId="0" xfId="310" applyNumberFormat="1" applyFont="1" applyFill="1" applyAlignment="1">
      <alignment vertical="center"/>
    </xf>
    <xf numFmtId="4" fontId="323" fillId="0" borderId="0" xfId="310" applyNumberFormat="1" applyFont="1" applyAlignment="1">
      <alignment vertical="center"/>
    </xf>
    <xf numFmtId="0" fontId="323" fillId="0" borderId="0" xfId="310" applyFont="1" applyAlignment="1">
      <alignment vertical="center"/>
    </xf>
    <xf numFmtId="4" fontId="334" fillId="0" borderId="0" xfId="310" applyNumberFormat="1" applyFont="1" applyAlignment="1">
      <alignment vertical="center"/>
    </xf>
    <xf numFmtId="0" fontId="323" fillId="0" borderId="38" xfId="310" applyFont="1" applyBorder="1" applyAlignment="1">
      <alignment vertical="center"/>
    </xf>
    <xf numFmtId="0" fontId="323" fillId="0" borderId="40" xfId="310" applyFont="1" applyBorder="1" applyAlignment="1">
      <alignment vertical="center"/>
    </xf>
    <xf numFmtId="0" fontId="220" fillId="27" borderId="40" xfId="310" applyFont="1" applyFill="1" applyBorder="1" applyAlignment="1">
      <alignment horizontal="center" vertical="center"/>
    </xf>
    <xf numFmtId="0" fontId="323" fillId="29" borderId="266" xfId="310" applyFont="1" applyFill="1" applyBorder="1" applyAlignment="1">
      <alignment vertical="center"/>
    </xf>
    <xf numFmtId="4" fontId="155" fillId="28" borderId="40" xfId="310" applyNumberFormat="1" applyFont="1" applyFill="1" applyBorder="1" applyAlignment="1">
      <alignment vertical="center"/>
    </xf>
    <xf numFmtId="4" fontId="210" fillId="28" borderId="40" xfId="310" applyNumberFormat="1" applyFont="1" applyFill="1" applyBorder="1" applyAlignment="1">
      <alignment horizontal="right" vertical="center"/>
    </xf>
    <xf numFmtId="190" fontId="221" fillId="28" borderId="40" xfId="310" applyNumberFormat="1" applyFont="1" applyFill="1" applyBorder="1" applyAlignment="1">
      <alignment horizontal="right" vertical="center"/>
    </xf>
    <xf numFmtId="4" fontId="220" fillId="29" borderId="40" xfId="310" applyNumberFormat="1" applyFont="1" applyFill="1" applyBorder="1" applyAlignment="1">
      <alignment horizontal="center"/>
    </xf>
    <xf numFmtId="4" fontId="34" fillId="28" borderId="40" xfId="310" applyNumberFormat="1" applyFont="1" applyFill="1" applyBorder="1" applyAlignment="1">
      <alignment horizontal="right"/>
    </xf>
    <xf numFmtId="0" fontId="34" fillId="114" borderId="40" xfId="310" applyFont="1" applyFill="1" applyBorder="1" applyAlignment="1">
      <alignment horizontal="left"/>
    </xf>
    <xf numFmtId="4" fontId="155" fillId="114" borderId="40" xfId="310" applyNumberFormat="1" applyFont="1" applyFill="1" applyBorder="1" applyAlignment="1">
      <alignment horizontal="right" vertical="center"/>
    </xf>
    <xf numFmtId="4" fontId="223" fillId="114" borderId="40" xfId="310" applyNumberFormat="1" applyFont="1" applyFill="1" applyBorder="1" applyAlignment="1">
      <alignment horizontal="right"/>
    </xf>
    <xf numFmtId="166" fontId="216" fillId="27" borderId="40" xfId="310" applyNumberFormat="1" applyFont="1" applyFill="1" applyBorder="1" applyAlignment="1">
      <alignment horizontal="right" vertical="center"/>
    </xf>
    <xf numFmtId="0" fontId="196" fillId="0" borderId="263" xfId="310" applyFont="1" applyBorder="1" applyAlignment="1">
      <alignment horizontal="center" vertical="center"/>
    </xf>
    <xf numFmtId="0" fontId="196" fillId="0" borderId="100" xfId="310" applyFont="1" applyBorder="1" applyAlignment="1">
      <alignment horizontal="center" vertical="center"/>
    </xf>
    <xf numFmtId="0" fontId="196" fillId="0" borderId="243" xfId="310" applyFont="1" applyBorder="1" applyAlignment="1">
      <alignment horizontal="center" vertical="center"/>
    </xf>
    <xf numFmtId="0" fontId="154" fillId="0" borderId="13" xfId="310" applyFont="1" applyBorder="1" applyAlignment="1">
      <alignment horizontal="left" vertical="center"/>
    </xf>
    <xf numFmtId="0" fontId="154" fillId="0" borderId="18" xfId="310" applyFont="1" applyBorder="1" applyAlignment="1">
      <alignment horizontal="left" vertical="center"/>
    </xf>
    <xf numFmtId="4" fontId="135" fillId="0" borderId="32" xfId="310" applyNumberFormat="1" applyFont="1" applyBorder="1" applyAlignment="1">
      <alignment horizontal="center" vertical="center"/>
    </xf>
    <xf numFmtId="4" fontId="135" fillId="0" borderId="100" xfId="310" applyNumberFormat="1" applyFont="1" applyBorder="1" applyAlignment="1">
      <alignment horizontal="center" vertical="center"/>
    </xf>
    <xf numFmtId="4" fontId="135" fillId="0" borderId="15" xfId="310" applyNumberFormat="1" applyFont="1" applyBorder="1" applyAlignment="1">
      <alignment horizontal="center" vertical="center"/>
    </xf>
    <xf numFmtId="4" fontId="135" fillId="0" borderId="101" xfId="310" applyNumberFormat="1" applyFont="1" applyBorder="1" applyAlignment="1">
      <alignment horizontal="center" vertical="center"/>
    </xf>
    <xf numFmtId="0" fontId="135" fillId="0" borderId="14" xfId="310" applyFont="1" applyBorder="1" applyAlignment="1">
      <alignment horizontal="center" vertical="center" wrapText="1"/>
    </xf>
    <xf numFmtId="0" fontId="135" fillId="0" borderId="16" xfId="310" applyFont="1" applyBorder="1" applyAlignment="1">
      <alignment horizontal="center" vertical="center" wrapText="1"/>
    </xf>
    <xf numFmtId="0" fontId="135" fillId="0" borderId="19" xfId="310" applyFont="1" applyBorder="1" applyAlignment="1">
      <alignment horizontal="center" vertical="center" wrapText="1"/>
    </xf>
    <xf numFmtId="0" fontId="135" fillId="0" borderId="21" xfId="310" applyFont="1" applyBorder="1" applyAlignment="1">
      <alignment horizontal="center" vertical="center" wrapText="1"/>
    </xf>
    <xf numFmtId="0" fontId="135" fillId="0" borderId="15" xfId="310" applyFont="1" applyBorder="1" applyAlignment="1">
      <alignment horizontal="center" vertical="center" wrapText="1"/>
    </xf>
    <xf numFmtId="0" fontId="135" fillId="0" borderId="20" xfId="310" applyFont="1" applyBorder="1" applyAlignment="1">
      <alignment horizontal="center" vertical="center" wrapText="1"/>
    </xf>
    <xf numFmtId="0" fontId="196" fillId="0" borderId="219" xfId="310" applyFont="1" applyBorder="1" applyAlignment="1">
      <alignment horizontal="center" vertical="center"/>
    </xf>
    <xf numFmtId="4" fontId="201" fillId="0" borderId="95" xfId="310" applyNumberFormat="1" applyFont="1" applyBorder="1" applyAlignment="1">
      <alignment horizontal="center" vertical="center" wrapText="1"/>
    </xf>
    <xf numFmtId="4" fontId="135" fillId="0" borderId="95" xfId="310" applyNumberFormat="1" applyFont="1" applyBorder="1" applyAlignment="1">
      <alignment horizontal="center" vertical="center" wrapText="1"/>
    </xf>
    <xf numFmtId="4" fontId="135" fillId="0" borderId="96" xfId="310" applyNumberFormat="1" applyFont="1" applyBorder="1" applyAlignment="1">
      <alignment horizontal="center" vertical="center" wrapText="1"/>
    </xf>
    <xf numFmtId="4" fontId="135" fillId="0" borderId="14" xfId="310" applyNumberFormat="1" applyFont="1" applyBorder="1" applyAlignment="1">
      <alignment horizontal="center" vertical="center"/>
    </xf>
    <xf numFmtId="4" fontId="135" fillId="0" borderId="16" xfId="310" applyNumberFormat="1" applyFont="1" applyBorder="1" applyAlignment="1">
      <alignment horizontal="center" vertical="center"/>
    </xf>
    <xf numFmtId="4" fontId="135" fillId="0" borderId="15" xfId="310" applyNumberFormat="1" applyFont="1" applyBorder="1" applyAlignment="1">
      <alignment horizontal="center" vertical="center" wrapText="1"/>
    </xf>
    <xf numFmtId="4" fontId="135" fillId="0" borderId="16" xfId="310" applyNumberFormat="1" applyFont="1" applyBorder="1" applyAlignment="1">
      <alignment horizontal="center" vertical="center" wrapText="1"/>
    </xf>
    <xf numFmtId="4" fontId="135" fillId="0" borderId="20" xfId="310" applyNumberFormat="1" applyFont="1" applyBorder="1" applyAlignment="1">
      <alignment horizontal="center" vertical="center" wrapText="1"/>
    </xf>
    <xf numFmtId="4" fontId="135" fillId="0" borderId="21" xfId="310" applyNumberFormat="1" applyFont="1" applyBorder="1" applyAlignment="1">
      <alignment horizontal="center" vertical="center" wrapText="1"/>
    </xf>
    <xf numFmtId="4" fontId="135" fillId="0" borderId="93" xfId="310" applyNumberFormat="1" applyFont="1" applyBorder="1" applyAlignment="1">
      <alignment horizontal="center" vertical="center" wrapText="1"/>
    </xf>
    <xf numFmtId="4" fontId="135" fillId="0" borderId="22" xfId="310" applyNumberFormat="1" applyFont="1" applyBorder="1" applyAlignment="1">
      <alignment horizontal="center" vertical="center" wrapText="1"/>
    </xf>
    <xf numFmtId="4" fontId="135" fillId="0" borderId="94" xfId="310" applyNumberFormat="1" applyFont="1" applyBorder="1" applyAlignment="1">
      <alignment horizontal="center" vertical="center" wrapText="1"/>
    </xf>
    <xf numFmtId="0" fontId="6" fillId="0" borderId="0" xfId="310" applyFont="1" applyAlignment="1">
      <alignment horizontal="center"/>
    </xf>
    <xf numFmtId="4" fontId="15" fillId="31" borderId="0" xfId="310" applyNumberFormat="1" applyFont="1" applyFill="1" applyAlignment="1">
      <alignment horizontal="left" vertical="center"/>
    </xf>
    <xf numFmtId="4" fontId="220" fillId="0" borderId="103" xfId="310" applyNumberFormat="1" applyFont="1" applyBorder="1" applyAlignment="1">
      <alignment horizontal="center" vertical="center"/>
    </xf>
    <xf numFmtId="4" fontId="25" fillId="0" borderId="0" xfId="310" applyNumberFormat="1" applyFont="1" applyAlignment="1">
      <alignment horizontal="center"/>
    </xf>
    <xf numFmtId="4" fontId="8" fillId="31" borderId="0" xfId="310" applyNumberFormat="1" applyFont="1" applyFill="1" applyAlignment="1" applyProtection="1">
      <alignment horizontal="left" vertical="center"/>
      <protection locked="0"/>
    </xf>
    <xf numFmtId="4" fontId="155" fillId="29" borderId="186" xfId="310" applyNumberFormat="1" applyFont="1" applyFill="1" applyBorder="1" applyAlignment="1">
      <alignment horizontal="center" vertical="center" wrapText="1"/>
    </xf>
    <xf numFmtId="4" fontId="155" fillId="29" borderId="77" xfId="310" applyNumberFormat="1" applyFont="1" applyFill="1" applyBorder="1" applyAlignment="1">
      <alignment horizontal="center" vertical="center" wrapText="1"/>
    </xf>
    <xf numFmtId="4" fontId="155" fillId="29" borderId="29" xfId="310" applyNumberFormat="1" applyFont="1" applyFill="1" applyBorder="1" applyAlignment="1">
      <alignment horizontal="center" vertical="center" wrapText="1"/>
    </xf>
    <xf numFmtId="4" fontId="155" fillId="27" borderId="77" xfId="310" applyNumberFormat="1" applyFont="1" applyFill="1" applyBorder="1" applyAlignment="1">
      <alignment horizontal="center" vertical="center"/>
    </xf>
    <xf numFmtId="4" fontId="155" fillId="27" borderId="186" xfId="310" applyNumberFormat="1" applyFont="1" applyFill="1" applyBorder="1" applyAlignment="1">
      <alignment horizontal="center" vertical="center"/>
    </xf>
    <xf numFmtId="4" fontId="155" fillId="27" borderId="29" xfId="310" applyNumberFormat="1" applyFont="1" applyFill="1" applyBorder="1" applyAlignment="1">
      <alignment horizontal="center" vertical="center"/>
    </xf>
    <xf numFmtId="4" fontId="155" fillId="27" borderId="186" xfId="310" applyNumberFormat="1" applyFont="1" applyFill="1" applyBorder="1" applyAlignment="1">
      <alignment horizontal="center" vertical="center" wrapText="1"/>
    </xf>
    <xf numFmtId="4" fontId="155" fillId="27" borderId="77" xfId="310" applyNumberFormat="1" applyFont="1" applyFill="1" applyBorder="1" applyAlignment="1">
      <alignment horizontal="center" vertical="center" wrapText="1"/>
    </xf>
    <xf numFmtId="4" fontId="320" fillId="29" borderId="186" xfId="310" applyNumberFormat="1" applyFont="1" applyFill="1" applyBorder="1" applyAlignment="1">
      <alignment horizontal="center" vertical="center"/>
    </xf>
    <xf numFmtId="4" fontId="320" fillId="29" borderId="77" xfId="310" applyNumberFormat="1" applyFont="1" applyFill="1" applyBorder="1" applyAlignment="1">
      <alignment horizontal="center" vertical="center"/>
    </xf>
    <xf numFmtId="4" fontId="320" fillId="29" borderId="29" xfId="310" applyNumberFormat="1" applyFont="1" applyFill="1" applyBorder="1" applyAlignment="1">
      <alignment horizontal="center" vertical="center"/>
    </xf>
    <xf numFmtId="0" fontId="157" fillId="0" borderId="0" xfId="310" applyFont="1" applyAlignment="1">
      <alignment horizontal="left" vertical="center" wrapText="1"/>
    </xf>
    <xf numFmtId="0" fontId="40" fillId="0" borderId="0" xfId="310" quotePrefix="1" applyFont="1" applyAlignment="1">
      <alignment horizontal="left" vertical="center" wrapText="1"/>
    </xf>
    <xf numFmtId="0" fontId="40" fillId="0" borderId="0" xfId="310" applyFont="1" applyAlignment="1">
      <alignment horizontal="left" vertical="center" wrapText="1"/>
    </xf>
    <xf numFmtId="4" fontId="23" fillId="24" borderId="53" xfId="310" applyNumberFormat="1" applyFont="1" applyFill="1" applyBorder="1" applyAlignment="1" applyProtection="1">
      <alignment horizontal="center" vertical="center"/>
      <protection locked="0"/>
    </xf>
    <xf numFmtId="4" fontId="21" fillId="0" borderId="72" xfId="310" applyNumberFormat="1" applyFont="1" applyBorder="1" applyAlignment="1">
      <alignment horizontal="center" vertical="center"/>
    </xf>
    <xf numFmtId="4" fontId="11" fillId="0" borderId="0" xfId="310" applyNumberFormat="1" applyFont="1" applyAlignment="1">
      <alignment horizontal="center"/>
    </xf>
    <xf numFmtId="4" fontId="4" fillId="0" borderId="0" xfId="310" applyNumberFormat="1" applyAlignment="1">
      <alignment horizontal="center" vertical="center"/>
    </xf>
    <xf numFmtId="0" fontId="4" fillId="0" borderId="0" xfId="310" applyAlignment="1">
      <alignment horizontal="center" vertical="center"/>
    </xf>
    <xf numFmtId="0" fontId="11" fillId="0" borderId="0" xfId="310" applyFont="1" applyAlignment="1">
      <alignment horizontal="center"/>
    </xf>
    <xf numFmtId="0" fontId="284" fillId="0" borderId="111" xfId="0" applyFont="1" applyBorder="1" applyAlignment="1">
      <alignment horizontal="center" vertical="center" wrapText="1"/>
    </xf>
    <xf numFmtId="0" fontId="278" fillId="0" borderId="0" xfId="0" applyFont="1" applyAlignment="1">
      <alignment horizontal="center" vertical="center" wrapText="1"/>
    </xf>
    <xf numFmtId="4" fontId="17" fillId="0" borderId="23" xfId="300" applyNumberFormat="1" applyFont="1" applyBorder="1" applyAlignment="1">
      <alignment horizontal="center" vertical="center"/>
    </xf>
    <xf numFmtId="4" fontId="17" fillId="0" borderId="81" xfId="300" applyNumberFormat="1" applyFont="1" applyBorder="1" applyAlignment="1">
      <alignment horizontal="center" vertical="center"/>
    </xf>
    <xf numFmtId="0" fontId="295" fillId="0" borderId="28" xfId="0" applyFont="1" applyBorder="1" applyAlignment="1">
      <alignment horizontal="center" vertical="center"/>
    </xf>
    <xf numFmtId="0" fontId="295" fillId="0" borderId="95" xfId="0" applyFont="1" applyBorder="1" applyAlignment="1">
      <alignment horizontal="center" vertical="center"/>
    </xf>
    <xf numFmtId="0" fontId="17" fillId="0" borderId="89" xfId="300" applyFont="1" applyBorder="1" applyAlignment="1">
      <alignment horizontal="center" vertical="center"/>
    </xf>
    <xf numFmtId="0" fontId="17" fillId="0" borderId="119" xfId="300" applyFont="1" applyBorder="1" applyAlignment="1">
      <alignment horizontal="center" vertical="center"/>
    </xf>
    <xf numFmtId="0" fontId="295" fillId="0" borderId="26" xfId="0" applyFont="1" applyBorder="1" applyAlignment="1">
      <alignment horizontal="center" vertical="center"/>
    </xf>
    <xf numFmtId="0" fontId="295" fillId="0" borderId="96" xfId="0" applyFont="1" applyBorder="1" applyAlignment="1">
      <alignment horizontal="center" vertical="center"/>
    </xf>
    <xf numFmtId="0" fontId="295" fillId="0" borderId="24" xfId="0" applyFont="1" applyBorder="1" applyAlignment="1">
      <alignment horizontal="center" vertical="center"/>
    </xf>
    <xf numFmtId="0" fontId="295" fillId="0" borderId="98" xfId="0" applyFont="1" applyBorder="1" applyAlignment="1">
      <alignment horizontal="center" vertical="center"/>
    </xf>
    <xf numFmtId="0" fontId="17" fillId="0" borderId="87" xfId="300" applyFont="1" applyBorder="1" applyAlignment="1">
      <alignment horizontal="center" vertical="center"/>
    </xf>
    <xf numFmtId="0" fontId="17" fillId="0" borderId="176" xfId="300" applyFont="1" applyBorder="1" applyAlignment="1">
      <alignment horizontal="center" vertical="center"/>
    </xf>
  </cellXfs>
  <cellStyles count="38711">
    <cellStyle name="_10.04" xfId="1" xr:uid="{00000000-0005-0000-0000-000000000000}"/>
    <cellStyle name="_BB PL_Wa_70729_Wolf_2008_03_OCENA WYNIKU aktualny kor 3" xfId="2" xr:uid="{00000000-0005-0000-0000-000001000000}"/>
    <cellStyle name="_BB PL_Wa_80519_S8_2008_07 - plany" xfId="3" xr:uid="{00000000-0005-0000-0000-000002000000}"/>
    <cellStyle name="_H81119 Dereniowa_07-2009 - specyfikacja" xfId="4" xr:uid="{00000000-0005-0000-0000-000003000000}"/>
    <cellStyle name="_PERSONAL" xfId="5" xr:uid="{00000000-0005-0000-0000-000004000000}"/>
    <cellStyle name="_PERSONAL_1" xfId="6" xr:uid="{00000000-0005-0000-0000-000005000000}"/>
    <cellStyle name="_PERSONAL_1_A4 Inwest polskie IIpopr" xfId="385" xr:uid="{00000000-0005-0000-0000-000006000000}"/>
    <cellStyle name="_PERSONAL_1_A4 Inwest polskie IIpopr_Przedmiar - Elektroprojekt" xfId="386" xr:uid="{00000000-0005-0000-0000-000007000000}"/>
    <cellStyle name="_PERSONAL_1_A4 Inwest polskie IIpopr_PRZEDMIAR - szczegółowy" xfId="387" xr:uid="{00000000-0005-0000-0000-000008000000}"/>
    <cellStyle name="_PERSONAL_1_A4 Inwest polskie IIpopr_PRZEDMIAR - zagreg." xfId="388" xr:uid="{00000000-0005-0000-0000-000009000000}"/>
    <cellStyle name="_PERSONAL_1_Boleslawiec rynk" xfId="389" xr:uid="{00000000-0005-0000-0000-00000A000000}"/>
    <cellStyle name="_PERSONAL_1_Boleslawiec rynk_Przedmiar - Elektroprojekt" xfId="390" xr:uid="{00000000-0005-0000-0000-00000B000000}"/>
    <cellStyle name="_PERSONAL_1_Boleslawiec rynk_PRZEDMIAR - szczegółowy" xfId="391" xr:uid="{00000000-0005-0000-0000-00000C000000}"/>
    <cellStyle name="_PERSONAL_1_Boleslawiec rynk_PRZEDMIAR - zagreg." xfId="392" xr:uid="{00000000-0005-0000-0000-00000D000000}"/>
    <cellStyle name="_PERSONAL_1_Buczyna Inwest" xfId="393" xr:uid="{00000000-0005-0000-0000-00000E000000}"/>
    <cellStyle name="_PERSONAL_1_Buczyna Inwest_Przedmiar - Elektroprojekt" xfId="394" xr:uid="{00000000-0005-0000-0000-00000F000000}"/>
    <cellStyle name="_PERSONAL_1_Buczyna Inwest_PRZEDMIAR - szczegółowy" xfId="395" xr:uid="{00000000-0005-0000-0000-000010000000}"/>
    <cellStyle name="_PERSONAL_1_Buczyna Inwest_PRZEDMIAR - zagreg." xfId="396" xr:uid="{00000000-0005-0000-0000-000011000000}"/>
    <cellStyle name="_PERSONAL_1_Bydgoszcz ul Ogińskiego-1  Koszty ogólne 100% rm AJ" xfId="397" xr:uid="{00000000-0005-0000-0000-000012000000}"/>
    <cellStyle name="_PERSONAL_1_Całość LOT 1 - 4 LCS CIECHANÓW  - 06 09 2010" xfId="398" xr:uid="{00000000-0005-0000-0000-000013000000}"/>
    <cellStyle name="_PERSONAL_1_DK 8 Radziejowice - Ryzyka 24 05 2010" xfId="399" xr:uid="{00000000-0005-0000-0000-000014000000}"/>
    <cellStyle name="_PERSONAL_1_DK8 Radziejowice - Koszty ogólne 24 05 2010 - po akceptacji Kocyka" xfId="400" xr:uid="{00000000-0005-0000-0000-000015000000}"/>
    <cellStyle name="_PERSONAL_1_DK-8 Radziejowice ETAP III - KOSZTORYS OFERTOWY odcinek GDDKiA" xfId="401" xr:uid="{00000000-0005-0000-0000-000016000000}"/>
    <cellStyle name="_PERSONAL_1_DK-8 Radziejowice ETAP III - KOSZTORYS OFERTOWY odcinek MZDW" xfId="402" xr:uid="{00000000-0005-0000-0000-000017000000}"/>
    <cellStyle name="_PERSONAL_1_DK8 Rawa Mazowiecka - Koszty ogólne 08 07 2010 - korekta mostów" xfId="403" xr:uid="{00000000-0005-0000-0000-000018000000}"/>
    <cellStyle name="_PERSONAL_1_ETAP III - KOSZTORYS  GDDKIA 25 05" xfId="404" xr:uid="{00000000-0005-0000-0000-000019000000}"/>
    <cellStyle name="_PERSONAL_1_ETAP III - KOSZTORYS  GDDKIA 31.05" xfId="405" xr:uid="{00000000-0005-0000-0000-00001A000000}"/>
    <cellStyle name="_PERSONAL_1_Gierdziejewskiego - kosztorys+Kob+PKP+Pracownicy kor1" xfId="406" xr:uid="{00000000-0005-0000-0000-00001B000000}"/>
    <cellStyle name="_PERSONAL_1_Inwest Belchatow 1" xfId="407" xr:uid="{00000000-0005-0000-0000-00001C000000}"/>
    <cellStyle name="_PERSONAL_1_Inwest Belchatow 1_Przedmiar - Elektroprojekt" xfId="408" xr:uid="{00000000-0005-0000-0000-00001D000000}"/>
    <cellStyle name="_PERSONAL_1_Inwest Belchatow 1_PRZEDMIAR - szczegółowy" xfId="409" xr:uid="{00000000-0005-0000-0000-00001E000000}"/>
    <cellStyle name="_PERSONAL_1_Inwest Belchatow 1_PRZEDMIAR - zagreg." xfId="410" xr:uid="{00000000-0005-0000-0000-00001F000000}"/>
    <cellStyle name="_PERSONAL_1_kladka Ruda" xfId="411" xr:uid="{00000000-0005-0000-0000-000020000000}"/>
    <cellStyle name="_PERSONAL_1_kladka Ruda_Przedmiar - Elektroprojekt" xfId="412" xr:uid="{00000000-0005-0000-0000-000021000000}"/>
    <cellStyle name="_PERSONAL_1_kladka Ruda_PRZEDMIAR - szczegółowy" xfId="413" xr:uid="{00000000-0005-0000-0000-000022000000}"/>
    <cellStyle name="_PERSONAL_1_kladka Ruda_PRZEDMIAR - zagreg." xfId="414" xr:uid="{00000000-0005-0000-0000-000023000000}"/>
    <cellStyle name="_PERSONAL_1_kladka Slodowa" xfId="415" xr:uid="{00000000-0005-0000-0000-000024000000}"/>
    <cellStyle name="_PERSONAL_1_kladka Slodowa_Przedmiar - Elektroprojekt" xfId="416" xr:uid="{00000000-0005-0000-0000-000025000000}"/>
    <cellStyle name="_PERSONAL_1_kladka Slodowa_PRZEDMIAR - szczegółowy" xfId="417" xr:uid="{00000000-0005-0000-0000-000026000000}"/>
    <cellStyle name="_PERSONAL_1_kladka Slodowa_PRZEDMIAR - zagreg." xfId="418" xr:uid="{00000000-0005-0000-0000-000027000000}"/>
    <cellStyle name="_PERSONAL_1_KOSZTORYS_INWESTORSKI" xfId="419" xr:uid="{00000000-0005-0000-0000-000028000000}"/>
    <cellStyle name="_PERSONAL_1_KOSZTORYS_OFERTOWY_i_przedmiary" xfId="420" xr:uid="{00000000-0005-0000-0000-000029000000}"/>
    <cellStyle name="_PERSONAL_1_Legnica ofertowe II" xfId="421" xr:uid="{00000000-0005-0000-0000-00002A000000}"/>
    <cellStyle name="_PERSONAL_1_Legnica ofertowe II_Przedmiar - Elektroprojekt" xfId="422" xr:uid="{00000000-0005-0000-0000-00002B000000}"/>
    <cellStyle name="_PERSONAL_1_Legnica ofertowe II_PRZEDMIAR - szczegółowy" xfId="423" xr:uid="{00000000-0005-0000-0000-00002C000000}"/>
    <cellStyle name="_PERSONAL_1_Legnica ofertowe II_PRZEDMIAR - zagreg." xfId="424" xr:uid="{00000000-0005-0000-0000-00002D000000}"/>
    <cellStyle name="_PERSONAL_1_Legnica rynkowe" xfId="425" xr:uid="{00000000-0005-0000-0000-00002E000000}"/>
    <cellStyle name="_PERSONAL_1_Legnica rynkowe_Przedmiar - Elektroprojekt" xfId="426" xr:uid="{00000000-0005-0000-0000-00002F000000}"/>
    <cellStyle name="_PERSONAL_1_Legnica rynkowe_PRZEDMIAR - szczegółowy" xfId="427" xr:uid="{00000000-0005-0000-0000-000030000000}"/>
    <cellStyle name="_PERSONAL_1_Legnica rynkowe_PRZEDMIAR - zagreg." xfId="428" xr:uid="{00000000-0005-0000-0000-000031000000}"/>
    <cellStyle name="_PERSONAL_1_LegnicaII" xfId="429" xr:uid="{00000000-0005-0000-0000-000032000000}"/>
    <cellStyle name="_PERSONAL_1_LegnicaII_Przedmiar - Elektroprojekt" xfId="430" xr:uid="{00000000-0005-0000-0000-000033000000}"/>
    <cellStyle name="_PERSONAL_1_LegnicaII_PRZEDMIAR - szczegółowy" xfId="431" xr:uid="{00000000-0005-0000-0000-000034000000}"/>
    <cellStyle name="_PERSONAL_1_LegnicaII_PRZEDMIAR - zagreg." xfId="432" xr:uid="{00000000-0005-0000-0000-000035000000}"/>
    <cellStyle name="_PERSONAL_1_Lubin 2 slepy" xfId="433" xr:uid="{00000000-0005-0000-0000-000036000000}"/>
    <cellStyle name="_PERSONAL_1_Lubin 2 slepy_Przedmiar - Elektroprojekt" xfId="434" xr:uid="{00000000-0005-0000-0000-000037000000}"/>
    <cellStyle name="_PERSONAL_1_Lubin 2 slepy_PRZEDMIAR - szczegółowy" xfId="435" xr:uid="{00000000-0005-0000-0000-000038000000}"/>
    <cellStyle name="_PERSONAL_1_Lubin 2 slepy_PRZEDMIAR - zagreg." xfId="436" xr:uid="{00000000-0005-0000-0000-000039000000}"/>
    <cellStyle name="_PERSONAL_1_Makolno slepy" xfId="437" xr:uid="{00000000-0005-0000-0000-00003A000000}"/>
    <cellStyle name="_PERSONAL_1_Makolno Slepy 3" xfId="438" xr:uid="{00000000-0005-0000-0000-00003B000000}"/>
    <cellStyle name="_PERSONAL_1_Makolno Slepy 3_Przedmiar - Elektroprojekt" xfId="439" xr:uid="{00000000-0005-0000-0000-00003C000000}"/>
    <cellStyle name="_PERSONAL_1_Makolno Slepy 3_PRZEDMIAR - szczegółowy" xfId="440" xr:uid="{00000000-0005-0000-0000-00003D000000}"/>
    <cellStyle name="_PERSONAL_1_Makolno Slepy 3_PRZEDMIAR - zagreg." xfId="441" xr:uid="{00000000-0005-0000-0000-00003E000000}"/>
    <cellStyle name="_PERSONAL_1_Makolno slepy_Przedmiar - Elektroprojekt" xfId="442" xr:uid="{00000000-0005-0000-0000-00003F000000}"/>
    <cellStyle name="_PERSONAL_1_Makolno slepy_PRZEDMIAR - szczegółowy" xfId="443" xr:uid="{00000000-0005-0000-0000-000040000000}"/>
    <cellStyle name="_PERSONAL_1_Makolno slepy_PRZEDMIAR - zagreg." xfId="444" xr:uid="{00000000-0005-0000-0000-000041000000}"/>
    <cellStyle name="_PERSONAL_1_Most Milenijny" xfId="445" xr:uid="{00000000-0005-0000-0000-000042000000}"/>
    <cellStyle name="_PERSONAL_1_Most Milenijny_Przedmiar - Elektroprojekt" xfId="446" xr:uid="{00000000-0005-0000-0000-000043000000}"/>
    <cellStyle name="_PERSONAL_1_Most Milenijny_PRZEDMIAR - szczegółowy" xfId="447" xr:uid="{00000000-0005-0000-0000-000044000000}"/>
    <cellStyle name="_PERSONAL_1_Most Milenijny_PRZEDMIAR - zagreg." xfId="448" xr:uid="{00000000-0005-0000-0000-000045000000}"/>
    <cellStyle name="_PERSONAL_1_mosty Warszawskie" xfId="449" xr:uid="{00000000-0005-0000-0000-000046000000}"/>
    <cellStyle name="_PERSONAL_1_mosty Warszawskie_Przedmiar - Elektroprojekt" xfId="450" xr:uid="{00000000-0005-0000-0000-000047000000}"/>
    <cellStyle name="_PERSONAL_1_mosty Warszawskie_PRZEDMIAR - szczegółowy" xfId="451" xr:uid="{00000000-0005-0000-0000-000048000000}"/>
    <cellStyle name="_PERSONAL_1_mosty Warszawskie_PRZEDMIAR - zagreg." xfId="452" xr:uid="{00000000-0005-0000-0000-000049000000}"/>
    <cellStyle name="_PERSONAL_1_Mszczonow kladka popr" xfId="453" xr:uid="{00000000-0005-0000-0000-00004A000000}"/>
    <cellStyle name="_PERSONAL_1_Mszczonow kladka popr_Przedmiar - Elektroprojekt" xfId="454" xr:uid="{00000000-0005-0000-0000-00004B000000}"/>
    <cellStyle name="_PERSONAL_1_Mszczonow kladka popr_PRZEDMIAR - szczegółowy" xfId="455" xr:uid="{00000000-0005-0000-0000-00004C000000}"/>
    <cellStyle name="_PERSONAL_1_Mszczonow kladka popr_PRZEDMIAR - zagreg." xfId="456" xr:uid="{00000000-0005-0000-0000-00004D000000}"/>
    <cellStyle name="_PERSONAL_1_Piensk graniczny" xfId="457" xr:uid="{00000000-0005-0000-0000-00004E000000}"/>
    <cellStyle name="_PERSONAL_1_Piensk graniczny_Przedmiar - Elektroprojekt" xfId="458" xr:uid="{00000000-0005-0000-0000-00004F000000}"/>
    <cellStyle name="_PERSONAL_1_Piensk graniczny_PRZEDMIAR - szczegółowy" xfId="459" xr:uid="{00000000-0005-0000-0000-000050000000}"/>
    <cellStyle name="_PERSONAL_1_Piensk graniczny_PRZEDMIAR - zagreg." xfId="460" xr:uid="{00000000-0005-0000-0000-000051000000}"/>
    <cellStyle name="_PERSONAL_1_Polkowice 2 slepy" xfId="461" xr:uid="{00000000-0005-0000-0000-000052000000}"/>
    <cellStyle name="_PERSONAL_1_Polkowice 2 slepy_Przedmiar - Elektroprojekt" xfId="462" xr:uid="{00000000-0005-0000-0000-000053000000}"/>
    <cellStyle name="_PERSONAL_1_Polkowice 2 slepy_PRZEDMIAR - szczegółowy" xfId="463" xr:uid="{00000000-0005-0000-0000-000054000000}"/>
    <cellStyle name="_PERSONAL_1_Polkowice 2 slepy_PRZEDMIAR - zagreg." xfId="464" xr:uid="{00000000-0005-0000-0000-000055000000}"/>
    <cellStyle name="_PERSONAL_1_Przedmiar - Elektroprojekt" xfId="465" xr:uid="{00000000-0005-0000-0000-000056000000}"/>
    <cellStyle name="_PERSONAL_1_PRZEDMIAR - szczegółowy" xfId="466" xr:uid="{00000000-0005-0000-0000-000057000000}"/>
    <cellStyle name="_PERSONAL_1_PRZEDMIAR - zagreg." xfId="467" xr:uid="{00000000-0005-0000-0000-000058000000}"/>
    <cellStyle name="_PERSONAL_1_Radziejowice ETAP III - KOSZTORYS  MZDW  31.05" xfId="468" xr:uid="{00000000-0005-0000-0000-000059000000}"/>
    <cellStyle name="_PERSONAL_1_Radziejowice ETAP III - KOSZTORYS  MZDW 25 05" xfId="469" xr:uid="{00000000-0005-0000-0000-00005A000000}"/>
    <cellStyle name="_PERSONAL_1_ryzyka" xfId="470" xr:uid="{00000000-0005-0000-0000-00005B000000}"/>
    <cellStyle name="_PERSONAL_1_Schemat obliczenia ceny ofertowej" xfId="471" xr:uid="{00000000-0005-0000-0000-00005C000000}"/>
    <cellStyle name="_PERSONAL_1_Serock1" xfId="472" xr:uid="{00000000-0005-0000-0000-00005D000000}"/>
    <cellStyle name="_PERSONAL_1_Serock1_Przedmiar - Elektroprojekt" xfId="473" xr:uid="{00000000-0005-0000-0000-00005E000000}"/>
    <cellStyle name="_PERSONAL_1_Serock1_PRZEDMIAR - szczegółowy" xfId="474" xr:uid="{00000000-0005-0000-0000-00005F000000}"/>
    <cellStyle name="_PERSONAL_1_Serock1_PRZEDMIAR - zagreg." xfId="475" xr:uid="{00000000-0005-0000-0000-000060000000}"/>
    <cellStyle name="_PERSONAL_1_Serock12" xfId="476" xr:uid="{00000000-0005-0000-0000-000061000000}"/>
    <cellStyle name="_PERSONAL_1_Serock12_Przedmiar - Elektroprojekt" xfId="477" xr:uid="{00000000-0005-0000-0000-000062000000}"/>
    <cellStyle name="_PERSONAL_1_Serock12_PRZEDMIAR - szczegółowy" xfId="478" xr:uid="{00000000-0005-0000-0000-000063000000}"/>
    <cellStyle name="_PERSONAL_1_Serock12_PRZEDMIAR - zagreg." xfId="479" xr:uid="{00000000-0005-0000-0000-000064000000}"/>
    <cellStyle name="_PERSONAL_1_Swidnica inwest" xfId="480" xr:uid="{00000000-0005-0000-0000-000065000000}"/>
    <cellStyle name="_PERSONAL_1_Swidnica inwest_Przedmiar - Elektroprojekt" xfId="481" xr:uid="{00000000-0005-0000-0000-000066000000}"/>
    <cellStyle name="_PERSONAL_1_Swidnica inwest_PRZEDMIAR - szczegółowy" xfId="482" xr:uid="{00000000-0005-0000-0000-000067000000}"/>
    <cellStyle name="_PERSONAL_1_Swidnica inwest_PRZEDMIAR - zagreg." xfId="483" xr:uid="{00000000-0005-0000-0000-000068000000}"/>
    <cellStyle name="_PERSONAL_1_Tarnowka Inwestorski" xfId="484" xr:uid="{00000000-0005-0000-0000-000069000000}"/>
    <cellStyle name="_PERSONAL_1_Tarnowka Inwestorski_Przedmiar - Elektroprojekt" xfId="485" xr:uid="{00000000-0005-0000-0000-00006A000000}"/>
    <cellStyle name="_PERSONAL_1_Tarnowka Inwestorski_PRZEDMIAR - szczegółowy" xfId="486" xr:uid="{00000000-0005-0000-0000-00006B000000}"/>
    <cellStyle name="_PERSONAL_1_Tarnowka Inwestorski_PRZEDMIAR - zagreg." xfId="487" xr:uid="{00000000-0005-0000-0000-00006C000000}"/>
    <cellStyle name="_PERSONAL_1_Wd22 Inwest 2709" xfId="488" xr:uid="{00000000-0005-0000-0000-00006D000000}"/>
    <cellStyle name="_PERSONAL_1_Wd22 Inwest 2709_Przedmiar - Elektroprojekt" xfId="489" xr:uid="{00000000-0005-0000-0000-00006E000000}"/>
    <cellStyle name="_PERSONAL_1_Wd22 Inwest 2709_PRZEDMIAR - szczegółowy" xfId="490" xr:uid="{00000000-0005-0000-0000-00006F000000}"/>
    <cellStyle name="_PERSONAL_1_Wd22 Inwest 2709_PRZEDMIAR - zagreg." xfId="491" xr:uid="{00000000-0005-0000-0000-000070000000}"/>
    <cellStyle name="_PERSONAL_DK-8 Radziejowice ETAP III - KOSZTORYS OFERTOWY odcinek GDDKiA" xfId="492" xr:uid="{00000000-0005-0000-0000-000071000000}"/>
    <cellStyle name="_PERSONAL_DK-8 Radziejowice ETAP III - KOSZTORYS OFERTOWY odcinek MZDW" xfId="493" xr:uid="{00000000-0005-0000-0000-000072000000}"/>
    <cellStyle name="_PERSONAL_ETAP III - KOSZTORYS  GDDKIA 25 05" xfId="494" xr:uid="{00000000-0005-0000-0000-000073000000}"/>
    <cellStyle name="_PERSONAL_ETAP III - KOSZTORYS  GDDKIA 31.05" xfId="495" xr:uid="{00000000-0005-0000-0000-000074000000}"/>
    <cellStyle name="_PERSONAL_Przedmiar - Elektroprojekt" xfId="496" xr:uid="{00000000-0005-0000-0000-000075000000}"/>
    <cellStyle name="_PERSONAL_PRZEDMIAR - szczegółowy" xfId="497" xr:uid="{00000000-0005-0000-0000-000076000000}"/>
    <cellStyle name="_PERSONAL_PRZEDMIAR - zagreg." xfId="498" xr:uid="{00000000-0005-0000-0000-000077000000}"/>
    <cellStyle name="_PERSONAL_Radziejowice ETAP III - KOSZTORYS  MZDW  31.05" xfId="499" xr:uid="{00000000-0005-0000-0000-000078000000}"/>
    <cellStyle name="_PERSONAL_Radziejowice ETAP III - KOSZTORYS  MZDW 25 05" xfId="500" xr:uid="{00000000-0005-0000-0000-000079000000}"/>
    <cellStyle name="_PIK1-SZIFR Hotel Mazowsze 09_2008" xfId="7" xr:uid="{00000000-0005-0000-0000-00007A000000}"/>
    <cellStyle name="_Plan2000-2002" xfId="8" xr:uid="{00000000-0005-0000-0000-00007B000000}"/>
    <cellStyle name="_Plan2000-2002_con2.4" xfId="9" xr:uid="{00000000-0005-0000-0000-00007C000000}"/>
    <cellStyle name="_Plan2000-2002_H81119 Dereniowa_07-2009 - specyfikacja" xfId="10" xr:uid="{00000000-0005-0000-0000-00007D000000}"/>
    <cellStyle name="_Plan2000-2002_Kopia PKT3-przeroby itp(05)." xfId="11" xr:uid="{00000000-0005-0000-0000-00007E000000}"/>
    <cellStyle name="_Plan2000-2002_PKT3-przeroby itp(05)." xfId="12" xr:uid="{00000000-0005-0000-0000-00007F000000}"/>
    <cellStyle name="_Plan2000-2002_PKT3-przeroby itp(09)." xfId="13" xr:uid="{00000000-0005-0000-0000-000080000000}"/>
    <cellStyle name="_Portfel zleceń" xfId="14" xr:uid="{00000000-0005-0000-0000-000081000000}"/>
    <cellStyle name="20% - Accent1" xfId="501" xr:uid="{00000000-0005-0000-0000-000082000000}"/>
    <cellStyle name="20% - Accent1 2" xfId="502" xr:uid="{00000000-0005-0000-0000-000083000000}"/>
    <cellStyle name="20% - Accent1 3" xfId="503" xr:uid="{00000000-0005-0000-0000-000084000000}"/>
    <cellStyle name="20% - Accent1 4" xfId="504" xr:uid="{00000000-0005-0000-0000-000085000000}"/>
    <cellStyle name="20% - Accent1 5" xfId="505" xr:uid="{00000000-0005-0000-0000-000086000000}"/>
    <cellStyle name="20% - Accent1 6" xfId="506" xr:uid="{00000000-0005-0000-0000-000087000000}"/>
    <cellStyle name="20% - Accent1 7" xfId="507" xr:uid="{00000000-0005-0000-0000-000088000000}"/>
    <cellStyle name="20% - Accent1 8" xfId="508" xr:uid="{00000000-0005-0000-0000-000089000000}"/>
    <cellStyle name="20% - Accent1 9" xfId="509" xr:uid="{00000000-0005-0000-0000-00008A000000}"/>
    <cellStyle name="20% - Accent1_PGE Rzeszów Budget" xfId="38641" xr:uid="{8BAFB17D-797F-430E-9B66-D88F2B1A5892}"/>
    <cellStyle name="20% - Accent2" xfId="510" xr:uid="{00000000-0005-0000-0000-00008B000000}"/>
    <cellStyle name="20% - Accent2 2" xfId="511" xr:uid="{00000000-0005-0000-0000-00008C000000}"/>
    <cellStyle name="20% - Accent2 3" xfId="512" xr:uid="{00000000-0005-0000-0000-00008D000000}"/>
    <cellStyle name="20% - Accent2 4" xfId="513" xr:uid="{00000000-0005-0000-0000-00008E000000}"/>
    <cellStyle name="20% - Accent2 5" xfId="514" xr:uid="{00000000-0005-0000-0000-00008F000000}"/>
    <cellStyle name="20% - Accent2 6" xfId="515" xr:uid="{00000000-0005-0000-0000-000090000000}"/>
    <cellStyle name="20% - Accent2 7" xfId="516" xr:uid="{00000000-0005-0000-0000-000091000000}"/>
    <cellStyle name="20% - Accent2 8" xfId="517" xr:uid="{00000000-0005-0000-0000-000092000000}"/>
    <cellStyle name="20% - Accent2 9" xfId="518" xr:uid="{00000000-0005-0000-0000-000093000000}"/>
    <cellStyle name="20% - Accent2_PGE Rzeszów Budget" xfId="38642" xr:uid="{EED36ADB-288C-43A2-9DC7-2F4CBBCCF4BE}"/>
    <cellStyle name="20% - Accent3" xfId="519" xr:uid="{00000000-0005-0000-0000-000094000000}"/>
    <cellStyle name="20% - Accent3 2" xfId="520" xr:uid="{00000000-0005-0000-0000-000095000000}"/>
    <cellStyle name="20% - Accent3 3" xfId="521" xr:uid="{00000000-0005-0000-0000-000096000000}"/>
    <cellStyle name="20% - Accent3 4" xfId="522" xr:uid="{00000000-0005-0000-0000-000097000000}"/>
    <cellStyle name="20% - Accent3 5" xfId="523" xr:uid="{00000000-0005-0000-0000-000098000000}"/>
    <cellStyle name="20% - Accent3 6" xfId="524" xr:uid="{00000000-0005-0000-0000-000099000000}"/>
    <cellStyle name="20% - Accent3 7" xfId="525" xr:uid="{00000000-0005-0000-0000-00009A000000}"/>
    <cellStyle name="20% - Accent3 8" xfId="526" xr:uid="{00000000-0005-0000-0000-00009B000000}"/>
    <cellStyle name="20% - Accent3 9" xfId="527" xr:uid="{00000000-0005-0000-0000-00009C000000}"/>
    <cellStyle name="20% - Accent3_PGE Rzeszów Budget" xfId="38643" xr:uid="{55B86D62-9721-4357-B350-54434777C98B}"/>
    <cellStyle name="20% - Accent4" xfId="528" xr:uid="{00000000-0005-0000-0000-00009D000000}"/>
    <cellStyle name="20% - Accent4 2" xfId="529" xr:uid="{00000000-0005-0000-0000-00009E000000}"/>
    <cellStyle name="20% - Accent4 3" xfId="530" xr:uid="{00000000-0005-0000-0000-00009F000000}"/>
    <cellStyle name="20% - Accent4 4" xfId="531" xr:uid="{00000000-0005-0000-0000-0000A0000000}"/>
    <cellStyle name="20% - Accent4 5" xfId="532" xr:uid="{00000000-0005-0000-0000-0000A1000000}"/>
    <cellStyle name="20% - Accent4 6" xfId="533" xr:uid="{00000000-0005-0000-0000-0000A2000000}"/>
    <cellStyle name="20% - Accent4 7" xfId="534" xr:uid="{00000000-0005-0000-0000-0000A3000000}"/>
    <cellStyle name="20% - Accent4 8" xfId="535" xr:uid="{00000000-0005-0000-0000-0000A4000000}"/>
    <cellStyle name="20% - Accent4 9" xfId="536" xr:uid="{00000000-0005-0000-0000-0000A5000000}"/>
    <cellStyle name="20% - Accent4_PGE Rzeszów Budget" xfId="38644" xr:uid="{9BEAA3D6-7D52-4AA5-B00C-42917D9BBC53}"/>
    <cellStyle name="20% - Accent5" xfId="537" xr:uid="{00000000-0005-0000-0000-0000A6000000}"/>
    <cellStyle name="20% - Accent5 2" xfId="538" xr:uid="{00000000-0005-0000-0000-0000A7000000}"/>
    <cellStyle name="20% - Accent5 3" xfId="539" xr:uid="{00000000-0005-0000-0000-0000A8000000}"/>
    <cellStyle name="20% - Accent5 4" xfId="540" xr:uid="{00000000-0005-0000-0000-0000A9000000}"/>
    <cellStyle name="20% - Accent5 5" xfId="541" xr:uid="{00000000-0005-0000-0000-0000AA000000}"/>
    <cellStyle name="20% - Accent5 6" xfId="542" xr:uid="{00000000-0005-0000-0000-0000AB000000}"/>
    <cellStyle name="20% - Accent5 7" xfId="543" xr:uid="{00000000-0005-0000-0000-0000AC000000}"/>
    <cellStyle name="20% - Accent5 8" xfId="544" xr:uid="{00000000-0005-0000-0000-0000AD000000}"/>
    <cellStyle name="20% - Accent5 9" xfId="545" xr:uid="{00000000-0005-0000-0000-0000AE000000}"/>
    <cellStyle name="20% - Accent5_PGE Rzeszów Budget" xfId="38645" xr:uid="{0041FD83-3F67-4A7E-9F68-1F40BE85C05A}"/>
    <cellStyle name="20% - Accent6" xfId="546" xr:uid="{00000000-0005-0000-0000-0000AF000000}"/>
    <cellStyle name="20% - Accent6 2" xfId="547" xr:uid="{00000000-0005-0000-0000-0000B0000000}"/>
    <cellStyle name="20% - Accent6 3" xfId="548" xr:uid="{00000000-0005-0000-0000-0000B1000000}"/>
    <cellStyle name="20% - Accent6 4" xfId="549" xr:uid="{00000000-0005-0000-0000-0000B2000000}"/>
    <cellStyle name="20% - Accent6 5" xfId="550" xr:uid="{00000000-0005-0000-0000-0000B3000000}"/>
    <cellStyle name="20% - Accent6 6" xfId="551" xr:uid="{00000000-0005-0000-0000-0000B4000000}"/>
    <cellStyle name="20% - Accent6 7" xfId="552" xr:uid="{00000000-0005-0000-0000-0000B5000000}"/>
    <cellStyle name="20% - Accent6 8" xfId="553" xr:uid="{00000000-0005-0000-0000-0000B6000000}"/>
    <cellStyle name="20% - Accent6 9" xfId="554" xr:uid="{00000000-0005-0000-0000-0000B7000000}"/>
    <cellStyle name="20% - Accent6_PGE Rzeszów Budget" xfId="38646" xr:uid="{CB84A2FB-C377-400E-BAC3-EEF070335275}"/>
    <cellStyle name="20% - akcent 1 1" xfId="555" xr:uid="{00000000-0005-0000-0000-0000B8000000}"/>
    <cellStyle name="20% - akcent 1 10" xfId="556" xr:uid="{00000000-0005-0000-0000-0000B9000000}"/>
    <cellStyle name="20% - akcent 1 11" xfId="557" xr:uid="{00000000-0005-0000-0000-0000BA000000}"/>
    <cellStyle name="20% - akcent 1 12" xfId="558" xr:uid="{00000000-0005-0000-0000-0000BB000000}"/>
    <cellStyle name="20% - akcent 1 13" xfId="559" xr:uid="{00000000-0005-0000-0000-0000BC000000}"/>
    <cellStyle name="20% - akcent 1 14" xfId="560" xr:uid="{00000000-0005-0000-0000-0000BD000000}"/>
    <cellStyle name="20% - akcent 1 15" xfId="561" xr:uid="{00000000-0005-0000-0000-0000BE000000}"/>
    <cellStyle name="20% - akcent 1 16" xfId="562" xr:uid="{00000000-0005-0000-0000-0000BF000000}"/>
    <cellStyle name="20% - akcent 1 17" xfId="563" xr:uid="{00000000-0005-0000-0000-0000C0000000}"/>
    <cellStyle name="20% - akcent 1 18" xfId="564" xr:uid="{00000000-0005-0000-0000-0000C1000000}"/>
    <cellStyle name="20% - akcent 1 19" xfId="565" xr:uid="{00000000-0005-0000-0000-0000C2000000}"/>
    <cellStyle name="20% - akcent 1 2" xfId="15" xr:uid="{00000000-0005-0000-0000-0000C3000000}"/>
    <cellStyle name="20% - akcent 1 2 10" xfId="567" xr:uid="{00000000-0005-0000-0000-0000C4000000}"/>
    <cellStyle name="20% - akcent 1 2 11" xfId="568" xr:uid="{00000000-0005-0000-0000-0000C5000000}"/>
    <cellStyle name="20% - akcent 1 2 12" xfId="569" xr:uid="{00000000-0005-0000-0000-0000C6000000}"/>
    <cellStyle name="20% - akcent 1 2 13" xfId="570" xr:uid="{00000000-0005-0000-0000-0000C7000000}"/>
    <cellStyle name="20% - akcent 1 2 13 10" xfId="571" xr:uid="{00000000-0005-0000-0000-0000C8000000}"/>
    <cellStyle name="20% - akcent 1 2 13 11" xfId="572" xr:uid="{00000000-0005-0000-0000-0000C9000000}"/>
    <cellStyle name="20% - akcent 1 2 13 12" xfId="573" xr:uid="{00000000-0005-0000-0000-0000CA000000}"/>
    <cellStyle name="20% - akcent 1 2 13 2" xfId="574" xr:uid="{00000000-0005-0000-0000-0000CB000000}"/>
    <cellStyle name="20% - akcent 1 2 13 2 10" xfId="575" xr:uid="{00000000-0005-0000-0000-0000CC000000}"/>
    <cellStyle name="20% - akcent 1 2 13 2 11" xfId="576" xr:uid="{00000000-0005-0000-0000-0000CD000000}"/>
    <cellStyle name="20% - akcent 1 2 13 2 2" xfId="577" xr:uid="{00000000-0005-0000-0000-0000CE000000}"/>
    <cellStyle name="20% - akcent 1 2 13 2 2 10" xfId="578" xr:uid="{00000000-0005-0000-0000-0000CF000000}"/>
    <cellStyle name="20% - akcent 1 2 13 2 2 11" xfId="579" xr:uid="{00000000-0005-0000-0000-0000D0000000}"/>
    <cellStyle name="20% - akcent 1 2 13 2 2 2" xfId="580" xr:uid="{00000000-0005-0000-0000-0000D1000000}"/>
    <cellStyle name="20% - akcent 1 2 13 2 2 2 2" xfId="581" xr:uid="{00000000-0005-0000-0000-0000D2000000}"/>
    <cellStyle name="20% - akcent 1 2 13 2 2 2 2 2" xfId="582" xr:uid="{00000000-0005-0000-0000-0000D3000000}"/>
    <cellStyle name="20% - akcent 1 2 13 2 2 2 2 3" xfId="583" xr:uid="{00000000-0005-0000-0000-0000D4000000}"/>
    <cellStyle name="20% - akcent 1 2 13 2 2 2 2 4" xfId="584" xr:uid="{00000000-0005-0000-0000-0000D5000000}"/>
    <cellStyle name="20% - akcent 1 2 13 2 2 2 2 5" xfId="585" xr:uid="{00000000-0005-0000-0000-0000D6000000}"/>
    <cellStyle name="20% - akcent 1 2 13 2 2 2 2 6" xfId="586" xr:uid="{00000000-0005-0000-0000-0000D7000000}"/>
    <cellStyle name="20% - akcent 1 2 13 2 2 2 3" xfId="587" xr:uid="{00000000-0005-0000-0000-0000D8000000}"/>
    <cellStyle name="20% - akcent 1 2 13 2 2 2 4" xfId="588" xr:uid="{00000000-0005-0000-0000-0000D9000000}"/>
    <cellStyle name="20% - akcent 1 2 13 2 2 2 5" xfId="589" xr:uid="{00000000-0005-0000-0000-0000DA000000}"/>
    <cellStyle name="20% - akcent 1 2 13 2 2 2 6" xfId="590" xr:uid="{00000000-0005-0000-0000-0000DB000000}"/>
    <cellStyle name="20% - akcent 1 2 13 2 2 2 7" xfId="591" xr:uid="{00000000-0005-0000-0000-0000DC000000}"/>
    <cellStyle name="20% - akcent 1 2 13 2 2 3" xfId="592" xr:uid="{00000000-0005-0000-0000-0000DD000000}"/>
    <cellStyle name="20% - akcent 1 2 13 2 2 4" xfId="593" xr:uid="{00000000-0005-0000-0000-0000DE000000}"/>
    <cellStyle name="20% - akcent 1 2 13 2 2 5" xfId="594" xr:uid="{00000000-0005-0000-0000-0000DF000000}"/>
    <cellStyle name="20% - akcent 1 2 13 2 2 6" xfId="595" xr:uid="{00000000-0005-0000-0000-0000E0000000}"/>
    <cellStyle name="20% - akcent 1 2 13 2 2 7" xfId="596" xr:uid="{00000000-0005-0000-0000-0000E1000000}"/>
    <cellStyle name="20% - akcent 1 2 13 2 2 7 2" xfId="597" xr:uid="{00000000-0005-0000-0000-0000E2000000}"/>
    <cellStyle name="20% - akcent 1 2 13 2 2 7 3" xfId="598" xr:uid="{00000000-0005-0000-0000-0000E3000000}"/>
    <cellStyle name="20% - akcent 1 2 13 2 2 7 4" xfId="599" xr:uid="{00000000-0005-0000-0000-0000E4000000}"/>
    <cellStyle name="20% - akcent 1 2 13 2 2 7 5" xfId="600" xr:uid="{00000000-0005-0000-0000-0000E5000000}"/>
    <cellStyle name="20% - akcent 1 2 13 2 2 7 6" xfId="601" xr:uid="{00000000-0005-0000-0000-0000E6000000}"/>
    <cellStyle name="20% - akcent 1 2 13 2 2 8" xfId="602" xr:uid="{00000000-0005-0000-0000-0000E7000000}"/>
    <cellStyle name="20% - akcent 1 2 13 2 2 9" xfId="603" xr:uid="{00000000-0005-0000-0000-0000E8000000}"/>
    <cellStyle name="20% - akcent 1 2 13 2 3" xfId="604" xr:uid="{00000000-0005-0000-0000-0000E9000000}"/>
    <cellStyle name="20% - akcent 1 2 13 2 3 2" xfId="605" xr:uid="{00000000-0005-0000-0000-0000EA000000}"/>
    <cellStyle name="20% - akcent 1 2 13 2 3 2 2" xfId="606" xr:uid="{00000000-0005-0000-0000-0000EB000000}"/>
    <cellStyle name="20% - akcent 1 2 13 2 3 2 3" xfId="607" xr:uid="{00000000-0005-0000-0000-0000EC000000}"/>
    <cellStyle name="20% - akcent 1 2 13 2 3 2 4" xfId="608" xr:uid="{00000000-0005-0000-0000-0000ED000000}"/>
    <cellStyle name="20% - akcent 1 2 13 2 3 2 5" xfId="609" xr:uid="{00000000-0005-0000-0000-0000EE000000}"/>
    <cellStyle name="20% - akcent 1 2 13 2 3 2 6" xfId="610" xr:uid="{00000000-0005-0000-0000-0000EF000000}"/>
    <cellStyle name="20% - akcent 1 2 13 2 3 3" xfId="611" xr:uid="{00000000-0005-0000-0000-0000F0000000}"/>
    <cellStyle name="20% - akcent 1 2 13 2 3 4" xfId="612" xr:uid="{00000000-0005-0000-0000-0000F1000000}"/>
    <cellStyle name="20% - akcent 1 2 13 2 3 5" xfId="613" xr:uid="{00000000-0005-0000-0000-0000F2000000}"/>
    <cellStyle name="20% - akcent 1 2 13 2 3 6" xfId="614" xr:uid="{00000000-0005-0000-0000-0000F3000000}"/>
    <cellStyle name="20% - akcent 1 2 13 2 3 7" xfId="615" xr:uid="{00000000-0005-0000-0000-0000F4000000}"/>
    <cellStyle name="20% - akcent 1 2 13 2 4" xfId="616" xr:uid="{00000000-0005-0000-0000-0000F5000000}"/>
    <cellStyle name="20% - akcent 1 2 13 2 5" xfId="617" xr:uid="{00000000-0005-0000-0000-0000F6000000}"/>
    <cellStyle name="20% - akcent 1 2 13 2 6" xfId="618" xr:uid="{00000000-0005-0000-0000-0000F7000000}"/>
    <cellStyle name="20% - akcent 1 2 13 2 7" xfId="619" xr:uid="{00000000-0005-0000-0000-0000F8000000}"/>
    <cellStyle name="20% - akcent 1 2 13 2 7 2" xfId="620" xr:uid="{00000000-0005-0000-0000-0000F9000000}"/>
    <cellStyle name="20% - akcent 1 2 13 2 7 3" xfId="621" xr:uid="{00000000-0005-0000-0000-0000FA000000}"/>
    <cellStyle name="20% - akcent 1 2 13 2 7 4" xfId="622" xr:uid="{00000000-0005-0000-0000-0000FB000000}"/>
    <cellStyle name="20% - akcent 1 2 13 2 7 5" xfId="623" xr:uid="{00000000-0005-0000-0000-0000FC000000}"/>
    <cellStyle name="20% - akcent 1 2 13 2 7 6" xfId="624" xr:uid="{00000000-0005-0000-0000-0000FD000000}"/>
    <cellStyle name="20% - akcent 1 2 13 2 8" xfId="625" xr:uid="{00000000-0005-0000-0000-0000FE000000}"/>
    <cellStyle name="20% - akcent 1 2 13 2 9" xfId="626" xr:uid="{00000000-0005-0000-0000-0000FF000000}"/>
    <cellStyle name="20% - akcent 1 2 13 3" xfId="627" xr:uid="{00000000-0005-0000-0000-000000010000}"/>
    <cellStyle name="20% - akcent 1 2 13 3 2" xfId="628" xr:uid="{00000000-0005-0000-0000-000001010000}"/>
    <cellStyle name="20% - akcent 1 2 13 3 2 2" xfId="629" xr:uid="{00000000-0005-0000-0000-000002010000}"/>
    <cellStyle name="20% - akcent 1 2 13 3 2 3" xfId="630" xr:uid="{00000000-0005-0000-0000-000003010000}"/>
    <cellStyle name="20% - akcent 1 2 13 3 2 4" xfId="631" xr:uid="{00000000-0005-0000-0000-000004010000}"/>
    <cellStyle name="20% - akcent 1 2 13 3 2 5" xfId="632" xr:uid="{00000000-0005-0000-0000-000005010000}"/>
    <cellStyle name="20% - akcent 1 2 13 3 2 6" xfId="633" xr:uid="{00000000-0005-0000-0000-000006010000}"/>
    <cellStyle name="20% - akcent 1 2 13 3 3" xfId="634" xr:uid="{00000000-0005-0000-0000-000007010000}"/>
    <cellStyle name="20% - akcent 1 2 13 3 4" xfId="635" xr:uid="{00000000-0005-0000-0000-000008010000}"/>
    <cellStyle name="20% - akcent 1 2 13 3 5" xfId="636" xr:uid="{00000000-0005-0000-0000-000009010000}"/>
    <cellStyle name="20% - akcent 1 2 13 3 6" xfId="637" xr:uid="{00000000-0005-0000-0000-00000A010000}"/>
    <cellStyle name="20% - akcent 1 2 13 3 7" xfId="638" xr:uid="{00000000-0005-0000-0000-00000B010000}"/>
    <cellStyle name="20% - akcent 1 2 13 4" xfId="639" xr:uid="{00000000-0005-0000-0000-00000C010000}"/>
    <cellStyle name="20% - akcent 1 2 13 5" xfId="640" xr:uid="{00000000-0005-0000-0000-00000D010000}"/>
    <cellStyle name="20% - akcent 1 2 13 6" xfId="641" xr:uid="{00000000-0005-0000-0000-00000E010000}"/>
    <cellStyle name="20% - akcent 1 2 13 7" xfId="642" xr:uid="{00000000-0005-0000-0000-00000F010000}"/>
    <cellStyle name="20% - akcent 1 2 13 8" xfId="643" xr:uid="{00000000-0005-0000-0000-000010010000}"/>
    <cellStyle name="20% - akcent 1 2 13 8 2" xfId="644" xr:uid="{00000000-0005-0000-0000-000011010000}"/>
    <cellStyle name="20% - akcent 1 2 13 8 3" xfId="645" xr:uid="{00000000-0005-0000-0000-000012010000}"/>
    <cellStyle name="20% - akcent 1 2 13 8 4" xfId="646" xr:uid="{00000000-0005-0000-0000-000013010000}"/>
    <cellStyle name="20% - akcent 1 2 13 8 5" xfId="647" xr:uid="{00000000-0005-0000-0000-000014010000}"/>
    <cellStyle name="20% - akcent 1 2 13 8 6" xfId="648" xr:uid="{00000000-0005-0000-0000-000015010000}"/>
    <cellStyle name="20% - akcent 1 2 13 9" xfId="649" xr:uid="{00000000-0005-0000-0000-000016010000}"/>
    <cellStyle name="20% - akcent 1 2 14" xfId="650" xr:uid="{00000000-0005-0000-0000-000017010000}"/>
    <cellStyle name="20% - akcent 1 2 14 10" xfId="651" xr:uid="{00000000-0005-0000-0000-000018010000}"/>
    <cellStyle name="20% - akcent 1 2 14 11" xfId="652" xr:uid="{00000000-0005-0000-0000-000019010000}"/>
    <cellStyle name="20% - akcent 1 2 14 2" xfId="653" xr:uid="{00000000-0005-0000-0000-00001A010000}"/>
    <cellStyle name="20% - akcent 1 2 14 2 2" xfId="654" xr:uid="{00000000-0005-0000-0000-00001B010000}"/>
    <cellStyle name="20% - akcent 1 2 14 2 2 2" xfId="655" xr:uid="{00000000-0005-0000-0000-00001C010000}"/>
    <cellStyle name="20% - akcent 1 2 14 2 2 3" xfId="656" xr:uid="{00000000-0005-0000-0000-00001D010000}"/>
    <cellStyle name="20% - akcent 1 2 14 2 2 4" xfId="657" xr:uid="{00000000-0005-0000-0000-00001E010000}"/>
    <cellStyle name="20% - akcent 1 2 14 2 2 5" xfId="658" xr:uid="{00000000-0005-0000-0000-00001F010000}"/>
    <cellStyle name="20% - akcent 1 2 14 2 2 6" xfId="659" xr:uid="{00000000-0005-0000-0000-000020010000}"/>
    <cellStyle name="20% - akcent 1 2 14 2 3" xfId="660" xr:uid="{00000000-0005-0000-0000-000021010000}"/>
    <cellStyle name="20% - akcent 1 2 14 2 4" xfId="661" xr:uid="{00000000-0005-0000-0000-000022010000}"/>
    <cellStyle name="20% - akcent 1 2 14 2 5" xfId="662" xr:uid="{00000000-0005-0000-0000-000023010000}"/>
    <cellStyle name="20% - akcent 1 2 14 2 6" xfId="663" xr:uid="{00000000-0005-0000-0000-000024010000}"/>
    <cellStyle name="20% - akcent 1 2 14 2 7" xfId="664" xr:uid="{00000000-0005-0000-0000-000025010000}"/>
    <cellStyle name="20% - akcent 1 2 14 3" xfId="665" xr:uid="{00000000-0005-0000-0000-000026010000}"/>
    <cellStyle name="20% - akcent 1 2 14 4" xfId="666" xr:uid="{00000000-0005-0000-0000-000027010000}"/>
    <cellStyle name="20% - akcent 1 2 14 5" xfId="667" xr:uid="{00000000-0005-0000-0000-000028010000}"/>
    <cellStyle name="20% - akcent 1 2 14 6" xfId="668" xr:uid="{00000000-0005-0000-0000-000029010000}"/>
    <cellStyle name="20% - akcent 1 2 14 7" xfId="669" xr:uid="{00000000-0005-0000-0000-00002A010000}"/>
    <cellStyle name="20% - akcent 1 2 14 7 2" xfId="670" xr:uid="{00000000-0005-0000-0000-00002B010000}"/>
    <cellStyle name="20% - akcent 1 2 14 7 3" xfId="671" xr:uid="{00000000-0005-0000-0000-00002C010000}"/>
    <cellStyle name="20% - akcent 1 2 14 7 4" xfId="672" xr:uid="{00000000-0005-0000-0000-00002D010000}"/>
    <cellStyle name="20% - akcent 1 2 14 7 5" xfId="673" xr:uid="{00000000-0005-0000-0000-00002E010000}"/>
    <cellStyle name="20% - akcent 1 2 14 7 6" xfId="674" xr:uid="{00000000-0005-0000-0000-00002F010000}"/>
    <cellStyle name="20% - akcent 1 2 14 8" xfId="675" xr:uid="{00000000-0005-0000-0000-000030010000}"/>
    <cellStyle name="20% - akcent 1 2 14 9" xfId="676" xr:uid="{00000000-0005-0000-0000-000031010000}"/>
    <cellStyle name="20% - akcent 1 2 15" xfId="677" xr:uid="{00000000-0005-0000-0000-000032010000}"/>
    <cellStyle name="20% - akcent 1 2 15 2" xfId="678" xr:uid="{00000000-0005-0000-0000-000033010000}"/>
    <cellStyle name="20% - akcent 1 2 15 2 2" xfId="679" xr:uid="{00000000-0005-0000-0000-000034010000}"/>
    <cellStyle name="20% - akcent 1 2 15 2 3" xfId="680" xr:uid="{00000000-0005-0000-0000-000035010000}"/>
    <cellStyle name="20% - akcent 1 2 15 2 4" xfId="681" xr:uid="{00000000-0005-0000-0000-000036010000}"/>
    <cellStyle name="20% - akcent 1 2 15 2 5" xfId="682" xr:uid="{00000000-0005-0000-0000-000037010000}"/>
    <cellStyle name="20% - akcent 1 2 15 2 6" xfId="683" xr:uid="{00000000-0005-0000-0000-000038010000}"/>
    <cellStyle name="20% - akcent 1 2 15 3" xfId="684" xr:uid="{00000000-0005-0000-0000-000039010000}"/>
    <cellStyle name="20% - akcent 1 2 15 4" xfId="685" xr:uid="{00000000-0005-0000-0000-00003A010000}"/>
    <cellStyle name="20% - akcent 1 2 15 5" xfId="686" xr:uid="{00000000-0005-0000-0000-00003B010000}"/>
    <cellStyle name="20% - akcent 1 2 15 6" xfId="687" xr:uid="{00000000-0005-0000-0000-00003C010000}"/>
    <cellStyle name="20% - akcent 1 2 15 7" xfId="688" xr:uid="{00000000-0005-0000-0000-00003D010000}"/>
    <cellStyle name="20% - akcent 1 2 16" xfId="689" xr:uid="{00000000-0005-0000-0000-00003E010000}"/>
    <cellStyle name="20% - akcent 1 2 17" xfId="690" xr:uid="{00000000-0005-0000-0000-00003F010000}"/>
    <cellStyle name="20% - akcent 1 2 18" xfId="691" xr:uid="{00000000-0005-0000-0000-000040010000}"/>
    <cellStyle name="20% - akcent 1 2 19" xfId="692" xr:uid="{00000000-0005-0000-0000-000041010000}"/>
    <cellStyle name="20% - akcent 1 2 2" xfId="16" xr:uid="{00000000-0005-0000-0000-000042010000}"/>
    <cellStyle name="20% - akcent 1 2 2 10" xfId="694" xr:uid="{00000000-0005-0000-0000-000043010000}"/>
    <cellStyle name="20% - akcent 1 2 2 10 10" xfId="695" xr:uid="{00000000-0005-0000-0000-000044010000}"/>
    <cellStyle name="20% - akcent 1 2 2 10 11" xfId="696" xr:uid="{00000000-0005-0000-0000-000045010000}"/>
    <cellStyle name="20% - akcent 1 2 2 10 12" xfId="697" xr:uid="{00000000-0005-0000-0000-000046010000}"/>
    <cellStyle name="20% - akcent 1 2 2 10 2" xfId="698" xr:uid="{00000000-0005-0000-0000-000047010000}"/>
    <cellStyle name="20% - akcent 1 2 2 10 2 10" xfId="699" xr:uid="{00000000-0005-0000-0000-000048010000}"/>
    <cellStyle name="20% - akcent 1 2 2 10 2 11" xfId="700" xr:uid="{00000000-0005-0000-0000-000049010000}"/>
    <cellStyle name="20% - akcent 1 2 2 10 2 2" xfId="701" xr:uid="{00000000-0005-0000-0000-00004A010000}"/>
    <cellStyle name="20% - akcent 1 2 2 10 2 2 10" xfId="702" xr:uid="{00000000-0005-0000-0000-00004B010000}"/>
    <cellStyle name="20% - akcent 1 2 2 10 2 2 11" xfId="703" xr:uid="{00000000-0005-0000-0000-00004C010000}"/>
    <cellStyle name="20% - akcent 1 2 2 10 2 2 2" xfId="704" xr:uid="{00000000-0005-0000-0000-00004D010000}"/>
    <cellStyle name="20% - akcent 1 2 2 10 2 2 2 2" xfId="705" xr:uid="{00000000-0005-0000-0000-00004E010000}"/>
    <cellStyle name="20% - akcent 1 2 2 10 2 2 2 2 2" xfId="706" xr:uid="{00000000-0005-0000-0000-00004F010000}"/>
    <cellStyle name="20% - akcent 1 2 2 10 2 2 2 2 3" xfId="707" xr:uid="{00000000-0005-0000-0000-000050010000}"/>
    <cellStyle name="20% - akcent 1 2 2 10 2 2 2 2 4" xfId="708" xr:uid="{00000000-0005-0000-0000-000051010000}"/>
    <cellStyle name="20% - akcent 1 2 2 10 2 2 2 2 5" xfId="709" xr:uid="{00000000-0005-0000-0000-000052010000}"/>
    <cellStyle name="20% - akcent 1 2 2 10 2 2 2 2 6" xfId="710" xr:uid="{00000000-0005-0000-0000-000053010000}"/>
    <cellStyle name="20% - akcent 1 2 2 10 2 2 2 3" xfId="711" xr:uid="{00000000-0005-0000-0000-000054010000}"/>
    <cellStyle name="20% - akcent 1 2 2 10 2 2 2 4" xfId="712" xr:uid="{00000000-0005-0000-0000-000055010000}"/>
    <cellStyle name="20% - akcent 1 2 2 10 2 2 2 5" xfId="713" xr:uid="{00000000-0005-0000-0000-000056010000}"/>
    <cellStyle name="20% - akcent 1 2 2 10 2 2 2 6" xfId="714" xr:uid="{00000000-0005-0000-0000-000057010000}"/>
    <cellStyle name="20% - akcent 1 2 2 10 2 2 2 7" xfId="715" xr:uid="{00000000-0005-0000-0000-000058010000}"/>
    <cellStyle name="20% - akcent 1 2 2 10 2 2 3" xfId="716" xr:uid="{00000000-0005-0000-0000-000059010000}"/>
    <cellStyle name="20% - akcent 1 2 2 10 2 2 4" xfId="717" xr:uid="{00000000-0005-0000-0000-00005A010000}"/>
    <cellStyle name="20% - akcent 1 2 2 10 2 2 5" xfId="718" xr:uid="{00000000-0005-0000-0000-00005B010000}"/>
    <cellStyle name="20% - akcent 1 2 2 10 2 2 6" xfId="719" xr:uid="{00000000-0005-0000-0000-00005C010000}"/>
    <cellStyle name="20% - akcent 1 2 2 10 2 2 7" xfId="720" xr:uid="{00000000-0005-0000-0000-00005D010000}"/>
    <cellStyle name="20% - akcent 1 2 2 10 2 2 7 2" xfId="721" xr:uid="{00000000-0005-0000-0000-00005E010000}"/>
    <cellStyle name="20% - akcent 1 2 2 10 2 2 7 3" xfId="722" xr:uid="{00000000-0005-0000-0000-00005F010000}"/>
    <cellStyle name="20% - akcent 1 2 2 10 2 2 7 4" xfId="723" xr:uid="{00000000-0005-0000-0000-000060010000}"/>
    <cellStyle name="20% - akcent 1 2 2 10 2 2 7 5" xfId="724" xr:uid="{00000000-0005-0000-0000-000061010000}"/>
    <cellStyle name="20% - akcent 1 2 2 10 2 2 7 6" xfId="725" xr:uid="{00000000-0005-0000-0000-000062010000}"/>
    <cellStyle name="20% - akcent 1 2 2 10 2 2 8" xfId="726" xr:uid="{00000000-0005-0000-0000-000063010000}"/>
    <cellStyle name="20% - akcent 1 2 2 10 2 2 9" xfId="727" xr:uid="{00000000-0005-0000-0000-000064010000}"/>
    <cellStyle name="20% - akcent 1 2 2 10 2 3" xfId="728" xr:uid="{00000000-0005-0000-0000-000065010000}"/>
    <cellStyle name="20% - akcent 1 2 2 10 2 3 2" xfId="729" xr:uid="{00000000-0005-0000-0000-000066010000}"/>
    <cellStyle name="20% - akcent 1 2 2 10 2 3 2 2" xfId="730" xr:uid="{00000000-0005-0000-0000-000067010000}"/>
    <cellStyle name="20% - akcent 1 2 2 10 2 3 2 3" xfId="731" xr:uid="{00000000-0005-0000-0000-000068010000}"/>
    <cellStyle name="20% - akcent 1 2 2 10 2 3 2 4" xfId="732" xr:uid="{00000000-0005-0000-0000-000069010000}"/>
    <cellStyle name="20% - akcent 1 2 2 10 2 3 2 5" xfId="733" xr:uid="{00000000-0005-0000-0000-00006A010000}"/>
    <cellStyle name="20% - akcent 1 2 2 10 2 3 2 6" xfId="734" xr:uid="{00000000-0005-0000-0000-00006B010000}"/>
    <cellStyle name="20% - akcent 1 2 2 10 2 3 3" xfId="735" xr:uid="{00000000-0005-0000-0000-00006C010000}"/>
    <cellStyle name="20% - akcent 1 2 2 10 2 3 4" xfId="736" xr:uid="{00000000-0005-0000-0000-00006D010000}"/>
    <cellStyle name="20% - akcent 1 2 2 10 2 3 5" xfId="737" xr:uid="{00000000-0005-0000-0000-00006E010000}"/>
    <cellStyle name="20% - akcent 1 2 2 10 2 3 6" xfId="738" xr:uid="{00000000-0005-0000-0000-00006F010000}"/>
    <cellStyle name="20% - akcent 1 2 2 10 2 3 7" xfId="739" xr:uid="{00000000-0005-0000-0000-000070010000}"/>
    <cellStyle name="20% - akcent 1 2 2 10 2 4" xfId="740" xr:uid="{00000000-0005-0000-0000-000071010000}"/>
    <cellStyle name="20% - akcent 1 2 2 10 2 5" xfId="741" xr:uid="{00000000-0005-0000-0000-000072010000}"/>
    <cellStyle name="20% - akcent 1 2 2 10 2 6" xfId="742" xr:uid="{00000000-0005-0000-0000-000073010000}"/>
    <cellStyle name="20% - akcent 1 2 2 10 2 7" xfId="743" xr:uid="{00000000-0005-0000-0000-000074010000}"/>
    <cellStyle name="20% - akcent 1 2 2 10 2 7 2" xfId="744" xr:uid="{00000000-0005-0000-0000-000075010000}"/>
    <cellStyle name="20% - akcent 1 2 2 10 2 7 3" xfId="745" xr:uid="{00000000-0005-0000-0000-000076010000}"/>
    <cellStyle name="20% - akcent 1 2 2 10 2 7 4" xfId="746" xr:uid="{00000000-0005-0000-0000-000077010000}"/>
    <cellStyle name="20% - akcent 1 2 2 10 2 7 5" xfId="747" xr:uid="{00000000-0005-0000-0000-000078010000}"/>
    <cellStyle name="20% - akcent 1 2 2 10 2 7 6" xfId="748" xr:uid="{00000000-0005-0000-0000-000079010000}"/>
    <cellStyle name="20% - akcent 1 2 2 10 2 8" xfId="749" xr:uid="{00000000-0005-0000-0000-00007A010000}"/>
    <cellStyle name="20% - akcent 1 2 2 10 2 9" xfId="750" xr:uid="{00000000-0005-0000-0000-00007B010000}"/>
    <cellStyle name="20% - akcent 1 2 2 10 3" xfId="751" xr:uid="{00000000-0005-0000-0000-00007C010000}"/>
    <cellStyle name="20% - akcent 1 2 2 10 3 2" xfId="752" xr:uid="{00000000-0005-0000-0000-00007D010000}"/>
    <cellStyle name="20% - akcent 1 2 2 10 3 2 2" xfId="753" xr:uid="{00000000-0005-0000-0000-00007E010000}"/>
    <cellStyle name="20% - akcent 1 2 2 10 3 2 3" xfId="754" xr:uid="{00000000-0005-0000-0000-00007F010000}"/>
    <cellStyle name="20% - akcent 1 2 2 10 3 2 4" xfId="755" xr:uid="{00000000-0005-0000-0000-000080010000}"/>
    <cellStyle name="20% - akcent 1 2 2 10 3 2 5" xfId="756" xr:uid="{00000000-0005-0000-0000-000081010000}"/>
    <cellStyle name="20% - akcent 1 2 2 10 3 2 6" xfId="757" xr:uid="{00000000-0005-0000-0000-000082010000}"/>
    <cellStyle name="20% - akcent 1 2 2 10 3 3" xfId="758" xr:uid="{00000000-0005-0000-0000-000083010000}"/>
    <cellStyle name="20% - akcent 1 2 2 10 3 4" xfId="759" xr:uid="{00000000-0005-0000-0000-000084010000}"/>
    <cellStyle name="20% - akcent 1 2 2 10 3 5" xfId="760" xr:uid="{00000000-0005-0000-0000-000085010000}"/>
    <cellStyle name="20% - akcent 1 2 2 10 3 6" xfId="761" xr:uid="{00000000-0005-0000-0000-000086010000}"/>
    <cellStyle name="20% - akcent 1 2 2 10 3 7" xfId="762" xr:uid="{00000000-0005-0000-0000-000087010000}"/>
    <cellStyle name="20% - akcent 1 2 2 10 4" xfId="763" xr:uid="{00000000-0005-0000-0000-000088010000}"/>
    <cellStyle name="20% - akcent 1 2 2 10 5" xfId="764" xr:uid="{00000000-0005-0000-0000-000089010000}"/>
    <cellStyle name="20% - akcent 1 2 2 10 6" xfId="765" xr:uid="{00000000-0005-0000-0000-00008A010000}"/>
    <cellStyle name="20% - akcent 1 2 2 10 7" xfId="766" xr:uid="{00000000-0005-0000-0000-00008B010000}"/>
    <cellStyle name="20% - akcent 1 2 2 10 8" xfId="767" xr:uid="{00000000-0005-0000-0000-00008C010000}"/>
    <cellStyle name="20% - akcent 1 2 2 10 8 2" xfId="768" xr:uid="{00000000-0005-0000-0000-00008D010000}"/>
    <cellStyle name="20% - akcent 1 2 2 10 8 3" xfId="769" xr:uid="{00000000-0005-0000-0000-00008E010000}"/>
    <cellStyle name="20% - akcent 1 2 2 10 8 4" xfId="770" xr:uid="{00000000-0005-0000-0000-00008F010000}"/>
    <cellStyle name="20% - akcent 1 2 2 10 8 5" xfId="771" xr:uid="{00000000-0005-0000-0000-000090010000}"/>
    <cellStyle name="20% - akcent 1 2 2 10 8 6" xfId="772" xr:uid="{00000000-0005-0000-0000-000091010000}"/>
    <cellStyle name="20% - akcent 1 2 2 10 9" xfId="773" xr:uid="{00000000-0005-0000-0000-000092010000}"/>
    <cellStyle name="20% - akcent 1 2 2 11" xfId="774" xr:uid="{00000000-0005-0000-0000-000093010000}"/>
    <cellStyle name="20% - akcent 1 2 2 11 10" xfId="775" xr:uid="{00000000-0005-0000-0000-000094010000}"/>
    <cellStyle name="20% - akcent 1 2 2 11 11" xfId="776" xr:uid="{00000000-0005-0000-0000-000095010000}"/>
    <cellStyle name="20% - akcent 1 2 2 11 2" xfId="777" xr:uid="{00000000-0005-0000-0000-000096010000}"/>
    <cellStyle name="20% - akcent 1 2 2 11 2 2" xfId="778" xr:uid="{00000000-0005-0000-0000-000097010000}"/>
    <cellStyle name="20% - akcent 1 2 2 11 2 2 2" xfId="779" xr:uid="{00000000-0005-0000-0000-000098010000}"/>
    <cellStyle name="20% - akcent 1 2 2 11 2 2 3" xfId="780" xr:uid="{00000000-0005-0000-0000-000099010000}"/>
    <cellStyle name="20% - akcent 1 2 2 11 2 2 4" xfId="781" xr:uid="{00000000-0005-0000-0000-00009A010000}"/>
    <cellStyle name="20% - akcent 1 2 2 11 2 2 5" xfId="782" xr:uid="{00000000-0005-0000-0000-00009B010000}"/>
    <cellStyle name="20% - akcent 1 2 2 11 2 2 6" xfId="783" xr:uid="{00000000-0005-0000-0000-00009C010000}"/>
    <cellStyle name="20% - akcent 1 2 2 11 2 3" xfId="784" xr:uid="{00000000-0005-0000-0000-00009D010000}"/>
    <cellStyle name="20% - akcent 1 2 2 11 2 4" xfId="785" xr:uid="{00000000-0005-0000-0000-00009E010000}"/>
    <cellStyle name="20% - akcent 1 2 2 11 2 5" xfId="786" xr:uid="{00000000-0005-0000-0000-00009F010000}"/>
    <cellStyle name="20% - akcent 1 2 2 11 2 6" xfId="787" xr:uid="{00000000-0005-0000-0000-0000A0010000}"/>
    <cellStyle name="20% - akcent 1 2 2 11 2 7" xfId="788" xr:uid="{00000000-0005-0000-0000-0000A1010000}"/>
    <cellStyle name="20% - akcent 1 2 2 11 3" xfId="789" xr:uid="{00000000-0005-0000-0000-0000A2010000}"/>
    <cellStyle name="20% - akcent 1 2 2 11 4" xfId="790" xr:uid="{00000000-0005-0000-0000-0000A3010000}"/>
    <cellStyle name="20% - akcent 1 2 2 11 5" xfId="791" xr:uid="{00000000-0005-0000-0000-0000A4010000}"/>
    <cellStyle name="20% - akcent 1 2 2 11 6" xfId="792" xr:uid="{00000000-0005-0000-0000-0000A5010000}"/>
    <cellStyle name="20% - akcent 1 2 2 11 7" xfId="793" xr:uid="{00000000-0005-0000-0000-0000A6010000}"/>
    <cellStyle name="20% - akcent 1 2 2 11 7 2" xfId="794" xr:uid="{00000000-0005-0000-0000-0000A7010000}"/>
    <cellStyle name="20% - akcent 1 2 2 11 7 3" xfId="795" xr:uid="{00000000-0005-0000-0000-0000A8010000}"/>
    <cellStyle name="20% - akcent 1 2 2 11 7 4" xfId="796" xr:uid="{00000000-0005-0000-0000-0000A9010000}"/>
    <cellStyle name="20% - akcent 1 2 2 11 7 5" xfId="797" xr:uid="{00000000-0005-0000-0000-0000AA010000}"/>
    <cellStyle name="20% - akcent 1 2 2 11 7 6" xfId="798" xr:uid="{00000000-0005-0000-0000-0000AB010000}"/>
    <cellStyle name="20% - akcent 1 2 2 11 8" xfId="799" xr:uid="{00000000-0005-0000-0000-0000AC010000}"/>
    <cellStyle name="20% - akcent 1 2 2 11 9" xfId="800" xr:uid="{00000000-0005-0000-0000-0000AD010000}"/>
    <cellStyle name="20% - akcent 1 2 2 12" xfId="801" xr:uid="{00000000-0005-0000-0000-0000AE010000}"/>
    <cellStyle name="20% - akcent 1 2 2 12 2" xfId="802" xr:uid="{00000000-0005-0000-0000-0000AF010000}"/>
    <cellStyle name="20% - akcent 1 2 2 12 2 2" xfId="803" xr:uid="{00000000-0005-0000-0000-0000B0010000}"/>
    <cellStyle name="20% - akcent 1 2 2 12 2 3" xfId="804" xr:uid="{00000000-0005-0000-0000-0000B1010000}"/>
    <cellStyle name="20% - akcent 1 2 2 12 2 4" xfId="805" xr:uid="{00000000-0005-0000-0000-0000B2010000}"/>
    <cellStyle name="20% - akcent 1 2 2 12 2 5" xfId="806" xr:uid="{00000000-0005-0000-0000-0000B3010000}"/>
    <cellStyle name="20% - akcent 1 2 2 12 2 6" xfId="807" xr:uid="{00000000-0005-0000-0000-0000B4010000}"/>
    <cellStyle name="20% - akcent 1 2 2 12 3" xfId="808" xr:uid="{00000000-0005-0000-0000-0000B5010000}"/>
    <cellStyle name="20% - akcent 1 2 2 12 4" xfId="809" xr:uid="{00000000-0005-0000-0000-0000B6010000}"/>
    <cellStyle name="20% - akcent 1 2 2 12 5" xfId="810" xr:uid="{00000000-0005-0000-0000-0000B7010000}"/>
    <cellStyle name="20% - akcent 1 2 2 12 6" xfId="811" xr:uid="{00000000-0005-0000-0000-0000B8010000}"/>
    <cellStyle name="20% - akcent 1 2 2 12 7" xfId="812" xr:uid="{00000000-0005-0000-0000-0000B9010000}"/>
    <cellStyle name="20% - akcent 1 2 2 13" xfId="813" xr:uid="{00000000-0005-0000-0000-0000BA010000}"/>
    <cellStyle name="20% - akcent 1 2 2 14" xfId="814" xr:uid="{00000000-0005-0000-0000-0000BB010000}"/>
    <cellStyle name="20% - akcent 1 2 2 15" xfId="815" xr:uid="{00000000-0005-0000-0000-0000BC010000}"/>
    <cellStyle name="20% - akcent 1 2 2 16" xfId="816" xr:uid="{00000000-0005-0000-0000-0000BD010000}"/>
    <cellStyle name="20% - akcent 1 2 2 17" xfId="817" xr:uid="{00000000-0005-0000-0000-0000BE010000}"/>
    <cellStyle name="20% - akcent 1 2 2 18" xfId="818" xr:uid="{00000000-0005-0000-0000-0000BF010000}"/>
    <cellStyle name="20% - akcent 1 2 2 18 2" xfId="819" xr:uid="{00000000-0005-0000-0000-0000C0010000}"/>
    <cellStyle name="20% - akcent 1 2 2 18 3" xfId="820" xr:uid="{00000000-0005-0000-0000-0000C1010000}"/>
    <cellStyle name="20% - akcent 1 2 2 18 4" xfId="821" xr:uid="{00000000-0005-0000-0000-0000C2010000}"/>
    <cellStyle name="20% - akcent 1 2 2 18 5" xfId="822" xr:uid="{00000000-0005-0000-0000-0000C3010000}"/>
    <cellStyle name="20% - akcent 1 2 2 18 6" xfId="823" xr:uid="{00000000-0005-0000-0000-0000C4010000}"/>
    <cellStyle name="20% - akcent 1 2 2 19" xfId="824" xr:uid="{00000000-0005-0000-0000-0000C5010000}"/>
    <cellStyle name="20% - akcent 1 2 2 2" xfId="825" xr:uid="{00000000-0005-0000-0000-0000C6010000}"/>
    <cellStyle name="20% - akcent 1 2 2 2 10" xfId="826" xr:uid="{00000000-0005-0000-0000-0000C7010000}"/>
    <cellStyle name="20% - akcent 1 2 2 2 11" xfId="827" xr:uid="{00000000-0005-0000-0000-0000C8010000}"/>
    <cellStyle name="20% - akcent 1 2 2 2 2" xfId="828" xr:uid="{00000000-0005-0000-0000-0000C9010000}"/>
    <cellStyle name="20% - akcent 1 2 2 2 2 10" xfId="829" xr:uid="{00000000-0005-0000-0000-0000CA010000}"/>
    <cellStyle name="20% - akcent 1 2 2 2 2 2" xfId="830" xr:uid="{00000000-0005-0000-0000-0000CB010000}"/>
    <cellStyle name="20% - akcent 1 2 2 2 2 2 2" xfId="831" xr:uid="{00000000-0005-0000-0000-0000CC010000}"/>
    <cellStyle name="20% - akcent 1 2 2 2 2 2 2 2" xfId="832" xr:uid="{00000000-0005-0000-0000-0000CD010000}"/>
    <cellStyle name="20% - akcent 1 2 2 2 2 2 2 2 2" xfId="833" xr:uid="{00000000-0005-0000-0000-0000CE010000}"/>
    <cellStyle name="20% - akcent 1 2 2 2 2 2 2 2 2 2" xfId="834" xr:uid="{00000000-0005-0000-0000-0000CF010000}"/>
    <cellStyle name="20% - akcent 1 2 2 2 2 2 2 2 2 3" xfId="835" xr:uid="{00000000-0005-0000-0000-0000D0010000}"/>
    <cellStyle name="20% - akcent 1 2 2 2 2 2 2 2 2 4" xfId="836" xr:uid="{00000000-0005-0000-0000-0000D1010000}"/>
    <cellStyle name="20% - akcent 1 2 2 2 2 2 2 2 3" xfId="837" xr:uid="{00000000-0005-0000-0000-0000D2010000}"/>
    <cellStyle name="20% - akcent 1 2 2 2 2 2 2 2 4" xfId="838" xr:uid="{00000000-0005-0000-0000-0000D3010000}"/>
    <cellStyle name="20% - akcent 1 2 2 2 2 2 2 2 5" xfId="839" xr:uid="{00000000-0005-0000-0000-0000D4010000}"/>
    <cellStyle name="20% - akcent 1 2 2 2 2 2 2 3" xfId="840" xr:uid="{00000000-0005-0000-0000-0000D5010000}"/>
    <cellStyle name="20% - akcent 1 2 2 2 2 2 2 4" xfId="841" xr:uid="{00000000-0005-0000-0000-0000D6010000}"/>
    <cellStyle name="20% - akcent 1 2 2 2 2 2 2 5" xfId="842" xr:uid="{00000000-0005-0000-0000-0000D7010000}"/>
    <cellStyle name="20% - akcent 1 2 2 2 2 2 2 6" xfId="843" xr:uid="{00000000-0005-0000-0000-0000D8010000}"/>
    <cellStyle name="20% - akcent 1 2 2 2 2 2 2 7" xfId="844" xr:uid="{00000000-0005-0000-0000-0000D9010000}"/>
    <cellStyle name="20% - akcent 1 2 2 2 2 2 2 7 2" xfId="845" xr:uid="{00000000-0005-0000-0000-0000DA010000}"/>
    <cellStyle name="20% - akcent 1 2 2 2 2 2 2 7 3" xfId="846" xr:uid="{00000000-0005-0000-0000-0000DB010000}"/>
    <cellStyle name="20% - akcent 1 2 2 2 2 2 2 7 4" xfId="847" xr:uid="{00000000-0005-0000-0000-0000DC010000}"/>
    <cellStyle name="20% - akcent 1 2 2 2 2 2 2 7 5" xfId="848" xr:uid="{00000000-0005-0000-0000-0000DD010000}"/>
    <cellStyle name="20% - akcent 1 2 2 2 2 2 2 7 6" xfId="849" xr:uid="{00000000-0005-0000-0000-0000DE010000}"/>
    <cellStyle name="20% - akcent 1 2 2 2 2 2 2 8" xfId="850" xr:uid="{00000000-0005-0000-0000-0000DF010000}"/>
    <cellStyle name="20% - akcent 1 2 2 2 2 2 2 9" xfId="851" xr:uid="{00000000-0005-0000-0000-0000E0010000}"/>
    <cellStyle name="20% - akcent 1 2 2 2 2 2 3" xfId="852" xr:uid="{00000000-0005-0000-0000-0000E1010000}"/>
    <cellStyle name="20% - akcent 1 2 2 2 2 2 3 2" xfId="853" xr:uid="{00000000-0005-0000-0000-0000E2010000}"/>
    <cellStyle name="20% - akcent 1 2 2 2 2 2 3 2 2" xfId="854" xr:uid="{00000000-0005-0000-0000-0000E3010000}"/>
    <cellStyle name="20% - akcent 1 2 2 2 2 2 3 2 3" xfId="855" xr:uid="{00000000-0005-0000-0000-0000E4010000}"/>
    <cellStyle name="20% - akcent 1 2 2 2 2 2 3 2 4" xfId="856" xr:uid="{00000000-0005-0000-0000-0000E5010000}"/>
    <cellStyle name="20% - akcent 1 2 2 2 2 2 3 2 5" xfId="857" xr:uid="{00000000-0005-0000-0000-0000E6010000}"/>
    <cellStyle name="20% - akcent 1 2 2 2 2 2 3 2 6" xfId="858" xr:uid="{00000000-0005-0000-0000-0000E7010000}"/>
    <cellStyle name="20% - akcent 1 2 2 2 2 2 3 3" xfId="859" xr:uid="{00000000-0005-0000-0000-0000E8010000}"/>
    <cellStyle name="20% - akcent 1 2 2 2 2 2 3 4" xfId="860" xr:uid="{00000000-0005-0000-0000-0000E9010000}"/>
    <cellStyle name="20% - akcent 1 2 2 2 2 2 3 5" xfId="861" xr:uid="{00000000-0005-0000-0000-0000EA010000}"/>
    <cellStyle name="20% - akcent 1 2 2 2 2 2 3 6" xfId="862" xr:uid="{00000000-0005-0000-0000-0000EB010000}"/>
    <cellStyle name="20% - akcent 1 2 2 2 2 2 3 7" xfId="863" xr:uid="{00000000-0005-0000-0000-0000EC010000}"/>
    <cellStyle name="20% - akcent 1 2 2 2 2 2 4" xfId="864" xr:uid="{00000000-0005-0000-0000-0000ED010000}"/>
    <cellStyle name="20% - akcent 1 2 2 2 2 2 5" xfId="865" xr:uid="{00000000-0005-0000-0000-0000EE010000}"/>
    <cellStyle name="20% - akcent 1 2 2 2 2 2 6" xfId="866" xr:uid="{00000000-0005-0000-0000-0000EF010000}"/>
    <cellStyle name="20% - akcent 1 2 2 2 2 2 7" xfId="867" xr:uid="{00000000-0005-0000-0000-0000F0010000}"/>
    <cellStyle name="20% - akcent 1 2 2 2 2 2 7 2" xfId="868" xr:uid="{00000000-0005-0000-0000-0000F1010000}"/>
    <cellStyle name="20% - akcent 1 2 2 2 2 2 7 3" xfId="869" xr:uid="{00000000-0005-0000-0000-0000F2010000}"/>
    <cellStyle name="20% - akcent 1 2 2 2 2 2 7 4" xfId="870" xr:uid="{00000000-0005-0000-0000-0000F3010000}"/>
    <cellStyle name="20% - akcent 1 2 2 2 2 2 7 5" xfId="871" xr:uid="{00000000-0005-0000-0000-0000F4010000}"/>
    <cellStyle name="20% - akcent 1 2 2 2 2 2 7 6" xfId="872" xr:uid="{00000000-0005-0000-0000-0000F5010000}"/>
    <cellStyle name="20% - akcent 1 2 2 2 2 2 8" xfId="873" xr:uid="{00000000-0005-0000-0000-0000F6010000}"/>
    <cellStyle name="20% - akcent 1 2 2 2 2 2 9" xfId="874" xr:uid="{00000000-0005-0000-0000-0000F7010000}"/>
    <cellStyle name="20% - akcent 1 2 2 2 2 3" xfId="875" xr:uid="{00000000-0005-0000-0000-0000F8010000}"/>
    <cellStyle name="20% - akcent 1 2 2 2 2 3 2" xfId="876" xr:uid="{00000000-0005-0000-0000-0000F9010000}"/>
    <cellStyle name="20% - akcent 1 2 2 2 2 3 2 2" xfId="877" xr:uid="{00000000-0005-0000-0000-0000FA010000}"/>
    <cellStyle name="20% - akcent 1 2 2 2 2 3 2 3" xfId="878" xr:uid="{00000000-0005-0000-0000-0000FB010000}"/>
    <cellStyle name="20% - akcent 1 2 2 2 2 3 2 4" xfId="879" xr:uid="{00000000-0005-0000-0000-0000FC010000}"/>
    <cellStyle name="20% - akcent 1 2 2 2 2 3 2 5" xfId="880" xr:uid="{00000000-0005-0000-0000-0000FD010000}"/>
    <cellStyle name="20% - akcent 1 2 2 2 2 3 2 6" xfId="881" xr:uid="{00000000-0005-0000-0000-0000FE010000}"/>
    <cellStyle name="20% - akcent 1 2 2 2 2 3 3" xfId="882" xr:uid="{00000000-0005-0000-0000-0000FF010000}"/>
    <cellStyle name="20% - akcent 1 2 2 2 2 3 4" xfId="883" xr:uid="{00000000-0005-0000-0000-000000020000}"/>
    <cellStyle name="20% - akcent 1 2 2 2 2 3 5" xfId="884" xr:uid="{00000000-0005-0000-0000-000001020000}"/>
    <cellStyle name="20% - akcent 1 2 2 2 2 3 6" xfId="885" xr:uid="{00000000-0005-0000-0000-000002020000}"/>
    <cellStyle name="20% - akcent 1 2 2 2 2 3 7" xfId="886" xr:uid="{00000000-0005-0000-0000-000003020000}"/>
    <cellStyle name="20% - akcent 1 2 2 2 2 4" xfId="887" xr:uid="{00000000-0005-0000-0000-000004020000}"/>
    <cellStyle name="20% - akcent 1 2 2 2 2 5" xfId="888" xr:uid="{00000000-0005-0000-0000-000005020000}"/>
    <cellStyle name="20% - akcent 1 2 2 2 2 6" xfId="889" xr:uid="{00000000-0005-0000-0000-000006020000}"/>
    <cellStyle name="20% - akcent 1 2 2 2 2 7" xfId="890" xr:uid="{00000000-0005-0000-0000-000007020000}"/>
    <cellStyle name="20% - akcent 1 2 2 2 2 8" xfId="891" xr:uid="{00000000-0005-0000-0000-000008020000}"/>
    <cellStyle name="20% - akcent 1 2 2 2 2 8 2" xfId="892" xr:uid="{00000000-0005-0000-0000-000009020000}"/>
    <cellStyle name="20% - akcent 1 2 2 2 2 8 3" xfId="893" xr:uid="{00000000-0005-0000-0000-00000A020000}"/>
    <cellStyle name="20% - akcent 1 2 2 2 2 8 4" xfId="894" xr:uid="{00000000-0005-0000-0000-00000B020000}"/>
    <cellStyle name="20% - akcent 1 2 2 2 2 8 5" xfId="895" xr:uid="{00000000-0005-0000-0000-00000C020000}"/>
    <cellStyle name="20% - akcent 1 2 2 2 2 8 6" xfId="896" xr:uid="{00000000-0005-0000-0000-00000D020000}"/>
    <cellStyle name="20% - akcent 1 2 2 2 2 9" xfId="897" xr:uid="{00000000-0005-0000-0000-00000E020000}"/>
    <cellStyle name="20% - akcent 1 2 2 2 3" xfId="898" xr:uid="{00000000-0005-0000-0000-00000F020000}"/>
    <cellStyle name="20% - akcent 1 2 2 2 4" xfId="899" xr:uid="{00000000-0005-0000-0000-000010020000}"/>
    <cellStyle name="20% - akcent 1 2 2 2 4 10" xfId="900" xr:uid="{00000000-0005-0000-0000-000011020000}"/>
    <cellStyle name="20% - akcent 1 2 2 2 4 11" xfId="901" xr:uid="{00000000-0005-0000-0000-000012020000}"/>
    <cellStyle name="20% - akcent 1 2 2 2 4 2" xfId="902" xr:uid="{00000000-0005-0000-0000-000013020000}"/>
    <cellStyle name="20% - akcent 1 2 2 2 4 2 2" xfId="903" xr:uid="{00000000-0005-0000-0000-000014020000}"/>
    <cellStyle name="20% - akcent 1 2 2 2 4 2 2 2" xfId="904" xr:uid="{00000000-0005-0000-0000-000015020000}"/>
    <cellStyle name="20% - akcent 1 2 2 2 4 2 2 3" xfId="905" xr:uid="{00000000-0005-0000-0000-000016020000}"/>
    <cellStyle name="20% - akcent 1 2 2 2 4 2 2 4" xfId="906" xr:uid="{00000000-0005-0000-0000-000017020000}"/>
    <cellStyle name="20% - akcent 1 2 2 2 4 2 2 5" xfId="907" xr:uid="{00000000-0005-0000-0000-000018020000}"/>
    <cellStyle name="20% - akcent 1 2 2 2 4 2 2 6" xfId="908" xr:uid="{00000000-0005-0000-0000-000019020000}"/>
    <cellStyle name="20% - akcent 1 2 2 2 4 2 3" xfId="909" xr:uid="{00000000-0005-0000-0000-00001A020000}"/>
    <cellStyle name="20% - akcent 1 2 2 2 4 2 4" xfId="910" xr:uid="{00000000-0005-0000-0000-00001B020000}"/>
    <cellStyle name="20% - akcent 1 2 2 2 4 2 5" xfId="911" xr:uid="{00000000-0005-0000-0000-00001C020000}"/>
    <cellStyle name="20% - akcent 1 2 2 2 4 2 6" xfId="912" xr:uid="{00000000-0005-0000-0000-00001D020000}"/>
    <cellStyle name="20% - akcent 1 2 2 2 4 2 7" xfId="913" xr:uid="{00000000-0005-0000-0000-00001E020000}"/>
    <cellStyle name="20% - akcent 1 2 2 2 4 3" xfId="914" xr:uid="{00000000-0005-0000-0000-00001F020000}"/>
    <cellStyle name="20% - akcent 1 2 2 2 4 4" xfId="915" xr:uid="{00000000-0005-0000-0000-000020020000}"/>
    <cellStyle name="20% - akcent 1 2 2 2 4 5" xfId="916" xr:uid="{00000000-0005-0000-0000-000021020000}"/>
    <cellStyle name="20% - akcent 1 2 2 2 4 6" xfId="917" xr:uid="{00000000-0005-0000-0000-000022020000}"/>
    <cellStyle name="20% - akcent 1 2 2 2 4 7" xfId="918" xr:uid="{00000000-0005-0000-0000-000023020000}"/>
    <cellStyle name="20% - akcent 1 2 2 2 4 7 2" xfId="919" xr:uid="{00000000-0005-0000-0000-000024020000}"/>
    <cellStyle name="20% - akcent 1 2 2 2 4 7 3" xfId="920" xr:uid="{00000000-0005-0000-0000-000025020000}"/>
    <cellStyle name="20% - akcent 1 2 2 2 4 7 4" xfId="921" xr:uid="{00000000-0005-0000-0000-000026020000}"/>
    <cellStyle name="20% - akcent 1 2 2 2 4 7 5" xfId="922" xr:uid="{00000000-0005-0000-0000-000027020000}"/>
    <cellStyle name="20% - akcent 1 2 2 2 4 7 6" xfId="923" xr:uid="{00000000-0005-0000-0000-000028020000}"/>
    <cellStyle name="20% - akcent 1 2 2 2 4 8" xfId="924" xr:uid="{00000000-0005-0000-0000-000029020000}"/>
    <cellStyle name="20% - akcent 1 2 2 2 4 9" xfId="925" xr:uid="{00000000-0005-0000-0000-00002A020000}"/>
    <cellStyle name="20% - akcent 1 2 2 2 5" xfId="926" xr:uid="{00000000-0005-0000-0000-00002B020000}"/>
    <cellStyle name="20% - akcent 1 2 2 2 5 2" xfId="927" xr:uid="{00000000-0005-0000-0000-00002C020000}"/>
    <cellStyle name="20% - akcent 1 2 2 2 5 2 2" xfId="928" xr:uid="{00000000-0005-0000-0000-00002D020000}"/>
    <cellStyle name="20% - akcent 1 2 2 2 5 2 3" xfId="929" xr:uid="{00000000-0005-0000-0000-00002E020000}"/>
    <cellStyle name="20% - akcent 1 2 2 2 5 2 4" xfId="930" xr:uid="{00000000-0005-0000-0000-00002F020000}"/>
    <cellStyle name="20% - akcent 1 2 2 2 5 2 5" xfId="931" xr:uid="{00000000-0005-0000-0000-000030020000}"/>
    <cellStyle name="20% - akcent 1 2 2 2 5 2 6" xfId="932" xr:uid="{00000000-0005-0000-0000-000031020000}"/>
    <cellStyle name="20% - akcent 1 2 2 2 5 3" xfId="933" xr:uid="{00000000-0005-0000-0000-000032020000}"/>
    <cellStyle name="20% - akcent 1 2 2 2 5 4" xfId="934" xr:uid="{00000000-0005-0000-0000-000033020000}"/>
    <cellStyle name="20% - akcent 1 2 2 2 5 5" xfId="935" xr:uid="{00000000-0005-0000-0000-000034020000}"/>
    <cellStyle name="20% - akcent 1 2 2 2 5 6" xfId="936" xr:uid="{00000000-0005-0000-0000-000035020000}"/>
    <cellStyle name="20% - akcent 1 2 2 2 5 7" xfId="937" xr:uid="{00000000-0005-0000-0000-000036020000}"/>
    <cellStyle name="20% - akcent 1 2 2 2 6" xfId="938" xr:uid="{00000000-0005-0000-0000-000037020000}"/>
    <cellStyle name="20% - akcent 1 2 2 2 7" xfId="939" xr:uid="{00000000-0005-0000-0000-000038020000}"/>
    <cellStyle name="20% - akcent 1 2 2 2 8" xfId="940" xr:uid="{00000000-0005-0000-0000-000039020000}"/>
    <cellStyle name="20% - akcent 1 2 2 2 9" xfId="941" xr:uid="{00000000-0005-0000-0000-00003A020000}"/>
    <cellStyle name="20% - akcent 1 2 2 2 9 2" xfId="942" xr:uid="{00000000-0005-0000-0000-00003B020000}"/>
    <cellStyle name="20% - akcent 1 2 2 2 9 3" xfId="943" xr:uid="{00000000-0005-0000-0000-00003C020000}"/>
    <cellStyle name="20% - akcent 1 2 2 2 9 4" xfId="944" xr:uid="{00000000-0005-0000-0000-00003D020000}"/>
    <cellStyle name="20% - akcent 1 2 2 2 9 5" xfId="945" xr:uid="{00000000-0005-0000-0000-00003E020000}"/>
    <cellStyle name="20% - akcent 1 2 2 2 9 6" xfId="946" xr:uid="{00000000-0005-0000-0000-00003F020000}"/>
    <cellStyle name="20% - akcent 1 2 2 20" xfId="947" xr:uid="{00000000-0005-0000-0000-000040020000}"/>
    <cellStyle name="20% - akcent 1 2 2 21" xfId="693" xr:uid="{00000000-0005-0000-0000-000041020000}"/>
    <cellStyle name="20% - akcent 1 2 2 3" xfId="948" xr:uid="{00000000-0005-0000-0000-000042020000}"/>
    <cellStyle name="20% - akcent 1 2 2 4" xfId="949" xr:uid="{00000000-0005-0000-0000-000043020000}"/>
    <cellStyle name="20% - akcent 1 2 2 5" xfId="950" xr:uid="{00000000-0005-0000-0000-000044020000}"/>
    <cellStyle name="20% - akcent 1 2 2 6" xfId="951" xr:uid="{00000000-0005-0000-0000-000045020000}"/>
    <cellStyle name="20% - akcent 1 2 2 7" xfId="952" xr:uid="{00000000-0005-0000-0000-000046020000}"/>
    <cellStyle name="20% - akcent 1 2 2 8" xfId="953" xr:uid="{00000000-0005-0000-0000-000047020000}"/>
    <cellStyle name="20% - akcent 1 2 2 9" xfId="954" xr:uid="{00000000-0005-0000-0000-000048020000}"/>
    <cellStyle name="20% - akcent 1 2 20" xfId="955" xr:uid="{00000000-0005-0000-0000-000049020000}"/>
    <cellStyle name="20% - akcent 1 2 21" xfId="956" xr:uid="{00000000-0005-0000-0000-00004A020000}"/>
    <cellStyle name="20% - akcent 1 2 21 2" xfId="957" xr:uid="{00000000-0005-0000-0000-00004B020000}"/>
    <cellStyle name="20% - akcent 1 2 21 3" xfId="958" xr:uid="{00000000-0005-0000-0000-00004C020000}"/>
    <cellStyle name="20% - akcent 1 2 21 4" xfId="959" xr:uid="{00000000-0005-0000-0000-00004D020000}"/>
    <cellStyle name="20% - akcent 1 2 21 5" xfId="960" xr:uid="{00000000-0005-0000-0000-00004E020000}"/>
    <cellStyle name="20% - akcent 1 2 21 6" xfId="961" xr:uid="{00000000-0005-0000-0000-00004F020000}"/>
    <cellStyle name="20% - akcent 1 2 22" xfId="962" xr:uid="{00000000-0005-0000-0000-000050020000}"/>
    <cellStyle name="20% - akcent 1 2 23" xfId="963" xr:uid="{00000000-0005-0000-0000-000051020000}"/>
    <cellStyle name="20% - akcent 1 2 24" xfId="964" xr:uid="{00000000-0005-0000-0000-000052020000}"/>
    <cellStyle name="20% - akcent 1 2 25" xfId="965" xr:uid="{00000000-0005-0000-0000-000053020000}"/>
    <cellStyle name="20% - akcent 1 2 26" xfId="966" xr:uid="{00000000-0005-0000-0000-000054020000}"/>
    <cellStyle name="20% - akcent 1 2 27" xfId="967" xr:uid="{00000000-0005-0000-0000-000055020000}"/>
    <cellStyle name="20% - akcent 1 2 28" xfId="968" xr:uid="{00000000-0005-0000-0000-000056020000}"/>
    <cellStyle name="20% - akcent 1 2 29" xfId="969" xr:uid="{00000000-0005-0000-0000-000057020000}"/>
    <cellStyle name="20% - akcent 1 2 3" xfId="970" xr:uid="{00000000-0005-0000-0000-000058020000}"/>
    <cellStyle name="20% - akcent 1 2 30" xfId="971" xr:uid="{00000000-0005-0000-0000-000059020000}"/>
    <cellStyle name="20% - akcent 1 2 31" xfId="972" xr:uid="{00000000-0005-0000-0000-00005A020000}"/>
    <cellStyle name="20% - akcent 1 2 32" xfId="566" xr:uid="{00000000-0005-0000-0000-00005B020000}"/>
    <cellStyle name="20% - akcent 1 2 33" xfId="37817" xr:uid="{00000000-0005-0000-0000-00005C020000}"/>
    <cellStyle name="20% - akcent 1 2 4" xfId="973" xr:uid="{00000000-0005-0000-0000-00005D020000}"/>
    <cellStyle name="20% - akcent 1 2 5" xfId="974" xr:uid="{00000000-0005-0000-0000-00005E020000}"/>
    <cellStyle name="20% - akcent 1 2 6" xfId="975" xr:uid="{00000000-0005-0000-0000-00005F020000}"/>
    <cellStyle name="20% - akcent 1 2 6 10" xfId="976" xr:uid="{00000000-0005-0000-0000-000060020000}"/>
    <cellStyle name="20% - akcent 1 2 6 11" xfId="977" xr:uid="{00000000-0005-0000-0000-000061020000}"/>
    <cellStyle name="20% - akcent 1 2 6 12" xfId="978" xr:uid="{00000000-0005-0000-0000-000062020000}"/>
    <cellStyle name="20% - akcent 1 2 6 13" xfId="979" xr:uid="{00000000-0005-0000-0000-000063020000}"/>
    <cellStyle name="20% - akcent 1 2 6 2" xfId="980" xr:uid="{00000000-0005-0000-0000-000064020000}"/>
    <cellStyle name="20% - akcent 1 2 6 2 10" xfId="981" xr:uid="{00000000-0005-0000-0000-000065020000}"/>
    <cellStyle name="20% - akcent 1 2 6 2 11" xfId="982" xr:uid="{00000000-0005-0000-0000-000066020000}"/>
    <cellStyle name="20% - akcent 1 2 6 2 12" xfId="983" xr:uid="{00000000-0005-0000-0000-000067020000}"/>
    <cellStyle name="20% - akcent 1 2 6 2 13" xfId="984" xr:uid="{00000000-0005-0000-0000-000068020000}"/>
    <cellStyle name="20% - akcent 1 2 6 2 2" xfId="985" xr:uid="{00000000-0005-0000-0000-000069020000}"/>
    <cellStyle name="20% - akcent 1 2 6 2 2 10" xfId="986" xr:uid="{00000000-0005-0000-0000-00006A020000}"/>
    <cellStyle name="20% - akcent 1 2 6 2 2 11" xfId="987" xr:uid="{00000000-0005-0000-0000-00006B020000}"/>
    <cellStyle name="20% - akcent 1 2 6 2 2 12" xfId="988" xr:uid="{00000000-0005-0000-0000-00006C020000}"/>
    <cellStyle name="20% - akcent 1 2 6 2 2 2" xfId="989" xr:uid="{00000000-0005-0000-0000-00006D020000}"/>
    <cellStyle name="20% - akcent 1 2 6 2 2 2 10" xfId="990" xr:uid="{00000000-0005-0000-0000-00006E020000}"/>
    <cellStyle name="20% - akcent 1 2 6 2 2 2 11" xfId="991" xr:uid="{00000000-0005-0000-0000-00006F020000}"/>
    <cellStyle name="20% - akcent 1 2 6 2 2 2 2" xfId="992" xr:uid="{00000000-0005-0000-0000-000070020000}"/>
    <cellStyle name="20% - akcent 1 2 6 2 2 2 2 10" xfId="993" xr:uid="{00000000-0005-0000-0000-000071020000}"/>
    <cellStyle name="20% - akcent 1 2 6 2 2 2 2 11" xfId="994" xr:uid="{00000000-0005-0000-0000-000072020000}"/>
    <cellStyle name="20% - akcent 1 2 6 2 2 2 2 2" xfId="995" xr:uid="{00000000-0005-0000-0000-000073020000}"/>
    <cellStyle name="20% - akcent 1 2 6 2 2 2 2 2 2" xfId="996" xr:uid="{00000000-0005-0000-0000-000074020000}"/>
    <cellStyle name="20% - akcent 1 2 6 2 2 2 2 2 2 2" xfId="997" xr:uid="{00000000-0005-0000-0000-000075020000}"/>
    <cellStyle name="20% - akcent 1 2 6 2 2 2 2 2 2 3" xfId="998" xr:uid="{00000000-0005-0000-0000-000076020000}"/>
    <cellStyle name="20% - akcent 1 2 6 2 2 2 2 2 2 4" xfId="999" xr:uid="{00000000-0005-0000-0000-000077020000}"/>
    <cellStyle name="20% - akcent 1 2 6 2 2 2 2 2 2 5" xfId="1000" xr:uid="{00000000-0005-0000-0000-000078020000}"/>
    <cellStyle name="20% - akcent 1 2 6 2 2 2 2 2 2 6" xfId="1001" xr:uid="{00000000-0005-0000-0000-000079020000}"/>
    <cellStyle name="20% - akcent 1 2 6 2 2 2 2 2 3" xfId="1002" xr:uid="{00000000-0005-0000-0000-00007A020000}"/>
    <cellStyle name="20% - akcent 1 2 6 2 2 2 2 2 4" xfId="1003" xr:uid="{00000000-0005-0000-0000-00007B020000}"/>
    <cellStyle name="20% - akcent 1 2 6 2 2 2 2 2 5" xfId="1004" xr:uid="{00000000-0005-0000-0000-00007C020000}"/>
    <cellStyle name="20% - akcent 1 2 6 2 2 2 2 2 6" xfId="1005" xr:uid="{00000000-0005-0000-0000-00007D020000}"/>
    <cellStyle name="20% - akcent 1 2 6 2 2 2 2 2 7" xfId="1006" xr:uid="{00000000-0005-0000-0000-00007E020000}"/>
    <cellStyle name="20% - akcent 1 2 6 2 2 2 2 3" xfId="1007" xr:uid="{00000000-0005-0000-0000-00007F020000}"/>
    <cellStyle name="20% - akcent 1 2 6 2 2 2 2 4" xfId="1008" xr:uid="{00000000-0005-0000-0000-000080020000}"/>
    <cellStyle name="20% - akcent 1 2 6 2 2 2 2 5" xfId="1009" xr:uid="{00000000-0005-0000-0000-000081020000}"/>
    <cellStyle name="20% - akcent 1 2 6 2 2 2 2 6" xfId="1010" xr:uid="{00000000-0005-0000-0000-000082020000}"/>
    <cellStyle name="20% - akcent 1 2 6 2 2 2 2 7" xfId="1011" xr:uid="{00000000-0005-0000-0000-000083020000}"/>
    <cellStyle name="20% - akcent 1 2 6 2 2 2 2 7 2" xfId="1012" xr:uid="{00000000-0005-0000-0000-000084020000}"/>
    <cellStyle name="20% - akcent 1 2 6 2 2 2 2 7 3" xfId="1013" xr:uid="{00000000-0005-0000-0000-000085020000}"/>
    <cellStyle name="20% - akcent 1 2 6 2 2 2 2 7 4" xfId="1014" xr:uid="{00000000-0005-0000-0000-000086020000}"/>
    <cellStyle name="20% - akcent 1 2 6 2 2 2 2 7 5" xfId="1015" xr:uid="{00000000-0005-0000-0000-000087020000}"/>
    <cellStyle name="20% - akcent 1 2 6 2 2 2 2 7 6" xfId="1016" xr:uid="{00000000-0005-0000-0000-000088020000}"/>
    <cellStyle name="20% - akcent 1 2 6 2 2 2 2 8" xfId="1017" xr:uid="{00000000-0005-0000-0000-000089020000}"/>
    <cellStyle name="20% - akcent 1 2 6 2 2 2 2 9" xfId="1018" xr:uid="{00000000-0005-0000-0000-00008A020000}"/>
    <cellStyle name="20% - akcent 1 2 6 2 2 2 3" xfId="1019" xr:uid="{00000000-0005-0000-0000-00008B020000}"/>
    <cellStyle name="20% - akcent 1 2 6 2 2 2 3 2" xfId="1020" xr:uid="{00000000-0005-0000-0000-00008C020000}"/>
    <cellStyle name="20% - akcent 1 2 6 2 2 2 3 2 2" xfId="1021" xr:uid="{00000000-0005-0000-0000-00008D020000}"/>
    <cellStyle name="20% - akcent 1 2 6 2 2 2 3 2 3" xfId="1022" xr:uid="{00000000-0005-0000-0000-00008E020000}"/>
    <cellStyle name="20% - akcent 1 2 6 2 2 2 3 2 4" xfId="1023" xr:uid="{00000000-0005-0000-0000-00008F020000}"/>
    <cellStyle name="20% - akcent 1 2 6 2 2 2 3 2 5" xfId="1024" xr:uid="{00000000-0005-0000-0000-000090020000}"/>
    <cellStyle name="20% - akcent 1 2 6 2 2 2 3 2 6" xfId="1025" xr:uid="{00000000-0005-0000-0000-000091020000}"/>
    <cellStyle name="20% - akcent 1 2 6 2 2 2 3 3" xfId="1026" xr:uid="{00000000-0005-0000-0000-000092020000}"/>
    <cellStyle name="20% - akcent 1 2 6 2 2 2 3 4" xfId="1027" xr:uid="{00000000-0005-0000-0000-000093020000}"/>
    <cellStyle name="20% - akcent 1 2 6 2 2 2 3 5" xfId="1028" xr:uid="{00000000-0005-0000-0000-000094020000}"/>
    <cellStyle name="20% - akcent 1 2 6 2 2 2 3 6" xfId="1029" xr:uid="{00000000-0005-0000-0000-000095020000}"/>
    <cellStyle name="20% - akcent 1 2 6 2 2 2 3 7" xfId="1030" xr:uid="{00000000-0005-0000-0000-000096020000}"/>
    <cellStyle name="20% - akcent 1 2 6 2 2 2 4" xfId="1031" xr:uid="{00000000-0005-0000-0000-000097020000}"/>
    <cellStyle name="20% - akcent 1 2 6 2 2 2 5" xfId="1032" xr:uid="{00000000-0005-0000-0000-000098020000}"/>
    <cellStyle name="20% - akcent 1 2 6 2 2 2 6" xfId="1033" xr:uid="{00000000-0005-0000-0000-000099020000}"/>
    <cellStyle name="20% - akcent 1 2 6 2 2 2 7" xfId="1034" xr:uid="{00000000-0005-0000-0000-00009A020000}"/>
    <cellStyle name="20% - akcent 1 2 6 2 2 2 7 2" xfId="1035" xr:uid="{00000000-0005-0000-0000-00009B020000}"/>
    <cellStyle name="20% - akcent 1 2 6 2 2 2 7 3" xfId="1036" xr:uid="{00000000-0005-0000-0000-00009C020000}"/>
    <cellStyle name="20% - akcent 1 2 6 2 2 2 7 4" xfId="1037" xr:uid="{00000000-0005-0000-0000-00009D020000}"/>
    <cellStyle name="20% - akcent 1 2 6 2 2 2 7 5" xfId="1038" xr:uid="{00000000-0005-0000-0000-00009E020000}"/>
    <cellStyle name="20% - akcent 1 2 6 2 2 2 7 6" xfId="1039" xr:uid="{00000000-0005-0000-0000-00009F020000}"/>
    <cellStyle name="20% - akcent 1 2 6 2 2 2 8" xfId="1040" xr:uid="{00000000-0005-0000-0000-0000A0020000}"/>
    <cellStyle name="20% - akcent 1 2 6 2 2 2 9" xfId="1041" xr:uid="{00000000-0005-0000-0000-0000A1020000}"/>
    <cellStyle name="20% - akcent 1 2 6 2 2 3" xfId="1042" xr:uid="{00000000-0005-0000-0000-0000A2020000}"/>
    <cellStyle name="20% - akcent 1 2 6 2 2 3 2" xfId="1043" xr:uid="{00000000-0005-0000-0000-0000A3020000}"/>
    <cellStyle name="20% - akcent 1 2 6 2 2 3 2 2" xfId="1044" xr:uid="{00000000-0005-0000-0000-0000A4020000}"/>
    <cellStyle name="20% - akcent 1 2 6 2 2 3 2 3" xfId="1045" xr:uid="{00000000-0005-0000-0000-0000A5020000}"/>
    <cellStyle name="20% - akcent 1 2 6 2 2 3 2 4" xfId="1046" xr:uid="{00000000-0005-0000-0000-0000A6020000}"/>
    <cellStyle name="20% - akcent 1 2 6 2 2 3 2 5" xfId="1047" xr:uid="{00000000-0005-0000-0000-0000A7020000}"/>
    <cellStyle name="20% - akcent 1 2 6 2 2 3 2 6" xfId="1048" xr:uid="{00000000-0005-0000-0000-0000A8020000}"/>
    <cellStyle name="20% - akcent 1 2 6 2 2 3 3" xfId="1049" xr:uid="{00000000-0005-0000-0000-0000A9020000}"/>
    <cellStyle name="20% - akcent 1 2 6 2 2 3 4" xfId="1050" xr:uid="{00000000-0005-0000-0000-0000AA020000}"/>
    <cellStyle name="20% - akcent 1 2 6 2 2 3 5" xfId="1051" xr:uid="{00000000-0005-0000-0000-0000AB020000}"/>
    <cellStyle name="20% - akcent 1 2 6 2 2 3 6" xfId="1052" xr:uid="{00000000-0005-0000-0000-0000AC020000}"/>
    <cellStyle name="20% - akcent 1 2 6 2 2 3 7" xfId="1053" xr:uid="{00000000-0005-0000-0000-0000AD020000}"/>
    <cellStyle name="20% - akcent 1 2 6 2 2 4" xfId="1054" xr:uid="{00000000-0005-0000-0000-0000AE020000}"/>
    <cellStyle name="20% - akcent 1 2 6 2 2 5" xfId="1055" xr:uid="{00000000-0005-0000-0000-0000AF020000}"/>
    <cellStyle name="20% - akcent 1 2 6 2 2 6" xfId="1056" xr:uid="{00000000-0005-0000-0000-0000B0020000}"/>
    <cellStyle name="20% - akcent 1 2 6 2 2 7" xfId="1057" xr:uid="{00000000-0005-0000-0000-0000B1020000}"/>
    <cellStyle name="20% - akcent 1 2 6 2 2 8" xfId="1058" xr:uid="{00000000-0005-0000-0000-0000B2020000}"/>
    <cellStyle name="20% - akcent 1 2 6 2 2 8 2" xfId="1059" xr:uid="{00000000-0005-0000-0000-0000B3020000}"/>
    <cellStyle name="20% - akcent 1 2 6 2 2 8 3" xfId="1060" xr:uid="{00000000-0005-0000-0000-0000B4020000}"/>
    <cellStyle name="20% - akcent 1 2 6 2 2 8 4" xfId="1061" xr:uid="{00000000-0005-0000-0000-0000B5020000}"/>
    <cellStyle name="20% - akcent 1 2 6 2 2 8 5" xfId="1062" xr:uid="{00000000-0005-0000-0000-0000B6020000}"/>
    <cellStyle name="20% - akcent 1 2 6 2 2 8 6" xfId="1063" xr:uid="{00000000-0005-0000-0000-0000B7020000}"/>
    <cellStyle name="20% - akcent 1 2 6 2 2 9" xfId="1064" xr:uid="{00000000-0005-0000-0000-0000B8020000}"/>
    <cellStyle name="20% - akcent 1 2 6 2 3" xfId="1065" xr:uid="{00000000-0005-0000-0000-0000B9020000}"/>
    <cellStyle name="20% - akcent 1 2 6 2 4" xfId="1066" xr:uid="{00000000-0005-0000-0000-0000BA020000}"/>
    <cellStyle name="20% - akcent 1 2 6 2 4 10" xfId="1067" xr:uid="{00000000-0005-0000-0000-0000BB020000}"/>
    <cellStyle name="20% - akcent 1 2 6 2 4 11" xfId="1068" xr:uid="{00000000-0005-0000-0000-0000BC020000}"/>
    <cellStyle name="20% - akcent 1 2 6 2 4 2" xfId="1069" xr:uid="{00000000-0005-0000-0000-0000BD020000}"/>
    <cellStyle name="20% - akcent 1 2 6 2 4 2 2" xfId="1070" xr:uid="{00000000-0005-0000-0000-0000BE020000}"/>
    <cellStyle name="20% - akcent 1 2 6 2 4 2 2 2" xfId="1071" xr:uid="{00000000-0005-0000-0000-0000BF020000}"/>
    <cellStyle name="20% - akcent 1 2 6 2 4 2 2 3" xfId="1072" xr:uid="{00000000-0005-0000-0000-0000C0020000}"/>
    <cellStyle name="20% - akcent 1 2 6 2 4 2 2 4" xfId="1073" xr:uid="{00000000-0005-0000-0000-0000C1020000}"/>
    <cellStyle name="20% - akcent 1 2 6 2 4 2 2 5" xfId="1074" xr:uid="{00000000-0005-0000-0000-0000C2020000}"/>
    <cellStyle name="20% - akcent 1 2 6 2 4 2 2 6" xfId="1075" xr:uid="{00000000-0005-0000-0000-0000C3020000}"/>
    <cellStyle name="20% - akcent 1 2 6 2 4 2 3" xfId="1076" xr:uid="{00000000-0005-0000-0000-0000C4020000}"/>
    <cellStyle name="20% - akcent 1 2 6 2 4 2 4" xfId="1077" xr:uid="{00000000-0005-0000-0000-0000C5020000}"/>
    <cellStyle name="20% - akcent 1 2 6 2 4 2 5" xfId="1078" xr:uid="{00000000-0005-0000-0000-0000C6020000}"/>
    <cellStyle name="20% - akcent 1 2 6 2 4 2 6" xfId="1079" xr:uid="{00000000-0005-0000-0000-0000C7020000}"/>
    <cellStyle name="20% - akcent 1 2 6 2 4 2 7" xfId="1080" xr:uid="{00000000-0005-0000-0000-0000C8020000}"/>
    <cellStyle name="20% - akcent 1 2 6 2 4 3" xfId="1081" xr:uid="{00000000-0005-0000-0000-0000C9020000}"/>
    <cellStyle name="20% - akcent 1 2 6 2 4 4" xfId="1082" xr:uid="{00000000-0005-0000-0000-0000CA020000}"/>
    <cellStyle name="20% - akcent 1 2 6 2 4 5" xfId="1083" xr:uid="{00000000-0005-0000-0000-0000CB020000}"/>
    <cellStyle name="20% - akcent 1 2 6 2 4 6" xfId="1084" xr:uid="{00000000-0005-0000-0000-0000CC020000}"/>
    <cellStyle name="20% - akcent 1 2 6 2 4 7" xfId="1085" xr:uid="{00000000-0005-0000-0000-0000CD020000}"/>
    <cellStyle name="20% - akcent 1 2 6 2 4 7 2" xfId="1086" xr:uid="{00000000-0005-0000-0000-0000CE020000}"/>
    <cellStyle name="20% - akcent 1 2 6 2 4 7 3" xfId="1087" xr:uid="{00000000-0005-0000-0000-0000CF020000}"/>
    <cellStyle name="20% - akcent 1 2 6 2 4 7 4" xfId="1088" xr:uid="{00000000-0005-0000-0000-0000D0020000}"/>
    <cellStyle name="20% - akcent 1 2 6 2 4 7 5" xfId="1089" xr:uid="{00000000-0005-0000-0000-0000D1020000}"/>
    <cellStyle name="20% - akcent 1 2 6 2 4 7 6" xfId="1090" xr:uid="{00000000-0005-0000-0000-0000D2020000}"/>
    <cellStyle name="20% - akcent 1 2 6 2 4 8" xfId="1091" xr:uid="{00000000-0005-0000-0000-0000D3020000}"/>
    <cellStyle name="20% - akcent 1 2 6 2 4 9" xfId="1092" xr:uid="{00000000-0005-0000-0000-0000D4020000}"/>
    <cellStyle name="20% - akcent 1 2 6 2 5" xfId="1093" xr:uid="{00000000-0005-0000-0000-0000D5020000}"/>
    <cellStyle name="20% - akcent 1 2 6 2 5 2" xfId="1094" xr:uid="{00000000-0005-0000-0000-0000D6020000}"/>
    <cellStyle name="20% - akcent 1 2 6 2 5 2 2" xfId="1095" xr:uid="{00000000-0005-0000-0000-0000D7020000}"/>
    <cellStyle name="20% - akcent 1 2 6 2 5 2 3" xfId="1096" xr:uid="{00000000-0005-0000-0000-0000D8020000}"/>
    <cellStyle name="20% - akcent 1 2 6 2 5 2 4" xfId="1097" xr:uid="{00000000-0005-0000-0000-0000D9020000}"/>
    <cellStyle name="20% - akcent 1 2 6 2 5 2 5" xfId="1098" xr:uid="{00000000-0005-0000-0000-0000DA020000}"/>
    <cellStyle name="20% - akcent 1 2 6 2 5 2 6" xfId="1099" xr:uid="{00000000-0005-0000-0000-0000DB020000}"/>
    <cellStyle name="20% - akcent 1 2 6 2 5 3" xfId="1100" xr:uid="{00000000-0005-0000-0000-0000DC020000}"/>
    <cellStyle name="20% - akcent 1 2 6 2 5 4" xfId="1101" xr:uid="{00000000-0005-0000-0000-0000DD020000}"/>
    <cellStyle name="20% - akcent 1 2 6 2 5 5" xfId="1102" xr:uid="{00000000-0005-0000-0000-0000DE020000}"/>
    <cellStyle name="20% - akcent 1 2 6 2 5 6" xfId="1103" xr:uid="{00000000-0005-0000-0000-0000DF020000}"/>
    <cellStyle name="20% - akcent 1 2 6 2 5 7" xfId="1104" xr:uid="{00000000-0005-0000-0000-0000E0020000}"/>
    <cellStyle name="20% - akcent 1 2 6 2 6" xfId="1105" xr:uid="{00000000-0005-0000-0000-0000E1020000}"/>
    <cellStyle name="20% - akcent 1 2 6 2 7" xfId="1106" xr:uid="{00000000-0005-0000-0000-0000E2020000}"/>
    <cellStyle name="20% - akcent 1 2 6 2 8" xfId="1107" xr:uid="{00000000-0005-0000-0000-0000E3020000}"/>
    <cellStyle name="20% - akcent 1 2 6 2 9" xfId="1108" xr:uid="{00000000-0005-0000-0000-0000E4020000}"/>
    <cellStyle name="20% - akcent 1 2 6 2 9 2" xfId="1109" xr:uid="{00000000-0005-0000-0000-0000E5020000}"/>
    <cellStyle name="20% - akcent 1 2 6 2 9 3" xfId="1110" xr:uid="{00000000-0005-0000-0000-0000E6020000}"/>
    <cellStyle name="20% - akcent 1 2 6 2 9 4" xfId="1111" xr:uid="{00000000-0005-0000-0000-0000E7020000}"/>
    <cellStyle name="20% - akcent 1 2 6 2 9 5" xfId="1112" xr:uid="{00000000-0005-0000-0000-0000E8020000}"/>
    <cellStyle name="20% - akcent 1 2 6 2 9 6" xfId="1113" xr:uid="{00000000-0005-0000-0000-0000E9020000}"/>
    <cellStyle name="20% - akcent 1 2 6 3" xfId="1114" xr:uid="{00000000-0005-0000-0000-0000EA020000}"/>
    <cellStyle name="20% - akcent 1 2 6 3 10" xfId="1115" xr:uid="{00000000-0005-0000-0000-0000EB020000}"/>
    <cellStyle name="20% - akcent 1 2 6 3 11" xfId="1116" xr:uid="{00000000-0005-0000-0000-0000EC020000}"/>
    <cellStyle name="20% - akcent 1 2 6 3 12" xfId="1117" xr:uid="{00000000-0005-0000-0000-0000ED020000}"/>
    <cellStyle name="20% - akcent 1 2 6 3 2" xfId="1118" xr:uid="{00000000-0005-0000-0000-0000EE020000}"/>
    <cellStyle name="20% - akcent 1 2 6 3 2 10" xfId="1119" xr:uid="{00000000-0005-0000-0000-0000EF020000}"/>
    <cellStyle name="20% - akcent 1 2 6 3 2 11" xfId="1120" xr:uid="{00000000-0005-0000-0000-0000F0020000}"/>
    <cellStyle name="20% - akcent 1 2 6 3 2 2" xfId="1121" xr:uid="{00000000-0005-0000-0000-0000F1020000}"/>
    <cellStyle name="20% - akcent 1 2 6 3 2 2 10" xfId="1122" xr:uid="{00000000-0005-0000-0000-0000F2020000}"/>
    <cellStyle name="20% - akcent 1 2 6 3 2 2 11" xfId="1123" xr:uid="{00000000-0005-0000-0000-0000F3020000}"/>
    <cellStyle name="20% - akcent 1 2 6 3 2 2 2" xfId="1124" xr:uid="{00000000-0005-0000-0000-0000F4020000}"/>
    <cellStyle name="20% - akcent 1 2 6 3 2 2 2 2" xfId="1125" xr:uid="{00000000-0005-0000-0000-0000F5020000}"/>
    <cellStyle name="20% - akcent 1 2 6 3 2 2 2 2 2" xfId="1126" xr:uid="{00000000-0005-0000-0000-0000F6020000}"/>
    <cellStyle name="20% - akcent 1 2 6 3 2 2 2 2 3" xfId="1127" xr:uid="{00000000-0005-0000-0000-0000F7020000}"/>
    <cellStyle name="20% - akcent 1 2 6 3 2 2 2 2 4" xfId="1128" xr:uid="{00000000-0005-0000-0000-0000F8020000}"/>
    <cellStyle name="20% - akcent 1 2 6 3 2 2 2 2 5" xfId="1129" xr:uid="{00000000-0005-0000-0000-0000F9020000}"/>
    <cellStyle name="20% - akcent 1 2 6 3 2 2 2 2 6" xfId="1130" xr:uid="{00000000-0005-0000-0000-0000FA020000}"/>
    <cellStyle name="20% - akcent 1 2 6 3 2 2 2 3" xfId="1131" xr:uid="{00000000-0005-0000-0000-0000FB020000}"/>
    <cellStyle name="20% - akcent 1 2 6 3 2 2 2 4" xfId="1132" xr:uid="{00000000-0005-0000-0000-0000FC020000}"/>
    <cellStyle name="20% - akcent 1 2 6 3 2 2 2 5" xfId="1133" xr:uid="{00000000-0005-0000-0000-0000FD020000}"/>
    <cellStyle name="20% - akcent 1 2 6 3 2 2 2 6" xfId="1134" xr:uid="{00000000-0005-0000-0000-0000FE020000}"/>
    <cellStyle name="20% - akcent 1 2 6 3 2 2 2 7" xfId="1135" xr:uid="{00000000-0005-0000-0000-0000FF020000}"/>
    <cellStyle name="20% - akcent 1 2 6 3 2 2 3" xfId="1136" xr:uid="{00000000-0005-0000-0000-000000030000}"/>
    <cellStyle name="20% - akcent 1 2 6 3 2 2 4" xfId="1137" xr:uid="{00000000-0005-0000-0000-000001030000}"/>
    <cellStyle name="20% - akcent 1 2 6 3 2 2 5" xfId="1138" xr:uid="{00000000-0005-0000-0000-000002030000}"/>
    <cellStyle name="20% - akcent 1 2 6 3 2 2 6" xfId="1139" xr:uid="{00000000-0005-0000-0000-000003030000}"/>
    <cellStyle name="20% - akcent 1 2 6 3 2 2 7" xfId="1140" xr:uid="{00000000-0005-0000-0000-000004030000}"/>
    <cellStyle name="20% - akcent 1 2 6 3 2 2 7 2" xfId="1141" xr:uid="{00000000-0005-0000-0000-000005030000}"/>
    <cellStyle name="20% - akcent 1 2 6 3 2 2 7 3" xfId="1142" xr:uid="{00000000-0005-0000-0000-000006030000}"/>
    <cellStyle name="20% - akcent 1 2 6 3 2 2 7 4" xfId="1143" xr:uid="{00000000-0005-0000-0000-000007030000}"/>
    <cellStyle name="20% - akcent 1 2 6 3 2 2 7 5" xfId="1144" xr:uid="{00000000-0005-0000-0000-000008030000}"/>
    <cellStyle name="20% - akcent 1 2 6 3 2 2 7 6" xfId="1145" xr:uid="{00000000-0005-0000-0000-000009030000}"/>
    <cellStyle name="20% - akcent 1 2 6 3 2 2 8" xfId="1146" xr:uid="{00000000-0005-0000-0000-00000A030000}"/>
    <cellStyle name="20% - akcent 1 2 6 3 2 2 9" xfId="1147" xr:uid="{00000000-0005-0000-0000-00000B030000}"/>
    <cellStyle name="20% - akcent 1 2 6 3 2 3" xfId="1148" xr:uid="{00000000-0005-0000-0000-00000C030000}"/>
    <cellStyle name="20% - akcent 1 2 6 3 2 3 2" xfId="1149" xr:uid="{00000000-0005-0000-0000-00000D030000}"/>
    <cellStyle name="20% - akcent 1 2 6 3 2 3 2 2" xfId="1150" xr:uid="{00000000-0005-0000-0000-00000E030000}"/>
    <cellStyle name="20% - akcent 1 2 6 3 2 3 2 3" xfId="1151" xr:uid="{00000000-0005-0000-0000-00000F030000}"/>
    <cellStyle name="20% - akcent 1 2 6 3 2 3 2 4" xfId="1152" xr:uid="{00000000-0005-0000-0000-000010030000}"/>
    <cellStyle name="20% - akcent 1 2 6 3 2 3 2 5" xfId="1153" xr:uid="{00000000-0005-0000-0000-000011030000}"/>
    <cellStyle name="20% - akcent 1 2 6 3 2 3 2 6" xfId="1154" xr:uid="{00000000-0005-0000-0000-000012030000}"/>
    <cellStyle name="20% - akcent 1 2 6 3 2 3 3" xfId="1155" xr:uid="{00000000-0005-0000-0000-000013030000}"/>
    <cellStyle name="20% - akcent 1 2 6 3 2 3 4" xfId="1156" xr:uid="{00000000-0005-0000-0000-000014030000}"/>
    <cellStyle name="20% - akcent 1 2 6 3 2 3 5" xfId="1157" xr:uid="{00000000-0005-0000-0000-000015030000}"/>
    <cellStyle name="20% - akcent 1 2 6 3 2 3 6" xfId="1158" xr:uid="{00000000-0005-0000-0000-000016030000}"/>
    <cellStyle name="20% - akcent 1 2 6 3 2 3 7" xfId="1159" xr:uid="{00000000-0005-0000-0000-000017030000}"/>
    <cellStyle name="20% - akcent 1 2 6 3 2 4" xfId="1160" xr:uid="{00000000-0005-0000-0000-000018030000}"/>
    <cellStyle name="20% - akcent 1 2 6 3 2 5" xfId="1161" xr:uid="{00000000-0005-0000-0000-000019030000}"/>
    <cellStyle name="20% - akcent 1 2 6 3 2 6" xfId="1162" xr:uid="{00000000-0005-0000-0000-00001A030000}"/>
    <cellStyle name="20% - akcent 1 2 6 3 2 7" xfId="1163" xr:uid="{00000000-0005-0000-0000-00001B030000}"/>
    <cellStyle name="20% - akcent 1 2 6 3 2 7 2" xfId="1164" xr:uid="{00000000-0005-0000-0000-00001C030000}"/>
    <cellStyle name="20% - akcent 1 2 6 3 2 7 3" xfId="1165" xr:uid="{00000000-0005-0000-0000-00001D030000}"/>
    <cellStyle name="20% - akcent 1 2 6 3 2 7 4" xfId="1166" xr:uid="{00000000-0005-0000-0000-00001E030000}"/>
    <cellStyle name="20% - akcent 1 2 6 3 2 7 5" xfId="1167" xr:uid="{00000000-0005-0000-0000-00001F030000}"/>
    <cellStyle name="20% - akcent 1 2 6 3 2 7 6" xfId="1168" xr:uid="{00000000-0005-0000-0000-000020030000}"/>
    <cellStyle name="20% - akcent 1 2 6 3 2 8" xfId="1169" xr:uid="{00000000-0005-0000-0000-000021030000}"/>
    <cellStyle name="20% - akcent 1 2 6 3 2 9" xfId="1170" xr:uid="{00000000-0005-0000-0000-000022030000}"/>
    <cellStyle name="20% - akcent 1 2 6 3 3" xfId="1171" xr:uid="{00000000-0005-0000-0000-000023030000}"/>
    <cellStyle name="20% - akcent 1 2 6 3 3 2" xfId="1172" xr:uid="{00000000-0005-0000-0000-000024030000}"/>
    <cellStyle name="20% - akcent 1 2 6 3 3 2 2" xfId="1173" xr:uid="{00000000-0005-0000-0000-000025030000}"/>
    <cellStyle name="20% - akcent 1 2 6 3 3 2 3" xfId="1174" xr:uid="{00000000-0005-0000-0000-000026030000}"/>
    <cellStyle name="20% - akcent 1 2 6 3 3 2 4" xfId="1175" xr:uid="{00000000-0005-0000-0000-000027030000}"/>
    <cellStyle name="20% - akcent 1 2 6 3 3 2 5" xfId="1176" xr:uid="{00000000-0005-0000-0000-000028030000}"/>
    <cellStyle name="20% - akcent 1 2 6 3 3 2 6" xfId="1177" xr:uid="{00000000-0005-0000-0000-000029030000}"/>
    <cellStyle name="20% - akcent 1 2 6 3 3 3" xfId="1178" xr:uid="{00000000-0005-0000-0000-00002A030000}"/>
    <cellStyle name="20% - akcent 1 2 6 3 3 4" xfId="1179" xr:uid="{00000000-0005-0000-0000-00002B030000}"/>
    <cellStyle name="20% - akcent 1 2 6 3 3 5" xfId="1180" xr:uid="{00000000-0005-0000-0000-00002C030000}"/>
    <cellStyle name="20% - akcent 1 2 6 3 3 6" xfId="1181" xr:uid="{00000000-0005-0000-0000-00002D030000}"/>
    <cellStyle name="20% - akcent 1 2 6 3 3 7" xfId="1182" xr:uid="{00000000-0005-0000-0000-00002E030000}"/>
    <cellStyle name="20% - akcent 1 2 6 3 4" xfId="1183" xr:uid="{00000000-0005-0000-0000-00002F030000}"/>
    <cellStyle name="20% - akcent 1 2 6 3 5" xfId="1184" xr:uid="{00000000-0005-0000-0000-000030030000}"/>
    <cellStyle name="20% - akcent 1 2 6 3 6" xfId="1185" xr:uid="{00000000-0005-0000-0000-000031030000}"/>
    <cellStyle name="20% - akcent 1 2 6 3 7" xfId="1186" xr:uid="{00000000-0005-0000-0000-000032030000}"/>
    <cellStyle name="20% - akcent 1 2 6 3 8" xfId="1187" xr:uid="{00000000-0005-0000-0000-000033030000}"/>
    <cellStyle name="20% - akcent 1 2 6 3 8 2" xfId="1188" xr:uid="{00000000-0005-0000-0000-000034030000}"/>
    <cellStyle name="20% - akcent 1 2 6 3 8 3" xfId="1189" xr:uid="{00000000-0005-0000-0000-000035030000}"/>
    <cellStyle name="20% - akcent 1 2 6 3 8 4" xfId="1190" xr:uid="{00000000-0005-0000-0000-000036030000}"/>
    <cellStyle name="20% - akcent 1 2 6 3 8 5" xfId="1191" xr:uid="{00000000-0005-0000-0000-000037030000}"/>
    <cellStyle name="20% - akcent 1 2 6 3 8 6" xfId="1192" xr:uid="{00000000-0005-0000-0000-000038030000}"/>
    <cellStyle name="20% - akcent 1 2 6 3 9" xfId="1193" xr:uid="{00000000-0005-0000-0000-000039030000}"/>
    <cellStyle name="20% - akcent 1 2 6 4" xfId="1194" xr:uid="{00000000-0005-0000-0000-00003A030000}"/>
    <cellStyle name="20% - akcent 1 2 6 4 10" xfId="1195" xr:uid="{00000000-0005-0000-0000-00003B030000}"/>
    <cellStyle name="20% - akcent 1 2 6 4 11" xfId="1196" xr:uid="{00000000-0005-0000-0000-00003C030000}"/>
    <cellStyle name="20% - akcent 1 2 6 4 2" xfId="1197" xr:uid="{00000000-0005-0000-0000-00003D030000}"/>
    <cellStyle name="20% - akcent 1 2 6 4 2 2" xfId="1198" xr:uid="{00000000-0005-0000-0000-00003E030000}"/>
    <cellStyle name="20% - akcent 1 2 6 4 2 2 2" xfId="1199" xr:uid="{00000000-0005-0000-0000-00003F030000}"/>
    <cellStyle name="20% - akcent 1 2 6 4 2 2 3" xfId="1200" xr:uid="{00000000-0005-0000-0000-000040030000}"/>
    <cellStyle name="20% - akcent 1 2 6 4 2 2 4" xfId="1201" xr:uid="{00000000-0005-0000-0000-000041030000}"/>
    <cellStyle name="20% - akcent 1 2 6 4 2 2 5" xfId="1202" xr:uid="{00000000-0005-0000-0000-000042030000}"/>
    <cellStyle name="20% - akcent 1 2 6 4 2 2 6" xfId="1203" xr:uid="{00000000-0005-0000-0000-000043030000}"/>
    <cellStyle name="20% - akcent 1 2 6 4 2 3" xfId="1204" xr:uid="{00000000-0005-0000-0000-000044030000}"/>
    <cellStyle name="20% - akcent 1 2 6 4 2 4" xfId="1205" xr:uid="{00000000-0005-0000-0000-000045030000}"/>
    <cellStyle name="20% - akcent 1 2 6 4 2 5" xfId="1206" xr:uid="{00000000-0005-0000-0000-000046030000}"/>
    <cellStyle name="20% - akcent 1 2 6 4 2 6" xfId="1207" xr:uid="{00000000-0005-0000-0000-000047030000}"/>
    <cellStyle name="20% - akcent 1 2 6 4 2 7" xfId="1208" xr:uid="{00000000-0005-0000-0000-000048030000}"/>
    <cellStyle name="20% - akcent 1 2 6 4 3" xfId="1209" xr:uid="{00000000-0005-0000-0000-000049030000}"/>
    <cellStyle name="20% - akcent 1 2 6 4 4" xfId="1210" xr:uid="{00000000-0005-0000-0000-00004A030000}"/>
    <cellStyle name="20% - akcent 1 2 6 4 5" xfId="1211" xr:uid="{00000000-0005-0000-0000-00004B030000}"/>
    <cellStyle name="20% - akcent 1 2 6 4 6" xfId="1212" xr:uid="{00000000-0005-0000-0000-00004C030000}"/>
    <cellStyle name="20% - akcent 1 2 6 4 7" xfId="1213" xr:uid="{00000000-0005-0000-0000-00004D030000}"/>
    <cellStyle name="20% - akcent 1 2 6 4 7 2" xfId="1214" xr:uid="{00000000-0005-0000-0000-00004E030000}"/>
    <cellStyle name="20% - akcent 1 2 6 4 7 3" xfId="1215" xr:uid="{00000000-0005-0000-0000-00004F030000}"/>
    <cellStyle name="20% - akcent 1 2 6 4 7 4" xfId="1216" xr:uid="{00000000-0005-0000-0000-000050030000}"/>
    <cellStyle name="20% - akcent 1 2 6 4 7 5" xfId="1217" xr:uid="{00000000-0005-0000-0000-000051030000}"/>
    <cellStyle name="20% - akcent 1 2 6 4 7 6" xfId="1218" xr:uid="{00000000-0005-0000-0000-000052030000}"/>
    <cellStyle name="20% - akcent 1 2 6 4 8" xfId="1219" xr:uid="{00000000-0005-0000-0000-000053030000}"/>
    <cellStyle name="20% - akcent 1 2 6 4 9" xfId="1220" xr:uid="{00000000-0005-0000-0000-000054030000}"/>
    <cellStyle name="20% - akcent 1 2 6 5" xfId="1221" xr:uid="{00000000-0005-0000-0000-000055030000}"/>
    <cellStyle name="20% - akcent 1 2 6 5 2" xfId="1222" xr:uid="{00000000-0005-0000-0000-000056030000}"/>
    <cellStyle name="20% - akcent 1 2 6 5 2 2" xfId="1223" xr:uid="{00000000-0005-0000-0000-000057030000}"/>
    <cellStyle name="20% - akcent 1 2 6 5 2 3" xfId="1224" xr:uid="{00000000-0005-0000-0000-000058030000}"/>
    <cellStyle name="20% - akcent 1 2 6 5 2 4" xfId="1225" xr:uid="{00000000-0005-0000-0000-000059030000}"/>
    <cellStyle name="20% - akcent 1 2 6 5 2 5" xfId="1226" xr:uid="{00000000-0005-0000-0000-00005A030000}"/>
    <cellStyle name="20% - akcent 1 2 6 5 2 6" xfId="1227" xr:uid="{00000000-0005-0000-0000-00005B030000}"/>
    <cellStyle name="20% - akcent 1 2 6 5 3" xfId="1228" xr:uid="{00000000-0005-0000-0000-00005C030000}"/>
    <cellStyle name="20% - akcent 1 2 6 5 4" xfId="1229" xr:uid="{00000000-0005-0000-0000-00005D030000}"/>
    <cellStyle name="20% - akcent 1 2 6 5 5" xfId="1230" xr:uid="{00000000-0005-0000-0000-00005E030000}"/>
    <cellStyle name="20% - akcent 1 2 6 5 6" xfId="1231" xr:uid="{00000000-0005-0000-0000-00005F030000}"/>
    <cellStyle name="20% - akcent 1 2 6 5 7" xfId="1232" xr:uid="{00000000-0005-0000-0000-000060030000}"/>
    <cellStyle name="20% - akcent 1 2 6 6" xfId="1233" xr:uid="{00000000-0005-0000-0000-000061030000}"/>
    <cellStyle name="20% - akcent 1 2 6 7" xfId="1234" xr:uid="{00000000-0005-0000-0000-000062030000}"/>
    <cellStyle name="20% - akcent 1 2 6 8" xfId="1235" xr:uid="{00000000-0005-0000-0000-000063030000}"/>
    <cellStyle name="20% - akcent 1 2 6 9" xfId="1236" xr:uid="{00000000-0005-0000-0000-000064030000}"/>
    <cellStyle name="20% - akcent 1 2 6 9 2" xfId="1237" xr:uid="{00000000-0005-0000-0000-000065030000}"/>
    <cellStyle name="20% - akcent 1 2 6 9 3" xfId="1238" xr:uid="{00000000-0005-0000-0000-000066030000}"/>
    <cellStyle name="20% - akcent 1 2 6 9 4" xfId="1239" xr:uid="{00000000-0005-0000-0000-000067030000}"/>
    <cellStyle name="20% - akcent 1 2 6 9 5" xfId="1240" xr:uid="{00000000-0005-0000-0000-000068030000}"/>
    <cellStyle name="20% - akcent 1 2 6 9 6" xfId="1241" xr:uid="{00000000-0005-0000-0000-000069030000}"/>
    <cellStyle name="20% - akcent 1 2 7" xfId="1242" xr:uid="{00000000-0005-0000-0000-00006A030000}"/>
    <cellStyle name="20% - akcent 1 2 8" xfId="1243" xr:uid="{00000000-0005-0000-0000-00006B030000}"/>
    <cellStyle name="20% - akcent 1 2 8 10" xfId="1244" xr:uid="{00000000-0005-0000-0000-00006C030000}"/>
    <cellStyle name="20% - akcent 1 2 8 11" xfId="1245" xr:uid="{00000000-0005-0000-0000-00006D030000}"/>
    <cellStyle name="20% - akcent 1 2 8 12" xfId="1246" xr:uid="{00000000-0005-0000-0000-00006E030000}"/>
    <cellStyle name="20% - akcent 1 2 8 13" xfId="1247" xr:uid="{00000000-0005-0000-0000-00006F030000}"/>
    <cellStyle name="20% - akcent 1 2 8 2" xfId="1248" xr:uid="{00000000-0005-0000-0000-000070030000}"/>
    <cellStyle name="20% - akcent 1 2 8 2 10" xfId="1249" xr:uid="{00000000-0005-0000-0000-000071030000}"/>
    <cellStyle name="20% - akcent 1 2 8 2 11" xfId="1250" xr:uid="{00000000-0005-0000-0000-000072030000}"/>
    <cellStyle name="20% - akcent 1 2 8 2 12" xfId="1251" xr:uid="{00000000-0005-0000-0000-000073030000}"/>
    <cellStyle name="20% - akcent 1 2 8 2 2" xfId="1252" xr:uid="{00000000-0005-0000-0000-000074030000}"/>
    <cellStyle name="20% - akcent 1 2 8 2 2 10" xfId="1253" xr:uid="{00000000-0005-0000-0000-000075030000}"/>
    <cellStyle name="20% - akcent 1 2 8 2 2 11" xfId="1254" xr:uid="{00000000-0005-0000-0000-000076030000}"/>
    <cellStyle name="20% - akcent 1 2 8 2 2 2" xfId="1255" xr:uid="{00000000-0005-0000-0000-000077030000}"/>
    <cellStyle name="20% - akcent 1 2 8 2 2 2 10" xfId="1256" xr:uid="{00000000-0005-0000-0000-000078030000}"/>
    <cellStyle name="20% - akcent 1 2 8 2 2 2 11" xfId="1257" xr:uid="{00000000-0005-0000-0000-000079030000}"/>
    <cellStyle name="20% - akcent 1 2 8 2 2 2 2" xfId="1258" xr:uid="{00000000-0005-0000-0000-00007A030000}"/>
    <cellStyle name="20% - akcent 1 2 8 2 2 2 2 2" xfId="1259" xr:uid="{00000000-0005-0000-0000-00007B030000}"/>
    <cellStyle name="20% - akcent 1 2 8 2 2 2 2 2 2" xfId="1260" xr:uid="{00000000-0005-0000-0000-00007C030000}"/>
    <cellStyle name="20% - akcent 1 2 8 2 2 2 2 2 3" xfId="1261" xr:uid="{00000000-0005-0000-0000-00007D030000}"/>
    <cellStyle name="20% - akcent 1 2 8 2 2 2 2 2 4" xfId="1262" xr:uid="{00000000-0005-0000-0000-00007E030000}"/>
    <cellStyle name="20% - akcent 1 2 8 2 2 2 2 2 5" xfId="1263" xr:uid="{00000000-0005-0000-0000-00007F030000}"/>
    <cellStyle name="20% - akcent 1 2 8 2 2 2 2 2 6" xfId="1264" xr:uid="{00000000-0005-0000-0000-000080030000}"/>
    <cellStyle name="20% - akcent 1 2 8 2 2 2 2 3" xfId="1265" xr:uid="{00000000-0005-0000-0000-000081030000}"/>
    <cellStyle name="20% - akcent 1 2 8 2 2 2 2 4" xfId="1266" xr:uid="{00000000-0005-0000-0000-000082030000}"/>
    <cellStyle name="20% - akcent 1 2 8 2 2 2 2 5" xfId="1267" xr:uid="{00000000-0005-0000-0000-000083030000}"/>
    <cellStyle name="20% - akcent 1 2 8 2 2 2 2 6" xfId="1268" xr:uid="{00000000-0005-0000-0000-000084030000}"/>
    <cellStyle name="20% - akcent 1 2 8 2 2 2 2 7" xfId="1269" xr:uid="{00000000-0005-0000-0000-000085030000}"/>
    <cellStyle name="20% - akcent 1 2 8 2 2 2 3" xfId="1270" xr:uid="{00000000-0005-0000-0000-000086030000}"/>
    <cellStyle name="20% - akcent 1 2 8 2 2 2 4" xfId="1271" xr:uid="{00000000-0005-0000-0000-000087030000}"/>
    <cellStyle name="20% - akcent 1 2 8 2 2 2 5" xfId="1272" xr:uid="{00000000-0005-0000-0000-000088030000}"/>
    <cellStyle name="20% - akcent 1 2 8 2 2 2 6" xfId="1273" xr:uid="{00000000-0005-0000-0000-000089030000}"/>
    <cellStyle name="20% - akcent 1 2 8 2 2 2 7" xfId="1274" xr:uid="{00000000-0005-0000-0000-00008A030000}"/>
    <cellStyle name="20% - akcent 1 2 8 2 2 2 7 2" xfId="1275" xr:uid="{00000000-0005-0000-0000-00008B030000}"/>
    <cellStyle name="20% - akcent 1 2 8 2 2 2 7 3" xfId="1276" xr:uid="{00000000-0005-0000-0000-00008C030000}"/>
    <cellStyle name="20% - akcent 1 2 8 2 2 2 7 4" xfId="1277" xr:uid="{00000000-0005-0000-0000-00008D030000}"/>
    <cellStyle name="20% - akcent 1 2 8 2 2 2 7 5" xfId="1278" xr:uid="{00000000-0005-0000-0000-00008E030000}"/>
    <cellStyle name="20% - akcent 1 2 8 2 2 2 7 6" xfId="1279" xr:uid="{00000000-0005-0000-0000-00008F030000}"/>
    <cellStyle name="20% - akcent 1 2 8 2 2 2 8" xfId="1280" xr:uid="{00000000-0005-0000-0000-000090030000}"/>
    <cellStyle name="20% - akcent 1 2 8 2 2 2 9" xfId="1281" xr:uid="{00000000-0005-0000-0000-000091030000}"/>
    <cellStyle name="20% - akcent 1 2 8 2 2 3" xfId="1282" xr:uid="{00000000-0005-0000-0000-000092030000}"/>
    <cellStyle name="20% - akcent 1 2 8 2 2 3 2" xfId="1283" xr:uid="{00000000-0005-0000-0000-000093030000}"/>
    <cellStyle name="20% - akcent 1 2 8 2 2 3 2 2" xfId="1284" xr:uid="{00000000-0005-0000-0000-000094030000}"/>
    <cellStyle name="20% - akcent 1 2 8 2 2 3 2 3" xfId="1285" xr:uid="{00000000-0005-0000-0000-000095030000}"/>
    <cellStyle name="20% - akcent 1 2 8 2 2 3 2 4" xfId="1286" xr:uid="{00000000-0005-0000-0000-000096030000}"/>
    <cellStyle name="20% - akcent 1 2 8 2 2 3 2 5" xfId="1287" xr:uid="{00000000-0005-0000-0000-000097030000}"/>
    <cellStyle name="20% - akcent 1 2 8 2 2 3 2 6" xfId="1288" xr:uid="{00000000-0005-0000-0000-000098030000}"/>
    <cellStyle name="20% - akcent 1 2 8 2 2 3 3" xfId="1289" xr:uid="{00000000-0005-0000-0000-000099030000}"/>
    <cellStyle name="20% - akcent 1 2 8 2 2 3 4" xfId="1290" xr:uid="{00000000-0005-0000-0000-00009A030000}"/>
    <cellStyle name="20% - akcent 1 2 8 2 2 3 5" xfId="1291" xr:uid="{00000000-0005-0000-0000-00009B030000}"/>
    <cellStyle name="20% - akcent 1 2 8 2 2 3 6" xfId="1292" xr:uid="{00000000-0005-0000-0000-00009C030000}"/>
    <cellStyle name="20% - akcent 1 2 8 2 2 3 7" xfId="1293" xr:uid="{00000000-0005-0000-0000-00009D030000}"/>
    <cellStyle name="20% - akcent 1 2 8 2 2 4" xfId="1294" xr:uid="{00000000-0005-0000-0000-00009E030000}"/>
    <cellStyle name="20% - akcent 1 2 8 2 2 5" xfId="1295" xr:uid="{00000000-0005-0000-0000-00009F030000}"/>
    <cellStyle name="20% - akcent 1 2 8 2 2 6" xfId="1296" xr:uid="{00000000-0005-0000-0000-0000A0030000}"/>
    <cellStyle name="20% - akcent 1 2 8 2 2 7" xfId="1297" xr:uid="{00000000-0005-0000-0000-0000A1030000}"/>
    <cellStyle name="20% - akcent 1 2 8 2 2 7 2" xfId="1298" xr:uid="{00000000-0005-0000-0000-0000A2030000}"/>
    <cellStyle name="20% - akcent 1 2 8 2 2 7 3" xfId="1299" xr:uid="{00000000-0005-0000-0000-0000A3030000}"/>
    <cellStyle name="20% - akcent 1 2 8 2 2 7 4" xfId="1300" xr:uid="{00000000-0005-0000-0000-0000A4030000}"/>
    <cellStyle name="20% - akcent 1 2 8 2 2 7 5" xfId="1301" xr:uid="{00000000-0005-0000-0000-0000A5030000}"/>
    <cellStyle name="20% - akcent 1 2 8 2 2 7 6" xfId="1302" xr:uid="{00000000-0005-0000-0000-0000A6030000}"/>
    <cellStyle name="20% - akcent 1 2 8 2 2 8" xfId="1303" xr:uid="{00000000-0005-0000-0000-0000A7030000}"/>
    <cellStyle name="20% - akcent 1 2 8 2 2 9" xfId="1304" xr:uid="{00000000-0005-0000-0000-0000A8030000}"/>
    <cellStyle name="20% - akcent 1 2 8 2 3" xfId="1305" xr:uid="{00000000-0005-0000-0000-0000A9030000}"/>
    <cellStyle name="20% - akcent 1 2 8 2 3 2" xfId="1306" xr:uid="{00000000-0005-0000-0000-0000AA030000}"/>
    <cellStyle name="20% - akcent 1 2 8 2 3 2 2" xfId="1307" xr:uid="{00000000-0005-0000-0000-0000AB030000}"/>
    <cellStyle name="20% - akcent 1 2 8 2 3 2 3" xfId="1308" xr:uid="{00000000-0005-0000-0000-0000AC030000}"/>
    <cellStyle name="20% - akcent 1 2 8 2 3 2 4" xfId="1309" xr:uid="{00000000-0005-0000-0000-0000AD030000}"/>
    <cellStyle name="20% - akcent 1 2 8 2 3 2 5" xfId="1310" xr:uid="{00000000-0005-0000-0000-0000AE030000}"/>
    <cellStyle name="20% - akcent 1 2 8 2 3 2 6" xfId="1311" xr:uid="{00000000-0005-0000-0000-0000AF030000}"/>
    <cellStyle name="20% - akcent 1 2 8 2 3 3" xfId="1312" xr:uid="{00000000-0005-0000-0000-0000B0030000}"/>
    <cellStyle name="20% - akcent 1 2 8 2 3 4" xfId="1313" xr:uid="{00000000-0005-0000-0000-0000B1030000}"/>
    <cellStyle name="20% - akcent 1 2 8 2 3 5" xfId="1314" xr:uid="{00000000-0005-0000-0000-0000B2030000}"/>
    <cellStyle name="20% - akcent 1 2 8 2 3 6" xfId="1315" xr:uid="{00000000-0005-0000-0000-0000B3030000}"/>
    <cellStyle name="20% - akcent 1 2 8 2 3 7" xfId="1316" xr:uid="{00000000-0005-0000-0000-0000B4030000}"/>
    <cellStyle name="20% - akcent 1 2 8 2 4" xfId="1317" xr:uid="{00000000-0005-0000-0000-0000B5030000}"/>
    <cellStyle name="20% - akcent 1 2 8 2 5" xfId="1318" xr:uid="{00000000-0005-0000-0000-0000B6030000}"/>
    <cellStyle name="20% - akcent 1 2 8 2 6" xfId="1319" xr:uid="{00000000-0005-0000-0000-0000B7030000}"/>
    <cellStyle name="20% - akcent 1 2 8 2 7" xfId="1320" xr:uid="{00000000-0005-0000-0000-0000B8030000}"/>
    <cellStyle name="20% - akcent 1 2 8 2 8" xfId="1321" xr:uid="{00000000-0005-0000-0000-0000B9030000}"/>
    <cellStyle name="20% - akcent 1 2 8 2 8 2" xfId="1322" xr:uid="{00000000-0005-0000-0000-0000BA030000}"/>
    <cellStyle name="20% - akcent 1 2 8 2 8 3" xfId="1323" xr:uid="{00000000-0005-0000-0000-0000BB030000}"/>
    <cellStyle name="20% - akcent 1 2 8 2 8 4" xfId="1324" xr:uid="{00000000-0005-0000-0000-0000BC030000}"/>
    <cellStyle name="20% - akcent 1 2 8 2 8 5" xfId="1325" xr:uid="{00000000-0005-0000-0000-0000BD030000}"/>
    <cellStyle name="20% - akcent 1 2 8 2 8 6" xfId="1326" xr:uid="{00000000-0005-0000-0000-0000BE030000}"/>
    <cellStyle name="20% - akcent 1 2 8 2 9" xfId="1327" xr:uid="{00000000-0005-0000-0000-0000BF030000}"/>
    <cellStyle name="20% - akcent 1 2 8 3" xfId="1328" xr:uid="{00000000-0005-0000-0000-0000C0030000}"/>
    <cellStyle name="20% - akcent 1 2 8 4" xfId="1329" xr:uid="{00000000-0005-0000-0000-0000C1030000}"/>
    <cellStyle name="20% - akcent 1 2 8 4 10" xfId="1330" xr:uid="{00000000-0005-0000-0000-0000C2030000}"/>
    <cellStyle name="20% - akcent 1 2 8 4 11" xfId="1331" xr:uid="{00000000-0005-0000-0000-0000C3030000}"/>
    <cellStyle name="20% - akcent 1 2 8 4 2" xfId="1332" xr:uid="{00000000-0005-0000-0000-0000C4030000}"/>
    <cellStyle name="20% - akcent 1 2 8 4 2 2" xfId="1333" xr:uid="{00000000-0005-0000-0000-0000C5030000}"/>
    <cellStyle name="20% - akcent 1 2 8 4 2 2 2" xfId="1334" xr:uid="{00000000-0005-0000-0000-0000C6030000}"/>
    <cellStyle name="20% - akcent 1 2 8 4 2 2 3" xfId="1335" xr:uid="{00000000-0005-0000-0000-0000C7030000}"/>
    <cellStyle name="20% - akcent 1 2 8 4 2 2 4" xfId="1336" xr:uid="{00000000-0005-0000-0000-0000C8030000}"/>
    <cellStyle name="20% - akcent 1 2 8 4 2 2 5" xfId="1337" xr:uid="{00000000-0005-0000-0000-0000C9030000}"/>
    <cellStyle name="20% - akcent 1 2 8 4 2 2 6" xfId="1338" xr:uid="{00000000-0005-0000-0000-0000CA030000}"/>
    <cellStyle name="20% - akcent 1 2 8 4 2 3" xfId="1339" xr:uid="{00000000-0005-0000-0000-0000CB030000}"/>
    <cellStyle name="20% - akcent 1 2 8 4 2 4" xfId="1340" xr:uid="{00000000-0005-0000-0000-0000CC030000}"/>
    <cellStyle name="20% - akcent 1 2 8 4 2 5" xfId="1341" xr:uid="{00000000-0005-0000-0000-0000CD030000}"/>
    <cellStyle name="20% - akcent 1 2 8 4 2 6" xfId="1342" xr:uid="{00000000-0005-0000-0000-0000CE030000}"/>
    <cellStyle name="20% - akcent 1 2 8 4 2 7" xfId="1343" xr:uid="{00000000-0005-0000-0000-0000CF030000}"/>
    <cellStyle name="20% - akcent 1 2 8 4 3" xfId="1344" xr:uid="{00000000-0005-0000-0000-0000D0030000}"/>
    <cellStyle name="20% - akcent 1 2 8 4 4" xfId="1345" xr:uid="{00000000-0005-0000-0000-0000D1030000}"/>
    <cellStyle name="20% - akcent 1 2 8 4 5" xfId="1346" xr:uid="{00000000-0005-0000-0000-0000D2030000}"/>
    <cellStyle name="20% - akcent 1 2 8 4 6" xfId="1347" xr:uid="{00000000-0005-0000-0000-0000D3030000}"/>
    <cellStyle name="20% - akcent 1 2 8 4 7" xfId="1348" xr:uid="{00000000-0005-0000-0000-0000D4030000}"/>
    <cellStyle name="20% - akcent 1 2 8 4 7 2" xfId="1349" xr:uid="{00000000-0005-0000-0000-0000D5030000}"/>
    <cellStyle name="20% - akcent 1 2 8 4 7 3" xfId="1350" xr:uid="{00000000-0005-0000-0000-0000D6030000}"/>
    <cellStyle name="20% - akcent 1 2 8 4 7 4" xfId="1351" xr:uid="{00000000-0005-0000-0000-0000D7030000}"/>
    <cellStyle name="20% - akcent 1 2 8 4 7 5" xfId="1352" xr:uid="{00000000-0005-0000-0000-0000D8030000}"/>
    <cellStyle name="20% - akcent 1 2 8 4 7 6" xfId="1353" xr:uid="{00000000-0005-0000-0000-0000D9030000}"/>
    <cellStyle name="20% - akcent 1 2 8 4 8" xfId="1354" xr:uid="{00000000-0005-0000-0000-0000DA030000}"/>
    <cellStyle name="20% - akcent 1 2 8 4 9" xfId="1355" xr:uid="{00000000-0005-0000-0000-0000DB030000}"/>
    <cellStyle name="20% - akcent 1 2 8 5" xfId="1356" xr:uid="{00000000-0005-0000-0000-0000DC030000}"/>
    <cellStyle name="20% - akcent 1 2 8 5 2" xfId="1357" xr:uid="{00000000-0005-0000-0000-0000DD030000}"/>
    <cellStyle name="20% - akcent 1 2 8 5 2 2" xfId="1358" xr:uid="{00000000-0005-0000-0000-0000DE030000}"/>
    <cellStyle name="20% - akcent 1 2 8 5 2 3" xfId="1359" xr:uid="{00000000-0005-0000-0000-0000DF030000}"/>
    <cellStyle name="20% - akcent 1 2 8 5 2 4" xfId="1360" xr:uid="{00000000-0005-0000-0000-0000E0030000}"/>
    <cellStyle name="20% - akcent 1 2 8 5 2 5" xfId="1361" xr:uid="{00000000-0005-0000-0000-0000E1030000}"/>
    <cellStyle name="20% - akcent 1 2 8 5 2 6" xfId="1362" xr:uid="{00000000-0005-0000-0000-0000E2030000}"/>
    <cellStyle name="20% - akcent 1 2 8 5 3" xfId="1363" xr:uid="{00000000-0005-0000-0000-0000E3030000}"/>
    <cellStyle name="20% - akcent 1 2 8 5 4" xfId="1364" xr:uid="{00000000-0005-0000-0000-0000E4030000}"/>
    <cellStyle name="20% - akcent 1 2 8 5 5" xfId="1365" xr:uid="{00000000-0005-0000-0000-0000E5030000}"/>
    <cellStyle name="20% - akcent 1 2 8 5 6" xfId="1366" xr:uid="{00000000-0005-0000-0000-0000E6030000}"/>
    <cellStyle name="20% - akcent 1 2 8 5 7" xfId="1367" xr:uid="{00000000-0005-0000-0000-0000E7030000}"/>
    <cellStyle name="20% - akcent 1 2 8 6" xfId="1368" xr:uid="{00000000-0005-0000-0000-0000E8030000}"/>
    <cellStyle name="20% - akcent 1 2 8 7" xfId="1369" xr:uid="{00000000-0005-0000-0000-0000E9030000}"/>
    <cellStyle name="20% - akcent 1 2 8 8" xfId="1370" xr:uid="{00000000-0005-0000-0000-0000EA030000}"/>
    <cellStyle name="20% - akcent 1 2 8 9" xfId="1371" xr:uid="{00000000-0005-0000-0000-0000EB030000}"/>
    <cellStyle name="20% - akcent 1 2 8 9 2" xfId="1372" xr:uid="{00000000-0005-0000-0000-0000EC030000}"/>
    <cellStyle name="20% - akcent 1 2 8 9 3" xfId="1373" xr:uid="{00000000-0005-0000-0000-0000ED030000}"/>
    <cellStyle name="20% - akcent 1 2 8 9 4" xfId="1374" xr:uid="{00000000-0005-0000-0000-0000EE030000}"/>
    <cellStyle name="20% - akcent 1 2 8 9 5" xfId="1375" xr:uid="{00000000-0005-0000-0000-0000EF030000}"/>
    <cellStyle name="20% - akcent 1 2 8 9 6" xfId="1376" xr:uid="{00000000-0005-0000-0000-0000F0030000}"/>
    <cellStyle name="20% - akcent 1 2 9" xfId="1377" xr:uid="{00000000-0005-0000-0000-0000F1030000}"/>
    <cellStyle name="20% - akcent 1 2_archeolagia" xfId="1378" xr:uid="{00000000-0005-0000-0000-0000F2030000}"/>
    <cellStyle name="20% - akcent 1 3" xfId="17" xr:uid="{00000000-0005-0000-0000-0000F3030000}"/>
    <cellStyle name="20% - akcent 1 3 2" xfId="18" xr:uid="{00000000-0005-0000-0000-0000F4030000}"/>
    <cellStyle name="20% - akcent 1 3 2 2" xfId="1380" xr:uid="{00000000-0005-0000-0000-0000F5030000}"/>
    <cellStyle name="20% - akcent 1 3 3" xfId="1381" xr:uid="{00000000-0005-0000-0000-0000F6030000}"/>
    <cellStyle name="20% - akcent 1 3 4" xfId="1382" xr:uid="{00000000-0005-0000-0000-0000F7030000}"/>
    <cellStyle name="20% - akcent 1 3 5" xfId="1383" xr:uid="{00000000-0005-0000-0000-0000F8030000}"/>
    <cellStyle name="20% - akcent 1 3 6" xfId="1379" xr:uid="{00000000-0005-0000-0000-0000F9030000}"/>
    <cellStyle name="20% - akcent 1 4" xfId="19" xr:uid="{00000000-0005-0000-0000-0000FA030000}"/>
    <cellStyle name="20% - akcent 1 4 2" xfId="20" xr:uid="{00000000-0005-0000-0000-0000FB030000}"/>
    <cellStyle name="20% - akcent 1 4 2 2" xfId="1385" xr:uid="{00000000-0005-0000-0000-0000FC030000}"/>
    <cellStyle name="20% - akcent 1 4 3" xfId="1386" xr:uid="{00000000-0005-0000-0000-0000FD030000}"/>
    <cellStyle name="20% - akcent 1 4 4" xfId="1387" xr:uid="{00000000-0005-0000-0000-0000FE030000}"/>
    <cellStyle name="20% - akcent 1 4 5" xfId="1388" xr:uid="{00000000-0005-0000-0000-0000FF030000}"/>
    <cellStyle name="20% - akcent 1 4 6" xfId="1384" xr:uid="{00000000-0005-0000-0000-000000040000}"/>
    <cellStyle name="20% - akcent 1 5" xfId="21" xr:uid="{00000000-0005-0000-0000-000001040000}"/>
    <cellStyle name="20% - akcent 1 5 2" xfId="22" xr:uid="{00000000-0005-0000-0000-000002040000}"/>
    <cellStyle name="20% - akcent 1 5 2 2" xfId="1390" xr:uid="{00000000-0005-0000-0000-000003040000}"/>
    <cellStyle name="20% - akcent 1 5 3" xfId="1391" xr:uid="{00000000-0005-0000-0000-000004040000}"/>
    <cellStyle name="20% - akcent 1 5 4" xfId="1392" xr:uid="{00000000-0005-0000-0000-000005040000}"/>
    <cellStyle name="20% - akcent 1 5 5" xfId="1393" xr:uid="{00000000-0005-0000-0000-000006040000}"/>
    <cellStyle name="20% - akcent 1 5 6" xfId="1389" xr:uid="{00000000-0005-0000-0000-000007040000}"/>
    <cellStyle name="20% - akcent 1 6" xfId="23" xr:uid="{00000000-0005-0000-0000-000008040000}"/>
    <cellStyle name="20% - akcent 1 6 2" xfId="24" xr:uid="{00000000-0005-0000-0000-000009040000}"/>
    <cellStyle name="20% - akcent 1 6 2 2" xfId="1395" xr:uid="{00000000-0005-0000-0000-00000A040000}"/>
    <cellStyle name="20% - akcent 1 6 3" xfId="1396" xr:uid="{00000000-0005-0000-0000-00000B040000}"/>
    <cellStyle name="20% - akcent 1 6 4" xfId="1397" xr:uid="{00000000-0005-0000-0000-00000C040000}"/>
    <cellStyle name="20% - akcent 1 6 5" xfId="1398" xr:uid="{00000000-0005-0000-0000-00000D040000}"/>
    <cellStyle name="20% - akcent 1 6 6" xfId="1394" xr:uid="{00000000-0005-0000-0000-00000E040000}"/>
    <cellStyle name="20% - akcent 1 7" xfId="25" xr:uid="{00000000-0005-0000-0000-00000F040000}"/>
    <cellStyle name="20% - akcent 1 7 2" xfId="26" xr:uid="{00000000-0005-0000-0000-000010040000}"/>
    <cellStyle name="20% - akcent 1 7 2 2" xfId="1400" xr:uid="{00000000-0005-0000-0000-000011040000}"/>
    <cellStyle name="20% - akcent 1 7 3" xfId="1401" xr:uid="{00000000-0005-0000-0000-000012040000}"/>
    <cellStyle name="20% - akcent 1 7 4" xfId="1402" xr:uid="{00000000-0005-0000-0000-000013040000}"/>
    <cellStyle name="20% - akcent 1 7 5" xfId="1403" xr:uid="{00000000-0005-0000-0000-000014040000}"/>
    <cellStyle name="20% - akcent 1 7 6" xfId="1399" xr:uid="{00000000-0005-0000-0000-000015040000}"/>
    <cellStyle name="20% - akcent 1 8" xfId="1404" xr:uid="{00000000-0005-0000-0000-000016040000}"/>
    <cellStyle name="20% - akcent 1 8 2" xfId="1405" xr:uid="{00000000-0005-0000-0000-000017040000}"/>
    <cellStyle name="20% - akcent 1 8 3" xfId="1406" xr:uid="{00000000-0005-0000-0000-000018040000}"/>
    <cellStyle name="20% - akcent 1 8 4" xfId="1407" xr:uid="{00000000-0005-0000-0000-000019040000}"/>
    <cellStyle name="20% - akcent 1 9" xfId="1408" xr:uid="{00000000-0005-0000-0000-00001A040000}"/>
    <cellStyle name="20% - akcent 2 1" xfId="1409" xr:uid="{00000000-0005-0000-0000-00001B040000}"/>
    <cellStyle name="20% - akcent 2 10" xfId="1410" xr:uid="{00000000-0005-0000-0000-00001C040000}"/>
    <cellStyle name="20% - akcent 2 11" xfId="1411" xr:uid="{00000000-0005-0000-0000-00001D040000}"/>
    <cellStyle name="20% - akcent 2 12" xfId="1412" xr:uid="{00000000-0005-0000-0000-00001E040000}"/>
    <cellStyle name="20% - akcent 2 13" xfId="1413" xr:uid="{00000000-0005-0000-0000-00001F040000}"/>
    <cellStyle name="20% - akcent 2 14" xfId="1414" xr:uid="{00000000-0005-0000-0000-000020040000}"/>
    <cellStyle name="20% - akcent 2 15" xfId="1415" xr:uid="{00000000-0005-0000-0000-000021040000}"/>
    <cellStyle name="20% - akcent 2 16" xfId="1416" xr:uid="{00000000-0005-0000-0000-000022040000}"/>
    <cellStyle name="20% - akcent 2 17" xfId="1417" xr:uid="{00000000-0005-0000-0000-000023040000}"/>
    <cellStyle name="20% - akcent 2 18" xfId="1418" xr:uid="{00000000-0005-0000-0000-000024040000}"/>
    <cellStyle name="20% - akcent 2 19" xfId="1419" xr:uid="{00000000-0005-0000-0000-000025040000}"/>
    <cellStyle name="20% - akcent 2 2" xfId="27" xr:uid="{00000000-0005-0000-0000-000026040000}"/>
    <cellStyle name="20% - akcent 2 2 10" xfId="1421" xr:uid="{00000000-0005-0000-0000-000027040000}"/>
    <cellStyle name="20% - akcent 2 2 11" xfId="1422" xr:uid="{00000000-0005-0000-0000-000028040000}"/>
    <cellStyle name="20% - akcent 2 2 12" xfId="1423" xr:uid="{00000000-0005-0000-0000-000029040000}"/>
    <cellStyle name="20% - akcent 2 2 13" xfId="1424" xr:uid="{00000000-0005-0000-0000-00002A040000}"/>
    <cellStyle name="20% - akcent 2 2 13 10" xfId="1425" xr:uid="{00000000-0005-0000-0000-00002B040000}"/>
    <cellStyle name="20% - akcent 2 2 13 11" xfId="1426" xr:uid="{00000000-0005-0000-0000-00002C040000}"/>
    <cellStyle name="20% - akcent 2 2 13 12" xfId="1427" xr:uid="{00000000-0005-0000-0000-00002D040000}"/>
    <cellStyle name="20% - akcent 2 2 13 2" xfId="1428" xr:uid="{00000000-0005-0000-0000-00002E040000}"/>
    <cellStyle name="20% - akcent 2 2 13 2 10" xfId="1429" xr:uid="{00000000-0005-0000-0000-00002F040000}"/>
    <cellStyle name="20% - akcent 2 2 13 2 11" xfId="1430" xr:uid="{00000000-0005-0000-0000-000030040000}"/>
    <cellStyle name="20% - akcent 2 2 13 2 2" xfId="1431" xr:uid="{00000000-0005-0000-0000-000031040000}"/>
    <cellStyle name="20% - akcent 2 2 13 2 2 10" xfId="1432" xr:uid="{00000000-0005-0000-0000-000032040000}"/>
    <cellStyle name="20% - akcent 2 2 13 2 2 11" xfId="1433" xr:uid="{00000000-0005-0000-0000-000033040000}"/>
    <cellStyle name="20% - akcent 2 2 13 2 2 2" xfId="1434" xr:uid="{00000000-0005-0000-0000-000034040000}"/>
    <cellStyle name="20% - akcent 2 2 13 2 2 2 2" xfId="1435" xr:uid="{00000000-0005-0000-0000-000035040000}"/>
    <cellStyle name="20% - akcent 2 2 13 2 2 2 2 2" xfId="1436" xr:uid="{00000000-0005-0000-0000-000036040000}"/>
    <cellStyle name="20% - akcent 2 2 13 2 2 2 2 3" xfId="1437" xr:uid="{00000000-0005-0000-0000-000037040000}"/>
    <cellStyle name="20% - akcent 2 2 13 2 2 2 2 4" xfId="1438" xr:uid="{00000000-0005-0000-0000-000038040000}"/>
    <cellStyle name="20% - akcent 2 2 13 2 2 2 2 5" xfId="1439" xr:uid="{00000000-0005-0000-0000-000039040000}"/>
    <cellStyle name="20% - akcent 2 2 13 2 2 2 2 6" xfId="1440" xr:uid="{00000000-0005-0000-0000-00003A040000}"/>
    <cellStyle name="20% - akcent 2 2 13 2 2 2 3" xfId="1441" xr:uid="{00000000-0005-0000-0000-00003B040000}"/>
    <cellStyle name="20% - akcent 2 2 13 2 2 2 4" xfId="1442" xr:uid="{00000000-0005-0000-0000-00003C040000}"/>
    <cellStyle name="20% - akcent 2 2 13 2 2 2 5" xfId="1443" xr:uid="{00000000-0005-0000-0000-00003D040000}"/>
    <cellStyle name="20% - akcent 2 2 13 2 2 2 6" xfId="1444" xr:uid="{00000000-0005-0000-0000-00003E040000}"/>
    <cellStyle name="20% - akcent 2 2 13 2 2 2 7" xfId="1445" xr:uid="{00000000-0005-0000-0000-00003F040000}"/>
    <cellStyle name="20% - akcent 2 2 13 2 2 3" xfId="1446" xr:uid="{00000000-0005-0000-0000-000040040000}"/>
    <cellStyle name="20% - akcent 2 2 13 2 2 4" xfId="1447" xr:uid="{00000000-0005-0000-0000-000041040000}"/>
    <cellStyle name="20% - akcent 2 2 13 2 2 5" xfId="1448" xr:uid="{00000000-0005-0000-0000-000042040000}"/>
    <cellStyle name="20% - akcent 2 2 13 2 2 6" xfId="1449" xr:uid="{00000000-0005-0000-0000-000043040000}"/>
    <cellStyle name="20% - akcent 2 2 13 2 2 7" xfId="1450" xr:uid="{00000000-0005-0000-0000-000044040000}"/>
    <cellStyle name="20% - akcent 2 2 13 2 2 7 2" xfId="1451" xr:uid="{00000000-0005-0000-0000-000045040000}"/>
    <cellStyle name="20% - akcent 2 2 13 2 2 7 3" xfId="1452" xr:uid="{00000000-0005-0000-0000-000046040000}"/>
    <cellStyle name="20% - akcent 2 2 13 2 2 7 4" xfId="1453" xr:uid="{00000000-0005-0000-0000-000047040000}"/>
    <cellStyle name="20% - akcent 2 2 13 2 2 7 5" xfId="1454" xr:uid="{00000000-0005-0000-0000-000048040000}"/>
    <cellStyle name="20% - akcent 2 2 13 2 2 7 6" xfId="1455" xr:uid="{00000000-0005-0000-0000-000049040000}"/>
    <cellStyle name="20% - akcent 2 2 13 2 2 8" xfId="1456" xr:uid="{00000000-0005-0000-0000-00004A040000}"/>
    <cellStyle name="20% - akcent 2 2 13 2 2 9" xfId="1457" xr:uid="{00000000-0005-0000-0000-00004B040000}"/>
    <cellStyle name="20% - akcent 2 2 13 2 3" xfId="1458" xr:uid="{00000000-0005-0000-0000-00004C040000}"/>
    <cellStyle name="20% - akcent 2 2 13 2 3 2" xfId="1459" xr:uid="{00000000-0005-0000-0000-00004D040000}"/>
    <cellStyle name="20% - akcent 2 2 13 2 3 2 2" xfId="1460" xr:uid="{00000000-0005-0000-0000-00004E040000}"/>
    <cellStyle name="20% - akcent 2 2 13 2 3 2 3" xfId="1461" xr:uid="{00000000-0005-0000-0000-00004F040000}"/>
    <cellStyle name="20% - akcent 2 2 13 2 3 2 4" xfId="1462" xr:uid="{00000000-0005-0000-0000-000050040000}"/>
    <cellStyle name="20% - akcent 2 2 13 2 3 2 5" xfId="1463" xr:uid="{00000000-0005-0000-0000-000051040000}"/>
    <cellStyle name="20% - akcent 2 2 13 2 3 2 6" xfId="1464" xr:uid="{00000000-0005-0000-0000-000052040000}"/>
    <cellStyle name="20% - akcent 2 2 13 2 3 3" xfId="1465" xr:uid="{00000000-0005-0000-0000-000053040000}"/>
    <cellStyle name="20% - akcent 2 2 13 2 3 4" xfId="1466" xr:uid="{00000000-0005-0000-0000-000054040000}"/>
    <cellStyle name="20% - akcent 2 2 13 2 3 5" xfId="1467" xr:uid="{00000000-0005-0000-0000-000055040000}"/>
    <cellStyle name="20% - akcent 2 2 13 2 3 6" xfId="1468" xr:uid="{00000000-0005-0000-0000-000056040000}"/>
    <cellStyle name="20% - akcent 2 2 13 2 3 7" xfId="1469" xr:uid="{00000000-0005-0000-0000-000057040000}"/>
    <cellStyle name="20% - akcent 2 2 13 2 4" xfId="1470" xr:uid="{00000000-0005-0000-0000-000058040000}"/>
    <cellStyle name="20% - akcent 2 2 13 2 5" xfId="1471" xr:uid="{00000000-0005-0000-0000-000059040000}"/>
    <cellStyle name="20% - akcent 2 2 13 2 6" xfId="1472" xr:uid="{00000000-0005-0000-0000-00005A040000}"/>
    <cellStyle name="20% - akcent 2 2 13 2 7" xfId="1473" xr:uid="{00000000-0005-0000-0000-00005B040000}"/>
    <cellStyle name="20% - akcent 2 2 13 2 7 2" xfId="1474" xr:uid="{00000000-0005-0000-0000-00005C040000}"/>
    <cellStyle name="20% - akcent 2 2 13 2 7 3" xfId="1475" xr:uid="{00000000-0005-0000-0000-00005D040000}"/>
    <cellStyle name="20% - akcent 2 2 13 2 7 4" xfId="1476" xr:uid="{00000000-0005-0000-0000-00005E040000}"/>
    <cellStyle name="20% - akcent 2 2 13 2 7 5" xfId="1477" xr:uid="{00000000-0005-0000-0000-00005F040000}"/>
    <cellStyle name="20% - akcent 2 2 13 2 7 6" xfId="1478" xr:uid="{00000000-0005-0000-0000-000060040000}"/>
    <cellStyle name="20% - akcent 2 2 13 2 8" xfId="1479" xr:uid="{00000000-0005-0000-0000-000061040000}"/>
    <cellStyle name="20% - akcent 2 2 13 2 9" xfId="1480" xr:uid="{00000000-0005-0000-0000-000062040000}"/>
    <cellStyle name="20% - akcent 2 2 13 3" xfId="1481" xr:uid="{00000000-0005-0000-0000-000063040000}"/>
    <cellStyle name="20% - akcent 2 2 13 3 2" xfId="1482" xr:uid="{00000000-0005-0000-0000-000064040000}"/>
    <cellStyle name="20% - akcent 2 2 13 3 2 2" xfId="1483" xr:uid="{00000000-0005-0000-0000-000065040000}"/>
    <cellStyle name="20% - akcent 2 2 13 3 2 3" xfId="1484" xr:uid="{00000000-0005-0000-0000-000066040000}"/>
    <cellStyle name="20% - akcent 2 2 13 3 2 4" xfId="1485" xr:uid="{00000000-0005-0000-0000-000067040000}"/>
    <cellStyle name="20% - akcent 2 2 13 3 2 5" xfId="1486" xr:uid="{00000000-0005-0000-0000-000068040000}"/>
    <cellStyle name="20% - akcent 2 2 13 3 2 6" xfId="1487" xr:uid="{00000000-0005-0000-0000-000069040000}"/>
    <cellStyle name="20% - akcent 2 2 13 3 3" xfId="1488" xr:uid="{00000000-0005-0000-0000-00006A040000}"/>
    <cellStyle name="20% - akcent 2 2 13 3 4" xfId="1489" xr:uid="{00000000-0005-0000-0000-00006B040000}"/>
    <cellStyle name="20% - akcent 2 2 13 3 5" xfId="1490" xr:uid="{00000000-0005-0000-0000-00006C040000}"/>
    <cellStyle name="20% - akcent 2 2 13 3 6" xfId="1491" xr:uid="{00000000-0005-0000-0000-00006D040000}"/>
    <cellStyle name="20% - akcent 2 2 13 3 7" xfId="1492" xr:uid="{00000000-0005-0000-0000-00006E040000}"/>
    <cellStyle name="20% - akcent 2 2 13 4" xfId="1493" xr:uid="{00000000-0005-0000-0000-00006F040000}"/>
    <cellStyle name="20% - akcent 2 2 13 5" xfId="1494" xr:uid="{00000000-0005-0000-0000-000070040000}"/>
    <cellStyle name="20% - akcent 2 2 13 6" xfId="1495" xr:uid="{00000000-0005-0000-0000-000071040000}"/>
    <cellStyle name="20% - akcent 2 2 13 7" xfId="1496" xr:uid="{00000000-0005-0000-0000-000072040000}"/>
    <cellStyle name="20% - akcent 2 2 13 8" xfId="1497" xr:uid="{00000000-0005-0000-0000-000073040000}"/>
    <cellStyle name="20% - akcent 2 2 13 8 2" xfId="1498" xr:uid="{00000000-0005-0000-0000-000074040000}"/>
    <cellStyle name="20% - akcent 2 2 13 8 3" xfId="1499" xr:uid="{00000000-0005-0000-0000-000075040000}"/>
    <cellStyle name="20% - akcent 2 2 13 8 4" xfId="1500" xr:uid="{00000000-0005-0000-0000-000076040000}"/>
    <cellStyle name="20% - akcent 2 2 13 8 5" xfId="1501" xr:uid="{00000000-0005-0000-0000-000077040000}"/>
    <cellStyle name="20% - akcent 2 2 13 8 6" xfId="1502" xr:uid="{00000000-0005-0000-0000-000078040000}"/>
    <cellStyle name="20% - akcent 2 2 13 9" xfId="1503" xr:uid="{00000000-0005-0000-0000-000079040000}"/>
    <cellStyle name="20% - akcent 2 2 14" xfId="1504" xr:uid="{00000000-0005-0000-0000-00007A040000}"/>
    <cellStyle name="20% - akcent 2 2 14 10" xfId="1505" xr:uid="{00000000-0005-0000-0000-00007B040000}"/>
    <cellStyle name="20% - akcent 2 2 14 11" xfId="1506" xr:uid="{00000000-0005-0000-0000-00007C040000}"/>
    <cellStyle name="20% - akcent 2 2 14 2" xfId="1507" xr:uid="{00000000-0005-0000-0000-00007D040000}"/>
    <cellStyle name="20% - akcent 2 2 14 2 2" xfId="1508" xr:uid="{00000000-0005-0000-0000-00007E040000}"/>
    <cellStyle name="20% - akcent 2 2 14 2 2 2" xfId="1509" xr:uid="{00000000-0005-0000-0000-00007F040000}"/>
    <cellStyle name="20% - akcent 2 2 14 2 2 3" xfId="1510" xr:uid="{00000000-0005-0000-0000-000080040000}"/>
    <cellStyle name="20% - akcent 2 2 14 2 2 4" xfId="1511" xr:uid="{00000000-0005-0000-0000-000081040000}"/>
    <cellStyle name="20% - akcent 2 2 14 2 2 5" xfId="1512" xr:uid="{00000000-0005-0000-0000-000082040000}"/>
    <cellStyle name="20% - akcent 2 2 14 2 2 6" xfId="1513" xr:uid="{00000000-0005-0000-0000-000083040000}"/>
    <cellStyle name="20% - akcent 2 2 14 2 3" xfId="1514" xr:uid="{00000000-0005-0000-0000-000084040000}"/>
    <cellStyle name="20% - akcent 2 2 14 2 4" xfId="1515" xr:uid="{00000000-0005-0000-0000-000085040000}"/>
    <cellStyle name="20% - akcent 2 2 14 2 5" xfId="1516" xr:uid="{00000000-0005-0000-0000-000086040000}"/>
    <cellStyle name="20% - akcent 2 2 14 2 6" xfId="1517" xr:uid="{00000000-0005-0000-0000-000087040000}"/>
    <cellStyle name="20% - akcent 2 2 14 2 7" xfId="1518" xr:uid="{00000000-0005-0000-0000-000088040000}"/>
    <cellStyle name="20% - akcent 2 2 14 3" xfId="1519" xr:uid="{00000000-0005-0000-0000-000089040000}"/>
    <cellStyle name="20% - akcent 2 2 14 4" xfId="1520" xr:uid="{00000000-0005-0000-0000-00008A040000}"/>
    <cellStyle name="20% - akcent 2 2 14 5" xfId="1521" xr:uid="{00000000-0005-0000-0000-00008B040000}"/>
    <cellStyle name="20% - akcent 2 2 14 6" xfId="1522" xr:uid="{00000000-0005-0000-0000-00008C040000}"/>
    <cellStyle name="20% - akcent 2 2 14 7" xfId="1523" xr:uid="{00000000-0005-0000-0000-00008D040000}"/>
    <cellStyle name="20% - akcent 2 2 14 7 2" xfId="1524" xr:uid="{00000000-0005-0000-0000-00008E040000}"/>
    <cellStyle name="20% - akcent 2 2 14 7 3" xfId="1525" xr:uid="{00000000-0005-0000-0000-00008F040000}"/>
    <cellStyle name="20% - akcent 2 2 14 7 4" xfId="1526" xr:uid="{00000000-0005-0000-0000-000090040000}"/>
    <cellStyle name="20% - akcent 2 2 14 7 5" xfId="1527" xr:uid="{00000000-0005-0000-0000-000091040000}"/>
    <cellStyle name="20% - akcent 2 2 14 7 6" xfId="1528" xr:uid="{00000000-0005-0000-0000-000092040000}"/>
    <cellStyle name="20% - akcent 2 2 14 8" xfId="1529" xr:uid="{00000000-0005-0000-0000-000093040000}"/>
    <cellStyle name="20% - akcent 2 2 14 9" xfId="1530" xr:uid="{00000000-0005-0000-0000-000094040000}"/>
    <cellStyle name="20% - akcent 2 2 15" xfId="1531" xr:uid="{00000000-0005-0000-0000-000095040000}"/>
    <cellStyle name="20% - akcent 2 2 15 2" xfId="1532" xr:uid="{00000000-0005-0000-0000-000096040000}"/>
    <cellStyle name="20% - akcent 2 2 15 2 2" xfId="1533" xr:uid="{00000000-0005-0000-0000-000097040000}"/>
    <cellStyle name="20% - akcent 2 2 15 2 3" xfId="1534" xr:uid="{00000000-0005-0000-0000-000098040000}"/>
    <cellStyle name="20% - akcent 2 2 15 2 4" xfId="1535" xr:uid="{00000000-0005-0000-0000-000099040000}"/>
    <cellStyle name="20% - akcent 2 2 15 2 5" xfId="1536" xr:uid="{00000000-0005-0000-0000-00009A040000}"/>
    <cellStyle name="20% - akcent 2 2 15 2 6" xfId="1537" xr:uid="{00000000-0005-0000-0000-00009B040000}"/>
    <cellStyle name="20% - akcent 2 2 15 3" xfId="1538" xr:uid="{00000000-0005-0000-0000-00009C040000}"/>
    <cellStyle name="20% - akcent 2 2 15 4" xfId="1539" xr:uid="{00000000-0005-0000-0000-00009D040000}"/>
    <cellStyle name="20% - akcent 2 2 15 5" xfId="1540" xr:uid="{00000000-0005-0000-0000-00009E040000}"/>
    <cellStyle name="20% - akcent 2 2 15 6" xfId="1541" xr:uid="{00000000-0005-0000-0000-00009F040000}"/>
    <cellStyle name="20% - akcent 2 2 15 7" xfId="1542" xr:uid="{00000000-0005-0000-0000-0000A0040000}"/>
    <cellStyle name="20% - akcent 2 2 16" xfId="1543" xr:uid="{00000000-0005-0000-0000-0000A1040000}"/>
    <cellStyle name="20% - akcent 2 2 17" xfId="1544" xr:uid="{00000000-0005-0000-0000-0000A2040000}"/>
    <cellStyle name="20% - akcent 2 2 18" xfId="1545" xr:uid="{00000000-0005-0000-0000-0000A3040000}"/>
    <cellStyle name="20% - akcent 2 2 19" xfId="1546" xr:uid="{00000000-0005-0000-0000-0000A4040000}"/>
    <cellStyle name="20% - akcent 2 2 2" xfId="28" xr:uid="{00000000-0005-0000-0000-0000A5040000}"/>
    <cellStyle name="20% - akcent 2 2 2 10" xfId="1548" xr:uid="{00000000-0005-0000-0000-0000A6040000}"/>
    <cellStyle name="20% - akcent 2 2 2 10 10" xfId="1549" xr:uid="{00000000-0005-0000-0000-0000A7040000}"/>
    <cellStyle name="20% - akcent 2 2 2 10 11" xfId="1550" xr:uid="{00000000-0005-0000-0000-0000A8040000}"/>
    <cellStyle name="20% - akcent 2 2 2 10 12" xfId="1551" xr:uid="{00000000-0005-0000-0000-0000A9040000}"/>
    <cellStyle name="20% - akcent 2 2 2 10 2" xfId="1552" xr:uid="{00000000-0005-0000-0000-0000AA040000}"/>
    <cellStyle name="20% - akcent 2 2 2 10 2 10" xfId="1553" xr:uid="{00000000-0005-0000-0000-0000AB040000}"/>
    <cellStyle name="20% - akcent 2 2 2 10 2 11" xfId="1554" xr:uid="{00000000-0005-0000-0000-0000AC040000}"/>
    <cellStyle name="20% - akcent 2 2 2 10 2 2" xfId="1555" xr:uid="{00000000-0005-0000-0000-0000AD040000}"/>
    <cellStyle name="20% - akcent 2 2 2 10 2 2 10" xfId="1556" xr:uid="{00000000-0005-0000-0000-0000AE040000}"/>
    <cellStyle name="20% - akcent 2 2 2 10 2 2 11" xfId="1557" xr:uid="{00000000-0005-0000-0000-0000AF040000}"/>
    <cellStyle name="20% - akcent 2 2 2 10 2 2 2" xfId="1558" xr:uid="{00000000-0005-0000-0000-0000B0040000}"/>
    <cellStyle name="20% - akcent 2 2 2 10 2 2 2 2" xfId="1559" xr:uid="{00000000-0005-0000-0000-0000B1040000}"/>
    <cellStyle name="20% - akcent 2 2 2 10 2 2 2 2 2" xfId="1560" xr:uid="{00000000-0005-0000-0000-0000B2040000}"/>
    <cellStyle name="20% - akcent 2 2 2 10 2 2 2 2 3" xfId="1561" xr:uid="{00000000-0005-0000-0000-0000B3040000}"/>
    <cellStyle name="20% - akcent 2 2 2 10 2 2 2 2 4" xfId="1562" xr:uid="{00000000-0005-0000-0000-0000B4040000}"/>
    <cellStyle name="20% - akcent 2 2 2 10 2 2 2 2 5" xfId="1563" xr:uid="{00000000-0005-0000-0000-0000B5040000}"/>
    <cellStyle name="20% - akcent 2 2 2 10 2 2 2 2 6" xfId="1564" xr:uid="{00000000-0005-0000-0000-0000B6040000}"/>
    <cellStyle name="20% - akcent 2 2 2 10 2 2 2 3" xfId="1565" xr:uid="{00000000-0005-0000-0000-0000B7040000}"/>
    <cellStyle name="20% - akcent 2 2 2 10 2 2 2 4" xfId="1566" xr:uid="{00000000-0005-0000-0000-0000B8040000}"/>
    <cellStyle name="20% - akcent 2 2 2 10 2 2 2 5" xfId="1567" xr:uid="{00000000-0005-0000-0000-0000B9040000}"/>
    <cellStyle name="20% - akcent 2 2 2 10 2 2 2 6" xfId="1568" xr:uid="{00000000-0005-0000-0000-0000BA040000}"/>
    <cellStyle name="20% - akcent 2 2 2 10 2 2 2 7" xfId="1569" xr:uid="{00000000-0005-0000-0000-0000BB040000}"/>
    <cellStyle name="20% - akcent 2 2 2 10 2 2 3" xfId="1570" xr:uid="{00000000-0005-0000-0000-0000BC040000}"/>
    <cellStyle name="20% - akcent 2 2 2 10 2 2 4" xfId="1571" xr:uid="{00000000-0005-0000-0000-0000BD040000}"/>
    <cellStyle name="20% - akcent 2 2 2 10 2 2 5" xfId="1572" xr:uid="{00000000-0005-0000-0000-0000BE040000}"/>
    <cellStyle name="20% - akcent 2 2 2 10 2 2 6" xfId="1573" xr:uid="{00000000-0005-0000-0000-0000BF040000}"/>
    <cellStyle name="20% - akcent 2 2 2 10 2 2 7" xfId="1574" xr:uid="{00000000-0005-0000-0000-0000C0040000}"/>
    <cellStyle name="20% - akcent 2 2 2 10 2 2 7 2" xfId="1575" xr:uid="{00000000-0005-0000-0000-0000C1040000}"/>
    <cellStyle name="20% - akcent 2 2 2 10 2 2 7 3" xfId="1576" xr:uid="{00000000-0005-0000-0000-0000C2040000}"/>
    <cellStyle name="20% - akcent 2 2 2 10 2 2 7 4" xfId="1577" xr:uid="{00000000-0005-0000-0000-0000C3040000}"/>
    <cellStyle name="20% - akcent 2 2 2 10 2 2 7 5" xfId="1578" xr:uid="{00000000-0005-0000-0000-0000C4040000}"/>
    <cellStyle name="20% - akcent 2 2 2 10 2 2 7 6" xfId="1579" xr:uid="{00000000-0005-0000-0000-0000C5040000}"/>
    <cellStyle name="20% - akcent 2 2 2 10 2 2 8" xfId="1580" xr:uid="{00000000-0005-0000-0000-0000C6040000}"/>
    <cellStyle name="20% - akcent 2 2 2 10 2 2 9" xfId="1581" xr:uid="{00000000-0005-0000-0000-0000C7040000}"/>
    <cellStyle name="20% - akcent 2 2 2 10 2 3" xfId="1582" xr:uid="{00000000-0005-0000-0000-0000C8040000}"/>
    <cellStyle name="20% - akcent 2 2 2 10 2 3 2" xfId="1583" xr:uid="{00000000-0005-0000-0000-0000C9040000}"/>
    <cellStyle name="20% - akcent 2 2 2 10 2 3 2 2" xfId="1584" xr:uid="{00000000-0005-0000-0000-0000CA040000}"/>
    <cellStyle name="20% - akcent 2 2 2 10 2 3 2 3" xfId="1585" xr:uid="{00000000-0005-0000-0000-0000CB040000}"/>
    <cellStyle name="20% - akcent 2 2 2 10 2 3 2 4" xfId="1586" xr:uid="{00000000-0005-0000-0000-0000CC040000}"/>
    <cellStyle name="20% - akcent 2 2 2 10 2 3 2 5" xfId="1587" xr:uid="{00000000-0005-0000-0000-0000CD040000}"/>
    <cellStyle name="20% - akcent 2 2 2 10 2 3 2 6" xfId="1588" xr:uid="{00000000-0005-0000-0000-0000CE040000}"/>
    <cellStyle name="20% - akcent 2 2 2 10 2 3 3" xfId="1589" xr:uid="{00000000-0005-0000-0000-0000CF040000}"/>
    <cellStyle name="20% - akcent 2 2 2 10 2 3 4" xfId="1590" xr:uid="{00000000-0005-0000-0000-0000D0040000}"/>
    <cellStyle name="20% - akcent 2 2 2 10 2 3 5" xfId="1591" xr:uid="{00000000-0005-0000-0000-0000D1040000}"/>
    <cellStyle name="20% - akcent 2 2 2 10 2 3 6" xfId="1592" xr:uid="{00000000-0005-0000-0000-0000D2040000}"/>
    <cellStyle name="20% - akcent 2 2 2 10 2 3 7" xfId="1593" xr:uid="{00000000-0005-0000-0000-0000D3040000}"/>
    <cellStyle name="20% - akcent 2 2 2 10 2 4" xfId="1594" xr:uid="{00000000-0005-0000-0000-0000D4040000}"/>
    <cellStyle name="20% - akcent 2 2 2 10 2 5" xfId="1595" xr:uid="{00000000-0005-0000-0000-0000D5040000}"/>
    <cellStyle name="20% - akcent 2 2 2 10 2 6" xfId="1596" xr:uid="{00000000-0005-0000-0000-0000D6040000}"/>
    <cellStyle name="20% - akcent 2 2 2 10 2 7" xfId="1597" xr:uid="{00000000-0005-0000-0000-0000D7040000}"/>
    <cellStyle name="20% - akcent 2 2 2 10 2 7 2" xfId="1598" xr:uid="{00000000-0005-0000-0000-0000D8040000}"/>
    <cellStyle name="20% - akcent 2 2 2 10 2 7 3" xfId="1599" xr:uid="{00000000-0005-0000-0000-0000D9040000}"/>
    <cellStyle name="20% - akcent 2 2 2 10 2 7 4" xfId="1600" xr:uid="{00000000-0005-0000-0000-0000DA040000}"/>
    <cellStyle name="20% - akcent 2 2 2 10 2 7 5" xfId="1601" xr:uid="{00000000-0005-0000-0000-0000DB040000}"/>
    <cellStyle name="20% - akcent 2 2 2 10 2 7 6" xfId="1602" xr:uid="{00000000-0005-0000-0000-0000DC040000}"/>
    <cellStyle name="20% - akcent 2 2 2 10 2 8" xfId="1603" xr:uid="{00000000-0005-0000-0000-0000DD040000}"/>
    <cellStyle name="20% - akcent 2 2 2 10 2 9" xfId="1604" xr:uid="{00000000-0005-0000-0000-0000DE040000}"/>
    <cellStyle name="20% - akcent 2 2 2 10 3" xfId="1605" xr:uid="{00000000-0005-0000-0000-0000DF040000}"/>
    <cellStyle name="20% - akcent 2 2 2 10 3 2" xfId="1606" xr:uid="{00000000-0005-0000-0000-0000E0040000}"/>
    <cellStyle name="20% - akcent 2 2 2 10 3 2 2" xfId="1607" xr:uid="{00000000-0005-0000-0000-0000E1040000}"/>
    <cellStyle name="20% - akcent 2 2 2 10 3 2 3" xfId="1608" xr:uid="{00000000-0005-0000-0000-0000E2040000}"/>
    <cellStyle name="20% - akcent 2 2 2 10 3 2 4" xfId="1609" xr:uid="{00000000-0005-0000-0000-0000E3040000}"/>
    <cellStyle name="20% - akcent 2 2 2 10 3 2 5" xfId="1610" xr:uid="{00000000-0005-0000-0000-0000E4040000}"/>
    <cellStyle name="20% - akcent 2 2 2 10 3 2 6" xfId="1611" xr:uid="{00000000-0005-0000-0000-0000E5040000}"/>
    <cellStyle name="20% - akcent 2 2 2 10 3 3" xfId="1612" xr:uid="{00000000-0005-0000-0000-0000E6040000}"/>
    <cellStyle name="20% - akcent 2 2 2 10 3 4" xfId="1613" xr:uid="{00000000-0005-0000-0000-0000E7040000}"/>
    <cellStyle name="20% - akcent 2 2 2 10 3 5" xfId="1614" xr:uid="{00000000-0005-0000-0000-0000E8040000}"/>
    <cellStyle name="20% - akcent 2 2 2 10 3 6" xfId="1615" xr:uid="{00000000-0005-0000-0000-0000E9040000}"/>
    <cellStyle name="20% - akcent 2 2 2 10 3 7" xfId="1616" xr:uid="{00000000-0005-0000-0000-0000EA040000}"/>
    <cellStyle name="20% - akcent 2 2 2 10 4" xfId="1617" xr:uid="{00000000-0005-0000-0000-0000EB040000}"/>
    <cellStyle name="20% - akcent 2 2 2 10 5" xfId="1618" xr:uid="{00000000-0005-0000-0000-0000EC040000}"/>
    <cellStyle name="20% - akcent 2 2 2 10 6" xfId="1619" xr:uid="{00000000-0005-0000-0000-0000ED040000}"/>
    <cellStyle name="20% - akcent 2 2 2 10 7" xfId="1620" xr:uid="{00000000-0005-0000-0000-0000EE040000}"/>
    <cellStyle name="20% - akcent 2 2 2 10 8" xfId="1621" xr:uid="{00000000-0005-0000-0000-0000EF040000}"/>
    <cellStyle name="20% - akcent 2 2 2 10 8 2" xfId="1622" xr:uid="{00000000-0005-0000-0000-0000F0040000}"/>
    <cellStyle name="20% - akcent 2 2 2 10 8 3" xfId="1623" xr:uid="{00000000-0005-0000-0000-0000F1040000}"/>
    <cellStyle name="20% - akcent 2 2 2 10 8 4" xfId="1624" xr:uid="{00000000-0005-0000-0000-0000F2040000}"/>
    <cellStyle name="20% - akcent 2 2 2 10 8 5" xfId="1625" xr:uid="{00000000-0005-0000-0000-0000F3040000}"/>
    <cellStyle name="20% - akcent 2 2 2 10 8 6" xfId="1626" xr:uid="{00000000-0005-0000-0000-0000F4040000}"/>
    <cellStyle name="20% - akcent 2 2 2 10 9" xfId="1627" xr:uid="{00000000-0005-0000-0000-0000F5040000}"/>
    <cellStyle name="20% - akcent 2 2 2 11" xfId="1628" xr:uid="{00000000-0005-0000-0000-0000F6040000}"/>
    <cellStyle name="20% - akcent 2 2 2 11 10" xfId="1629" xr:uid="{00000000-0005-0000-0000-0000F7040000}"/>
    <cellStyle name="20% - akcent 2 2 2 11 11" xfId="1630" xr:uid="{00000000-0005-0000-0000-0000F8040000}"/>
    <cellStyle name="20% - akcent 2 2 2 11 2" xfId="1631" xr:uid="{00000000-0005-0000-0000-0000F9040000}"/>
    <cellStyle name="20% - akcent 2 2 2 11 2 2" xfId="1632" xr:uid="{00000000-0005-0000-0000-0000FA040000}"/>
    <cellStyle name="20% - akcent 2 2 2 11 2 2 2" xfId="1633" xr:uid="{00000000-0005-0000-0000-0000FB040000}"/>
    <cellStyle name="20% - akcent 2 2 2 11 2 2 3" xfId="1634" xr:uid="{00000000-0005-0000-0000-0000FC040000}"/>
    <cellStyle name="20% - akcent 2 2 2 11 2 2 4" xfId="1635" xr:uid="{00000000-0005-0000-0000-0000FD040000}"/>
    <cellStyle name="20% - akcent 2 2 2 11 2 2 5" xfId="1636" xr:uid="{00000000-0005-0000-0000-0000FE040000}"/>
    <cellStyle name="20% - akcent 2 2 2 11 2 2 6" xfId="1637" xr:uid="{00000000-0005-0000-0000-0000FF040000}"/>
    <cellStyle name="20% - akcent 2 2 2 11 2 3" xfId="1638" xr:uid="{00000000-0005-0000-0000-000000050000}"/>
    <cellStyle name="20% - akcent 2 2 2 11 2 4" xfId="1639" xr:uid="{00000000-0005-0000-0000-000001050000}"/>
    <cellStyle name="20% - akcent 2 2 2 11 2 5" xfId="1640" xr:uid="{00000000-0005-0000-0000-000002050000}"/>
    <cellStyle name="20% - akcent 2 2 2 11 2 6" xfId="1641" xr:uid="{00000000-0005-0000-0000-000003050000}"/>
    <cellStyle name="20% - akcent 2 2 2 11 2 7" xfId="1642" xr:uid="{00000000-0005-0000-0000-000004050000}"/>
    <cellStyle name="20% - akcent 2 2 2 11 3" xfId="1643" xr:uid="{00000000-0005-0000-0000-000005050000}"/>
    <cellStyle name="20% - akcent 2 2 2 11 4" xfId="1644" xr:uid="{00000000-0005-0000-0000-000006050000}"/>
    <cellStyle name="20% - akcent 2 2 2 11 5" xfId="1645" xr:uid="{00000000-0005-0000-0000-000007050000}"/>
    <cellStyle name="20% - akcent 2 2 2 11 6" xfId="1646" xr:uid="{00000000-0005-0000-0000-000008050000}"/>
    <cellStyle name="20% - akcent 2 2 2 11 7" xfId="1647" xr:uid="{00000000-0005-0000-0000-000009050000}"/>
    <cellStyle name="20% - akcent 2 2 2 11 7 2" xfId="1648" xr:uid="{00000000-0005-0000-0000-00000A050000}"/>
    <cellStyle name="20% - akcent 2 2 2 11 7 3" xfId="1649" xr:uid="{00000000-0005-0000-0000-00000B050000}"/>
    <cellStyle name="20% - akcent 2 2 2 11 7 4" xfId="1650" xr:uid="{00000000-0005-0000-0000-00000C050000}"/>
    <cellStyle name="20% - akcent 2 2 2 11 7 5" xfId="1651" xr:uid="{00000000-0005-0000-0000-00000D050000}"/>
    <cellStyle name="20% - akcent 2 2 2 11 7 6" xfId="1652" xr:uid="{00000000-0005-0000-0000-00000E050000}"/>
    <cellStyle name="20% - akcent 2 2 2 11 8" xfId="1653" xr:uid="{00000000-0005-0000-0000-00000F050000}"/>
    <cellStyle name="20% - akcent 2 2 2 11 9" xfId="1654" xr:uid="{00000000-0005-0000-0000-000010050000}"/>
    <cellStyle name="20% - akcent 2 2 2 12" xfId="1655" xr:uid="{00000000-0005-0000-0000-000011050000}"/>
    <cellStyle name="20% - akcent 2 2 2 12 2" xfId="1656" xr:uid="{00000000-0005-0000-0000-000012050000}"/>
    <cellStyle name="20% - akcent 2 2 2 12 2 2" xfId="1657" xr:uid="{00000000-0005-0000-0000-000013050000}"/>
    <cellStyle name="20% - akcent 2 2 2 12 2 3" xfId="1658" xr:uid="{00000000-0005-0000-0000-000014050000}"/>
    <cellStyle name="20% - akcent 2 2 2 12 2 4" xfId="1659" xr:uid="{00000000-0005-0000-0000-000015050000}"/>
    <cellStyle name="20% - akcent 2 2 2 12 2 5" xfId="1660" xr:uid="{00000000-0005-0000-0000-000016050000}"/>
    <cellStyle name="20% - akcent 2 2 2 12 2 6" xfId="1661" xr:uid="{00000000-0005-0000-0000-000017050000}"/>
    <cellStyle name="20% - akcent 2 2 2 12 3" xfId="1662" xr:uid="{00000000-0005-0000-0000-000018050000}"/>
    <cellStyle name="20% - akcent 2 2 2 12 4" xfId="1663" xr:uid="{00000000-0005-0000-0000-000019050000}"/>
    <cellStyle name="20% - akcent 2 2 2 12 5" xfId="1664" xr:uid="{00000000-0005-0000-0000-00001A050000}"/>
    <cellStyle name="20% - akcent 2 2 2 12 6" xfId="1665" xr:uid="{00000000-0005-0000-0000-00001B050000}"/>
    <cellStyle name="20% - akcent 2 2 2 12 7" xfId="1666" xr:uid="{00000000-0005-0000-0000-00001C050000}"/>
    <cellStyle name="20% - akcent 2 2 2 13" xfId="1667" xr:uid="{00000000-0005-0000-0000-00001D050000}"/>
    <cellStyle name="20% - akcent 2 2 2 14" xfId="1668" xr:uid="{00000000-0005-0000-0000-00001E050000}"/>
    <cellStyle name="20% - akcent 2 2 2 15" xfId="1669" xr:uid="{00000000-0005-0000-0000-00001F050000}"/>
    <cellStyle name="20% - akcent 2 2 2 16" xfId="1670" xr:uid="{00000000-0005-0000-0000-000020050000}"/>
    <cellStyle name="20% - akcent 2 2 2 17" xfId="1671" xr:uid="{00000000-0005-0000-0000-000021050000}"/>
    <cellStyle name="20% - akcent 2 2 2 18" xfId="1672" xr:uid="{00000000-0005-0000-0000-000022050000}"/>
    <cellStyle name="20% - akcent 2 2 2 18 2" xfId="1673" xr:uid="{00000000-0005-0000-0000-000023050000}"/>
    <cellStyle name="20% - akcent 2 2 2 18 3" xfId="1674" xr:uid="{00000000-0005-0000-0000-000024050000}"/>
    <cellStyle name="20% - akcent 2 2 2 18 4" xfId="1675" xr:uid="{00000000-0005-0000-0000-000025050000}"/>
    <cellStyle name="20% - akcent 2 2 2 18 5" xfId="1676" xr:uid="{00000000-0005-0000-0000-000026050000}"/>
    <cellStyle name="20% - akcent 2 2 2 18 6" xfId="1677" xr:uid="{00000000-0005-0000-0000-000027050000}"/>
    <cellStyle name="20% - akcent 2 2 2 19" xfId="1678" xr:uid="{00000000-0005-0000-0000-000028050000}"/>
    <cellStyle name="20% - akcent 2 2 2 2" xfId="1679" xr:uid="{00000000-0005-0000-0000-000029050000}"/>
    <cellStyle name="20% - akcent 2 2 2 2 10" xfId="1680" xr:uid="{00000000-0005-0000-0000-00002A050000}"/>
    <cellStyle name="20% - akcent 2 2 2 2 11" xfId="1681" xr:uid="{00000000-0005-0000-0000-00002B050000}"/>
    <cellStyle name="20% - akcent 2 2 2 2 2" xfId="1682" xr:uid="{00000000-0005-0000-0000-00002C050000}"/>
    <cellStyle name="20% - akcent 2 2 2 2 2 10" xfId="1683" xr:uid="{00000000-0005-0000-0000-00002D050000}"/>
    <cellStyle name="20% - akcent 2 2 2 2 2 2" xfId="1684" xr:uid="{00000000-0005-0000-0000-00002E050000}"/>
    <cellStyle name="20% - akcent 2 2 2 2 2 2 2" xfId="1685" xr:uid="{00000000-0005-0000-0000-00002F050000}"/>
    <cellStyle name="20% - akcent 2 2 2 2 2 2 2 2" xfId="1686" xr:uid="{00000000-0005-0000-0000-000030050000}"/>
    <cellStyle name="20% - akcent 2 2 2 2 2 2 2 2 2" xfId="1687" xr:uid="{00000000-0005-0000-0000-000031050000}"/>
    <cellStyle name="20% - akcent 2 2 2 2 2 2 2 2 2 2" xfId="1688" xr:uid="{00000000-0005-0000-0000-000032050000}"/>
    <cellStyle name="20% - akcent 2 2 2 2 2 2 2 2 2 3" xfId="1689" xr:uid="{00000000-0005-0000-0000-000033050000}"/>
    <cellStyle name="20% - akcent 2 2 2 2 2 2 2 2 2 4" xfId="1690" xr:uid="{00000000-0005-0000-0000-000034050000}"/>
    <cellStyle name="20% - akcent 2 2 2 2 2 2 2 2 3" xfId="1691" xr:uid="{00000000-0005-0000-0000-000035050000}"/>
    <cellStyle name="20% - akcent 2 2 2 2 2 2 2 2 4" xfId="1692" xr:uid="{00000000-0005-0000-0000-000036050000}"/>
    <cellStyle name="20% - akcent 2 2 2 2 2 2 2 2 5" xfId="1693" xr:uid="{00000000-0005-0000-0000-000037050000}"/>
    <cellStyle name="20% - akcent 2 2 2 2 2 2 2 3" xfId="1694" xr:uid="{00000000-0005-0000-0000-000038050000}"/>
    <cellStyle name="20% - akcent 2 2 2 2 2 2 2 4" xfId="1695" xr:uid="{00000000-0005-0000-0000-000039050000}"/>
    <cellStyle name="20% - akcent 2 2 2 2 2 2 2 5" xfId="1696" xr:uid="{00000000-0005-0000-0000-00003A050000}"/>
    <cellStyle name="20% - akcent 2 2 2 2 2 2 2 6" xfId="1697" xr:uid="{00000000-0005-0000-0000-00003B050000}"/>
    <cellStyle name="20% - akcent 2 2 2 2 2 2 2 7" xfId="1698" xr:uid="{00000000-0005-0000-0000-00003C050000}"/>
    <cellStyle name="20% - akcent 2 2 2 2 2 2 2 7 2" xfId="1699" xr:uid="{00000000-0005-0000-0000-00003D050000}"/>
    <cellStyle name="20% - akcent 2 2 2 2 2 2 2 7 3" xfId="1700" xr:uid="{00000000-0005-0000-0000-00003E050000}"/>
    <cellStyle name="20% - akcent 2 2 2 2 2 2 2 7 4" xfId="1701" xr:uid="{00000000-0005-0000-0000-00003F050000}"/>
    <cellStyle name="20% - akcent 2 2 2 2 2 2 2 7 5" xfId="1702" xr:uid="{00000000-0005-0000-0000-000040050000}"/>
    <cellStyle name="20% - akcent 2 2 2 2 2 2 2 7 6" xfId="1703" xr:uid="{00000000-0005-0000-0000-000041050000}"/>
    <cellStyle name="20% - akcent 2 2 2 2 2 2 2 8" xfId="1704" xr:uid="{00000000-0005-0000-0000-000042050000}"/>
    <cellStyle name="20% - akcent 2 2 2 2 2 2 2 9" xfId="1705" xr:uid="{00000000-0005-0000-0000-000043050000}"/>
    <cellStyle name="20% - akcent 2 2 2 2 2 2 3" xfId="1706" xr:uid="{00000000-0005-0000-0000-000044050000}"/>
    <cellStyle name="20% - akcent 2 2 2 2 2 2 3 2" xfId="1707" xr:uid="{00000000-0005-0000-0000-000045050000}"/>
    <cellStyle name="20% - akcent 2 2 2 2 2 2 3 2 2" xfId="1708" xr:uid="{00000000-0005-0000-0000-000046050000}"/>
    <cellStyle name="20% - akcent 2 2 2 2 2 2 3 2 3" xfId="1709" xr:uid="{00000000-0005-0000-0000-000047050000}"/>
    <cellStyle name="20% - akcent 2 2 2 2 2 2 3 2 4" xfId="1710" xr:uid="{00000000-0005-0000-0000-000048050000}"/>
    <cellStyle name="20% - akcent 2 2 2 2 2 2 3 2 5" xfId="1711" xr:uid="{00000000-0005-0000-0000-000049050000}"/>
    <cellStyle name="20% - akcent 2 2 2 2 2 2 3 2 6" xfId="1712" xr:uid="{00000000-0005-0000-0000-00004A050000}"/>
    <cellStyle name="20% - akcent 2 2 2 2 2 2 3 3" xfId="1713" xr:uid="{00000000-0005-0000-0000-00004B050000}"/>
    <cellStyle name="20% - akcent 2 2 2 2 2 2 3 4" xfId="1714" xr:uid="{00000000-0005-0000-0000-00004C050000}"/>
    <cellStyle name="20% - akcent 2 2 2 2 2 2 3 5" xfId="1715" xr:uid="{00000000-0005-0000-0000-00004D050000}"/>
    <cellStyle name="20% - akcent 2 2 2 2 2 2 3 6" xfId="1716" xr:uid="{00000000-0005-0000-0000-00004E050000}"/>
    <cellStyle name="20% - akcent 2 2 2 2 2 2 3 7" xfId="1717" xr:uid="{00000000-0005-0000-0000-00004F050000}"/>
    <cellStyle name="20% - akcent 2 2 2 2 2 2 4" xfId="1718" xr:uid="{00000000-0005-0000-0000-000050050000}"/>
    <cellStyle name="20% - akcent 2 2 2 2 2 2 5" xfId="1719" xr:uid="{00000000-0005-0000-0000-000051050000}"/>
    <cellStyle name="20% - akcent 2 2 2 2 2 2 6" xfId="1720" xr:uid="{00000000-0005-0000-0000-000052050000}"/>
    <cellStyle name="20% - akcent 2 2 2 2 2 2 7" xfId="1721" xr:uid="{00000000-0005-0000-0000-000053050000}"/>
    <cellStyle name="20% - akcent 2 2 2 2 2 2 7 2" xfId="1722" xr:uid="{00000000-0005-0000-0000-000054050000}"/>
    <cellStyle name="20% - akcent 2 2 2 2 2 2 7 3" xfId="1723" xr:uid="{00000000-0005-0000-0000-000055050000}"/>
    <cellStyle name="20% - akcent 2 2 2 2 2 2 7 4" xfId="1724" xr:uid="{00000000-0005-0000-0000-000056050000}"/>
    <cellStyle name="20% - akcent 2 2 2 2 2 2 7 5" xfId="1725" xr:uid="{00000000-0005-0000-0000-000057050000}"/>
    <cellStyle name="20% - akcent 2 2 2 2 2 2 7 6" xfId="1726" xr:uid="{00000000-0005-0000-0000-000058050000}"/>
    <cellStyle name="20% - akcent 2 2 2 2 2 2 8" xfId="1727" xr:uid="{00000000-0005-0000-0000-000059050000}"/>
    <cellStyle name="20% - akcent 2 2 2 2 2 2 9" xfId="1728" xr:uid="{00000000-0005-0000-0000-00005A050000}"/>
    <cellStyle name="20% - akcent 2 2 2 2 2 3" xfId="1729" xr:uid="{00000000-0005-0000-0000-00005B050000}"/>
    <cellStyle name="20% - akcent 2 2 2 2 2 3 2" xfId="1730" xr:uid="{00000000-0005-0000-0000-00005C050000}"/>
    <cellStyle name="20% - akcent 2 2 2 2 2 3 2 2" xfId="1731" xr:uid="{00000000-0005-0000-0000-00005D050000}"/>
    <cellStyle name="20% - akcent 2 2 2 2 2 3 2 3" xfId="1732" xr:uid="{00000000-0005-0000-0000-00005E050000}"/>
    <cellStyle name="20% - akcent 2 2 2 2 2 3 2 4" xfId="1733" xr:uid="{00000000-0005-0000-0000-00005F050000}"/>
    <cellStyle name="20% - akcent 2 2 2 2 2 3 2 5" xfId="1734" xr:uid="{00000000-0005-0000-0000-000060050000}"/>
    <cellStyle name="20% - akcent 2 2 2 2 2 3 2 6" xfId="1735" xr:uid="{00000000-0005-0000-0000-000061050000}"/>
    <cellStyle name="20% - akcent 2 2 2 2 2 3 3" xfId="1736" xr:uid="{00000000-0005-0000-0000-000062050000}"/>
    <cellStyle name="20% - akcent 2 2 2 2 2 3 4" xfId="1737" xr:uid="{00000000-0005-0000-0000-000063050000}"/>
    <cellStyle name="20% - akcent 2 2 2 2 2 3 5" xfId="1738" xr:uid="{00000000-0005-0000-0000-000064050000}"/>
    <cellStyle name="20% - akcent 2 2 2 2 2 3 6" xfId="1739" xr:uid="{00000000-0005-0000-0000-000065050000}"/>
    <cellStyle name="20% - akcent 2 2 2 2 2 3 7" xfId="1740" xr:uid="{00000000-0005-0000-0000-000066050000}"/>
    <cellStyle name="20% - akcent 2 2 2 2 2 4" xfId="1741" xr:uid="{00000000-0005-0000-0000-000067050000}"/>
    <cellStyle name="20% - akcent 2 2 2 2 2 5" xfId="1742" xr:uid="{00000000-0005-0000-0000-000068050000}"/>
    <cellStyle name="20% - akcent 2 2 2 2 2 6" xfId="1743" xr:uid="{00000000-0005-0000-0000-000069050000}"/>
    <cellStyle name="20% - akcent 2 2 2 2 2 7" xfId="1744" xr:uid="{00000000-0005-0000-0000-00006A050000}"/>
    <cellStyle name="20% - akcent 2 2 2 2 2 8" xfId="1745" xr:uid="{00000000-0005-0000-0000-00006B050000}"/>
    <cellStyle name="20% - akcent 2 2 2 2 2 8 2" xfId="1746" xr:uid="{00000000-0005-0000-0000-00006C050000}"/>
    <cellStyle name="20% - akcent 2 2 2 2 2 8 3" xfId="1747" xr:uid="{00000000-0005-0000-0000-00006D050000}"/>
    <cellStyle name="20% - akcent 2 2 2 2 2 8 4" xfId="1748" xr:uid="{00000000-0005-0000-0000-00006E050000}"/>
    <cellStyle name="20% - akcent 2 2 2 2 2 8 5" xfId="1749" xr:uid="{00000000-0005-0000-0000-00006F050000}"/>
    <cellStyle name="20% - akcent 2 2 2 2 2 8 6" xfId="1750" xr:uid="{00000000-0005-0000-0000-000070050000}"/>
    <cellStyle name="20% - akcent 2 2 2 2 2 9" xfId="1751" xr:uid="{00000000-0005-0000-0000-000071050000}"/>
    <cellStyle name="20% - akcent 2 2 2 2 3" xfId="1752" xr:uid="{00000000-0005-0000-0000-000072050000}"/>
    <cellStyle name="20% - akcent 2 2 2 2 4" xfId="1753" xr:uid="{00000000-0005-0000-0000-000073050000}"/>
    <cellStyle name="20% - akcent 2 2 2 2 4 10" xfId="1754" xr:uid="{00000000-0005-0000-0000-000074050000}"/>
    <cellStyle name="20% - akcent 2 2 2 2 4 11" xfId="1755" xr:uid="{00000000-0005-0000-0000-000075050000}"/>
    <cellStyle name="20% - akcent 2 2 2 2 4 2" xfId="1756" xr:uid="{00000000-0005-0000-0000-000076050000}"/>
    <cellStyle name="20% - akcent 2 2 2 2 4 2 2" xfId="1757" xr:uid="{00000000-0005-0000-0000-000077050000}"/>
    <cellStyle name="20% - akcent 2 2 2 2 4 2 2 2" xfId="1758" xr:uid="{00000000-0005-0000-0000-000078050000}"/>
    <cellStyle name="20% - akcent 2 2 2 2 4 2 2 3" xfId="1759" xr:uid="{00000000-0005-0000-0000-000079050000}"/>
    <cellStyle name="20% - akcent 2 2 2 2 4 2 2 4" xfId="1760" xr:uid="{00000000-0005-0000-0000-00007A050000}"/>
    <cellStyle name="20% - akcent 2 2 2 2 4 2 2 5" xfId="1761" xr:uid="{00000000-0005-0000-0000-00007B050000}"/>
    <cellStyle name="20% - akcent 2 2 2 2 4 2 2 6" xfId="1762" xr:uid="{00000000-0005-0000-0000-00007C050000}"/>
    <cellStyle name="20% - akcent 2 2 2 2 4 2 3" xfId="1763" xr:uid="{00000000-0005-0000-0000-00007D050000}"/>
    <cellStyle name="20% - akcent 2 2 2 2 4 2 4" xfId="1764" xr:uid="{00000000-0005-0000-0000-00007E050000}"/>
    <cellStyle name="20% - akcent 2 2 2 2 4 2 5" xfId="1765" xr:uid="{00000000-0005-0000-0000-00007F050000}"/>
    <cellStyle name="20% - akcent 2 2 2 2 4 2 6" xfId="1766" xr:uid="{00000000-0005-0000-0000-000080050000}"/>
    <cellStyle name="20% - akcent 2 2 2 2 4 2 7" xfId="1767" xr:uid="{00000000-0005-0000-0000-000081050000}"/>
    <cellStyle name="20% - akcent 2 2 2 2 4 3" xfId="1768" xr:uid="{00000000-0005-0000-0000-000082050000}"/>
    <cellStyle name="20% - akcent 2 2 2 2 4 4" xfId="1769" xr:uid="{00000000-0005-0000-0000-000083050000}"/>
    <cellStyle name="20% - akcent 2 2 2 2 4 5" xfId="1770" xr:uid="{00000000-0005-0000-0000-000084050000}"/>
    <cellStyle name="20% - akcent 2 2 2 2 4 6" xfId="1771" xr:uid="{00000000-0005-0000-0000-000085050000}"/>
    <cellStyle name="20% - akcent 2 2 2 2 4 7" xfId="1772" xr:uid="{00000000-0005-0000-0000-000086050000}"/>
    <cellStyle name="20% - akcent 2 2 2 2 4 7 2" xfId="1773" xr:uid="{00000000-0005-0000-0000-000087050000}"/>
    <cellStyle name="20% - akcent 2 2 2 2 4 7 3" xfId="1774" xr:uid="{00000000-0005-0000-0000-000088050000}"/>
    <cellStyle name="20% - akcent 2 2 2 2 4 7 4" xfId="1775" xr:uid="{00000000-0005-0000-0000-000089050000}"/>
    <cellStyle name="20% - akcent 2 2 2 2 4 7 5" xfId="1776" xr:uid="{00000000-0005-0000-0000-00008A050000}"/>
    <cellStyle name="20% - akcent 2 2 2 2 4 7 6" xfId="1777" xr:uid="{00000000-0005-0000-0000-00008B050000}"/>
    <cellStyle name="20% - akcent 2 2 2 2 4 8" xfId="1778" xr:uid="{00000000-0005-0000-0000-00008C050000}"/>
    <cellStyle name="20% - akcent 2 2 2 2 4 9" xfId="1779" xr:uid="{00000000-0005-0000-0000-00008D050000}"/>
    <cellStyle name="20% - akcent 2 2 2 2 5" xfId="1780" xr:uid="{00000000-0005-0000-0000-00008E050000}"/>
    <cellStyle name="20% - akcent 2 2 2 2 5 2" xfId="1781" xr:uid="{00000000-0005-0000-0000-00008F050000}"/>
    <cellStyle name="20% - akcent 2 2 2 2 5 2 2" xfId="1782" xr:uid="{00000000-0005-0000-0000-000090050000}"/>
    <cellStyle name="20% - akcent 2 2 2 2 5 2 3" xfId="1783" xr:uid="{00000000-0005-0000-0000-000091050000}"/>
    <cellStyle name="20% - akcent 2 2 2 2 5 2 4" xfId="1784" xr:uid="{00000000-0005-0000-0000-000092050000}"/>
    <cellStyle name="20% - akcent 2 2 2 2 5 2 5" xfId="1785" xr:uid="{00000000-0005-0000-0000-000093050000}"/>
    <cellStyle name="20% - akcent 2 2 2 2 5 2 6" xfId="1786" xr:uid="{00000000-0005-0000-0000-000094050000}"/>
    <cellStyle name="20% - akcent 2 2 2 2 5 3" xfId="1787" xr:uid="{00000000-0005-0000-0000-000095050000}"/>
    <cellStyle name="20% - akcent 2 2 2 2 5 4" xfId="1788" xr:uid="{00000000-0005-0000-0000-000096050000}"/>
    <cellStyle name="20% - akcent 2 2 2 2 5 5" xfId="1789" xr:uid="{00000000-0005-0000-0000-000097050000}"/>
    <cellStyle name="20% - akcent 2 2 2 2 5 6" xfId="1790" xr:uid="{00000000-0005-0000-0000-000098050000}"/>
    <cellStyle name="20% - akcent 2 2 2 2 5 7" xfId="1791" xr:uid="{00000000-0005-0000-0000-000099050000}"/>
    <cellStyle name="20% - akcent 2 2 2 2 6" xfId="1792" xr:uid="{00000000-0005-0000-0000-00009A050000}"/>
    <cellStyle name="20% - akcent 2 2 2 2 7" xfId="1793" xr:uid="{00000000-0005-0000-0000-00009B050000}"/>
    <cellStyle name="20% - akcent 2 2 2 2 8" xfId="1794" xr:uid="{00000000-0005-0000-0000-00009C050000}"/>
    <cellStyle name="20% - akcent 2 2 2 2 9" xfId="1795" xr:uid="{00000000-0005-0000-0000-00009D050000}"/>
    <cellStyle name="20% - akcent 2 2 2 2 9 2" xfId="1796" xr:uid="{00000000-0005-0000-0000-00009E050000}"/>
    <cellStyle name="20% - akcent 2 2 2 2 9 3" xfId="1797" xr:uid="{00000000-0005-0000-0000-00009F050000}"/>
    <cellStyle name="20% - akcent 2 2 2 2 9 4" xfId="1798" xr:uid="{00000000-0005-0000-0000-0000A0050000}"/>
    <cellStyle name="20% - akcent 2 2 2 2 9 5" xfId="1799" xr:uid="{00000000-0005-0000-0000-0000A1050000}"/>
    <cellStyle name="20% - akcent 2 2 2 2 9 6" xfId="1800" xr:uid="{00000000-0005-0000-0000-0000A2050000}"/>
    <cellStyle name="20% - akcent 2 2 2 20" xfId="1801" xr:uid="{00000000-0005-0000-0000-0000A3050000}"/>
    <cellStyle name="20% - akcent 2 2 2 21" xfId="1547" xr:uid="{00000000-0005-0000-0000-0000A4050000}"/>
    <cellStyle name="20% - akcent 2 2 2 3" xfId="1802" xr:uid="{00000000-0005-0000-0000-0000A5050000}"/>
    <cellStyle name="20% - akcent 2 2 2 4" xfId="1803" xr:uid="{00000000-0005-0000-0000-0000A6050000}"/>
    <cellStyle name="20% - akcent 2 2 2 5" xfId="1804" xr:uid="{00000000-0005-0000-0000-0000A7050000}"/>
    <cellStyle name="20% - akcent 2 2 2 6" xfId="1805" xr:uid="{00000000-0005-0000-0000-0000A8050000}"/>
    <cellStyle name="20% - akcent 2 2 2 7" xfId="1806" xr:uid="{00000000-0005-0000-0000-0000A9050000}"/>
    <cellStyle name="20% - akcent 2 2 2 8" xfId="1807" xr:uid="{00000000-0005-0000-0000-0000AA050000}"/>
    <cellStyle name="20% - akcent 2 2 2 9" xfId="1808" xr:uid="{00000000-0005-0000-0000-0000AB050000}"/>
    <cellStyle name="20% - akcent 2 2 20" xfId="1809" xr:uid="{00000000-0005-0000-0000-0000AC050000}"/>
    <cellStyle name="20% - akcent 2 2 21" xfId="1810" xr:uid="{00000000-0005-0000-0000-0000AD050000}"/>
    <cellStyle name="20% - akcent 2 2 21 2" xfId="1811" xr:uid="{00000000-0005-0000-0000-0000AE050000}"/>
    <cellStyle name="20% - akcent 2 2 21 3" xfId="1812" xr:uid="{00000000-0005-0000-0000-0000AF050000}"/>
    <cellStyle name="20% - akcent 2 2 21 4" xfId="1813" xr:uid="{00000000-0005-0000-0000-0000B0050000}"/>
    <cellStyle name="20% - akcent 2 2 21 5" xfId="1814" xr:uid="{00000000-0005-0000-0000-0000B1050000}"/>
    <cellStyle name="20% - akcent 2 2 21 6" xfId="1815" xr:uid="{00000000-0005-0000-0000-0000B2050000}"/>
    <cellStyle name="20% - akcent 2 2 22" xfId="1816" xr:uid="{00000000-0005-0000-0000-0000B3050000}"/>
    <cellStyle name="20% - akcent 2 2 23" xfId="1817" xr:uid="{00000000-0005-0000-0000-0000B4050000}"/>
    <cellStyle name="20% - akcent 2 2 24" xfId="1818" xr:uid="{00000000-0005-0000-0000-0000B5050000}"/>
    <cellStyle name="20% - akcent 2 2 25" xfId="1819" xr:uid="{00000000-0005-0000-0000-0000B6050000}"/>
    <cellStyle name="20% - akcent 2 2 26" xfId="1820" xr:uid="{00000000-0005-0000-0000-0000B7050000}"/>
    <cellStyle name="20% - akcent 2 2 27" xfId="1821" xr:uid="{00000000-0005-0000-0000-0000B8050000}"/>
    <cellStyle name="20% - akcent 2 2 28" xfId="1822" xr:uid="{00000000-0005-0000-0000-0000B9050000}"/>
    <cellStyle name="20% - akcent 2 2 29" xfId="1823" xr:uid="{00000000-0005-0000-0000-0000BA050000}"/>
    <cellStyle name="20% - akcent 2 2 3" xfId="1824" xr:uid="{00000000-0005-0000-0000-0000BB050000}"/>
    <cellStyle name="20% - akcent 2 2 30" xfId="1825" xr:uid="{00000000-0005-0000-0000-0000BC050000}"/>
    <cellStyle name="20% - akcent 2 2 31" xfId="1826" xr:uid="{00000000-0005-0000-0000-0000BD050000}"/>
    <cellStyle name="20% - akcent 2 2 32" xfId="1420" xr:uid="{00000000-0005-0000-0000-0000BE050000}"/>
    <cellStyle name="20% - akcent 2 2 33" xfId="37818" xr:uid="{00000000-0005-0000-0000-0000BF050000}"/>
    <cellStyle name="20% - akcent 2 2 4" xfId="1827" xr:uid="{00000000-0005-0000-0000-0000C0050000}"/>
    <cellStyle name="20% - akcent 2 2 5" xfId="1828" xr:uid="{00000000-0005-0000-0000-0000C1050000}"/>
    <cellStyle name="20% - akcent 2 2 6" xfId="1829" xr:uid="{00000000-0005-0000-0000-0000C2050000}"/>
    <cellStyle name="20% - akcent 2 2 6 10" xfId="1830" xr:uid="{00000000-0005-0000-0000-0000C3050000}"/>
    <cellStyle name="20% - akcent 2 2 6 11" xfId="1831" xr:uid="{00000000-0005-0000-0000-0000C4050000}"/>
    <cellStyle name="20% - akcent 2 2 6 12" xfId="1832" xr:uid="{00000000-0005-0000-0000-0000C5050000}"/>
    <cellStyle name="20% - akcent 2 2 6 13" xfId="1833" xr:uid="{00000000-0005-0000-0000-0000C6050000}"/>
    <cellStyle name="20% - akcent 2 2 6 2" xfId="1834" xr:uid="{00000000-0005-0000-0000-0000C7050000}"/>
    <cellStyle name="20% - akcent 2 2 6 2 10" xfId="1835" xr:uid="{00000000-0005-0000-0000-0000C8050000}"/>
    <cellStyle name="20% - akcent 2 2 6 2 11" xfId="1836" xr:uid="{00000000-0005-0000-0000-0000C9050000}"/>
    <cellStyle name="20% - akcent 2 2 6 2 12" xfId="1837" xr:uid="{00000000-0005-0000-0000-0000CA050000}"/>
    <cellStyle name="20% - akcent 2 2 6 2 13" xfId="1838" xr:uid="{00000000-0005-0000-0000-0000CB050000}"/>
    <cellStyle name="20% - akcent 2 2 6 2 2" xfId="1839" xr:uid="{00000000-0005-0000-0000-0000CC050000}"/>
    <cellStyle name="20% - akcent 2 2 6 2 2 10" xfId="1840" xr:uid="{00000000-0005-0000-0000-0000CD050000}"/>
    <cellStyle name="20% - akcent 2 2 6 2 2 11" xfId="1841" xr:uid="{00000000-0005-0000-0000-0000CE050000}"/>
    <cellStyle name="20% - akcent 2 2 6 2 2 12" xfId="1842" xr:uid="{00000000-0005-0000-0000-0000CF050000}"/>
    <cellStyle name="20% - akcent 2 2 6 2 2 2" xfId="1843" xr:uid="{00000000-0005-0000-0000-0000D0050000}"/>
    <cellStyle name="20% - akcent 2 2 6 2 2 2 10" xfId="1844" xr:uid="{00000000-0005-0000-0000-0000D1050000}"/>
    <cellStyle name="20% - akcent 2 2 6 2 2 2 11" xfId="1845" xr:uid="{00000000-0005-0000-0000-0000D2050000}"/>
    <cellStyle name="20% - akcent 2 2 6 2 2 2 2" xfId="1846" xr:uid="{00000000-0005-0000-0000-0000D3050000}"/>
    <cellStyle name="20% - akcent 2 2 6 2 2 2 2 10" xfId="1847" xr:uid="{00000000-0005-0000-0000-0000D4050000}"/>
    <cellStyle name="20% - akcent 2 2 6 2 2 2 2 11" xfId="1848" xr:uid="{00000000-0005-0000-0000-0000D5050000}"/>
    <cellStyle name="20% - akcent 2 2 6 2 2 2 2 2" xfId="1849" xr:uid="{00000000-0005-0000-0000-0000D6050000}"/>
    <cellStyle name="20% - akcent 2 2 6 2 2 2 2 2 2" xfId="1850" xr:uid="{00000000-0005-0000-0000-0000D7050000}"/>
    <cellStyle name="20% - akcent 2 2 6 2 2 2 2 2 2 2" xfId="1851" xr:uid="{00000000-0005-0000-0000-0000D8050000}"/>
    <cellStyle name="20% - akcent 2 2 6 2 2 2 2 2 2 3" xfId="1852" xr:uid="{00000000-0005-0000-0000-0000D9050000}"/>
    <cellStyle name="20% - akcent 2 2 6 2 2 2 2 2 2 4" xfId="1853" xr:uid="{00000000-0005-0000-0000-0000DA050000}"/>
    <cellStyle name="20% - akcent 2 2 6 2 2 2 2 2 2 5" xfId="1854" xr:uid="{00000000-0005-0000-0000-0000DB050000}"/>
    <cellStyle name="20% - akcent 2 2 6 2 2 2 2 2 2 6" xfId="1855" xr:uid="{00000000-0005-0000-0000-0000DC050000}"/>
    <cellStyle name="20% - akcent 2 2 6 2 2 2 2 2 3" xfId="1856" xr:uid="{00000000-0005-0000-0000-0000DD050000}"/>
    <cellStyle name="20% - akcent 2 2 6 2 2 2 2 2 4" xfId="1857" xr:uid="{00000000-0005-0000-0000-0000DE050000}"/>
    <cellStyle name="20% - akcent 2 2 6 2 2 2 2 2 5" xfId="1858" xr:uid="{00000000-0005-0000-0000-0000DF050000}"/>
    <cellStyle name="20% - akcent 2 2 6 2 2 2 2 2 6" xfId="1859" xr:uid="{00000000-0005-0000-0000-0000E0050000}"/>
    <cellStyle name="20% - akcent 2 2 6 2 2 2 2 2 7" xfId="1860" xr:uid="{00000000-0005-0000-0000-0000E1050000}"/>
    <cellStyle name="20% - akcent 2 2 6 2 2 2 2 3" xfId="1861" xr:uid="{00000000-0005-0000-0000-0000E2050000}"/>
    <cellStyle name="20% - akcent 2 2 6 2 2 2 2 4" xfId="1862" xr:uid="{00000000-0005-0000-0000-0000E3050000}"/>
    <cellStyle name="20% - akcent 2 2 6 2 2 2 2 5" xfId="1863" xr:uid="{00000000-0005-0000-0000-0000E4050000}"/>
    <cellStyle name="20% - akcent 2 2 6 2 2 2 2 6" xfId="1864" xr:uid="{00000000-0005-0000-0000-0000E5050000}"/>
    <cellStyle name="20% - akcent 2 2 6 2 2 2 2 7" xfId="1865" xr:uid="{00000000-0005-0000-0000-0000E6050000}"/>
    <cellStyle name="20% - akcent 2 2 6 2 2 2 2 7 2" xfId="1866" xr:uid="{00000000-0005-0000-0000-0000E7050000}"/>
    <cellStyle name="20% - akcent 2 2 6 2 2 2 2 7 3" xfId="1867" xr:uid="{00000000-0005-0000-0000-0000E8050000}"/>
    <cellStyle name="20% - akcent 2 2 6 2 2 2 2 7 4" xfId="1868" xr:uid="{00000000-0005-0000-0000-0000E9050000}"/>
    <cellStyle name="20% - akcent 2 2 6 2 2 2 2 7 5" xfId="1869" xr:uid="{00000000-0005-0000-0000-0000EA050000}"/>
    <cellStyle name="20% - akcent 2 2 6 2 2 2 2 7 6" xfId="1870" xr:uid="{00000000-0005-0000-0000-0000EB050000}"/>
    <cellStyle name="20% - akcent 2 2 6 2 2 2 2 8" xfId="1871" xr:uid="{00000000-0005-0000-0000-0000EC050000}"/>
    <cellStyle name="20% - akcent 2 2 6 2 2 2 2 9" xfId="1872" xr:uid="{00000000-0005-0000-0000-0000ED050000}"/>
    <cellStyle name="20% - akcent 2 2 6 2 2 2 3" xfId="1873" xr:uid="{00000000-0005-0000-0000-0000EE050000}"/>
    <cellStyle name="20% - akcent 2 2 6 2 2 2 3 2" xfId="1874" xr:uid="{00000000-0005-0000-0000-0000EF050000}"/>
    <cellStyle name="20% - akcent 2 2 6 2 2 2 3 2 2" xfId="1875" xr:uid="{00000000-0005-0000-0000-0000F0050000}"/>
    <cellStyle name="20% - akcent 2 2 6 2 2 2 3 2 3" xfId="1876" xr:uid="{00000000-0005-0000-0000-0000F1050000}"/>
    <cellStyle name="20% - akcent 2 2 6 2 2 2 3 2 4" xfId="1877" xr:uid="{00000000-0005-0000-0000-0000F2050000}"/>
    <cellStyle name="20% - akcent 2 2 6 2 2 2 3 2 5" xfId="1878" xr:uid="{00000000-0005-0000-0000-0000F3050000}"/>
    <cellStyle name="20% - akcent 2 2 6 2 2 2 3 2 6" xfId="1879" xr:uid="{00000000-0005-0000-0000-0000F4050000}"/>
    <cellStyle name="20% - akcent 2 2 6 2 2 2 3 3" xfId="1880" xr:uid="{00000000-0005-0000-0000-0000F5050000}"/>
    <cellStyle name="20% - akcent 2 2 6 2 2 2 3 4" xfId="1881" xr:uid="{00000000-0005-0000-0000-0000F6050000}"/>
    <cellStyle name="20% - akcent 2 2 6 2 2 2 3 5" xfId="1882" xr:uid="{00000000-0005-0000-0000-0000F7050000}"/>
    <cellStyle name="20% - akcent 2 2 6 2 2 2 3 6" xfId="1883" xr:uid="{00000000-0005-0000-0000-0000F8050000}"/>
    <cellStyle name="20% - akcent 2 2 6 2 2 2 3 7" xfId="1884" xr:uid="{00000000-0005-0000-0000-0000F9050000}"/>
    <cellStyle name="20% - akcent 2 2 6 2 2 2 4" xfId="1885" xr:uid="{00000000-0005-0000-0000-0000FA050000}"/>
    <cellStyle name="20% - akcent 2 2 6 2 2 2 5" xfId="1886" xr:uid="{00000000-0005-0000-0000-0000FB050000}"/>
    <cellStyle name="20% - akcent 2 2 6 2 2 2 6" xfId="1887" xr:uid="{00000000-0005-0000-0000-0000FC050000}"/>
    <cellStyle name="20% - akcent 2 2 6 2 2 2 7" xfId="1888" xr:uid="{00000000-0005-0000-0000-0000FD050000}"/>
    <cellStyle name="20% - akcent 2 2 6 2 2 2 7 2" xfId="1889" xr:uid="{00000000-0005-0000-0000-0000FE050000}"/>
    <cellStyle name="20% - akcent 2 2 6 2 2 2 7 3" xfId="1890" xr:uid="{00000000-0005-0000-0000-0000FF050000}"/>
    <cellStyle name="20% - akcent 2 2 6 2 2 2 7 4" xfId="1891" xr:uid="{00000000-0005-0000-0000-000000060000}"/>
    <cellStyle name="20% - akcent 2 2 6 2 2 2 7 5" xfId="1892" xr:uid="{00000000-0005-0000-0000-000001060000}"/>
    <cellStyle name="20% - akcent 2 2 6 2 2 2 7 6" xfId="1893" xr:uid="{00000000-0005-0000-0000-000002060000}"/>
    <cellStyle name="20% - akcent 2 2 6 2 2 2 8" xfId="1894" xr:uid="{00000000-0005-0000-0000-000003060000}"/>
    <cellStyle name="20% - akcent 2 2 6 2 2 2 9" xfId="1895" xr:uid="{00000000-0005-0000-0000-000004060000}"/>
    <cellStyle name="20% - akcent 2 2 6 2 2 3" xfId="1896" xr:uid="{00000000-0005-0000-0000-000005060000}"/>
    <cellStyle name="20% - akcent 2 2 6 2 2 3 2" xfId="1897" xr:uid="{00000000-0005-0000-0000-000006060000}"/>
    <cellStyle name="20% - akcent 2 2 6 2 2 3 2 2" xfId="1898" xr:uid="{00000000-0005-0000-0000-000007060000}"/>
    <cellStyle name="20% - akcent 2 2 6 2 2 3 2 3" xfId="1899" xr:uid="{00000000-0005-0000-0000-000008060000}"/>
    <cellStyle name="20% - akcent 2 2 6 2 2 3 2 4" xfId="1900" xr:uid="{00000000-0005-0000-0000-000009060000}"/>
    <cellStyle name="20% - akcent 2 2 6 2 2 3 2 5" xfId="1901" xr:uid="{00000000-0005-0000-0000-00000A060000}"/>
    <cellStyle name="20% - akcent 2 2 6 2 2 3 2 6" xfId="1902" xr:uid="{00000000-0005-0000-0000-00000B060000}"/>
    <cellStyle name="20% - akcent 2 2 6 2 2 3 3" xfId="1903" xr:uid="{00000000-0005-0000-0000-00000C060000}"/>
    <cellStyle name="20% - akcent 2 2 6 2 2 3 4" xfId="1904" xr:uid="{00000000-0005-0000-0000-00000D060000}"/>
    <cellStyle name="20% - akcent 2 2 6 2 2 3 5" xfId="1905" xr:uid="{00000000-0005-0000-0000-00000E060000}"/>
    <cellStyle name="20% - akcent 2 2 6 2 2 3 6" xfId="1906" xr:uid="{00000000-0005-0000-0000-00000F060000}"/>
    <cellStyle name="20% - akcent 2 2 6 2 2 3 7" xfId="1907" xr:uid="{00000000-0005-0000-0000-000010060000}"/>
    <cellStyle name="20% - akcent 2 2 6 2 2 4" xfId="1908" xr:uid="{00000000-0005-0000-0000-000011060000}"/>
    <cellStyle name="20% - akcent 2 2 6 2 2 5" xfId="1909" xr:uid="{00000000-0005-0000-0000-000012060000}"/>
    <cellStyle name="20% - akcent 2 2 6 2 2 6" xfId="1910" xr:uid="{00000000-0005-0000-0000-000013060000}"/>
    <cellStyle name="20% - akcent 2 2 6 2 2 7" xfId="1911" xr:uid="{00000000-0005-0000-0000-000014060000}"/>
    <cellStyle name="20% - akcent 2 2 6 2 2 8" xfId="1912" xr:uid="{00000000-0005-0000-0000-000015060000}"/>
    <cellStyle name="20% - akcent 2 2 6 2 2 8 2" xfId="1913" xr:uid="{00000000-0005-0000-0000-000016060000}"/>
    <cellStyle name="20% - akcent 2 2 6 2 2 8 3" xfId="1914" xr:uid="{00000000-0005-0000-0000-000017060000}"/>
    <cellStyle name="20% - akcent 2 2 6 2 2 8 4" xfId="1915" xr:uid="{00000000-0005-0000-0000-000018060000}"/>
    <cellStyle name="20% - akcent 2 2 6 2 2 8 5" xfId="1916" xr:uid="{00000000-0005-0000-0000-000019060000}"/>
    <cellStyle name="20% - akcent 2 2 6 2 2 8 6" xfId="1917" xr:uid="{00000000-0005-0000-0000-00001A060000}"/>
    <cellStyle name="20% - akcent 2 2 6 2 2 9" xfId="1918" xr:uid="{00000000-0005-0000-0000-00001B060000}"/>
    <cellStyle name="20% - akcent 2 2 6 2 3" xfId="1919" xr:uid="{00000000-0005-0000-0000-00001C060000}"/>
    <cellStyle name="20% - akcent 2 2 6 2 4" xfId="1920" xr:uid="{00000000-0005-0000-0000-00001D060000}"/>
    <cellStyle name="20% - akcent 2 2 6 2 4 10" xfId="1921" xr:uid="{00000000-0005-0000-0000-00001E060000}"/>
    <cellStyle name="20% - akcent 2 2 6 2 4 11" xfId="1922" xr:uid="{00000000-0005-0000-0000-00001F060000}"/>
    <cellStyle name="20% - akcent 2 2 6 2 4 2" xfId="1923" xr:uid="{00000000-0005-0000-0000-000020060000}"/>
    <cellStyle name="20% - akcent 2 2 6 2 4 2 2" xfId="1924" xr:uid="{00000000-0005-0000-0000-000021060000}"/>
    <cellStyle name="20% - akcent 2 2 6 2 4 2 2 2" xfId="1925" xr:uid="{00000000-0005-0000-0000-000022060000}"/>
    <cellStyle name="20% - akcent 2 2 6 2 4 2 2 3" xfId="1926" xr:uid="{00000000-0005-0000-0000-000023060000}"/>
    <cellStyle name="20% - akcent 2 2 6 2 4 2 2 4" xfId="1927" xr:uid="{00000000-0005-0000-0000-000024060000}"/>
    <cellStyle name="20% - akcent 2 2 6 2 4 2 2 5" xfId="1928" xr:uid="{00000000-0005-0000-0000-000025060000}"/>
    <cellStyle name="20% - akcent 2 2 6 2 4 2 2 6" xfId="1929" xr:uid="{00000000-0005-0000-0000-000026060000}"/>
    <cellStyle name="20% - akcent 2 2 6 2 4 2 3" xfId="1930" xr:uid="{00000000-0005-0000-0000-000027060000}"/>
    <cellStyle name="20% - akcent 2 2 6 2 4 2 4" xfId="1931" xr:uid="{00000000-0005-0000-0000-000028060000}"/>
    <cellStyle name="20% - akcent 2 2 6 2 4 2 5" xfId="1932" xr:uid="{00000000-0005-0000-0000-000029060000}"/>
    <cellStyle name="20% - akcent 2 2 6 2 4 2 6" xfId="1933" xr:uid="{00000000-0005-0000-0000-00002A060000}"/>
    <cellStyle name="20% - akcent 2 2 6 2 4 2 7" xfId="1934" xr:uid="{00000000-0005-0000-0000-00002B060000}"/>
    <cellStyle name="20% - akcent 2 2 6 2 4 3" xfId="1935" xr:uid="{00000000-0005-0000-0000-00002C060000}"/>
    <cellStyle name="20% - akcent 2 2 6 2 4 4" xfId="1936" xr:uid="{00000000-0005-0000-0000-00002D060000}"/>
    <cellStyle name="20% - akcent 2 2 6 2 4 5" xfId="1937" xr:uid="{00000000-0005-0000-0000-00002E060000}"/>
    <cellStyle name="20% - akcent 2 2 6 2 4 6" xfId="1938" xr:uid="{00000000-0005-0000-0000-00002F060000}"/>
    <cellStyle name="20% - akcent 2 2 6 2 4 7" xfId="1939" xr:uid="{00000000-0005-0000-0000-000030060000}"/>
    <cellStyle name="20% - akcent 2 2 6 2 4 7 2" xfId="1940" xr:uid="{00000000-0005-0000-0000-000031060000}"/>
    <cellStyle name="20% - akcent 2 2 6 2 4 7 3" xfId="1941" xr:uid="{00000000-0005-0000-0000-000032060000}"/>
    <cellStyle name="20% - akcent 2 2 6 2 4 7 4" xfId="1942" xr:uid="{00000000-0005-0000-0000-000033060000}"/>
    <cellStyle name="20% - akcent 2 2 6 2 4 7 5" xfId="1943" xr:uid="{00000000-0005-0000-0000-000034060000}"/>
    <cellStyle name="20% - akcent 2 2 6 2 4 7 6" xfId="1944" xr:uid="{00000000-0005-0000-0000-000035060000}"/>
    <cellStyle name="20% - akcent 2 2 6 2 4 8" xfId="1945" xr:uid="{00000000-0005-0000-0000-000036060000}"/>
    <cellStyle name="20% - akcent 2 2 6 2 4 9" xfId="1946" xr:uid="{00000000-0005-0000-0000-000037060000}"/>
    <cellStyle name="20% - akcent 2 2 6 2 5" xfId="1947" xr:uid="{00000000-0005-0000-0000-000038060000}"/>
    <cellStyle name="20% - akcent 2 2 6 2 5 2" xfId="1948" xr:uid="{00000000-0005-0000-0000-000039060000}"/>
    <cellStyle name="20% - akcent 2 2 6 2 5 2 2" xfId="1949" xr:uid="{00000000-0005-0000-0000-00003A060000}"/>
    <cellStyle name="20% - akcent 2 2 6 2 5 2 3" xfId="1950" xr:uid="{00000000-0005-0000-0000-00003B060000}"/>
    <cellStyle name="20% - akcent 2 2 6 2 5 2 4" xfId="1951" xr:uid="{00000000-0005-0000-0000-00003C060000}"/>
    <cellStyle name="20% - akcent 2 2 6 2 5 2 5" xfId="1952" xr:uid="{00000000-0005-0000-0000-00003D060000}"/>
    <cellStyle name="20% - akcent 2 2 6 2 5 2 6" xfId="1953" xr:uid="{00000000-0005-0000-0000-00003E060000}"/>
    <cellStyle name="20% - akcent 2 2 6 2 5 3" xfId="1954" xr:uid="{00000000-0005-0000-0000-00003F060000}"/>
    <cellStyle name="20% - akcent 2 2 6 2 5 4" xfId="1955" xr:uid="{00000000-0005-0000-0000-000040060000}"/>
    <cellStyle name="20% - akcent 2 2 6 2 5 5" xfId="1956" xr:uid="{00000000-0005-0000-0000-000041060000}"/>
    <cellStyle name="20% - akcent 2 2 6 2 5 6" xfId="1957" xr:uid="{00000000-0005-0000-0000-000042060000}"/>
    <cellStyle name="20% - akcent 2 2 6 2 5 7" xfId="1958" xr:uid="{00000000-0005-0000-0000-000043060000}"/>
    <cellStyle name="20% - akcent 2 2 6 2 6" xfId="1959" xr:uid="{00000000-0005-0000-0000-000044060000}"/>
    <cellStyle name="20% - akcent 2 2 6 2 7" xfId="1960" xr:uid="{00000000-0005-0000-0000-000045060000}"/>
    <cellStyle name="20% - akcent 2 2 6 2 8" xfId="1961" xr:uid="{00000000-0005-0000-0000-000046060000}"/>
    <cellStyle name="20% - akcent 2 2 6 2 9" xfId="1962" xr:uid="{00000000-0005-0000-0000-000047060000}"/>
    <cellStyle name="20% - akcent 2 2 6 2 9 2" xfId="1963" xr:uid="{00000000-0005-0000-0000-000048060000}"/>
    <cellStyle name="20% - akcent 2 2 6 2 9 3" xfId="1964" xr:uid="{00000000-0005-0000-0000-000049060000}"/>
    <cellStyle name="20% - akcent 2 2 6 2 9 4" xfId="1965" xr:uid="{00000000-0005-0000-0000-00004A060000}"/>
    <cellStyle name="20% - akcent 2 2 6 2 9 5" xfId="1966" xr:uid="{00000000-0005-0000-0000-00004B060000}"/>
    <cellStyle name="20% - akcent 2 2 6 2 9 6" xfId="1967" xr:uid="{00000000-0005-0000-0000-00004C060000}"/>
    <cellStyle name="20% - akcent 2 2 6 3" xfId="1968" xr:uid="{00000000-0005-0000-0000-00004D060000}"/>
    <cellStyle name="20% - akcent 2 2 6 3 10" xfId="1969" xr:uid="{00000000-0005-0000-0000-00004E060000}"/>
    <cellStyle name="20% - akcent 2 2 6 3 11" xfId="1970" xr:uid="{00000000-0005-0000-0000-00004F060000}"/>
    <cellStyle name="20% - akcent 2 2 6 3 12" xfId="1971" xr:uid="{00000000-0005-0000-0000-000050060000}"/>
    <cellStyle name="20% - akcent 2 2 6 3 2" xfId="1972" xr:uid="{00000000-0005-0000-0000-000051060000}"/>
    <cellStyle name="20% - akcent 2 2 6 3 2 10" xfId="1973" xr:uid="{00000000-0005-0000-0000-000052060000}"/>
    <cellStyle name="20% - akcent 2 2 6 3 2 11" xfId="1974" xr:uid="{00000000-0005-0000-0000-000053060000}"/>
    <cellStyle name="20% - akcent 2 2 6 3 2 2" xfId="1975" xr:uid="{00000000-0005-0000-0000-000054060000}"/>
    <cellStyle name="20% - akcent 2 2 6 3 2 2 10" xfId="1976" xr:uid="{00000000-0005-0000-0000-000055060000}"/>
    <cellStyle name="20% - akcent 2 2 6 3 2 2 11" xfId="1977" xr:uid="{00000000-0005-0000-0000-000056060000}"/>
    <cellStyle name="20% - akcent 2 2 6 3 2 2 2" xfId="1978" xr:uid="{00000000-0005-0000-0000-000057060000}"/>
    <cellStyle name="20% - akcent 2 2 6 3 2 2 2 2" xfId="1979" xr:uid="{00000000-0005-0000-0000-000058060000}"/>
    <cellStyle name="20% - akcent 2 2 6 3 2 2 2 2 2" xfId="1980" xr:uid="{00000000-0005-0000-0000-000059060000}"/>
    <cellStyle name="20% - akcent 2 2 6 3 2 2 2 2 3" xfId="1981" xr:uid="{00000000-0005-0000-0000-00005A060000}"/>
    <cellStyle name="20% - akcent 2 2 6 3 2 2 2 2 4" xfId="1982" xr:uid="{00000000-0005-0000-0000-00005B060000}"/>
    <cellStyle name="20% - akcent 2 2 6 3 2 2 2 2 5" xfId="1983" xr:uid="{00000000-0005-0000-0000-00005C060000}"/>
    <cellStyle name="20% - akcent 2 2 6 3 2 2 2 2 6" xfId="1984" xr:uid="{00000000-0005-0000-0000-00005D060000}"/>
    <cellStyle name="20% - akcent 2 2 6 3 2 2 2 3" xfId="1985" xr:uid="{00000000-0005-0000-0000-00005E060000}"/>
    <cellStyle name="20% - akcent 2 2 6 3 2 2 2 4" xfId="1986" xr:uid="{00000000-0005-0000-0000-00005F060000}"/>
    <cellStyle name="20% - akcent 2 2 6 3 2 2 2 5" xfId="1987" xr:uid="{00000000-0005-0000-0000-000060060000}"/>
    <cellStyle name="20% - akcent 2 2 6 3 2 2 2 6" xfId="1988" xr:uid="{00000000-0005-0000-0000-000061060000}"/>
    <cellStyle name="20% - akcent 2 2 6 3 2 2 2 7" xfId="1989" xr:uid="{00000000-0005-0000-0000-000062060000}"/>
    <cellStyle name="20% - akcent 2 2 6 3 2 2 3" xfId="1990" xr:uid="{00000000-0005-0000-0000-000063060000}"/>
    <cellStyle name="20% - akcent 2 2 6 3 2 2 4" xfId="1991" xr:uid="{00000000-0005-0000-0000-000064060000}"/>
    <cellStyle name="20% - akcent 2 2 6 3 2 2 5" xfId="1992" xr:uid="{00000000-0005-0000-0000-000065060000}"/>
    <cellStyle name="20% - akcent 2 2 6 3 2 2 6" xfId="1993" xr:uid="{00000000-0005-0000-0000-000066060000}"/>
    <cellStyle name="20% - akcent 2 2 6 3 2 2 7" xfId="1994" xr:uid="{00000000-0005-0000-0000-000067060000}"/>
    <cellStyle name="20% - akcent 2 2 6 3 2 2 7 2" xfId="1995" xr:uid="{00000000-0005-0000-0000-000068060000}"/>
    <cellStyle name="20% - akcent 2 2 6 3 2 2 7 3" xfId="1996" xr:uid="{00000000-0005-0000-0000-000069060000}"/>
    <cellStyle name="20% - akcent 2 2 6 3 2 2 7 4" xfId="1997" xr:uid="{00000000-0005-0000-0000-00006A060000}"/>
    <cellStyle name="20% - akcent 2 2 6 3 2 2 7 5" xfId="1998" xr:uid="{00000000-0005-0000-0000-00006B060000}"/>
    <cellStyle name="20% - akcent 2 2 6 3 2 2 7 6" xfId="1999" xr:uid="{00000000-0005-0000-0000-00006C060000}"/>
    <cellStyle name="20% - akcent 2 2 6 3 2 2 8" xfId="2000" xr:uid="{00000000-0005-0000-0000-00006D060000}"/>
    <cellStyle name="20% - akcent 2 2 6 3 2 2 9" xfId="2001" xr:uid="{00000000-0005-0000-0000-00006E060000}"/>
    <cellStyle name="20% - akcent 2 2 6 3 2 3" xfId="2002" xr:uid="{00000000-0005-0000-0000-00006F060000}"/>
    <cellStyle name="20% - akcent 2 2 6 3 2 3 2" xfId="2003" xr:uid="{00000000-0005-0000-0000-000070060000}"/>
    <cellStyle name="20% - akcent 2 2 6 3 2 3 2 2" xfId="2004" xr:uid="{00000000-0005-0000-0000-000071060000}"/>
    <cellStyle name="20% - akcent 2 2 6 3 2 3 2 3" xfId="2005" xr:uid="{00000000-0005-0000-0000-000072060000}"/>
    <cellStyle name="20% - akcent 2 2 6 3 2 3 2 4" xfId="2006" xr:uid="{00000000-0005-0000-0000-000073060000}"/>
    <cellStyle name="20% - akcent 2 2 6 3 2 3 2 5" xfId="2007" xr:uid="{00000000-0005-0000-0000-000074060000}"/>
    <cellStyle name="20% - akcent 2 2 6 3 2 3 2 6" xfId="2008" xr:uid="{00000000-0005-0000-0000-000075060000}"/>
    <cellStyle name="20% - akcent 2 2 6 3 2 3 3" xfId="2009" xr:uid="{00000000-0005-0000-0000-000076060000}"/>
    <cellStyle name="20% - akcent 2 2 6 3 2 3 4" xfId="2010" xr:uid="{00000000-0005-0000-0000-000077060000}"/>
    <cellStyle name="20% - akcent 2 2 6 3 2 3 5" xfId="2011" xr:uid="{00000000-0005-0000-0000-000078060000}"/>
    <cellStyle name="20% - akcent 2 2 6 3 2 3 6" xfId="2012" xr:uid="{00000000-0005-0000-0000-000079060000}"/>
    <cellStyle name="20% - akcent 2 2 6 3 2 3 7" xfId="2013" xr:uid="{00000000-0005-0000-0000-00007A060000}"/>
    <cellStyle name="20% - akcent 2 2 6 3 2 4" xfId="2014" xr:uid="{00000000-0005-0000-0000-00007B060000}"/>
    <cellStyle name="20% - akcent 2 2 6 3 2 5" xfId="2015" xr:uid="{00000000-0005-0000-0000-00007C060000}"/>
    <cellStyle name="20% - akcent 2 2 6 3 2 6" xfId="2016" xr:uid="{00000000-0005-0000-0000-00007D060000}"/>
    <cellStyle name="20% - akcent 2 2 6 3 2 7" xfId="2017" xr:uid="{00000000-0005-0000-0000-00007E060000}"/>
    <cellStyle name="20% - akcent 2 2 6 3 2 7 2" xfId="2018" xr:uid="{00000000-0005-0000-0000-00007F060000}"/>
    <cellStyle name="20% - akcent 2 2 6 3 2 7 3" xfId="2019" xr:uid="{00000000-0005-0000-0000-000080060000}"/>
    <cellStyle name="20% - akcent 2 2 6 3 2 7 4" xfId="2020" xr:uid="{00000000-0005-0000-0000-000081060000}"/>
    <cellStyle name="20% - akcent 2 2 6 3 2 7 5" xfId="2021" xr:uid="{00000000-0005-0000-0000-000082060000}"/>
    <cellStyle name="20% - akcent 2 2 6 3 2 7 6" xfId="2022" xr:uid="{00000000-0005-0000-0000-000083060000}"/>
    <cellStyle name="20% - akcent 2 2 6 3 2 8" xfId="2023" xr:uid="{00000000-0005-0000-0000-000084060000}"/>
    <cellStyle name="20% - akcent 2 2 6 3 2 9" xfId="2024" xr:uid="{00000000-0005-0000-0000-000085060000}"/>
    <cellStyle name="20% - akcent 2 2 6 3 3" xfId="2025" xr:uid="{00000000-0005-0000-0000-000086060000}"/>
    <cellStyle name="20% - akcent 2 2 6 3 3 2" xfId="2026" xr:uid="{00000000-0005-0000-0000-000087060000}"/>
    <cellStyle name="20% - akcent 2 2 6 3 3 2 2" xfId="2027" xr:uid="{00000000-0005-0000-0000-000088060000}"/>
    <cellStyle name="20% - akcent 2 2 6 3 3 2 3" xfId="2028" xr:uid="{00000000-0005-0000-0000-000089060000}"/>
    <cellStyle name="20% - akcent 2 2 6 3 3 2 4" xfId="2029" xr:uid="{00000000-0005-0000-0000-00008A060000}"/>
    <cellStyle name="20% - akcent 2 2 6 3 3 2 5" xfId="2030" xr:uid="{00000000-0005-0000-0000-00008B060000}"/>
    <cellStyle name="20% - akcent 2 2 6 3 3 2 6" xfId="2031" xr:uid="{00000000-0005-0000-0000-00008C060000}"/>
    <cellStyle name="20% - akcent 2 2 6 3 3 3" xfId="2032" xr:uid="{00000000-0005-0000-0000-00008D060000}"/>
    <cellStyle name="20% - akcent 2 2 6 3 3 4" xfId="2033" xr:uid="{00000000-0005-0000-0000-00008E060000}"/>
    <cellStyle name="20% - akcent 2 2 6 3 3 5" xfId="2034" xr:uid="{00000000-0005-0000-0000-00008F060000}"/>
    <cellStyle name="20% - akcent 2 2 6 3 3 6" xfId="2035" xr:uid="{00000000-0005-0000-0000-000090060000}"/>
    <cellStyle name="20% - akcent 2 2 6 3 3 7" xfId="2036" xr:uid="{00000000-0005-0000-0000-000091060000}"/>
    <cellStyle name="20% - akcent 2 2 6 3 4" xfId="2037" xr:uid="{00000000-0005-0000-0000-000092060000}"/>
    <cellStyle name="20% - akcent 2 2 6 3 5" xfId="2038" xr:uid="{00000000-0005-0000-0000-000093060000}"/>
    <cellStyle name="20% - akcent 2 2 6 3 6" xfId="2039" xr:uid="{00000000-0005-0000-0000-000094060000}"/>
    <cellStyle name="20% - akcent 2 2 6 3 7" xfId="2040" xr:uid="{00000000-0005-0000-0000-000095060000}"/>
    <cellStyle name="20% - akcent 2 2 6 3 8" xfId="2041" xr:uid="{00000000-0005-0000-0000-000096060000}"/>
    <cellStyle name="20% - akcent 2 2 6 3 8 2" xfId="2042" xr:uid="{00000000-0005-0000-0000-000097060000}"/>
    <cellStyle name="20% - akcent 2 2 6 3 8 3" xfId="2043" xr:uid="{00000000-0005-0000-0000-000098060000}"/>
    <cellStyle name="20% - akcent 2 2 6 3 8 4" xfId="2044" xr:uid="{00000000-0005-0000-0000-000099060000}"/>
    <cellStyle name="20% - akcent 2 2 6 3 8 5" xfId="2045" xr:uid="{00000000-0005-0000-0000-00009A060000}"/>
    <cellStyle name="20% - akcent 2 2 6 3 8 6" xfId="2046" xr:uid="{00000000-0005-0000-0000-00009B060000}"/>
    <cellStyle name="20% - akcent 2 2 6 3 9" xfId="2047" xr:uid="{00000000-0005-0000-0000-00009C060000}"/>
    <cellStyle name="20% - akcent 2 2 6 4" xfId="2048" xr:uid="{00000000-0005-0000-0000-00009D060000}"/>
    <cellStyle name="20% - akcent 2 2 6 4 10" xfId="2049" xr:uid="{00000000-0005-0000-0000-00009E060000}"/>
    <cellStyle name="20% - akcent 2 2 6 4 11" xfId="2050" xr:uid="{00000000-0005-0000-0000-00009F060000}"/>
    <cellStyle name="20% - akcent 2 2 6 4 2" xfId="2051" xr:uid="{00000000-0005-0000-0000-0000A0060000}"/>
    <cellStyle name="20% - akcent 2 2 6 4 2 2" xfId="2052" xr:uid="{00000000-0005-0000-0000-0000A1060000}"/>
    <cellStyle name="20% - akcent 2 2 6 4 2 2 2" xfId="2053" xr:uid="{00000000-0005-0000-0000-0000A2060000}"/>
    <cellStyle name="20% - akcent 2 2 6 4 2 2 3" xfId="2054" xr:uid="{00000000-0005-0000-0000-0000A3060000}"/>
    <cellStyle name="20% - akcent 2 2 6 4 2 2 4" xfId="2055" xr:uid="{00000000-0005-0000-0000-0000A4060000}"/>
    <cellStyle name="20% - akcent 2 2 6 4 2 2 5" xfId="2056" xr:uid="{00000000-0005-0000-0000-0000A5060000}"/>
    <cellStyle name="20% - akcent 2 2 6 4 2 2 6" xfId="2057" xr:uid="{00000000-0005-0000-0000-0000A6060000}"/>
    <cellStyle name="20% - akcent 2 2 6 4 2 3" xfId="2058" xr:uid="{00000000-0005-0000-0000-0000A7060000}"/>
    <cellStyle name="20% - akcent 2 2 6 4 2 4" xfId="2059" xr:uid="{00000000-0005-0000-0000-0000A8060000}"/>
    <cellStyle name="20% - akcent 2 2 6 4 2 5" xfId="2060" xr:uid="{00000000-0005-0000-0000-0000A9060000}"/>
    <cellStyle name="20% - akcent 2 2 6 4 2 6" xfId="2061" xr:uid="{00000000-0005-0000-0000-0000AA060000}"/>
    <cellStyle name="20% - akcent 2 2 6 4 2 7" xfId="2062" xr:uid="{00000000-0005-0000-0000-0000AB060000}"/>
    <cellStyle name="20% - akcent 2 2 6 4 3" xfId="2063" xr:uid="{00000000-0005-0000-0000-0000AC060000}"/>
    <cellStyle name="20% - akcent 2 2 6 4 4" xfId="2064" xr:uid="{00000000-0005-0000-0000-0000AD060000}"/>
    <cellStyle name="20% - akcent 2 2 6 4 5" xfId="2065" xr:uid="{00000000-0005-0000-0000-0000AE060000}"/>
    <cellStyle name="20% - akcent 2 2 6 4 6" xfId="2066" xr:uid="{00000000-0005-0000-0000-0000AF060000}"/>
    <cellStyle name="20% - akcent 2 2 6 4 7" xfId="2067" xr:uid="{00000000-0005-0000-0000-0000B0060000}"/>
    <cellStyle name="20% - akcent 2 2 6 4 7 2" xfId="2068" xr:uid="{00000000-0005-0000-0000-0000B1060000}"/>
    <cellStyle name="20% - akcent 2 2 6 4 7 3" xfId="2069" xr:uid="{00000000-0005-0000-0000-0000B2060000}"/>
    <cellStyle name="20% - akcent 2 2 6 4 7 4" xfId="2070" xr:uid="{00000000-0005-0000-0000-0000B3060000}"/>
    <cellStyle name="20% - akcent 2 2 6 4 7 5" xfId="2071" xr:uid="{00000000-0005-0000-0000-0000B4060000}"/>
    <cellStyle name="20% - akcent 2 2 6 4 7 6" xfId="2072" xr:uid="{00000000-0005-0000-0000-0000B5060000}"/>
    <cellStyle name="20% - akcent 2 2 6 4 8" xfId="2073" xr:uid="{00000000-0005-0000-0000-0000B6060000}"/>
    <cellStyle name="20% - akcent 2 2 6 4 9" xfId="2074" xr:uid="{00000000-0005-0000-0000-0000B7060000}"/>
    <cellStyle name="20% - akcent 2 2 6 5" xfId="2075" xr:uid="{00000000-0005-0000-0000-0000B8060000}"/>
    <cellStyle name="20% - akcent 2 2 6 5 2" xfId="2076" xr:uid="{00000000-0005-0000-0000-0000B9060000}"/>
    <cellStyle name="20% - akcent 2 2 6 5 2 2" xfId="2077" xr:uid="{00000000-0005-0000-0000-0000BA060000}"/>
    <cellStyle name="20% - akcent 2 2 6 5 2 3" xfId="2078" xr:uid="{00000000-0005-0000-0000-0000BB060000}"/>
    <cellStyle name="20% - akcent 2 2 6 5 2 4" xfId="2079" xr:uid="{00000000-0005-0000-0000-0000BC060000}"/>
    <cellStyle name="20% - akcent 2 2 6 5 2 5" xfId="2080" xr:uid="{00000000-0005-0000-0000-0000BD060000}"/>
    <cellStyle name="20% - akcent 2 2 6 5 2 6" xfId="2081" xr:uid="{00000000-0005-0000-0000-0000BE060000}"/>
    <cellStyle name="20% - akcent 2 2 6 5 3" xfId="2082" xr:uid="{00000000-0005-0000-0000-0000BF060000}"/>
    <cellStyle name="20% - akcent 2 2 6 5 4" xfId="2083" xr:uid="{00000000-0005-0000-0000-0000C0060000}"/>
    <cellStyle name="20% - akcent 2 2 6 5 5" xfId="2084" xr:uid="{00000000-0005-0000-0000-0000C1060000}"/>
    <cellStyle name="20% - akcent 2 2 6 5 6" xfId="2085" xr:uid="{00000000-0005-0000-0000-0000C2060000}"/>
    <cellStyle name="20% - akcent 2 2 6 5 7" xfId="2086" xr:uid="{00000000-0005-0000-0000-0000C3060000}"/>
    <cellStyle name="20% - akcent 2 2 6 6" xfId="2087" xr:uid="{00000000-0005-0000-0000-0000C4060000}"/>
    <cellStyle name="20% - akcent 2 2 6 7" xfId="2088" xr:uid="{00000000-0005-0000-0000-0000C5060000}"/>
    <cellStyle name="20% - akcent 2 2 6 8" xfId="2089" xr:uid="{00000000-0005-0000-0000-0000C6060000}"/>
    <cellStyle name="20% - akcent 2 2 6 9" xfId="2090" xr:uid="{00000000-0005-0000-0000-0000C7060000}"/>
    <cellStyle name="20% - akcent 2 2 6 9 2" xfId="2091" xr:uid="{00000000-0005-0000-0000-0000C8060000}"/>
    <cellStyle name="20% - akcent 2 2 6 9 3" xfId="2092" xr:uid="{00000000-0005-0000-0000-0000C9060000}"/>
    <cellStyle name="20% - akcent 2 2 6 9 4" xfId="2093" xr:uid="{00000000-0005-0000-0000-0000CA060000}"/>
    <cellStyle name="20% - akcent 2 2 6 9 5" xfId="2094" xr:uid="{00000000-0005-0000-0000-0000CB060000}"/>
    <cellStyle name="20% - akcent 2 2 6 9 6" xfId="2095" xr:uid="{00000000-0005-0000-0000-0000CC060000}"/>
    <cellStyle name="20% - akcent 2 2 7" xfId="2096" xr:uid="{00000000-0005-0000-0000-0000CD060000}"/>
    <cellStyle name="20% - akcent 2 2 8" xfId="2097" xr:uid="{00000000-0005-0000-0000-0000CE060000}"/>
    <cellStyle name="20% - akcent 2 2 8 10" xfId="2098" xr:uid="{00000000-0005-0000-0000-0000CF060000}"/>
    <cellStyle name="20% - akcent 2 2 8 11" xfId="2099" xr:uid="{00000000-0005-0000-0000-0000D0060000}"/>
    <cellStyle name="20% - akcent 2 2 8 12" xfId="2100" xr:uid="{00000000-0005-0000-0000-0000D1060000}"/>
    <cellStyle name="20% - akcent 2 2 8 13" xfId="2101" xr:uid="{00000000-0005-0000-0000-0000D2060000}"/>
    <cellStyle name="20% - akcent 2 2 8 2" xfId="2102" xr:uid="{00000000-0005-0000-0000-0000D3060000}"/>
    <cellStyle name="20% - akcent 2 2 8 2 10" xfId="2103" xr:uid="{00000000-0005-0000-0000-0000D4060000}"/>
    <cellStyle name="20% - akcent 2 2 8 2 11" xfId="2104" xr:uid="{00000000-0005-0000-0000-0000D5060000}"/>
    <cellStyle name="20% - akcent 2 2 8 2 12" xfId="2105" xr:uid="{00000000-0005-0000-0000-0000D6060000}"/>
    <cellStyle name="20% - akcent 2 2 8 2 2" xfId="2106" xr:uid="{00000000-0005-0000-0000-0000D7060000}"/>
    <cellStyle name="20% - akcent 2 2 8 2 2 10" xfId="2107" xr:uid="{00000000-0005-0000-0000-0000D8060000}"/>
    <cellStyle name="20% - akcent 2 2 8 2 2 11" xfId="2108" xr:uid="{00000000-0005-0000-0000-0000D9060000}"/>
    <cellStyle name="20% - akcent 2 2 8 2 2 2" xfId="2109" xr:uid="{00000000-0005-0000-0000-0000DA060000}"/>
    <cellStyle name="20% - akcent 2 2 8 2 2 2 10" xfId="2110" xr:uid="{00000000-0005-0000-0000-0000DB060000}"/>
    <cellStyle name="20% - akcent 2 2 8 2 2 2 11" xfId="2111" xr:uid="{00000000-0005-0000-0000-0000DC060000}"/>
    <cellStyle name="20% - akcent 2 2 8 2 2 2 2" xfId="2112" xr:uid="{00000000-0005-0000-0000-0000DD060000}"/>
    <cellStyle name="20% - akcent 2 2 8 2 2 2 2 2" xfId="2113" xr:uid="{00000000-0005-0000-0000-0000DE060000}"/>
    <cellStyle name="20% - akcent 2 2 8 2 2 2 2 2 2" xfId="2114" xr:uid="{00000000-0005-0000-0000-0000DF060000}"/>
    <cellStyle name="20% - akcent 2 2 8 2 2 2 2 2 3" xfId="2115" xr:uid="{00000000-0005-0000-0000-0000E0060000}"/>
    <cellStyle name="20% - akcent 2 2 8 2 2 2 2 2 4" xfId="2116" xr:uid="{00000000-0005-0000-0000-0000E1060000}"/>
    <cellStyle name="20% - akcent 2 2 8 2 2 2 2 2 5" xfId="2117" xr:uid="{00000000-0005-0000-0000-0000E2060000}"/>
    <cellStyle name="20% - akcent 2 2 8 2 2 2 2 2 6" xfId="2118" xr:uid="{00000000-0005-0000-0000-0000E3060000}"/>
    <cellStyle name="20% - akcent 2 2 8 2 2 2 2 3" xfId="2119" xr:uid="{00000000-0005-0000-0000-0000E4060000}"/>
    <cellStyle name="20% - akcent 2 2 8 2 2 2 2 4" xfId="2120" xr:uid="{00000000-0005-0000-0000-0000E5060000}"/>
    <cellStyle name="20% - akcent 2 2 8 2 2 2 2 5" xfId="2121" xr:uid="{00000000-0005-0000-0000-0000E6060000}"/>
    <cellStyle name="20% - akcent 2 2 8 2 2 2 2 6" xfId="2122" xr:uid="{00000000-0005-0000-0000-0000E7060000}"/>
    <cellStyle name="20% - akcent 2 2 8 2 2 2 2 7" xfId="2123" xr:uid="{00000000-0005-0000-0000-0000E8060000}"/>
    <cellStyle name="20% - akcent 2 2 8 2 2 2 3" xfId="2124" xr:uid="{00000000-0005-0000-0000-0000E9060000}"/>
    <cellStyle name="20% - akcent 2 2 8 2 2 2 4" xfId="2125" xr:uid="{00000000-0005-0000-0000-0000EA060000}"/>
    <cellStyle name="20% - akcent 2 2 8 2 2 2 5" xfId="2126" xr:uid="{00000000-0005-0000-0000-0000EB060000}"/>
    <cellStyle name="20% - akcent 2 2 8 2 2 2 6" xfId="2127" xr:uid="{00000000-0005-0000-0000-0000EC060000}"/>
    <cellStyle name="20% - akcent 2 2 8 2 2 2 7" xfId="2128" xr:uid="{00000000-0005-0000-0000-0000ED060000}"/>
    <cellStyle name="20% - akcent 2 2 8 2 2 2 7 2" xfId="2129" xr:uid="{00000000-0005-0000-0000-0000EE060000}"/>
    <cellStyle name="20% - akcent 2 2 8 2 2 2 7 3" xfId="2130" xr:uid="{00000000-0005-0000-0000-0000EF060000}"/>
    <cellStyle name="20% - akcent 2 2 8 2 2 2 7 4" xfId="2131" xr:uid="{00000000-0005-0000-0000-0000F0060000}"/>
    <cellStyle name="20% - akcent 2 2 8 2 2 2 7 5" xfId="2132" xr:uid="{00000000-0005-0000-0000-0000F1060000}"/>
    <cellStyle name="20% - akcent 2 2 8 2 2 2 7 6" xfId="2133" xr:uid="{00000000-0005-0000-0000-0000F2060000}"/>
    <cellStyle name="20% - akcent 2 2 8 2 2 2 8" xfId="2134" xr:uid="{00000000-0005-0000-0000-0000F3060000}"/>
    <cellStyle name="20% - akcent 2 2 8 2 2 2 9" xfId="2135" xr:uid="{00000000-0005-0000-0000-0000F4060000}"/>
    <cellStyle name="20% - akcent 2 2 8 2 2 3" xfId="2136" xr:uid="{00000000-0005-0000-0000-0000F5060000}"/>
    <cellStyle name="20% - akcent 2 2 8 2 2 3 2" xfId="2137" xr:uid="{00000000-0005-0000-0000-0000F6060000}"/>
    <cellStyle name="20% - akcent 2 2 8 2 2 3 2 2" xfId="2138" xr:uid="{00000000-0005-0000-0000-0000F7060000}"/>
    <cellStyle name="20% - akcent 2 2 8 2 2 3 2 3" xfId="2139" xr:uid="{00000000-0005-0000-0000-0000F8060000}"/>
    <cellStyle name="20% - akcent 2 2 8 2 2 3 2 4" xfId="2140" xr:uid="{00000000-0005-0000-0000-0000F9060000}"/>
    <cellStyle name="20% - akcent 2 2 8 2 2 3 2 5" xfId="2141" xr:uid="{00000000-0005-0000-0000-0000FA060000}"/>
    <cellStyle name="20% - akcent 2 2 8 2 2 3 2 6" xfId="2142" xr:uid="{00000000-0005-0000-0000-0000FB060000}"/>
    <cellStyle name="20% - akcent 2 2 8 2 2 3 3" xfId="2143" xr:uid="{00000000-0005-0000-0000-0000FC060000}"/>
    <cellStyle name="20% - akcent 2 2 8 2 2 3 4" xfId="2144" xr:uid="{00000000-0005-0000-0000-0000FD060000}"/>
    <cellStyle name="20% - akcent 2 2 8 2 2 3 5" xfId="2145" xr:uid="{00000000-0005-0000-0000-0000FE060000}"/>
    <cellStyle name="20% - akcent 2 2 8 2 2 3 6" xfId="2146" xr:uid="{00000000-0005-0000-0000-0000FF060000}"/>
    <cellStyle name="20% - akcent 2 2 8 2 2 3 7" xfId="2147" xr:uid="{00000000-0005-0000-0000-000000070000}"/>
    <cellStyle name="20% - akcent 2 2 8 2 2 4" xfId="2148" xr:uid="{00000000-0005-0000-0000-000001070000}"/>
    <cellStyle name="20% - akcent 2 2 8 2 2 5" xfId="2149" xr:uid="{00000000-0005-0000-0000-000002070000}"/>
    <cellStyle name="20% - akcent 2 2 8 2 2 6" xfId="2150" xr:uid="{00000000-0005-0000-0000-000003070000}"/>
    <cellStyle name="20% - akcent 2 2 8 2 2 7" xfId="2151" xr:uid="{00000000-0005-0000-0000-000004070000}"/>
    <cellStyle name="20% - akcent 2 2 8 2 2 7 2" xfId="2152" xr:uid="{00000000-0005-0000-0000-000005070000}"/>
    <cellStyle name="20% - akcent 2 2 8 2 2 7 3" xfId="2153" xr:uid="{00000000-0005-0000-0000-000006070000}"/>
    <cellStyle name="20% - akcent 2 2 8 2 2 7 4" xfId="2154" xr:uid="{00000000-0005-0000-0000-000007070000}"/>
    <cellStyle name="20% - akcent 2 2 8 2 2 7 5" xfId="2155" xr:uid="{00000000-0005-0000-0000-000008070000}"/>
    <cellStyle name="20% - akcent 2 2 8 2 2 7 6" xfId="2156" xr:uid="{00000000-0005-0000-0000-000009070000}"/>
    <cellStyle name="20% - akcent 2 2 8 2 2 8" xfId="2157" xr:uid="{00000000-0005-0000-0000-00000A070000}"/>
    <cellStyle name="20% - akcent 2 2 8 2 2 9" xfId="2158" xr:uid="{00000000-0005-0000-0000-00000B070000}"/>
    <cellStyle name="20% - akcent 2 2 8 2 3" xfId="2159" xr:uid="{00000000-0005-0000-0000-00000C070000}"/>
    <cellStyle name="20% - akcent 2 2 8 2 3 2" xfId="2160" xr:uid="{00000000-0005-0000-0000-00000D070000}"/>
    <cellStyle name="20% - akcent 2 2 8 2 3 2 2" xfId="2161" xr:uid="{00000000-0005-0000-0000-00000E070000}"/>
    <cellStyle name="20% - akcent 2 2 8 2 3 2 3" xfId="2162" xr:uid="{00000000-0005-0000-0000-00000F070000}"/>
    <cellStyle name="20% - akcent 2 2 8 2 3 2 4" xfId="2163" xr:uid="{00000000-0005-0000-0000-000010070000}"/>
    <cellStyle name="20% - akcent 2 2 8 2 3 2 5" xfId="2164" xr:uid="{00000000-0005-0000-0000-000011070000}"/>
    <cellStyle name="20% - akcent 2 2 8 2 3 2 6" xfId="2165" xr:uid="{00000000-0005-0000-0000-000012070000}"/>
    <cellStyle name="20% - akcent 2 2 8 2 3 3" xfId="2166" xr:uid="{00000000-0005-0000-0000-000013070000}"/>
    <cellStyle name="20% - akcent 2 2 8 2 3 4" xfId="2167" xr:uid="{00000000-0005-0000-0000-000014070000}"/>
    <cellStyle name="20% - akcent 2 2 8 2 3 5" xfId="2168" xr:uid="{00000000-0005-0000-0000-000015070000}"/>
    <cellStyle name="20% - akcent 2 2 8 2 3 6" xfId="2169" xr:uid="{00000000-0005-0000-0000-000016070000}"/>
    <cellStyle name="20% - akcent 2 2 8 2 3 7" xfId="2170" xr:uid="{00000000-0005-0000-0000-000017070000}"/>
    <cellStyle name="20% - akcent 2 2 8 2 4" xfId="2171" xr:uid="{00000000-0005-0000-0000-000018070000}"/>
    <cellStyle name="20% - akcent 2 2 8 2 5" xfId="2172" xr:uid="{00000000-0005-0000-0000-000019070000}"/>
    <cellStyle name="20% - akcent 2 2 8 2 6" xfId="2173" xr:uid="{00000000-0005-0000-0000-00001A070000}"/>
    <cellStyle name="20% - akcent 2 2 8 2 7" xfId="2174" xr:uid="{00000000-0005-0000-0000-00001B070000}"/>
    <cellStyle name="20% - akcent 2 2 8 2 8" xfId="2175" xr:uid="{00000000-0005-0000-0000-00001C070000}"/>
    <cellStyle name="20% - akcent 2 2 8 2 8 2" xfId="2176" xr:uid="{00000000-0005-0000-0000-00001D070000}"/>
    <cellStyle name="20% - akcent 2 2 8 2 8 3" xfId="2177" xr:uid="{00000000-0005-0000-0000-00001E070000}"/>
    <cellStyle name="20% - akcent 2 2 8 2 8 4" xfId="2178" xr:uid="{00000000-0005-0000-0000-00001F070000}"/>
    <cellStyle name="20% - akcent 2 2 8 2 8 5" xfId="2179" xr:uid="{00000000-0005-0000-0000-000020070000}"/>
    <cellStyle name="20% - akcent 2 2 8 2 8 6" xfId="2180" xr:uid="{00000000-0005-0000-0000-000021070000}"/>
    <cellStyle name="20% - akcent 2 2 8 2 9" xfId="2181" xr:uid="{00000000-0005-0000-0000-000022070000}"/>
    <cellStyle name="20% - akcent 2 2 8 3" xfId="2182" xr:uid="{00000000-0005-0000-0000-000023070000}"/>
    <cellStyle name="20% - akcent 2 2 8 4" xfId="2183" xr:uid="{00000000-0005-0000-0000-000024070000}"/>
    <cellStyle name="20% - akcent 2 2 8 4 10" xfId="2184" xr:uid="{00000000-0005-0000-0000-000025070000}"/>
    <cellStyle name="20% - akcent 2 2 8 4 11" xfId="2185" xr:uid="{00000000-0005-0000-0000-000026070000}"/>
    <cellStyle name="20% - akcent 2 2 8 4 2" xfId="2186" xr:uid="{00000000-0005-0000-0000-000027070000}"/>
    <cellStyle name="20% - akcent 2 2 8 4 2 2" xfId="2187" xr:uid="{00000000-0005-0000-0000-000028070000}"/>
    <cellStyle name="20% - akcent 2 2 8 4 2 2 2" xfId="2188" xr:uid="{00000000-0005-0000-0000-000029070000}"/>
    <cellStyle name="20% - akcent 2 2 8 4 2 2 3" xfId="2189" xr:uid="{00000000-0005-0000-0000-00002A070000}"/>
    <cellStyle name="20% - akcent 2 2 8 4 2 2 4" xfId="2190" xr:uid="{00000000-0005-0000-0000-00002B070000}"/>
    <cellStyle name="20% - akcent 2 2 8 4 2 2 5" xfId="2191" xr:uid="{00000000-0005-0000-0000-00002C070000}"/>
    <cellStyle name="20% - akcent 2 2 8 4 2 2 6" xfId="2192" xr:uid="{00000000-0005-0000-0000-00002D070000}"/>
    <cellStyle name="20% - akcent 2 2 8 4 2 3" xfId="2193" xr:uid="{00000000-0005-0000-0000-00002E070000}"/>
    <cellStyle name="20% - akcent 2 2 8 4 2 4" xfId="2194" xr:uid="{00000000-0005-0000-0000-00002F070000}"/>
    <cellStyle name="20% - akcent 2 2 8 4 2 5" xfId="2195" xr:uid="{00000000-0005-0000-0000-000030070000}"/>
    <cellStyle name="20% - akcent 2 2 8 4 2 6" xfId="2196" xr:uid="{00000000-0005-0000-0000-000031070000}"/>
    <cellStyle name="20% - akcent 2 2 8 4 2 7" xfId="2197" xr:uid="{00000000-0005-0000-0000-000032070000}"/>
    <cellStyle name="20% - akcent 2 2 8 4 3" xfId="2198" xr:uid="{00000000-0005-0000-0000-000033070000}"/>
    <cellStyle name="20% - akcent 2 2 8 4 4" xfId="2199" xr:uid="{00000000-0005-0000-0000-000034070000}"/>
    <cellStyle name="20% - akcent 2 2 8 4 5" xfId="2200" xr:uid="{00000000-0005-0000-0000-000035070000}"/>
    <cellStyle name="20% - akcent 2 2 8 4 6" xfId="2201" xr:uid="{00000000-0005-0000-0000-000036070000}"/>
    <cellStyle name="20% - akcent 2 2 8 4 7" xfId="2202" xr:uid="{00000000-0005-0000-0000-000037070000}"/>
    <cellStyle name="20% - akcent 2 2 8 4 7 2" xfId="2203" xr:uid="{00000000-0005-0000-0000-000038070000}"/>
    <cellStyle name="20% - akcent 2 2 8 4 7 3" xfId="2204" xr:uid="{00000000-0005-0000-0000-000039070000}"/>
    <cellStyle name="20% - akcent 2 2 8 4 7 4" xfId="2205" xr:uid="{00000000-0005-0000-0000-00003A070000}"/>
    <cellStyle name="20% - akcent 2 2 8 4 7 5" xfId="2206" xr:uid="{00000000-0005-0000-0000-00003B070000}"/>
    <cellStyle name="20% - akcent 2 2 8 4 7 6" xfId="2207" xr:uid="{00000000-0005-0000-0000-00003C070000}"/>
    <cellStyle name="20% - akcent 2 2 8 4 8" xfId="2208" xr:uid="{00000000-0005-0000-0000-00003D070000}"/>
    <cellStyle name="20% - akcent 2 2 8 4 9" xfId="2209" xr:uid="{00000000-0005-0000-0000-00003E070000}"/>
    <cellStyle name="20% - akcent 2 2 8 5" xfId="2210" xr:uid="{00000000-0005-0000-0000-00003F070000}"/>
    <cellStyle name="20% - akcent 2 2 8 5 2" xfId="2211" xr:uid="{00000000-0005-0000-0000-000040070000}"/>
    <cellStyle name="20% - akcent 2 2 8 5 2 2" xfId="2212" xr:uid="{00000000-0005-0000-0000-000041070000}"/>
    <cellStyle name="20% - akcent 2 2 8 5 2 3" xfId="2213" xr:uid="{00000000-0005-0000-0000-000042070000}"/>
    <cellStyle name="20% - akcent 2 2 8 5 2 4" xfId="2214" xr:uid="{00000000-0005-0000-0000-000043070000}"/>
    <cellStyle name="20% - akcent 2 2 8 5 2 5" xfId="2215" xr:uid="{00000000-0005-0000-0000-000044070000}"/>
    <cellStyle name="20% - akcent 2 2 8 5 2 6" xfId="2216" xr:uid="{00000000-0005-0000-0000-000045070000}"/>
    <cellStyle name="20% - akcent 2 2 8 5 3" xfId="2217" xr:uid="{00000000-0005-0000-0000-000046070000}"/>
    <cellStyle name="20% - akcent 2 2 8 5 4" xfId="2218" xr:uid="{00000000-0005-0000-0000-000047070000}"/>
    <cellStyle name="20% - akcent 2 2 8 5 5" xfId="2219" xr:uid="{00000000-0005-0000-0000-000048070000}"/>
    <cellStyle name="20% - akcent 2 2 8 5 6" xfId="2220" xr:uid="{00000000-0005-0000-0000-000049070000}"/>
    <cellStyle name="20% - akcent 2 2 8 5 7" xfId="2221" xr:uid="{00000000-0005-0000-0000-00004A070000}"/>
    <cellStyle name="20% - akcent 2 2 8 6" xfId="2222" xr:uid="{00000000-0005-0000-0000-00004B070000}"/>
    <cellStyle name="20% - akcent 2 2 8 7" xfId="2223" xr:uid="{00000000-0005-0000-0000-00004C070000}"/>
    <cellStyle name="20% - akcent 2 2 8 8" xfId="2224" xr:uid="{00000000-0005-0000-0000-00004D070000}"/>
    <cellStyle name="20% - akcent 2 2 8 9" xfId="2225" xr:uid="{00000000-0005-0000-0000-00004E070000}"/>
    <cellStyle name="20% - akcent 2 2 8 9 2" xfId="2226" xr:uid="{00000000-0005-0000-0000-00004F070000}"/>
    <cellStyle name="20% - akcent 2 2 8 9 3" xfId="2227" xr:uid="{00000000-0005-0000-0000-000050070000}"/>
    <cellStyle name="20% - akcent 2 2 8 9 4" xfId="2228" xr:uid="{00000000-0005-0000-0000-000051070000}"/>
    <cellStyle name="20% - akcent 2 2 8 9 5" xfId="2229" xr:uid="{00000000-0005-0000-0000-000052070000}"/>
    <cellStyle name="20% - akcent 2 2 8 9 6" xfId="2230" xr:uid="{00000000-0005-0000-0000-000053070000}"/>
    <cellStyle name="20% - akcent 2 2 9" xfId="2231" xr:uid="{00000000-0005-0000-0000-000054070000}"/>
    <cellStyle name="20% - akcent 2 2_archeolagia" xfId="2232" xr:uid="{00000000-0005-0000-0000-000055070000}"/>
    <cellStyle name="20% - akcent 2 3" xfId="29" xr:uid="{00000000-0005-0000-0000-000056070000}"/>
    <cellStyle name="20% - akcent 2 3 2" xfId="30" xr:uid="{00000000-0005-0000-0000-000057070000}"/>
    <cellStyle name="20% - akcent 2 3 2 2" xfId="2234" xr:uid="{00000000-0005-0000-0000-000058070000}"/>
    <cellStyle name="20% - akcent 2 3 3" xfId="2235" xr:uid="{00000000-0005-0000-0000-000059070000}"/>
    <cellStyle name="20% - akcent 2 3 4" xfId="2236" xr:uid="{00000000-0005-0000-0000-00005A070000}"/>
    <cellStyle name="20% - akcent 2 3 5" xfId="2237" xr:uid="{00000000-0005-0000-0000-00005B070000}"/>
    <cellStyle name="20% - akcent 2 3 6" xfId="2233" xr:uid="{00000000-0005-0000-0000-00005C070000}"/>
    <cellStyle name="20% - akcent 2 4" xfId="31" xr:uid="{00000000-0005-0000-0000-00005D070000}"/>
    <cellStyle name="20% - akcent 2 4 2" xfId="32" xr:uid="{00000000-0005-0000-0000-00005E070000}"/>
    <cellStyle name="20% - akcent 2 4 2 2" xfId="2239" xr:uid="{00000000-0005-0000-0000-00005F070000}"/>
    <cellStyle name="20% - akcent 2 4 3" xfId="2240" xr:uid="{00000000-0005-0000-0000-000060070000}"/>
    <cellStyle name="20% - akcent 2 4 4" xfId="2241" xr:uid="{00000000-0005-0000-0000-000061070000}"/>
    <cellStyle name="20% - akcent 2 4 5" xfId="2242" xr:uid="{00000000-0005-0000-0000-000062070000}"/>
    <cellStyle name="20% - akcent 2 4 6" xfId="2238" xr:uid="{00000000-0005-0000-0000-000063070000}"/>
    <cellStyle name="20% - akcent 2 5" xfId="33" xr:uid="{00000000-0005-0000-0000-000064070000}"/>
    <cellStyle name="20% - akcent 2 5 2" xfId="34" xr:uid="{00000000-0005-0000-0000-000065070000}"/>
    <cellStyle name="20% - akcent 2 5 2 2" xfId="2244" xr:uid="{00000000-0005-0000-0000-000066070000}"/>
    <cellStyle name="20% - akcent 2 5 3" xfId="2245" xr:uid="{00000000-0005-0000-0000-000067070000}"/>
    <cellStyle name="20% - akcent 2 5 4" xfId="2246" xr:uid="{00000000-0005-0000-0000-000068070000}"/>
    <cellStyle name="20% - akcent 2 5 5" xfId="2247" xr:uid="{00000000-0005-0000-0000-000069070000}"/>
    <cellStyle name="20% - akcent 2 5 6" xfId="2243" xr:uid="{00000000-0005-0000-0000-00006A070000}"/>
    <cellStyle name="20% - akcent 2 6" xfId="35" xr:uid="{00000000-0005-0000-0000-00006B070000}"/>
    <cellStyle name="20% - akcent 2 6 2" xfId="36" xr:uid="{00000000-0005-0000-0000-00006C070000}"/>
    <cellStyle name="20% - akcent 2 6 2 2" xfId="2249" xr:uid="{00000000-0005-0000-0000-00006D070000}"/>
    <cellStyle name="20% - akcent 2 6 3" xfId="2250" xr:uid="{00000000-0005-0000-0000-00006E070000}"/>
    <cellStyle name="20% - akcent 2 6 4" xfId="2251" xr:uid="{00000000-0005-0000-0000-00006F070000}"/>
    <cellStyle name="20% - akcent 2 6 5" xfId="2252" xr:uid="{00000000-0005-0000-0000-000070070000}"/>
    <cellStyle name="20% - akcent 2 6 6" xfId="2248" xr:uid="{00000000-0005-0000-0000-000071070000}"/>
    <cellStyle name="20% - akcent 2 7" xfId="37" xr:uid="{00000000-0005-0000-0000-000072070000}"/>
    <cellStyle name="20% - akcent 2 7 2" xfId="38" xr:uid="{00000000-0005-0000-0000-000073070000}"/>
    <cellStyle name="20% - akcent 2 7 2 2" xfId="2254" xr:uid="{00000000-0005-0000-0000-000074070000}"/>
    <cellStyle name="20% - akcent 2 7 3" xfId="2255" xr:uid="{00000000-0005-0000-0000-000075070000}"/>
    <cellStyle name="20% - akcent 2 7 4" xfId="2256" xr:uid="{00000000-0005-0000-0000-000076070000}"/>
    <cellStyle name="20% - akcent 2 7 5" xfId="2257" xr:uid="{00000000-0005-0000-0000-000077070000}"/>
    <cellStyle name="20% - akcent 2 7 6" xfId="2253" xr:uid="{00000000-0005-0000-0000-000078070000}"/>
    <cellStyle name="20% - akcent 2 8" xfId="2258" xr:uid="{00000000-0005-0000-0000-000079070000}"/>
    <cellStyle name="20% - akcent 2 8 2" xfId="2259" xr:uid="{00000000-0005-0000-0000-00007A070000}"/>
    <cellStyle name="20% - akcent 2 8 3" xfId="2260" xr:uid="{00000000-0005-0000-0000-00007B070000}"/>
    <cellStyle name="20% - akcent 2 8 4" xfId="2261" xr:uid="{00000000-0005-0000-0000-00007C070000}"/>
    <cellStyle name="20% - akcent 2 9" xfId="2262" xr:uid="{00000000-0005-0000-0000-00007D070000}"/>
    <cellStyle name="20% - akcent 3 1" xfId="2263" xr:uid="{00000000-0005-0000-0000-00007E070000}"/>
    <cellStyle name="20% - akcent 3 10" xfId="2264" xr:uid="{00000000-0005-0000-0000-00007F070000}"/>
    <cellStyle name="20% - akcent 3 11" xfId="2265" xr:uid="{00000000-0005-0000-0000-000080070000}"/>
    <cellStyle name="20% - akcent 3 12" xfId="2266" xr:uid="{00000000-0005-0000-0000-000081070000}"/>
    <cellStyle name="20% - akcent 3 13" xfId="2267" xr:uid="{00000000-0005-0000-0000-000082070000}"/>
    <cellStyle name="20% - akcent 3 14" xfId="2268" xr:uid="{00000000-0005-0000-0000-000083070000}"/>
    <cellStyle name="20% - akcent 3 15" xfId="2269" xr:uid="{00000000-0005-0000-0000-000084070000}"/>
    <cellStyle name="20% - akcent 3 16" xfId="2270" xr:uid="{00000000-0005-0000-0000-000085070000}"/>
    <cellStyle name="20% - akcent 3 17" xfId="2271" xr:uid="{00000000-0005-0000-0000-000086070000}"/>
    <cellStyle name="20% - akcent 3 18" xfId="2272" xr:uid="{00000000-0005-0000-0000-000087070000}"/>
    <cellStyle name="20% - akcent 3 19" xfId="2273" xr:uid="{00000000-0005-0000-0000-000088070000}"/>
    <cellStyle name="20% - akcent 3 2" xfId="39" xr:uid="{00000000-0005-0000-0000-000089070000}"/>
    <cellStyle name="20% - akcent 3 2 10" xfId="2275" xr:uid="{00000000-0005-0000-0000-00008A070000}"/>
    <cellStyle name="20% - akcent 3 2 11" xfId="2276" xr:uid="{00000000-0005-0000-0000-00008B070000}"/>
    <cellStyle name="20% - akcent 3 2 12" xfId="2277" xr:uid="{00000000-0005-0000-0000-00008C070000}"/>
    <cellStyle name="20% - akcent 3 2 13" xfId="2278" xr:uid="{00000000-0005-0000-0000-00008D070000}"/>
    <cellStyle name="20% - akcent 3 2 13 10" xfId="2279" xr:uid="{00000000-0005-0000-0000-00008E070000}"/>
    <cellStyle name="20% - akcent 3 2 13 11" xfId="2280" xr:uid="{00000000-0005-0000-0000-00008F070000}"/>
    <cellStyle name="20% - akcent 3 2 13 12" xfId="2281" xr:uid="{00000000-0005-0000-0000-000090070000}"/>
    <cellStyle name="20% - akcent 3 2 13 2" xfId="2282" xr:uid="{00000000-0005-0000-0000-000091070000}"/>
    <cellStyle name="20% - akcent 3 2 13 2 10" xfId="2283" xr:uid="{00000000-0005-0000-0000-000092070000}"/>
    <cellStyle name="20% - akcent 3 2 13 2 11" xfId="2284" xr:uid="{00000000-0005-0000-0000-000093070000}"/>
    <cellStyle name="20% - akcent 3 2 13 2 2" xfId="2285" xr:uid="{00000000-0005-0000-0000-000094070000}"/>
    <cellStyle name="20% - akcent 3 2 13 2 2 10" xfId="2286" xr:uid="{00000000-0005-0000-0000-000095070000}"/>
    <cellStyle name="20% - akcent 3 2 13 2 2 11" xfId="2287" xr:uid="{00000000-0005-0000-0000-000096070000}"/>
    <cellStyle name="20% - akcent 3 2 13 2 2 2" xfId="2288" xr:uid="{00000000-0005-0000-0000-000097070000}"/>
    <cellStyle name="20% - akcent 3 2 13 2 2 2 2" xfId="2289" xr:uid="{00000000-0005-0000-0000-000098070000}"/>
    <cellStyle name="20% - akcent 3 2 13 2 2 2 2 2" xfId="2290" xr:uid="{00000000-0005-0000-0000-000099070000}"/>
    <cellStyle name="20% - akcent 3 2 13 2 2 2 2 3" xfId="2291" xr:uid="{00000000-0005-0000-0000-00009A070000}"/>
    <cellStyle name="20% - akcent 3 2 13 2 2 2 2 4" xfId="2292" xr:uid="{00000000-0005-0000-0000-00009B070000}"/>
    <cellStyle name="20% - akcent 3 2 13 2 2 2 2 5" xfId="2293" xr:uid="{00000000-0005-0000-0000-00009C070000}"/>
    <cellStyle name="20% - akcent 3 2 13 2 2 2 2 6" xfId="2294" xr:uid="{00000000-0005-0000-0000-00009D070000}"/>
    <cellStyle name="20% - akcent 3 2 13 2 2 2 3" xfId="2295" xr:uid="{00000000-0005-0000-0000-00009E070000}"/>
    <cellStyle name="20% - akcent 3 2 13 2 2 2 4" xfId="2296" xr:uid="{00000000-0005-0000-0000-00009F070000}"/>
    <cellStyle name="20% - akcent 3 2 13 2 2 2 5" xfId="2297" xr:uid="{00000000-0005-0000-0000-0000A0070000}"/>
    <cellStyle name="20% - akcent 3 2 13 2 2 2 6" xfId="2298" xr:uid="{00000000-0005-0000-0000-0000A1070000}"/>
    <cellStyle name="20% - akcent 3 2 13 2 2 2 7" xfId="2299" xr:uid="{00000000-0005-0000-0000-0000A2070000}"/>
    <cellStyle name="20% - akcent 3 2 13 2 2 3" xfId="2300" xr:uid="{00000000-0005-0000-0000-0000A3070000}"/>
    <cellStyle name="20% - akcent 3 2 13 2 2 4" xfId="2301" xr:uid="{00000000-0005-0000-0000-0000A4070000}"/>
    <cellStyle name="20% - akcent 3 2 13 2 2 5" xfId="2302" xr:uid="{00000000-0005-0000-0000-0000A5070000}"/>
    <cellStyle name="20% - akcent 3 2 13 2 2 6" xfId="2303" xr:uid="{00000000-0005-0000-0000-0000A6070000}"/>
    <cellStyle name="20% - akcent 3 2 13 2 2 7" xfId="2304" xr:uid="{00000000-0005-0000-0000-0000A7070000}"/>
    <cellStyle name="20% - akcent 3 2 13 2 2 7 2" xfId="2305" xr:uid="{00000000-0005-0000-0000-0000A8070000}"/>
    <cellStyle name="20% - akcent 3 2 13 2 2 7 3" xfId="2306" xr:uid="{00000000-0005-0000-0000-0000A9070000}"/>
    <cellStyle name="20% - akcent 3 2 13 2 2 7 4" xfId="2307" xr:uid="{00000000-0005-0000-0000-0000AA070000}"/>
    <cellStyle name="20% - akcent 3 2 13 2 2 7 5" xfId="2308" xr:uid="{00000000-0005-0000-0000-0000AB070000}"/>
    <cellStyle name="20% - akcent 3 2 13 2 2 7 6" xfId="2309" xr:uid="{00000000-0005-0000-0000-0000AC070000}"/>
    <cellStyle name="20% - akcent 3 2 13 2 2 8" xfId="2310" xr:uid="{00000000-0005-0000-0000-0000AD070000}"/>
    <cellStyle name="20% - akcent 3 2 13 2 2 9" xfId="2311" xr:uid="{00000000-0005-0000-0000-0000AE070000}"/>
    <cellStyle name="20% - akcent 3 2 13 2 3" xfId="2312" xr:uid="{00000000-0005-0000-0000-0000AF070000}"/>
    <cellStyle name="20% - akcent 3 2 13 2 3 2" xfId="2313" xr:uid="{00000000-0005-0000-0000-0000B0070000}"/>
    <cellStyle name="20% - akcent 3 2 13 2 3 2 2" xfId="2314" xr:uid="{00000000-0005-0000-0000-0000B1070000}"/>
    <cellStyle name="20% - akcent 3 2 13 2 3 2 3" xfId="2315" xr:uid="{00000000-0005-0000-0000-0000B2070000}"/>
    <cellStyle name="20% - akcent 3 2 13 2 3 2 4" xfId="2316" xr:uid="{00000000-0005-0000-0000-0000B3070000}"/>
    <cellStyle name="20% - akcent 3 2 13 2 3 2 5" xfId="2317" xr:uid="{00000000-0005-0000-0000-0000B4070000}"/>
    <cellStyle name="20% - akcent 3 2 13 2 3 2 6" xfId="2318" xr:uid="{00000000-0005-0000-0000-0000B5070000}"/>
    <cellStyle name="20% - akcent 3 2 13 2 3 3" xfId="2319" xr:uid="{00000000-0005-0000-0000-0000B6070000}"/>
    <cellStyle name="20% - akcent 3 2 13 2 3 4" xfId="2320" xr:uid="{00000000-0005-0000-0000-0000B7070000}"/>
    <cellStyle name="20% - akcent 3 2 13 2 3 5" xfId="2321" xr:uid="{00000000-0005-0000-0000-0000B8070000}"/>
    <cellStyle name="20% - akcent 3 2 13 2 3 6" xfId="2322" xr:uid="{00000000-0005-0000-0000-0000B9070000}"/>
    <cellStyle name="20% - akcent 3 2 13 2 3 7" xfId="2323" xr:uid="{00000000-0005-0000-0000-0000BA070000}"/>
    <cellStyle name="20% - akcent 3 2 13 2 4" xfId="2324" xr:uid="{00000000-0005-0000-0000-0000BB070000}"/>
    <cellStyle name="20% - akcent 3 2 13 2 5" xfId="2325" xr:uid="{00000000-0005-0000-0000-0000BC070000}"/>
    <cellStyle name="20% - akcent 3 2 13 2 6" xfId="2326" xr:uid="{00000000-0005-0000-0000-0000BD070000}"/>
    <cellStyle name="20% - akcent 3 2 13 2 7" xfId="2327" xr:uid="{00000000-0005-0000-0000-0000BE070000}"/>
    <cellStyle name="20% - akcent 3 2 13 2 7 2" xfId="2328" xr:uid="{00000000-0005-0000-0000-0000BF070000}"/>
    <cellStyle name="20% - akcent 3 2 13 2 7 3" xfId="2329" xr:uid="{00000000-0005-0000-0000-0000C0070000}"/>
    <cellStyle name="20% - akcent 3 2 13 2 7 4" xfId="2330" xr:uid="{00000000-0005-0000-0000-0000C1070000}"/>
    <cellStyle name="20% - akcent 3 2 13 2 7 5" xfId="2331" xr:uid="{00000000-0005-0000-0000-0000C2070000}"/>
    <cellStyle name="20% - akcent 3 2 13 2 7 6" xfId="2332" xr:uid="{00000000-0005-0000-0000-0000C3070000}"/>
    <cellStyle name="20% - akcent 3 2 13 2 8" xfId="2333" xr:uid="{00000000-0005-0000-0000-0000C4070000}"/>
    <cellStyle name="20% - akcent 3 2 13 2 9" xfId="2334" xr:uid="{00000000-0005-0000-0000-0000C5070000}"/>
    <cellStyle name="20% - akcent 3 2 13 3" xfId="2335" xr:uid="{00000000-0005-0000-0000-0000C6070000}"/>
    <cellStyle name="20% - akcent 3 2 13 3 2" xfId="2336" xr:uid="{00000000-0005-0000-0000-0000C7070000}"/>
    <cellStyle name="20% - akcent 3 2 13 3 2 2" xfId="2337" xr:uid="{00000000-0005-0000-0000-0000C8070000}"/>
    <cellStyle name="20% - akcent 3 2 13 3 2 3" xfId="2338" xr:uid="{00000000-0005-0000-0000-0000C9070000}"/>
    <cellStyle name="20% - akcent 3 2 13 3 2 4" xfId="2339" xr:uid="{00000000-0005-0000-0000-0000CA070000}"/>
    <cellStyle name="20% - akcent 3 2 13 3 2 5" xfId="2340" xr:uid="{00000000-0005-0000-0000-0000CB070000}"/>
    <cellStyle name="20% - akcent 3 2 13 3 2 6" xfId="2341" xr:uid="{00000000-0005-0000-0000-0000CC070000}"/>
    <cellStyle name="20% - akcent 3 2 13 3 3" xfId="2342" xr:uid="{00000000-0005-0000-0000-0000CD070000}"/>
    <cellStyle name="20% - akcent 3 2 13 3 4" xfId="2343" xr:uid="{00000000-0005-0000-0000-0000CE070000}"/>
    <cellStyle name="20% - akcent 3 2 13 3 5" xfId="2344" xr:uid="{00000000-0005-0000-0000-0000CF070000}"/>
    <cellStyle name="20% - akcent 3 2 13 3 6" xfId="2345" xr:uid="{00000000-0005-0000-0000-0000D0070000}"/>
    <cellStyle name="20% - akcent 3 2 13 3 7" xfId="2346" xr:uid="{00000000-0005-0000-0000-0000D1070000}"/>
    <cellStyle name="20% - akcent 3 2 13 4" xfId="2347" xr:uid="{00000000-0005-0000-0000-0000D2070000}"/>
    <cellStyle name="20% - akcent 3 2 13 5" xfId="2348" xr:uid="{00000000-0005-0000-0000-0000D3070000}"/>
    <cellStyle name="20% - akcent 3 2 13 6" xfId="2349" xr:uid="{00000000-0005-0000-0000-0000D4070000}"/>
    <cellStyle name="20% - akcent 3 2 13 7" xfId="2350" xr:uid="{00000000-0005-0000-0000-0000D5070000}"/>
    <cellStyle name="20% - akcent 3 2 13 8" xfId="2351" xr:uid="{00000000-0005-0000-0000-0000D6070000}"/>
    <cellStyle name="20% - akcent 3 2 13 8 2" xfId="2352" xr:uid="{00000000-0005-0000-0000-0000D7070000}"/>
    <cellStyle name="20% - akcent 3 2 13 8 3" xfId="2353" xr:uid="{00000000-0005-0000-0000-0000D8070000}"/>
    <cellStyle name="20% - akcent 3 2 13 8 4" xfId="2354" xr:uid="{00000000-0005-0000-0000-0000D9070000}"/>
    <cellStyle name="20% - akcent 3 2 13 8 5" xfId="2355" xr:uid="{00000000-0005-0000-0000-0000DA070000}"/>
    <cellStyle name="20% - akcent 3 2 13 8 6" xfId="2356" xr:uid="{00000000-0005-0000-0000-0000DB070000}"/>
    <cellStyle name="20% - akcent 3 2 13 9" xfId="2357" xr:uid="{00000000-0005-0000-0000-0000DC070000}"/>
    <cellStyle name="20% - akcent 3 2 14" xfId="2358" xr:uid="{00000000-0005-0000-0000-0000DD070000}"/>
    <cellStyle name="20% - akcent 3 2 14 10" xfId="2359" xr:uid="{00000000-0005-0000-0000-0000DE070000}"/>
    <cellStyle name="20% - akcent 3 2 14 11" xfId="2360" xr:uid="{00000000-0005-0000-0000-0000DF070000}"/>
    <cellStyle name="20% - akcent 3 2 14 2" xfId="2361" xr:uid="{00000000-0005-0000-0000-0000E0070000}"/>
    <cellStyle name="20% - akcent 3 2 14 2 2" xfId="2362" xr:uid="{00000000-0005-0000-0000-0000E1070000}"/>
    <cellStyle name="20% - akcent 3 2 14 2 2 2" xfId="2363" xr:uid="{00000000-0005-0000-0000-0000E2070000}"/>
    <cellStyle name="20% - akcent 3 2 14 2 2 3" xfId="2364" xr:uid="{00000000-0005-0000-0000-0000E3070000}"/>
    <cellStyle name="20% - akcent 3 2 14 2 2 4" xfId="2365" xr:uid="{00000000-0005-0000-0000-0000E4070000}"/>
    <cellStyle name="20% - akcent 3 2 14 2 2 5" xfId="2366" xr:uid="{00000000-0005-0000-0000-0000E5070000}"/>
    <cellStyle name="20% - akcent 3 2 14 2 2 6" xfId="2367" xr:uid="{00000000-0005-0000-0000-0000E6070000}"/>
    <cellStyle name="20% - akcent 3 2 14 2 3" xfId="2368" xr:uid="{00000000-0005-0000-0000-0000E7070000}"/>
    <cellStyle name="20% - akcent 3 2 14 2 4" xfId="2369" xr:uid="{00000000-0005-0000-0000-0000E8070000}"/>
    <cellStyle name="20% - akcent 3 2 14 2 5" xfId="2370" xr:uid="{00000000-0005-0000-0000-0000E9070000}"/>
    <cellStyle name="20% - akcent 3 2 14 2 6" xfId="2371" xr:uid="{00000000-0005-0000-0000-0000EA070000}"/>
    <cellStyle name="20% - akcent 3 2 14 2 7" xfId="2372" xr:uid="{00000000-0005-0000-0000-0000EB070000}"/>
    <cellStyle name="20% - akcent 3 2 14 3" xfId="2373" xr:uid="{00000000-0005-0000-0000-0000EC070000}"/>
    <cellStyle name="20% - akcent 3 2 14 4" xfId="2374" xr:uid="{00000000-0005-0000-0000-0000ED070000}"/>
    <cellStyle name="20% - akcent 3 2 14 5" xfId="2375" xr:uid="{00000000-0005-0000-0000-0000EE070000}"/>
    <cellStyle name="20% - akcent 3 2 14 6" xfId="2376" xr:uid="{00000000-0005-0000-0000-0000EF070000}"/>
    <cellStyle name="20% - akcent 3 2 14 7" xfId="2377" xr:uid="{00000000-0005-0000-0000-0000F0070000}"/>
    <cellStyle name="20% - akcent 3 2 14 7 2" xfId="2378" xr:uid="{00000000-0005-0000-0000-0000F1070000}"/>
    <cellStyle name="20% - akcent 3 2 14 7 3" xfId="2379" xr:uid="{00000000-0005-0000-0000-0000F2070000}"/>
    <cellStyle name="20% - akcent 3 2 14 7 4" xfId="2380" xr:uid="{00000000-0005-0000-0000-0000F3070000}"/>
    <cellStyle name="20% - akcent 3 2 14 7 5" xfId="2381" xr:uid="{00000000-0005-0000-0000-0000F4070000}"/>
    <cellStyle name="20% - akcent 3 2 14 7 6" xfId="2382" xr:uid="{00000000-0005-0000-0000-0000F5070000}"/>
    <cellStyle name="20% - akcent 3 2 14 8" xfId="2383" xr:uid="{00000000-0005-0000-0000-0000F6070000}"/>
    <cellStyle name="20% - akcent 3 2 14 9" xfId="2384" xr:uid="{00000000-0005-0000-0000-0000F7070000}"/>
    <cellStyle name="20% - akcent 3 2 15" xfId="2385" xr:uid="{00000000-0005-0000-0000-0000F8070000}"/>
    <cellStyle name="20% - akcent 3 2 15 2" xfId="2386" xr:uid="{00000000-0005-0000-0000-0000F9070000}"/>
    <cellStyle name="20% - akcent 3 2 15 2 2" xfId="2387" xr:uid="{00000000-0005-0000-0000-0000FA070000}"/>
    <cellStyle name="20% - akcent 3 2 15 2 3" xfId="2388" xr:uid="{00000000-0005-0000-0000-0000FB070000}"/>
    <cellStyle name="20% - akcent 3 2 15 2 4" xfId="2389" xr:uid="{00000000-0005-0000-0000-0000FC070000}"/>
    <cellStyle name="20% - akcent 3 2 15 2 5" xfId="2390" xr:uid="{00000000-0005-0000-0000-0000FD070000}"/>
    <cellStyle name="20% - akcent 3 2 15 2 6" xfId="2391" xr:uid="{00000000-0005-0000-0000-0000FE070000}"/>
    <cellStyle name="20% - akcent 3 2 15 3" xfId="2392" xr:uid="{00000000-0005-0000-0000-0000FF070000}"/>
    <cellStyle name="20% - akcent 3 2 15 4" xfId="2393" xr:uid="{00000000-0005-0000-0000-000000080000}"/>
    <cellStyle name="20% - akcent 3 2 15 5" xfId="2394" xr:uid="{00000000-0005-0000-0000-000001080000}"/>
    <cellStyle name="20% - akcent 3 2 15 6" xfId="2395" xr:uid="{00000000-0005-0000-0000-000002080000}"/>
    <cellStyle name="20% - akcent 3 2 15 7" xfId="2396" xr:uid="{00000000-0005-0000-0000-000003080000}"/>
    <cellStyle name="20% - akcent 3 2 16" xfId="2397" xr:uid="{00000000-0005-0000-0000-000004080000}"/>
    <cellStyle name="20% - akcent 3 2 17" xfId="2398" xr:uid="{00000000-0005-0000-0000-000005080000}"/>
    <cellStyle name="20% - akcent 3 2 18" xfId="2399" xr:uid="{00000000-0005-0000-0000-000006080000}"/>
    <cellStyle name="20% - akcent 3 2 19" xfId="2400" xr:uid="{00000000-0005-0000-0000-000007080000}"/>
    <cellStyle name="20% - akcent 3 2 2" xfId="40" xr:uid="{00000000-0005-0000-0000-000008080000}"/>
    <cellStyle name="20% - akcent 3 2 2 10" xfId="2402" xr:uid="{00000000-0005-0000-0000-000009080000}"/>
    <cellStyle name="20% - akcent 3 2 2 10 10" xfId="2403" xr:uid="{00000000-0005-0000-0000-00000A080000}"/>
    <cellStyle name="20% - akcent 3 2 2 10 11" xfId="2404" xr:uid="{00000000-0005-0000-0000-00000B080000}"/>
    <cellStyle name="20% - akcent 3 2 2 10 12" xfId="2405" xr:uid="{00000000-0005-0000-0000-00000C080000}"/>
    <cellStyle name="20% - akcent 3 2 2 10 2" xfId="2406" xr:uid="{00000000-0005-0000-0000-00000D080000}"/>
    <cellStyle name="20% - akcent 3 2 2 10 2 10" xfId="2407" xr:uid="{00000000-0005-0000-0000-00000E080000}"/>
    <cellStyle name="20% - akcent 3 2 2 10 2 11" xfId="2408" xr:uid="{00000000-0005-0000-0000-00000F080000}"/>
    <cellStyle name="20% - akcent 3 2 2 10 2 2" xfId="2409" xr:uid="{00000000-0005-0000-0000-000010080000}"/>
    <cellStyle name="20% - akcent 3 2 2 10 2 2 10" xfId="2410" xr:uid="{00000000-0005-0000-0000-000011080000}"/>
    <cellStyle name="20% - akcent 3 2 2 10 2 2 11" xfId="2411" xr:uid="{00000000-0005-0000-0000-000012080000}"/>
    <cellStyle name="20% - akcent 3 2 2 10 2 2 2" xfId="2412" xr:uid="{00000000-0005-0000-0000-000013080000}"/>
    <cellStyle name="20% - akcent 3 2 2 10 2 2 2 2" xfId="2413" xr:uid="{00000000-0005-0000-0000-000014080000}"/>
    <cellStyle name="20% - akcent 3 2 2 10 2 2 2 2 2" xfId="2414" xr:uid="{00000000-0005-0000-0000-000015080000}"/>
    <cellStyle name="20% - akcent 3 2 2 10 2 2 2 2 3" xfId="2415" xr:uid="{00000000-0005-0000-0000-000016080000}"/>
    <cellStyle name="20% - akcent 3 2 2 10 2 2 2 2 4" xfId="2416" xr:uid="{00000000-0005-0000-0000-000017080000}"/>
    <cellStyle name="20% - akcent 3 2 2 10 2 2 2 2 5" xfId="2417" xr:uid="{00000000-0005-0000-0000-000018080000}"/>
    <cellStyle name="20% - akcent 3 2 2 10 2 2 2 2 6" xfId="2418" xr:uid="{00000000-0005-0000-0000-000019080000}"/>
    <cellStyle name="20% - akcent 3 2 2 10 2 2 2 3" xfId="2419" xr:uid="{00000000-0005-0000-0000-00001A080000}"/>
    <cellStyle name="20% - akcent 3 2 2 10 2 2 2 4" xfId="2420" xr:uid="{00000000-0005-0000-0000-00001B080000}"/>
    <cellStyle name="20% - akcent 3 2 2 10 2 2 2 5" xfId="2421" xr:uid="{00000000-0005-0000-0000-00001C080000}"/>
    <cellStyle name="20% - akcent 3 2 2 10 2 2 2 6" xfId="2422" xr:uid="{00000000-0005-0000-0000-00001D080000}"/>
    <cellStyle name="20% - akcent 3 2 2 10 2 2 2 7" xfId="2423" xr:uid="{00000000-0005-0000-0000-00001E080000}"/>
    <cellStyle name="20% - akcent 3 2 2 10 2 2 3" xfId="2424" xr:uid="{00000000-0005-0000-0000-00001F080000}"/>
    <cellStyle name="20% - akcent 3 2 2 10 2 2 4" xfId="2425" xr:uid="{00000000-0005-0000-0000-000020080000}"/>
    <cellStyle name="20% - akcent 3 2 2 10 2 2 5" xfId="2426" xr:uid="{00000000-0005-0000-0000-000021080000}"/>
    <cellStyle name="20% - akcent 3 2 2 10 2 2 6" xfId="2427" xr:uid="{00000000-0005-0000-0000-000022080000}"/>
    <cellStyle name="20% - akcent 3 2 2 10 2 2 7" xfId="2428" xr:uid="{00000000-0005-0000-0000-000023080000}"/>
    <cellStyle name="20% - akcent 3 2 2 10 2 2 7 2" xfId="2429" xr:uid="{00000000-0005-0000-0000-000024080000}"/>
    <cellStyle name="20% - akcent 3 2 2 10 2 2 7 3" xfId="2430" xr:uid="{00000000-0005-0000-0000-000025080000}"/>
    <cellStyle name="20% - akcent 3 2 2 10 2 2 7 4" xfId="2431" xr:uid="{00000000-0005-0000-0000-000026080000}"/>
    <cellStyle name="20% - akcent 3 2 2 10 2 2 7 5" xfId="2432" xr:uid="{00000000-0005-0000-0000-000027080000}"/>
    <cellStyle name="20% - akcent 3 2 2 10 2 2 7 6" xfId="2433" xr:uid="{00000000-0005-0000-0000-000028080000}"/>
    <cellStyle name="20% - akcent 3 2 2 10 2 2 8" xfId="2434" xr:uid="{00000000-0005-0000-0000-000029080000}"/>
    <cellStyle name="20% - akcent 3 2 2 10 2 2 9" xfId="2435" xr:uid="{00000000-0005-0000-0000-00002A080000}"/>
    <cellStyle name="20% - akcent 3 2 2 10 2 3" xfId="2436" xr:uid="{00000000-0005-0000-0000-00002B080000}"/>
    <cellStyle name="20% - akcent 3 2 2 10 2 3 2" xfId="2437" xr:uid="{00000000-0005-0000-0000-00002C080000}"/>
    <cellStyle name="20% - akcent 3 2 2 10 2 3 2 2" xfId="2438" xr:uid="{00000000-0005-0000-0000-00002D080000}"/>
    <cellStyle name="20% - akcent 3 2 2 10 2 3 2 3" xfId="2439" xr:uid="{00000000-0005-0000-0000-00002E080000}"/>
    <cellStyle name="20% - akcent 3 2 2 10 2 3 2 4" xfId="2440" xr:uid="{00000000-0005-0000-0000-00002F080000}"/>
    <cellStyle name="20% - akcent 3 2 2 10 2 3 2 5" xfId="2441" xr:uid="{00000000-0005-0000-0000-000030080000}"/>
    <cellStyle name="20% - akcent 3 2 2 10 2 3 2 6" xfId="2442" xr:uid="{00000000-0005-0000-0000-000031080000}"/>
    <cellStyle name="20% - akcent 3 2 2 10 2 3 3" xfId="2443" xr:uid="{00000000-0005-0000-0000-000032080000}"/>
    <cellStyle name="20% - akcent 3 2 2 10 2 3 4" xfId="2444" xr:uid="{00000000-0005-0000-0000-000033080000}"/>
    <cellStyle name="20% - akcent 3 2 2 10 2 3 5" xfId="2445" xr:uid="{00000000-0005-0000-0000-000034080000}"/>
    <cellStyle name="20% - akcent 3 2 2 10 2 3 6" xfId="2446" xr:uid="{00000000-0005-0000-0000-000035080000}"/>
    <cellStyle name="20% - akcent 3 2 2 10 2 3 7" xfId="2447" xr:uid="{00000000-0005-0000-0000-000036080000}"/>
    <cellStyle name="20% - akcent 3 2 2 10 2 4" xfId="2448" xr:uid="{00000000-0005-0000-0000-000037080000}"/>
    <cellStyle name="20% - akcent 3 2 2 10 2 5" xfId="2449" xr:uid="{00000000-0005-0000-0000-000038080000}"/>
    <cellStyle name="20% - akcent 3 2 2 10 2 6" xfId="2450" xr:uid="{00000000-0005-0000-0000-000039080000}"/>
    <cellStyle name="20% - akcent 3 2 2 10 2 7" xfId="2451" xr:uid="{00000000-0005-0000-0000-00003A080000}"/>
    <cellStyle name="20% - akcent 3 2 2 10 2 7 2" xfId="2452" xr:uid="{00000000-0005-0000-0000-00003B080000}"/>
    <cellStyle name="20% - akcent 3 2 2 10 2 7 3" xfId="2453" xr:uid="{00000000-0005-0000-0000-00003C080000}"/>
    <cellStyle name="20% - akcent 3 2 2 10 2 7 4" xfId="2454" xr:uid="{00000000-0005-0000-0000-00003D080000}"/>
    <cellStyle name="20% - akcent 3 2 2 10 2 7 5" xfId="2455" xr:uid="{00000000-0005-0000-0000-00003E080000}"/>
    <cellStyle name="20% - akcent 3 2 2 10 2 7 6" xfId="2456" xr:uid="{00000000-0005-0000-0000-00003F080000}"/>
    <cellStyle name="20% - akcent 3 2 2 10 2 8" xfId="2457" xr:uid="{00000000-0005-0000-0000-000040080000}"/>
    <cellStyle name="20% - akcent 3 2 2 10 2 9" xfId="2458" xr:uid="{00000000-0005-0000-0000-000041080000}"/>
    <cellStyle name="20% - akcent 3 2 2 10 3" xfId="2459" xr:uid="{00000000-0005-0000-0000-000042080000}"/>
    <cellStyle name="20% - akcent 3 2 2 10 3 2" xfId="2460" xr:uid="{00000000-0005-0000-0000-000043080000}"/>
    <cellStyle name="20% - akcent 3 2 2 10 3 2 2" xfId="2461" xr:uid="{00000000-0005-0000-0000-000044080000}"/>
    <cellStyle name="20% - akcent 3 2 2 10 3 2 3" xfId="2462" xr:uid="{00000000-0005-0000-0000-000045080000}"/>
    <cellStyle name="20% - akcent 3 2 2 10 3 2 4" xfId="2463" xr:uid="{00000000-0005-0000-0000-000046080000}"/>
    <cellStyle name="20% - akcent 3 2 2 10 3 2 5" xfId="2464" xr:uid="{00000000-0005-0000-0000-000047080000}"/>
    <cellStyle name="20% - akcent 3 2 2 10 3 2 6" xfId="2465" xr:uid="{00000000-0005-0000-0000-000048080000}"/>
    <cellStyle name="20% - akcent 3 2 2 10 3 3" xfId="2466" xr:uid="{00000000-0005-0000-0000-000049080000}"/>
    <cellStyle name="20% - akcent 3 2 2 10 3 4" xfId="2467" xr:uid="{00000000-0005-0000-0000-00004A080000}"/>
    <cellStyle name="20% - akcent 3 2 2 10 3 5" xfId="2468" xr:uid="{00000000-0005-0000-0000-00004B080000}"/>
    <cellStyle name="20% - akcent 3 2 2 10 3 6" xfId="2469" xr:uid="{00000000-0005-0000-0000-00004C080000}"/>
    <cellStyle name="20% - akcent 3 2 2 10 3 7" xfId="2470" xr:uid="{00000000-0005-0000-0000-00004D080000}"/>
    <cellStyle name="20% - akcent 3 2 2 10 4" xfId="2471" xr:uid="{00000000-0005-0000-0000-00004E080000}"/>
    <cellStyle name="20% - akcent 3 2 2 10 5" xfId="2472" xr:uid="{00000000-0005-0000-0000-00004F080000}"/>
    <cellStyle name="20% - akcent 3 2 2 10 6" xfId="2473" xr:uid="{00000000-0005-0000-0000-000050080000}"/>
    <cellStyle name="20% - akcent 3 2 2 10 7" xfId="2474" xr:uid="{00000000-0005-0000-0000-000051080000}"/>
    <cellStyle name="20% - akcent 3 2 2 10 8" xfId="2475" xr:uid="{00000000-0005-0000-0000-000052080000}"/>
    <cellStyle name="20% - akcent 3 2 2 10 8 2" xfId="2476" xr:uid="{00000000-0005-0000-0000-000053080000}"/>
    <cellStyle name="20% - akcent 3 2 2 10 8 3" xfId="2477" xr:uid="{00000000-0005-0000-0000-000054080000}"/>
    <cellStyle name="20% - akcent 3 2 2 10 8 4" xfId="2478" xr:uid="{00000000-0005-0000-0000-000055080000}"/>
    <cellStyle name="20% - akcent 3 2 2 10 8 5" xfId="2479" xr:uid="{00000000-0005-0000-0000-000056080000}"/>
    <cellStyle name="20% - akcent 3 2 2 10 8 6" xfId="2480" xr:uid="{00000000-0005-0000-0000-000057080000}"/>
    <cellStyle name="20% - akcent 3 2 2 10 9" xfId="2481" xr:uid="{00000000-0005-0000-0000-000058080000}"/>
    <cellStyle name="20% - akcent 3 2 2 11" xfId="2482" xr:uid="{00000000-0005-0000-0000-000059080000}"/>
    <cellStyle name="20% - akcent 3 2 2 11 10" xfId="2483" xr:uid="{00000000-0005-0000-0000-00005A080000}"/>
    <cellStyle name="20% - akcent 3 2 2 11 11" xfId="2484" xr:uid="{00000000-0005-0000-0000-00005B080000}"/>
    <cellStyle name="20% - akcent 3 2 2 11 2" xfId="2485" xr:uid="{00000000-0005-0000-0000-00005C080000}"/>
    <cellStyle name="20% - akcent 3 2 2 11 2 2" xfId="2486" xr:uid="{00000000-0005-0000-0000-00005D080000}"/>
    <cellStyle name="20% - akcent 3 2 2 11 2 2 2" xfId="2487" xr:uid="{00000000-0005-0000-0000-00005E080000}"/>
    <cellStyle name="20% - akcent 3 2 2 11 2 2 3" xfId="2488" xr:uid="{00000000-0005-0000-0000-00005F080000}"/>
    <cellStyle name="20% - akcent 3 2 2 11 2 2 4" xfId="2489" xr:uid="{00000000-0005-0000-0000-000060080000}"/>
    <cellStyle name="20% - akcent 3 2 2 11 2 2 5" xfId="2490" xr:uid="{00000000-0005-0000-0000-000061080000}"/>
    <cellStyle name="20% - akcent 3 2 2 11 2 2 6" xfId="2491" xr:uid="{00000000-0005-0000-0000-000062080000}"/>
    <cellStyle name="20% - akcent 3 2 2 11 2 3" xfId="2492" xr:uid="{00000000-0005-0000-0000-000063080000}"/>
    <cellStyle name="20% - akcent 3 2 2 11 2 4" xfId="2493" xr:uid="{00000000-0005-0000-0000-000064080000}"/>
    <cellStyle name="20% - akcent 3 2 2 11 2 5" xfId="2494" xr:uid="{00000000-0005-0000-0000-000065080000}"/>
    <cellStyle name="20% - akcent 3 2 2 11 2 6" xfId="2495" xr:uid="{00000000-0005-0000-0000-000066080000}"/>
    <cellStyle name="20% - akcent 3 2 2 11 2 7" xfId="2496" xr:uid="{00000000-0005-0000-0000-000067080000}"/>
    <cellStyle name="20% - akcent 3 2 2 11 3" xfId="2497" xr:uid="{00000000-0005-0000-0000-000068080000}"/>
    <cellStyle name="20% - akcent 3 2 2 11 4" xfId="2498" xr:uid="{00000000-0005-0000-0000-000069080000}"/>
    <cellStyle name="20% - akcent 3 2 2 11 5" xfId="2499" xr:uid="{00000000-0005-0000-0000-00006A080000}"/>
    <cellStyle name="20% - akcent 3 2 2 11 6" xfId="2500" xr:uid="{00000000-0005-0000-0000-00006B080000}"/>
    <cellStyle name="20% - akcent 3 2 2 11 7" xfId="2501" xr:uid="{00000000-0005-0000-0000-00006C080000}"/>
    <cellStyle name="20% - akcent 3 2 2 11 7 2" xfId="2502" xr:uid="{00000000-0005-0000-0000-00006D080000}"/>
    <cellStyle name="20% - akcent 3 2 2 11 7 3" xfId="2503" xr:uid="{00000000-0005-0000-0000-00006E080000}"/>
    <cellStyle name="20% - akcent 3 2 2 11 7 4" xfId="2504" xr:uid="{00000000-0005-0000-0000-00006F080000}"/>
    <cellStyle name="20% - akcent 3 2 2 11 7 5" xfId="2505" xr:uid="{00000000-0005-0000-0000-000070080000}"/>
    <cellStyle name="20% - akcent 3 2 2 11 7 6" xfId="2506" xr:uid="{00000000-0005-0000-0000-000071080000}"/>
    <cellStyle name="20% - akcent 3 2 2 11 8" xfId="2507" xr:uid="{00000000-0005-0000-0000-000072080000}"/>
    <cellStyle name="20% - akcent 3 2 2 11 9" xfId="2508" xr:uid="{00000000-0005-0000-0000-000073080000}"/>
    <cellStyle name="20% - akcent 3 2 2 12" xfId="2509" xr:uid="{00000000-0005-0000-0000-000074080000}"/>
    <cellStyle name="20% - akcent 3 2 2 12 2" xfId="2510" xr:uid="{00000000-0005-0000-0000-000075080000}"/>
    <cellStyle name="20% - akcent 3 2 2 12 2 2" xfId="2511" xr:uid="{00000000-0005-0000-0000-000076080000}"/>
    <cellStyle name="20% - akcent 3 2 2 12 2 3" xfId="2512" xr:uid="{00000000-0005-0000-0000-000077080000}"/>
    <cellStyle name="20% - akcent 3 2 2 12 2 4" xfId="2513" xr:uid="{00000000-0005-0000-0000-000078080000}"/>
    <cellStyle name="20% - akcent 3 2 2 12 2 5" xfId="2514" xr:uid="{00000000-0005-0000-0000-000079080000}"/>
    <cellStyle name="20% - akcent 3 2 2 12 2 6" xfId="2515" xr:uid="{00000000-0005-0000-0000-00007A080000}"/>
    <cellStyle name="20% - akcent 3 2 2 12 3" xfId="2516" xr:uid="{00000000-0005-0000-0000-00007B080000}"/>
    <cellStyle name="20% - akcent 3 2 2 12 4" xfId="2517" xr:uid="{00000000-0005-0000-0000-00007C080000}"/>
    <cellStyle name="20% - akcent 3 2 2 12 5" xfId="2518" xr:uid="{00000000-0005-0000-0000-00007D080000}"/>
    <cellStyle name="20% - akcent 3 2 2 12 6" xfId="2519" xr:uid="{00000000-0005-0000-0000-00007E080000}"/>
    <cellStyle name="20% - akcent 3 2 2 12 7" xfId="2520" xr:uid="{00000000-0005-0000-0000-00007F080000}"/>
    <cellStyle name="20% - akcent 3 2 2 13" xfId="2521" xr:uid="{00000000-0005-0000-0000-000080080000}"/>
    <cellStyle name="20% - akcent 3 2 2 14" xfId="2522" xr:uid="{00000000-0005-0000-0000-000081080000}"/>
    <cellStyle name="20% - akcent 3 2 2 15" xfId="2523" xr:uid="{00000000-0005-0000-0000-000082080000}"/>
    <cellStyle name="20% - akcent 3 2 2 16" xfId="2524" xr:uid="{00000000-0005-0000-0000-000083080000}"/>
    <cellStyle name="20% - akcent 3 2 2 17" xfId="2525" xr:uid="{00000000-0005-0000-0000-000084080000}"/>
    <cellStyle name="20% - akcent 3 2 2 18" xfId="2526" xr:uid="{00000000-0005-0000-0000-000085080000}"/>
    <cellStyle name="20% - akcent 3 2 2 18 2" xfId="2527" xr:uid="{00000000-0005-0000-0000-000086080000}"/>
    <cellStyle name="20% - akcent 3 2 2 18 3" xfId="2528" xr:uid="{00000000-0005-0000-0000-000087080000}"/>
    <cellStyle name="20% - akcent 3 2 2 18 4" xfId="2529" xr:uid="{00000000-0005-0000-0000-000088080000}"/>
    <cellStyle name="20% - akcent 3 2 2 18 5" xfId="2530" xr:uid="{00000000-0005-0000-0000-000089080000}"/>
    <cellStyle name="20% - akcent 3 2 2 18 6" xfId="2531" xr:uid="{00000000-0005-0000-0000-00008A080000}"/>
    <cellStyle name="20% - akcent 3 2 2 19" xfId="2532" xr:uid="{00000000-0005-0000-0000-00008B080000}"/>
    <cellStyle name="20% - akcent 3 2 2 2" xfId="2533" xr:uid="{00000000-0005-0000-0000-00008C080000}"/>
    <cellStyle name="20% - akcent 3 2 2 2 10" xfId="2534" xr:uid="{00000000-0005-0000-0000-00008D080000}"/>
    <cellStyle name="20% - akcent 3 2 2 2 11" xfId="2535" xr:uid="{00000000-0005-0000-0000-00008E080000}"/>
    <cellStyle name="20% - akcent 3 2 2 2 2" xfId="2536" xr:uid="{00000000-0005-0000-0000-00008F080000}"/>
    <cellStyle name="20% - akcent 3 2 2 2 2 10" xfId="2537" xr:uid="{00000000-0005-0000-0000-000090080000}"/>
    <cellStyle name="20% - akcent 3 2 2 2 2 2" xfId="2538" xr:uid="{00000000-0005-0000-0000-000091080000}"/>
    <cellStyle name="20% - akcent 3 2 2 2 2 2 2" xfId="2539" xr:uid="{00000000-0005-0000-0000-000092080000}"/>
    <cellStyle name="20% - akcent 3 2 2 2 2 2 2 2" xfId="2540" xr:uid="{00000000-0005-0000-0000-000093080000}"/>
    <cellStyle name="20% - akcent 3 2 2 2 2 2 2 2 2" xfId="2541" xr:uid="{00000000-0005-0000-0000-000094080000}"/>
    <cellStyle name="20% - akcent 3 2 2 2 2 2 2 2 2 2" xfId="2542" xr:uid="{00000000-0005-0000-0000-000095080000}"/>
    <cellStyle name="20% - akcent 3 2 2 2 2 2 2 2 2 3" xfId="2543" xr:uid="{00000000-0005-0000-0000-000096080000}"/>
    <cellStyle name="20% - akcent 3 2 2 2 2 2 2 2 2 4" xfId="2544" xr:uid="{00000000-0005-0000-0000-000097080000}"/>
    <cellStyle name="20% - akcent 3 2 2 2 2 2 2 2 3" xfId="2545" xr:uid="{00000000-0005-0000-0000-000098080000}"/>
    <cellStyle name="20% - akcent 3 2 2 2 2 2 2 2 4" xfId="2546" xr:uid="{00000000-0005-0000-0000-000099080000}"/>
    <cellStyle name="20% - akcent 3 2 2 2 2 2 2 2 5" xfId="2547" xr:uid="{00000000-0005-0000-0000-00009A080000}"/>
    <cellStyle name="20% - akcent 3 2 2 2 2 2 2 3" xfId="2548" xr:uid="{00000000-0005-0000-0000-00009B080000}"/>
    <cellStyle name="20% - akcent 3 2 2 2 2 2 2 4" xfId="2549" xr:uid="{00000000-0005-0000-0000-00009C080000}"/>
    <cellStyle name="20% - akcent 3 2 2 2 2 2 2 5" xfId="2550" xr:uid="{00000000-0005-0000-0000-00009D080000}"/>
    <cellStyle name="20% - akcent 3 2 2 2 2 2 2 6" xfId="2551" xr:uid="{00000000-0005-0000-0000-00009E080000}"/>
    <cellStyle name="20% - akcent 3 2 2 2 2 2 2 7" xfId="2552" xr:uid="{00000000-0005-0000-0000-00009F080000}"/>
    <cellStyle name="20% - akcent 3 2 2 2 2 2 2 7 2" xfId="2553" xr:uid="{00000000-0005-0000-0000-0000A0080000}"/>
    <cellStyle name="20% - akcent 3 2 2 2 2 2 2 7 3" xfId="2554" xr:uid="{00000000-0005-0000-0000-0000A1080000}"/>
    <cellStyle name="20% - akcent 3 2 2 2 2 2 2 7 4" xfId="2555" xr:uid="{00000000-0005-0000-0000-0000A2080000}"/>
    <cellStyle name="20% - akcent 3 2 2 2 2 2 2 7 5" xfId="2556" xr:uid="{00000000-0005-0000-0000-0000A3080000}"/>
    <cellStyle name="20% - akcent 3 2 2 2 2 2 2 7 6" xfId="2557" xr:uid="{00000000-0005-0000-0000-0000A4080000}"/>
    <cellStyle name="20% - akcent 3 2 2 2 2 2 2 8" xfId="2558" xr:uid="{00000000-0005-0000-0000-0000A5080000}"/>
    <cellStyle name="20% - akcent 3 2 2 2 2 2 2 9" xfId="2559" xr:uid="{00000000-0005-0000-0000-0000A6080000}"/>
    <cellStyle name="20% - akcent 3 2 2 2 2 2 3" xfId="2560" xr:uid="{00000000-0005-0000-0000-0000A7080000}"/>
    <cellStyle name="20% - akcent 3 2 2 2 2 2 3 2" xfId="2561" xr:uid="{00000000-0005-0000-0000-0000A8080000}"/>
    <cellStyle name="20% - akcent 3 2 2 2 2 2 3 2 2" xfId="2562" xr:uid="{00000000-0005-0000-0000-0000A9080000}"/>
    <cellStyle name="20% - akcent 3 2 2 2 2 2 3 2 3" xfId="2563" xr:uid="{00000000-0005-0000-0000-0000AA080000}"/>
    <cellStyle name="20% - akcent 3 2 2 2 2 2 3 2 4" xfId="2564" xr:uid="{00000000-0005-0000-0000-0000AB080000}"/>
    <cellStyle name="20% - akcent 3 2 2 2 2 2 3 2 5" xfId="2565" xr:uid="{00000000-0005-0000-0000-0000AC080000}"/>
    <cellStyle name="20% - akcent 3 2 2 2 2 2 3 2 6" xfId="2566" xr:uid="{00000000-0005-0000-0000-0000AD080000}"/>
    <cellStyle name="20% - akcent 3 2 2 2 2 2 3 3" xfId="2567" xr:uid="{00000000-0005-0000-0000-0000AE080000}"/>
    <cellStyle name="20% - akcent 3 2 2 2 2 2 3 4" xfId="2568" xr:uid="{00000000-0005-0000-0000-0000AF080000}"/>
    <cellStyle name="20% - akcent 3 2 2 2 2 2 3 5" xfId="2569" xr:uid="{00000000-0005-0000-0000-0000B0080000}"/>
    <cellStyle name="20% - akcent 3 2 2 2 2 2 3 6" xfId="2570" xr:uid="{00000000-0005-0000-0000-0000B1080000}"/>
    <cellStyle name="20% - akcent 3 2 2 2 2 2 3 7" xfId="2571" xr:uid="{00000000-0005-0000-0000-0000B2080000}"/>
    <cellStyle name="20% - akcent 3 2 2 2 2 2 4" xfId="2572" xr:uid="{00000000-0005-0000-0000-0000B3080000}"/>
    <cellStyle name="20% - akcent 3 2 2 2 2 2 5" xfId="2573" xr:uid="{00000000-0005-0000-0000-0000B4080000}"/>
    <cellStyle name="20% - akcent 3 2 2 2 2 2 6" xfId="2574" xr:uid="{00000000-0005-0000-0000-0000B5080000}"/>
    <cellStyle name="20% - akcent 3 2 2 2 2 2 7" xfId="2575" xr:uid="{00000000-0005-0000-0000-0000B6080000}"/>
    <cellStyle name="20% - akcent 3 2 2 2 2 2 7 2" xfId="2576" xr:uid="{00000000-0005-0000-0000-0000B7080000}"/>
    <cellStyle name="20% - akcent 3 2 2 2 2 2 7 3" xfId="2577" xr:uid="{00000000-0005-0000-0000-0000B8080000}"/>
    <cellStyle name="20% - akcent 3 2 2 2 2 2 7 4" xfId="2578" xr:uid="{00000000-0005-0000-0000-0000B9080000}"/>
    <cellStyle name="20% - akcent 3 2 2 2 2 2 7 5" xfId="2579" xr:uid="{00000000-0005-0000-0000-0000BA080000}"/>
    <cellStyle name="20% - akcent 3 2 2 2 2 2 7 6" xfId="2580" xr:uid="{00000000-0005-0000-0000-0000BB080000}"/>
    <cellStyle name="20% - akcent 3 2 2 2 2 2 8" xfId="2581" xr:uid="{00000000-0005-0000-0000-0000BC080000}"/>
    <cellStyle name="20% - akcent 3 2 2 2 2 2 9" xfId="2582" xr:uid="{00000000-0005-0000-0000-0000BD080000}"/>
    <cellStyle name="20% - akcent 3 2 2 2 2 3" xfId="2583" xr:uid="{00000000-0005-0000-0000-0000BE080000}"/>
    <cellStyle name="20% - akcent 3 2 2 2 2 3 2" xfId="2584" xr:uid="{00000000-0005-0000-0000-0000BF080000}"/>
    <cellStyle name="20% - akcent 3 2 2 2 2 3 2 2" xfId="2585" xr:uid="{00000000-0005-0000-0000-0000C0080000}"/>
    <cellStyle name="20% - akcent 3 2 2 2 2 3 2 3" xfId="2586" xr:uid="{00000000-0005-0000-0000-0000C1080000}"/>
    <cellStyle name="20% - akcent 3 2 2 2 2 3 2 4" xfId="2587" xr:uid="{00000000-0005-0000-0000-0000C2080000}"/>
    <cellStyle name="20% - akcent 3 2 2 2 2 3 2 5" xfId="2588" xr:uid="{00000000-0005-0000-0000-0000C3080000}"/>
    <cellStyle name="20% - akcent 3 2 2 2 2 3 2 6" xfId="2589" xr:uid="{00000000-0005-0000-0000-0000C4080000}"/>
    <cellStyle name="20% - akcent 3 2 2 2 2 3 3" xfId="2590" xr:uid="{00000000-0005-0000-0000-0000C5080000}"/>
    <cellStyle name="20% - akcent 3 2 2 2 2 3 4" xfId="2591" xr:uid="{00000000-0005-0000-0000-0000C6080000}"/>
    <cellStyle name="20% - akcent 3 2 2 2 2 3 5" xfId="2592" xr:uid="{00000000-0005-0000-0000-0000C7080000}"/>
    <cellStyle name="20% - akcent 3 2 2 2 2 3 6" xfId="2593" xr:uid="{00000000-0005-0000-0000-0000C8080000}"/>
    <cellStyle name="20% - akcent 3 2 2 2 2 3 7" xfId="2594" xr:uid="{00000000-0005-0000-0000-0000C9080000}"/>
    <cellStyle name="20% - akcent 3 2 2 2 2 4" xfId="2595" xr:uid="{00000000-0005-0000-0000-0000CA080000}"/>
    <cellStyle name="20% - akcent 3 2 2 2 2 5" xfId="2596" xr:uid="{00000000-0005-0000-0000-0000CB080000}"/>
    <cellStyle name="20% - akcent 3 2 2 2 2 6" xfId="2597" xr:uid="{00000000-0005-0000-0000-0000CC080000}"/>
    <cellStyle name="20% - akcent 3 2 2 2 2 7" xfId="2598" xr:uid="{00000000-0005-0000-0000-0000CD080000}"/>
    <cellStyle name="20% - akcent 3 2 2 2 2 8" xfId="2599" xr:uid="{00000000-0005-0000-0000-0000CE080000}"/>
    <cellStyle name="20% - akcent 3 2 2 2 2 8 2" xfId="2600" xr:uid="{00000000-0005-0000-0000-0000CF080000}"/>
    <cellStyle name="20% - akcent 3 2 2 2 2 8 3" xfId="2601" xr:uid="{00000000-0005-0000-0000-0000D0080000}"/>
    <cellStyle name="20% - akcent 3 2 2 2 2 8 4" xfId="2602" xr:uid="{00000000-0005-0000-0000-0000D1080000}"/>
    <cellStyle name="20% - akcent 3 2 2 2 2 8 5" xfId="2603" xr:uid="{00000000-0005-0000-0000-0000D2080000}"/>
    <cellStyle name="20% - akcent 3 2 2 2 2 8 6" xfId="2604" xr:uid="{00000000-0005-0000-0000-0000D3080000}"/>
    <cellStyle name="20% - akcent 3 2 2 2 2 9" xfId="2605" xr:uid="{00000000-0005-0000-0000-0000D4080000}"/>
    <cellStyle name="20% - akcent 3 2 2 2 3" xfId="2606" xr:uid="{00000000-0005-0000-0000-0000D5080000}"/>
    <cellStyle name="20% - akcent 3 2 2 2 4" xfId="2607" xr:uid="{00000000-0005-0000-0000-0000D6080000}"/>
    <cellStyle name="20% - akcent 3 2 2 2 4 10" xfId="2608" xr:uid="{00000000-0005-0000-0000-0000D7080000}"/>
    <cellStyle name="20% - akcent 3 2 2 2 4 11" xfId="2609" xr:uid="{00000000-0005-0000-0000-0000D8080000}"/>
    <cellStyle name="20% - akcent 3 2 2 2 4 2" xfId="2610" xr:uid="{00000000-0005-0000-0000-0000D9080000}"/>
    <cellStyle name="20% - akcent 3 2 2 2 4 2 2" xfId="2611" xr:uid="{00000000-0005-0000-0000-0000DA080000}"/>
    <cellStyle name="20% - akcent 3 2 2 2 4 2 2 2" xfId="2612" xr:uid="{00000000-0005-0000-0000-0000DB080000}"/>
    <cellStyle name="20% - akcent 3 2 2 2 4 2 2 3" xfId="2613" xr:uid="{00000000-0005-0000-0000-0000DC080000}"/>
    <cellStyle name="20% - akcent 3 2 2 2 4 2 2 4" xfId="2614" xr:uid="{00000000-0005-0000-0000-0000DD080000}"/>
    <cellStyle name="20% - akcent 3 2 2 2 4 2 2 5" xfId="2615" xr:uid="{00000000-0005-0000-0000-0000DE080000}"/>
    <cellStyle name="20% - akcent 3 2 2 2 4 2 2 6" xfId="2616" xr:uid="{00000000-0005-0000-0000-0000DF080000}"/>
    <cellStyle name="20% - akcent 3 2 2 2 4 2 3" xfId="2617" xr:uid="{00000000-0005-0000-0000-0000E0080000}"/>
    <cellStyle name="20% - akcent 3 2 2 2 4 2 4" xfId="2618" xr:uid="{00000000-0005-0000-0000-0000E1080000}"/>
    <cellStyle name="20% - akcent 3 2 2 2 4 2 5" xfId="2619" xr:uid="{00000000-0005-0000-0000-0000E2080000}"/>
    <cellStyle name="20% - akcent 3 2 2 2 4 2 6" xfId="2620" xr:uid="{00000000-0005-0000-0000-0000E3080000}"/>
    <cellStyle name="20% - akcent 3 2 2 2 4 2 7" xfId="2621" xr:uid="{00000000-0005-0000-0000-0000E4080000}"/>
    <cellStyle name="20% - akcent 3 2 2 2 4 3" xfId="2622" xr:uid="{00000000-0005-0000-0000-0000E5080000}"/>
    <cellStyle name="20% - akcent 3 2 2 2 4 4" xfId="2623" xr:uid="{00000000-0005-0000-0000-0000E6080000}"/>
    <cellStyle name="20% - akcent 3 2 2 2 4 5" xfId="2624" xr:uid="{00000000-0005-0000-0000-0000E7080000}"/>
    <cellStyle name="20% - akcent 3 2 2 2 4 6" xfId="2625" xr:uid="{00000000-0005-0000-0000-0000E8080000}"/>
    <cellStyle name="20% - akcent 3 2 2 2 4 7" xfId="2626" xr:uid="{00000000-0005-0000-0000-0000E9080000}"/>
    <cellStyle name="20% - akcent 3 2 2 2 4 7 2" xfId="2627" xr:uid="{00000000-0005-0000-0000-0000EA080000}"/>
    <cellStyle name="20% - akcent 3 2 2 2 4 7 3" xfId="2628" xr:uid="{00000000-0005-0000-0000-0000EB080000}"/>
    <cellStyle name="20% - akcent 3 2 2 2 4 7 4" xfId="2629" xr:uid="{00000000-0005-0000-0000-0000EC080000}"/>
    <cellStyle name="20% - akcent 3 2 2 2 4 7 5" xfId="2630" xr:uid="{00000000-0005-0000-0000-0000ED080000}"/>
    <cellStyle name="20% - akcent 3 2 2 2 4 7 6" xfId="2631" xr:uid="{00000000-0005-0000-0000-0000EE080000}"/>
    <cellStyle name="20% - akcent 3 2 2 2 4 8" xfId="2632" xr:uid="{00000000-0005-0000-0000-0000EF080000}"/>
    <cellStyle name="20% - akcent 3 2 2 2 4 9" xfId="2633" xr:uid="{00000000-0005-0000-0000-0000F0080000}"/>
    <cellStyle name="20% - akcent 3 2 2 2 5" xfId="2634" xr:uid="{00000000-0005-0000-0000-0000F1080000}"/>
    <cellStyle name="20% - akcent 3 2 2 2 5 2" xfId="2635" xr:uid="{00000000-0005-0000-0000-0000F2080000}"/>
    <cellStyle name="20% - akcent 3 2 2 2 5 2 2" xfId="2636" xr:uid="{00000000-0005-0000-0000-0000F3080000}"/>
    <cellStyle name="20% - akcent 3 2 2 2 5 2 3" xfId="2637" xr:uid="{00000000-0005-0000-0000-0000F4080000}"/>
    <cellStyle name="20% - akcent 3 2 2 2 5 2 4" xfId="2638" xr:uid="{00000000-0005-0000-0000-0000F5080000}"/>
    <cellStyle name="20% - akcent 3 2 2 2 5 2 5" xfId="2639" xr:uid="{00000000-0005-0000-0000-0000F6080000}"/>
    <cellStyle name="20% - akcent 3 2 2 2 5 2 6" xfId="2640" xr:uid="{00000000-0005-0000-0000-0000F7080000}"/>
    <cellStyle name="20% - akcent 3 2 2 2 5 3" xfId="2641" xr:uid="{00000000-0005-0000-0000-0000F8080000}"/>
    <cellStyle name="20% - akcent 3 2 2 2 5 4" xfId="2642" xr:uid="{00000000-0005-0000-0000-0000F9080000}"/>
    <cellStyle name="20% - akcent 3 2 2 2 5 5" xfId="2643" xr:uid="{00000000-0005-0000-0000-0000FA080000}"/>
    <cellStyle name="20% - akcent 3 2 2 2 5 6" xfId="2644" xr:uid="{00000000-0005-0000-0000-0000FB080000}"/>
    <cellStyle name="20% - akcent 3 2 2 2 5 7" xfId="2645" xr:uid="{00000000-0005-0000-0000-0000FC080000}"/>
    <cellStyle name="20% - akcent 3 2 2 2 6" xfId="2646" xr:uid="{00000000-0005-0000-0000-0000FD080000}"/>
    <cellStyle name="20% - akcent 3 2 2 2 7" xfId="2647" xr:uid="{00000000-0005-0000-0000-0000FE080000}"/>
    <cellStyle name="20% - akcent 3 2 2 2 8" xfId="2648" xr:uid="{00000000-0005-0000-0000-0000FF080000}"/>
    <cellStyle name="20% - akcent 3 2 2 2 9" xfId="2649" xr:uid="{00000000-0005-0000-0000-000000090000}"/>
    <cellStyle name="20% - akcent 3 2 2 2 9 2" xfId="2650" xr:uid="{00000000-0005-0000-0000-000001090000}"/>
    <cellStyle name="20% - akcent 3 2 2 2 9 3" xfId="2651" xr:uid="{00000000-0005-0000-0000-000002090000}"/>
    <cellStyle name="20% - akcent 3 2 2 2 9 4" xfId="2652" xr:uid="{00000000-0005-0000-0000-000003090000}"/>
    <cellStyle name="20% - akcent 3 2 2 2 9 5" xfId="2653" xr:uid="{00000000-0005-0000-0000-000004090000}"/>
    <cellStyle name="20% - akcent 3 2 2 2 9 6" xfId="2654" xr:uid="{00000000-0005-0000-0000-000005090000}"/>
    <cellStyle name="20% - akcent 3 2 2 20" xfId="2655" xr:uid="{00000000-0005-0000-0000-000006090000}"/>
    <cellStyle name="20% - akcent 3 2 2 21" xfId="2401" xr:uid="{00000000-0005-0000-0000-000007090000}"/>
    <cellStyle name="20% - akcent 3 2 2 3" xfId="2656" xr:uid="{00000000-0005-0000-0000-000008090000}"/>
    <cellStyle name="20% - akcent 3 2 2 4" xfId="2657" xr:uid="{00000000-0005-0000-0000-000009090000}"/>
    <cellStyle name="20% - akcent 3 2 2 5" xfId="2658" xr:uid="{00000000-0005-0000-0000-00000A090000}"/>
    <cellStyle name="20% - akcent 3 2 2 6" xfId="2659" xr:uid="{00000000-0005-0000-0000-00000B090000}"/>
    <cellStyle name="20% - akcent 3 2 2 7" xfId="2660" xr:uid="{00000000-0005-0000-0000-00000C090000}"/>
    <cellStyle name="20% - akcent 3 2 2 8" xfId="2661" xr:uid="{00000000-0005-0000-0000-00000D090000}"/>
    <cellStyle name="20% - akcent 3 2 2 9" xfId="2662" xr:uid="{00000000-0005-0000-0000-00000E090000}"/>
    <cellStyle name="20% - akcent 3 2 20" xfId="2663" xr:uid="{00000000-0005-0000-0000-00000F090000}"/>
    <cellStyle name="20% - akcent 3 2 21" xfId="2664" xr:uid="{00000000-0005-0000-0000-000010090000}"/>
    <cellStyle name="20% - akcent 3 2 21 2" xfId="2665" xr:uid="{00000000-0005-0000-0000-000011090000}"/>
    <cellStyle name="20% - akcent 3 2 21 3" xfId="2666" xr:uid="{00000000-0005-0000-0000-000012090000}"/>
    <cellStyle name="20% - akcent 3 2 21 4" xfId="2667" xr:uid="{00000000-0005-0000-0000-000013090000}"/>
    <cellStyle name="20% - akcent 3 2 21 5" xfId="2668" xr:uid="{00000000-0005-0000-0000-000014090000}"/>
    <cellStyle name="20% - akcent 3 2 21 6" xfId="2669" xr:uid="{00000000-0005-0000-0000-000015090000}"/>
    <cellStyle name="20% - akcent 3 2 22" xfId="2670" xr:uid="{00000000-0005-0000-0000-000016090000}"/>
    <cellStyle name="20% - akcent 3 2 23" xfId="2671" xr:uid="{00000000-0005-0000-0000-000017090000}"/>
    <cellStyle name="20% - akcent 3 2 24" xfId="2672" xr:uid="{00000000-0005-0000-0000-000018090000}"/>
    <cellStyle name="20% - akcent 3 2 25" xfId="2673" xr:uid="{00000000-0005-0000-0000-000019090000}"/>
    <cellStyle name="20% - akcent 3 2 26" xfId="2674" xr:uid="{00000000-0005-0000-0000-00001A090000}"/>
    <cellStyle name="20% - akcent 3 2 27" xfId="2675" xr:uid="{00000000-0005-0000-0000-00001B090000}"/>
    <cellStyle name="20% - akcent 3 2 28" xfId="2676" xr:uid="{00000000-0005-0000-0000-00001C090000}"/>
    <cellStyle name="20% - akcent 3 2 29" xfId="2677" xr:uid="{00000000-0005-0000-0000-00001D090000}"/>
    <cellStyle name="20% - akcent 3 2 3" xfId="2678" xr:uid="{00000000-0005-0000-0000-00001E090000}"/>
    <cellStyle name="20% - akcent 3 2 30" xfId="2679" xr:uid="{00000000-0005-0000-0000-00001F090000}"/>
    <cellStyle name="20% - akcent 3 2 31" xfId="2680" xr:uid="{00000000-0005-0000-0000-000020090000}"/>
    <cellStyle name="20% - akcent 3 2 32" xfId="2274" xr:uid="{00000000-0005-0000-0000-000021090000}"/>
    <cellStyle name="20% - akcent 3 2 33" xfId="37819" xr:uid="{00000000-0005-0000-0000-000022090000}"/>
    <cellStyle name="20% - akcent 3 2 4" xfId="2681" xr:uid="{00000000-0005-0000-0000-000023090000}"/>
    <cellStyle name="20% - akcent 3 2 5" xfId="2682" xr:uid="{00000000-0005-0000-0000-000024090000}"/>
    <cellStyle name="20% - akcent 3 2 6" xfId="2683" xr:uid="{00000000-0005-0000-0000-000025090000}"/>
    <cellStyle name="20% - akcent 3 2 6 10" xfId="2684" xr:uid="{00000000-0005-0000-0000-000026090000}"/>
    <cellStyle name="20% - akcent 3 2 6 11" xfId="2685" xr:uid="{00000000-0005-0000-0000-000027090000}"/>
    <cellStyle name="20% - akcent 3 2 6 12" xfId="2686" xr:uid="{00000000-0005-0000-0000-000028090000}"/>
    <cellStyle name="20% - akcent 3 2 6 13" xfId="2687" xr:uid="{00000000-0005-0000-0000-000029090000}"/>
    <cellStyle name="20% - akcent 3 2 6 2" xfId="2688" xr:uid="{00000000-0005-0000-0000-00002A090000}"/>
    <cellStyle name="20% - akcent 3 2 6 2 10" xfId="2689" xr:uid="{00000000-0005-0000-0000-00002B090000}"/>
    <cellStyle name="20% - akcent 3 2 6 2 11" xfId="2690" xr:uid="{00000000-0005-0000-0000-00002C090000}"/>
    <cellStyle name="20% - akcent 3 2 6 2 12" xfId="2691" xr:uid="{00000000-0005-0000-0000-00002D090000}"/>
    <cellStyle name="20% - akcent 3 2 6 2 13" xfId="2692" xr:uid="{00000000-0005-0000-0000-00002E090000}"/>
    <cellStyle name="20% - akcent 3 2 6 2 2" xfId="2693" xr:uid="{00000000-0005-0000-0000-00002F090000}"/>
    <cellStyle name="20% - akcent 3 2 6 2 2 10" xfId="2694" xr:uid="{00000000-0005-0000-0000-000030090000}"/>
    <cellStyle name="20% - akcent 3 2 6 2 2 11" xfId="2695" xr:uid="{00000000-0005-0000-0000-000031090000}"/>
    <cellStyle name="20% - akcent 3 2 6 2 2 12" xfId="2696" xr:uid="{00000000-0005-0000-0000-000032090000}"/>
    <cellStyle name="20% - akcent 3 2 6 2 2 2" xfId="2697" xr:uid="{00000000-0005-0000-0000-000033090000}"/>
    <cellStyle name="20% - akcent 3 2 6 2 2 2 10" xfId="2698" xr:uid="{00000000-0005-0000-0000-000034090000}"/>
    <cellStyle name="20% - akcent 3 2 6 2 2 2 11" xfId="2699" xr:uid="{00000000-0005-0000-0000-000035090000}"/>
    <cellStyle name="20% - akcent 3 2 6 2 2 2 2" xfId="2700" xr:uid="{00000000-0005-0000-0000-000036090000}"/>
    <cellStyle name="20% - akcent 3 2 6 2 2 2 2 10" xfId="2701" xr:uid="{00000000-0005-0000-0000-000037090000}"/>
    <cellStyle name="20% - akcent 3 2 6 2 2 2 2 11" xfId="2702" xr:uid="{00000000-0005-0000-0000-000038090000}"/>
    <cellStyle name="20% - akcent 3 2 6 2 2 2 2 2" xfId="2703" xr:uid="{00000000-0005-0000-0000-000039090000}"/>
    <cellStyle name="20% - akcent 3 2 6 2 2 2 2 2 2" xfId="2704" xr:uid="{00000000-0005-0000-0000-00003A090000}"/>
    <cellStyle name="20% - akcent 3 2 6 2 2 2 2 2 2 2" xfId="2705" xr:uid="{00000000-0005-0000-0000-00003B090000}"/>
    <cellStyle name="20% - akcent 3 2 6 2 2 2 2 2 2 3" xfId="2706" xr:uid="{00000000-0005-0000-0000-00003C090000}"/>
    <cellStyle name="20% - akcent 3 2 6 2 2 2 2 2 2 4" xfId="2707" xr:uid="{00000000-0005-0000-0000-00003D090000}"/>
    <cellStyle name="20% - akcent 3 2 6 2 2 2 2 2 2 5" xfId="2708" xr:uid="{00000000-0005-0000-0000-00003E090000}"/>
    <cellStyle name="20% - akcent 3 2 6 2 2 2 2 2 2 6" xfId="2709" xr:uid="{00000000-0005-0000-0000-00003F090000}"/>
    <cellStyle name="20% - akcent 3 2 6 2 2 2 2 2 3" xfId="2710" xr:uid="{00000000-0005-0000-0000-000040090000}"/>
    <cellStyle name="20% - akcent 3 2 6 2 2 2 2 2 4" xfId="2711" xr:uid="{00000000-0005-0000-0000-000041090000}"/>
    <cellStyle name="20% - akcent 3 2 6 2 2 2 2 2 5" xfId="2712" xr:uid="{00000000-0005-0000-0000-000042090000}"/>
    <cellStyle name="20% - akcent 3 2 6 2 2 2 2 2 6" xfId="2713" xr:uid="{00000000-0005-0000-0000-000043090000}"/>
    <cellStyle name="20% - akcent 3 2 6 2 2 2 2 2 7" xfId="2714" xr:uid="{00000000-0005-0000-0000-000044090000}"/>
    <cellStyle name="20% - akcent 3 2 6 2 2 2 2 3" xfId="2715" xr:uid="{00000000-0005-0000-0000-000045090000}"/>
    <cellStyle name="20% - akcent 3 2 6 2 2 2 2 4" xfId="2716" xr:uid="{00000000-0005-0000-0000-000046090000}"/>
    <cellStyle name="20% - akcent 3 2 6 2 2 2 2 5" xfId="2717" xr:uid="{00000000-0005-0000-0000-000047090000}"/>
    <cellStyle name="20% - akcent 3 2 6 2 2 2 2 6" xfId="2718" xr:uid="{00000000-0005-0000-0000-000048090000}"/>
    <cellStyle name="20% - akcent 3 2 6 2 2 2 2 7" xfId="2719" xr:uid="{00000000-0005-0000-0000-000049090000}"/>
    <cellStyle name="20% - akcent 3 2 6 2 2 2 2 7 2" xfId="2720" xr:uid="{00000000-0005-0000-0000-00004A090000}"/>
    <cellStyle name="20% - akcent 3 2 6 2 2 2 2 7 3" xfId="2721" xr:uid="{00000000-0005-0000-0000-00004B090000}"/>
    <cellStyle name="20% - akcent 3 2 6 2 2 2 2 7 4" xfId="2722" xr:uid="{00000000-0005-0000-0000-00004C090000}"/>
    <cellStyle name="20% - akcent 3 2 6 2 2 2 2 7 5" xfId="2723" xr:uid="{00000000-0005-0000-0000-00004D090000}"/>
    <cellStyle name="20% - akcent 3 2 6 2 2 2 2 7 6" xfId="2724" xr:uid="{00000000-0005-0000-0000-00004E090000}"/>
    <cellStyle name="20% - akcent 3 2 6 2 2 2 2 8" xfId="2725" xr:uid="{00000000-0005-0000-0000-00004F090000}"/>
    <cellStyle name="20% - akcent 3 2 6 2 2 2 2 9" xfId="2726" xr:uid="{00000000-0005-0000-0000-000050090000}"/>
    <cellStyle name="20% - akcent 3 2 6 2 2 2 3" xfId="2727" xr:uid="{00000000-0005-0000-0000-000051090000}"/>
    <cellStyle name="20% - akcent 3 2 6 2 2 2 3 2" xfId="2728" xr:uid="{00000000-0005-0000-0000-000052090000}"/>
    <cellStyle name="20% - akcent 3 2 6 2 2 2 3 2 2" xfId="2729" xr:uid="{00000000-0005-0000-0000-000053090000}"/>
    <cellStyle name="20% - akcent 3 2 6 2 2 2 3 2 3" xfId="2730" xr:uid="{00000000-0005-0000-0000-000054090000}"/>
    <cellStyle name="20% - akcent 3 2 6 2 2 2 3 2 4" xfId="2731" xr:uid="{00000000-0005-0000-0000-000055090000}"/>
    <cellStyle name="20% - akcent 3 2 6 2 2 2 3 2 5" xfId="2732" xr:uid="{00000000-0005-0000-0000-000056090000}"/>
    <cellStyle name="20% - akcent 3 2 6 2 2 2 3 2 6" xfId="2733" xr:uid="{00000000-0005-0000-0000-000057090000}"/>
    <cellStyle name="20% - akcent 3 2 6 2 2 2 3 3" xfId="2734" xr:uid="{00000000-0005-0000-0000-000058090000}"/>
    <cellStyle name="20% - akcent 3 2 6 2 2 2 3 4" xfId="2735" xr:uid="{00000000-0005-0000-0000-000059090000}"/>
    <cellStyle name="20% - akcent 3 2 6 2 2 2 3 5" xfId="2736" xr:uid="{00000000-0005-0000-0000-00005A090000}"/>
    <cellStyle name="20% - akcent 3 2 6 2 2 2 3 6" xfId="2737" xr:uid="{00000000-0005-0000-0000-00005B090000}"/>
    <cellStyle name="20% - akcent 3 2 6 2 2 2 3 7" xfId="2738" xr:uid="{00000000-0005-0000-0000-00005C090000}"/>
    <cellStyle name="20% - akcent 3 2 6 2 2 2 4" xfId="2739" xr:uid="{00000000-0005-0000-0000-00005D090000}"/>
    <cellStyle name="20% - akcent 3 2 6 2 2 2 5" xfId="2740" xr:uid="{00000000-0005-0000-0000-00005E090000}"/>
    <cellStyle name="20% - akcent 3 2 6 2 2 2 6" xfId="2741" xr:uid="{00000000-0005-0000-0000-00005F090000}"/>
    <cellStyle name="20% - akcent 3 2 6 2 2 2 7" xfId="2742" xr:uid="{00000000-0005-0000-0000-000060090000}"/>
    <cellStyle name="20% - akcent 3 2 6 2 2 2 7 2" xfId="2743" xr:uid="{00000000-0005-0000-0000-000061090000}"/>
    <cellStyle name="20% - akcent 3 2 6 2 2 2 7 3" xfId="2744" xr:uid="{00000000-0005-0000-0000-000062090000}"/>
    <cellStyle name="20% - akcent 3 2 6 2 2 2 7 4" xfId="2745" xr:uid="{00000000-0005-0000-0000-000063090000}"/>
    <cellStyle name="20% - akcent 3 2 6 2 2 2 7 5" xfId="2746" xr:uid="{00000000-0005-0000-0000-000064090000}"/>
    <cellStyle name="20% - akcent 3 2 6 2 2 2 7 6" xfId="2747" xr:uid="{00000000-0005-0000-0000-000065090000}"/>
    <cellStyle name="20% - akcent 3 2 6 2 2 2 8" xfId="2748" xr:uid="{00000000-0005-0000-0000-000066090000}"/>
    <cellStyle name="20% - akcent 3 2 6 2 2 2 9" xfId="2749" xr:uid="{00000000-0005-0000-0000-000067090000}"/>
    <cellStyle name="20% - akcent 3 2 6 2 2 3" xfId="2750" xr:uid="{00000000-0005-0000-0000-000068090000}"/>
    <cellStyle name="20% - akcent 3 2 6 2 2 3 2" xfId="2751" xr:uid="{00000000-0005-0000-0000-000069090000}"/>
    <cellStyle name="20% - akcent 3 2 6 2 2 3 2 2" xfId="2752" xr:uid="{00000000-0005-0000-0000-00006A090000}"/>
    <cellStyle name="20% - akcent 3 2 6 2 2 3 2 3" xfId="2753" xr:uid="{00000000-0005-0000-0000-00006B090000}"/>
    <cellStyle name="20% - akcent 3 2 6 2 2 3 2 4" xfId="2754" xr:uid="{00000000-0005-0000-0000-00006C090000}"/>
    <cellStyle name="20% - akcent 3 2 6 2 2 3 2 5" xfId="2755" xr:uid="{00000000-0005-0000-0000-00006D090000}"/>
    <cellStyle name="20% - akcent 3 2 6 2 2 3 2 6" xfId="2756" xr:uid="{00000000-0005-0000-0000-00006E090000}"/>
    <cellStyle name="20% - akcent 3 2 6 2 2 3 3" xfId="2757" xr:uid="{00000000-0005-0000-0000-00006F090000}"/>
    <cellStyle name="20% - akcent 3 2 6 2 2 3 4" xfId="2758" xr:uid="{00000000-0005-0000-0000-000070090000}"/>
    <cellStyle name="20% - akcent 3 2 6 2 2 3 5" xfId="2759" xr:uid="{00000000-0005-0000-0000-000071090000}"/>
    <cellStyle name="20% - akcent 3 2 6 2 2 3 6" xfId="2760" xr:uid="{00000000-0005-0000-0000-000072090000}"/>
    <cellStyle name="20% - akcent 3 2 6 2 2 3 7" xfId="2761" xr:uid="{00000000-0005-0000-0000-000073090000}"/>
    <cellStyle name="20% - akcent 3 2 6 2 2 4" xfId="2762" xr:uid="{00000000-0005-0000-0000-000074090000}"/>
    <cellStyle name="20% - akcent 3 2 6 2 2 5" xfId="2763" xr:uid="{00000000-0005-0000-0000-000075090000}"/>
    <cellStyle name="20% - akcent 3 2 6 2 2 6" xfId="2764" xr:uid="{00000000-0005-0000-0000-000076090000}"/>
    <cellStyle name="20% - akcent 3 2 6 2 2 7" xfId="2765" xr:uid="{00000000-0005-0000-0000-000077090000}"/>
    <cellStyle name="20% - akcent 3 2 6 2 2 8" xfId="2766" xr:uid="{00000000-0005-0000-0000-000078090000}"/>
    <cellStyle name="20% - akcent 3 2 6 2 2 8 2" xfId="2767" xr:uid="{00000000-0005-0000-0000-000079090000}"/>
    <cellStyle name="20% - akcent 3 2 6 2 2 8 3" xfId="2768" xr:uid="{00000000-0005-0000-0000-00007A090000}"/>
    <cellStyle name="20% - akcent 3 2 6 2 2 8 4" xfId="2769" xr:uid="{00000000-0005-0000-0000-00007B090000}"/>
    <cellStyle name="20% - akcent 3 2 6 2 2 8 5" xfId="2770" xr:uid="{00000000-0005-0000-0000-00007C090000}"/>
    <cellStyle name="20% - akcent 3 2 6 2 2 8 6" xfId="2771" xr:uid="{00000000-0005-0000-0000-00007D090000}"/>
    <cellStyle name="20% - akcent 3 2 6 2 2 9" xfId="2772" xr:uid="{00000000-0005-0000-0000-00007E090000}"/>
    <cellStyle name="20% - akcent 3 2 6 2 3" xfId="2773" xr:uid="{00000000-0005-0000-0000-00007F090000}"/>
    <cellStyle name="20% - akcent 3 2 6 2 4" xfId="2774" xr:uid="{00000000-0005-0000-0000-000080090000}"/>
    <cellStyle name="20% - akcent 3 2 6 2 4 10" xfId="2775" xr:uid="{00000000-0005-0000-0000-000081090000}"/>
    <cellStyle name="20% - akcent 3 2 6 2 4 11" xfId="2776" xr:uid="{00000000-0005-0000-0000-000082090000}"/>
    <cellStyle name="20% - akcent 3 2 6 2 4 2" xfId="2777" xr:uid="{00000000-0005-0000-0000-000083090000}"/>
    <cellStyle name="20% - akcent 3 2 6 2 4 2 2" xfId="2778" xr:uid="{00000000-0005-0000-0000-000084090000}"/>
    <cellStyle name="20% - akcent 3 2 6 2 4 2 2 2" xfId="2779" xr:uid="{00000000-0005-0000-0000-000085090000}"/>
    <cellStyle name="20% - akcent 3 2 6 2 4 2 2 3" xfId="2780" xr:uid="{00000000-0005-0000-0000-000086090000}"/>
    <cellStyle name="20% - akcent 3 2 6 2 4 2 2 4" xfId="2781" xr:uid="{00000000-0005-0000-0000-000087090000}"/>
    <cellStyle name="20% - akcent 3 2 6 2 4 2 2 5" xfId="2782" xr:uid="{00000000-0005-0000-0000-000088090000}"/>
    <cellStyle name="20% - akcent 3 2 6 2 4 2 2 6" xfId="2783" xr:uid="{00000000-0005-0000-0000-000089090000}"/>
    <cellStyle name="20% - akcent 3 2 6 2 4 2 3" xfId="2784" xr:uid="{00000000-0005-0000-0000-00008A090000}"/>
    <cellStyle name="20% - akcent 3 2 6 2 4 2 4" xfId="2785" xr:uid="{00000000-0005-0000-0000-00008B090000}"/>
    <cellStyle name="20% - akcent 3 2 6 2 4 2 5" xfId="2786" xr:uid="{00000000-0005-0000-0000-00008C090000}"/>
    <cellStyle name="20% - akcent 3 2 6 2 4 2 6" xfId="2787" xr:uid="{00000000-0005-0000-0000-00008D090000}"/>
    <cellStyle name="20% - akcent 3 2 6 2 4 2 7" xfId="2788" xr:uid="{00000000-0005-0000-0000-00008E090000}"/>
    <cellStyle name="20% - akcent 3 2 6 2 4 3" xfId="2789" xr:uid="{00000000-0005-0000-0000-00008F090000}"/>
    <cellStyle name="20% - akcent 3 2 6 2 4 4" xfId="2790" xr:uid="{00000000-0005-0000-0000-000090090000}"/>
    <cellStyle name="20% - akcent 3 2 6 2 4 5" xfId="2791" xr:uid="{00000000-0005-0000-0000-000091090000}"/>
    <cellStyle name="20% - akcent 3 2 6 2 4 6" xfId="2792" xr:uid="{00000000-0005-0000-0000-000092090000}"/>
    <cellStyle name="20% - akcent 3 2 6 2 4 7" xfId="2793" xr:uid="{00000000-0005-0000-0000-000093090000}"/>
    <cellStyle name="20% - akcent 3 2 6 2 4 7 2" xfId="2794" xr:uid="{00000000-0005-0000-0000-000094090000}"/>
    <cellStyle name="20% - akcent 3 2 6 2 4 7 3" xfId="2795" xr:uid="{00000000-0005-0000-0000-000095090000}"/>
    <cellStyle name="20% - akcent 3 2 6 2 4 7 4" xfId="2796" xr:uid="{00000000-0005-0000-0000-000096090000}"/>
    <cellStyle name="20% - akcent 3 2 6 2 4 7 5" xfId="2797" xr:uid="{00000000-0005-0000-0000-000097090000}"/>
    <cellStyle name="20% - akcent 3 2 6 2 4 7 6" xfId="2798" xr:uid="{00000000-0005-0000-0000-000098090000}"/>
    <cellStyle name="20% - akcent 3 2 6 2 4 8" xfId="2799" xr:uid="{00000000-0005-0000-0000-000099090000}"/>
    <cellStyle name="20% - akcent 3 2 6 2 4 9" xfId="2800" xr:uid="{00000000-0005-0000-0000-00009A090000}"/>
    <cellStyle name="20% - akcent 3 2 6 2 5" xfId="2801" xr:uid="{00000000-0005-0000-0000-00009B090000}"/>
    <cellStyle name="20% - akcent 3 2 6 2 5 2" xfId="2802" xr:uid="{00000000-0005-0000-0000-00009C090000}"/>
    <cellStyle name="20% - akcent 3 2 6 2 5 2 2" xfId="2803" xr:uid="{00000000-0005-0000-0000-00009D090000}"/>
    <cellStyle name="20% - akcent 3 2 6 2 5 2 3" xfId="2804" xr:uid="{00000000-0005-0000-0000-00009E090000}"/>
    <cellStyle name="20% - akcent 3 2 6 2 5 2 4" xfId="2805" xr:uid="{00000000-0005-0000-0000-00009F090000}"/>
    <cellStyle name="20% - akcent 3 2 6 2 5 2 5" xfId="2806" xr:uid="{00000000-0005-0000-0000-0000A0090000}"/>
    <cellStyle name="20% - akcent 3 2 6 2 5 2 6" xfId="2807" xr:uid="{00000000-0005-0000-0000-0000A1090000}"/>
    <cellStyle name="20% - akcent 3 2 6 2 5 3" xfId="2808" xr:uid="{00000000-0005-0000-0000-0000A2090000}"/>
    <cellStyle name="20% - akcent 3 2 6 2 5 4" xfId="2809" xr:uid="{00000000-0005-0000-0000-0000A3090000}"/>
    <cellStyle name="20% - akcent 3 2 6 2 5 5" xfId="2810" xr:uid="{00000000-0005-0000-0000-0000A4090000}"/>
    <cellStyle name="20% - akcent 3 2 6 2 5 6" xfId="2811" xr:uid="{00000000-0005-0000-0000-0000A5090000}"/>
    <cellStyle name="20% - akcent 3 2 6 2 5 7" xfId="2812" xr:uid="{00000000-0005-0000-0000-0000A6090000}"/>
    <cellStyle name="20% - akcent 3 2 6 2 6" xfId="2813" xr:uid="{00000000-0005-0000-0000-0000A7090000}"/>
    <cellStyle name="20% - akcent 3 2 6 2 7" xfId="2814" xr:uid="{00000000-0005-0000-0000-0000A8090000}"/>
    <cellStyle name="20% - akcent 3 2 6 2 8" xfId="2815" xr:uid="{00000000-0005-0000-0000-0000A9090000}"/>
    <cellStyle name="20% - akcent 3 2 6 2 9" xfId="2816" xr:uid="{00000000-0005-0000-0000-0000AA090000}"/>
    <cellStyle name="20% - akcent 3 2 6 2 9 2" xfId="2817" xr:uid="{00000000-0005-0000-0000-0000AB090000}"/>
    <cellStyle name="20% - akcent 3 2 6 2 9 3" xfId="2818" xr:uid="{00000000-0005-0000-0000-0000AC090000}"/>
    <cellStyle name="20% - akcent 3 2 6 2 9 4" xfId="2819" xr:uid="{00000000-0005-0000-0000-0000AD090000}"/>
    <cellStyle name="20% - akcent 3 2 6 2 9 5" xfId="2820" xr:uid="{00000000-0005-0000-0000-0000AE090000}"/>
    <cellStyle name="20% - akcent 3 2 6 2 9 6" xfId="2821" xr:uid="{00000000-0005-0000-0000-0000AF090000}"/>
    <cellStyle name="20% - akcent 3 2 6 3" xfId="2822" xr:uid="{00000000-0005-0000-0000-0000B0090000}"/>
    <cellStyle name="20% - akcent 3 2 6 3 10" xfId="2823" xr:uid="{00000000-0005-0000-0000-0000B1090000}"/>
    <cellStyle name="20% - akcent 3 2 6 3 11" xfId="2824" xr:uid="{00000000-0005-0000-0000-0000B2090000}"/>
    <cellStyle name="20% - akcent 3 2 6 3 12" xfId="2825" xr:uid="{00000000-0005-0000-0000-0000B3090000}"/>
    <cellStyle name="20% - akcent 3 2 6 3 2" xfId="2826" xr:uid="{00000000-0005-0000-0000-0000B4090000}"/>
    <cellStyle name="20% - akcent 3 2 6 3 2 10" xfId="2827" xr:uid="{00000000-0005-0000-0000-0000B5090000}"/>
    <cellStyle name="20% - akcent 3 2 6 3 2 11" xfId="2828" xr:uid="{00000000-0005-0000-0000-0000B6090000}"/>
    <cellStyle name="20% - akcent 3 2 6 3 2 2" xfId="2829" xr:uid="{00000000-0005-0000-0000-0000B7090000}"/>
    <cellStyle name="20% - akcent 3 2 6 3 2 2 10" xfId="2830" xr:uid="{00000000-0005-0000-0000-0000B8090000}"/>
    <cellStyle name="20% - akcent 3 2 6 3 2 2 11" xfId="2831" xr:uid="{00000000-0005-0000-0000-0000B9090000}"/>
    <cellStyle name="20% - akcent 3 2 6 3 2 2 2" xfId="2832" xr:uid="{00000000-0005-0000-0000-0000BA090000}"/>
    <cellStyle name="20% - akcent 3 2 6 3 2 2 2 2" xfId="2833" xr:uid="{00000000-0005-0000-0000-0000BB090000}"/>
    <cellStyle name="20% - akcent 3 2 6 3 2 2 2 2 2" xfId="2834" xr:uid="{00000000-0005-0000-0000-0000BC090000}"/>
    <cellStyle name="20% - akcent 3 2 6 3 2 2 2 2 3" xfId="2835" xr:uid="{00000000-0005-0000-0000-0000BD090000}"/>
    <cellStyle name="20% - akcent 3 2 6 3 2 2 2 2 4" xfId="2836" xr:uid="{00000000-0005-0000-0000-0000BE090000}"/>
    <cellStyle name="20% - akcent 3 2 6 3 2 2 2 2 5" xfId="2837" xr:uid="{00000000-0005-0000-0000-0000BF090000}"/>
    <cellStyle name="20% - akcent 3 2 6 3 2 2 2 2 6" xfId="2838" xr:uid="{00000000-0005-0000-0000-0000C0090000}"/>
    <cellStyle name="20% - akcent 3 2 6 3 2 2 2 3" xfId="2839" xr:uid="{00000000-0005-0000-0000-0000C1090000}"/>
    <cellStyle name="20% - akcent 3 2 6 3 2 2 2 4" xfId="2840" xr:uid="{00000000-0005-0000-0000-0000C2090000}"/>
    <cellStyle name="20% - akcent 3 2 6 3 2 2 2 5" xfId="2841" xr:uid="{00000000-0005-0000-0000-0000C3090000}"/>
    <cellStyle name="20% - akcent 3 2 6 3 2 2 2 6" xfId="2842" xr:uid="{00000000-0005-0000-0000-0000C4090000}"/>
    <cellStyle name="20% - akcent 3 2 6 3 2 2 2 7" xfId="2843" xr:uid="{00000000-0005-0000-0000-0000C5090000}"/>
    <cellStyle name="20% - akcent 3 2 6 3 2 2 3" xfId="2844" xr:uid="{00000000-0005-0000-0000-0000C6090000}"/>
    <cellStyle name="20% - akcent 3 2 6 3 2 2 4" xfId="2845" xr:uid="{00000000-0005-0000-0000-0000C7090000}"/>
    <cellStyle name="20% - akcent 3 2 6 3 2 2 5" xfId="2846" xr:uid="{00000000-0005-0000-0000-0000C8090000}"/>
    <cellStyle name="20% - akcent 3 2 6 3 2 2 6" xfId="2847" xr:uid="{00000000-0005-0000-0000-0000C9090000}"/>
    <cellStyle name="20% - akcent 3 2 6 3 2 2 7" xfId="2848" xr:uid="{00000000-0005-0000-0000-0000CA090000}"/>
    <cellStyle name="20% - akcent 3 2 6 3 2 2 7 2" xfId="2849" xr:uid="{00000000-0005-0000-0000-0000CB090000}"/>
    <cellStyle name="20% - akcent 3 2 6 3 2 2 7 3" xfId="2850" xr:uid="{00000000-0005-0000-0000-0000CC090000}"/>
    <cellStyle name="20% - akcent 3 2 6 3 2 2 7 4" xfId="2851" xr:uid="{00000000-0005-0000-0000-0000CD090000}"/>
    <cellStyle name="20% - akcent 3 2 6 3 2 2 7 5" xfId="2852" xr:uid="{00000000-0005-0000-0000-0000CE090000}"/>
    <cellStyle name="20% - akcent 3 2 6 3 2 2 7 6" xfId="2853" xr:uid="{00000000-0005-0000-0000-0000CF090000}"/>
    <cellStyle name="20% - akcent 3 2 6 3 2 2 8" xfId="2854" xr:uid="{00000000-0005-0000-0000-0000D0090000}"/>
    <cellStyle name="20% - akcent 3 2 6 3 2 2 9" xfId="2855" xr:uid="{00000000-0005-0000-0000-0000D1090000}"/>
    <cellStyle name="20% - akcent 3 2 6 3 2 3" xfId="2856" xr:uid="{00000000-0005-0000-0000-0000D2090000}"/>
    <cellStyle name="20% - akcent 3 2 6 3 2 3 2" xfId="2857" xr:uid="{00000000-0005-0000-0000-0000D3090000}"/>
    <cellStyle name="20% - akcent 3 2 6 3 2 3 2 2" xfId="2858" xr:uid="{00000000-0005-0000-0000-0000D4090000}"/>
    <cellStyle name="20% - akcent 3 2 6 3 2 3 2 3" xfId="2859" xr:uid="{00000000-0005-0000-0000-0000D5090000}"/>
    <cellStyle name="20% - akcent 3 2 6 3 2 3 2 4" xfId="2860" xr:uid="{00000000-0005-0000-0000-0000D6090000}"/>
    <cellStyle name="20% - akcent 3 2 6 3 2 3 2 5" xfId="2861" xr:uid="{00000000-0005-0000-0000-0000D7090000}"/>
    <cellStyle name="20% - akcent 3 2 6 3 2 3 2 6" xfId="2862" xr:uid="{00000000-0005-0000-0000-0000D8090000}"/>
    <cellStyle name="20% - akcent 3 2 6 3 2 3 3" xfId="2863" xr:uid="{00000000-0005-0000-0000-0000D9090000}"/>
    <cellStyle name="20% - akcent 3 2 6 3 2 3 4" xfId="2864" xr:uid="{00000000-0005-0000-0000-0000DA090000}"/>
    <cellStyle name="20% - akcent 3 2 6 3 2 3 5" xfId="2865" xr:uid="{00000000-0005-0000-0000-0000DB090000}"/>
    <cellStyle name="20% - akcent 3 2 6 3 2 3 6" xfId="2866" xr:uid="{00000000-0005-0000-0000-0000DC090000}"/>
    <cellStyle name="20% - akcent 3 2 6 3 2 3 7" xfId="2867" xr:uid="{00000000-0005-0000-0000-0000DD090000}"/>
    <cellStyle name="20% - akcent 3 2 6 3 2 4" xfId="2868" xr:uid="{00000000-0005-0000-0000-0000DE090000}"/>
    <cellStyle name="20% - akcent 3 2 6 3 2 5" xfId="2869" xr:uid="{00000000-0005-0000-0000-0000DF090000}"/>
    <cellStyle name="20% - akcent 3 2 6 3 2 6" xfId="2870" xr:uid="{00000000-0005-0000-0000-0000E0090000}"/>
    <cellStyle name="20% - akcent 3 2 6 3 2 7" xfId="2871" xr:uid="{00000000-0005-0000-0000-0000E1090000}"/>
    <cellStyle name="20% - akcent 3 2 6 3 2 7 2" xfId="2872" xr:uid="{00000000-0005-0000-0000-0000E2090000}"/>
    <cellStyle name="20% - akcent 3 2 6 3 2 7 3" xfId="2873" xr:uid="{00000000-0005-0000-0000-0000E3090000}"/>
    <cellStyle name="20% - akcent 3 2 6 3 2 7 4" xfId="2874" xr:uid="{00000000-0005-0000-0000-0000E4090000}"/>
    <cellStyle name="20% - akcent 3 2 6 3 2 7 5" xfId="2875" xr:uid="{00000000-0005-0000-0000-0000E5090000}"/>
    <cellStyle name="20% - akcent 3 2 6 3 2 7 6" xfId="2876" xr:uid="{00000000-0005-0000-0000-0000E6090000}"/>
    <cellStyle name="20% - akcent 3 2 6 3 2 8" xfId="2877" xr:uid="{00000000-0005-0000-0000-0000E7090000}"/>
    <cellStyle name="20% - akcent 3 2 6 3 2 9" xfId="2878" xr:uid="{00000000-0005-0000-0000-0000E8090000}"/>
    <cellStyle name="20% - akcent 3 2 6 3 3" xfId="2879" xr:uid="{00000000-0005-0000-0000-0000E9090000}"/>
    <cellStyle name="20% - akcent 3 2 6 3 3 2" xfId="2880" xr:uid="{00000000-0005-0000-0000-0000EA090000}"/>
    <cellStyle name="20% - akcent 3 2 6 3 3 2 2" xfId="2881" xr:uid="{00000000-0005-0000-0000-0000EB090000}"/>
    <cellStyle name="20% - akcent 3 2 6 3 3 2 3" xfId="2882" xr:uid="{00000000-0005-0000-0000-0000EC090000}"/>
    <cellStyle name="20% - akcent 3 2 6 3 3 2 4" xfId="2883" xr:uid="{00000000-0005-0000-0000-0000ED090000}"/>
    <cellStyle name="20% - akcent 3 2 6 3 3 2 5" xfId="2884" xr:uid="{00000000-0005-0000-0000-0000EE090000}"/>
    <cellStyle name="20% - akcent 3 2 6 3 3 2 6" xfId="2885" xr:uid="{00000000-0005-0000-0000-0000EF090000}"/>
    <cellStyle name="20% - akcent 3 2 6 3 3 3" xfId="2886" xr:uid="{00000000-0005-0000-0000-0000F0090000}"/>
    <cellStyle name="20% - akcent 3 2 6 3 3 4" xfId="2887" xr:uid="{00000000-0005-0000-0000-0000F1090000}"/>
    <cellStyle name="20% - akcent 3 2 6 3 3 5" xfId="2888" xr:uid="{00000000-0005-0000-0000-0000F2090000}"/>
    <cellStyle name="20% - akcent 3 2 6 3 3 6" xfId="2889" xr:uid="{00000000-0005-0000-0000-0000F3090000}"/>
    <cellStyle name="20% - akcent 3 2 6 3 3 7" xfId="2890" xr:uid="{00000000-0005-0000-0000-0000F4090000}"/>
    <cellStyle name="20% - akcent 3 2 6 3 4" xfId="2891" xr:uid="{00000000-0005-0000-0000-0000F5090000}"/>
    <cellStyle name="20% - akcent 3 2 6 3 5" xfId="2892" xr:uid="{00000000-0005-0000-0000-0000F6090000}"/>
    <cellStyle name="20% - akcent 3 2 6 3 6" xfId="2893" xr:uid="{00000000-0005-0000-0000-0000F7090000}"/>
    <cellStyle name="20% - akcent 3 2 6 3 7" xfId="2894" xr:uid="{00000000-0005-0000-0000-0000F8090000}"/>
    <cellStyle name="20% - akcent 3 2 6 3 8" xfId="2895" xr:uid="{00000000-0005-0000-0000-0000F9090000}"/>
    <cellStyle name="20% - akcent 3 2 6 3 8 2" xfId="2896" xr:uid="{00000000-0005-0000-0000-0000FA090000}"/>
    <cellStyle name="20% - akcent 3 2 6 3 8 3" xfId="2897" xr:uid="{00000000-0005-0000-0000-0000FB090000}"/>
    <cellStyle name="20% - akcent 3 2 6 3 8 4" xfId="2898" xr:uid="{00000000-0005-0000-0000-0000FC090000}"/>
    <cellStyle name="20% - akcent 3 2 6 3 8 5" xfId="2899" xr:uid="{00000000-0005-0000-0000-0000FD090000}"/>
    <cellStyle name="20% - akcent 3 2 6 3 8 6" xfId="2900" xr:uid="{00000000-0005-0000-0000-0000FE090000}"/>
    <cellStyle name="20% - akcent 3 2 6 3 9" xfId="2901" xr:uid="{00000000-0005-0000-0000-0000FF090000}"/>
    <cellStyle name="20% - akcent 3 2 6 4" xfId="2902" xr:uid="{00000000-0005-0000-0000-0000000A0000}"/>
    <cellStyle name="20% - akcent 3 2 6 4 10" xfId="2903" xr:uid="{00000000-0005-0000-0000-0000010A0000}"/>
    <cellStyle name="20% - akcent 3 2 6 4 11" xfId="2904" xr:uid="{00000000-0005-0000-0000-0000020A0000}"/>
    <cellStyle name="20% - akcent 3 2 6 4 2" xfId="2905" xr:uid="{00000000-0005-0000-0000-0000030A0000}"/>
    <cellStyle name="20% - akcent 3 2 6 4 2 2" xfId="2906" xr:uid="{00000000-0005-0000-0000-0000040A0000}"/>
    <cellStyle name="20% - akcent 3 2 6 4 2 2 2" xfId="2907" xr:uid="{00000000-0005-0000-0000-0000050A0000}"/>
    <cellStyle name="20% - akcent 3 2 6 4 2 2 3" xfId="2908" xr:uid="{00000000-0005-0000-0000-0000060A0000}"/>
    <cellStyle name="20% - akcent 3 2 6 4 2 2 4" xfId="2909" xr:uid="{00000000-0005-0000-0000-0000070A0000}"/>
    <cellStyle name="20% - akcent 3 2 6 4 2 2 5" xfId="2910" xr:uid="{00000000-0005-0000-0000-0000080A0000}"/>
    <cellStyle name="20% - akcent 3 2 6 4 2 2 6" xfId="2911" xr:uid="{00000000-0005-0000-0000-0000090A0000}"/>
    <cellStyle name="20% - akcent 3 2 6 4 2 3" xfId="2912" xr:uid="{00000000-0005-0000-0000-00000A0A0000}"/>
    <cellStyle name="20% - akcent 3 2 6 4 2 4" xfId="2913" xr:uid="{00000000-0005-0000-0000-00000B0A0000}"/>
    <cellStyle name="20% - akcent 3 2 6 4 2 5" xfId="2914" xr:uid="{00000000-0005-0000-0000-00000C0A0000}"/>
    <cellStyle name="20% - akcent 3 2 6 4 2 6" xfId="2915" xr:uid="{00000000-0005-0000-0000-00000D0A0000}"/>
    <cellStyle name="20% - akcent 3 2 6 4 2 7" xfId="2916" xr:uid="{00000000-0005-0000-0000-00000E0A0000}"/>
    <cellStyle name="20% - akcent 3 2 6 4 3" xfId="2917" xr:uid="{00000000-0005-0000-0000-00000F0A0000}"/>
    <cellStyle name="20% - akcent 3 2 6 4 4" xfId="2918" xr:uid="{00000000-0005-0000-0000-0000100A0000}"/>
    <cellStyle name="20% - akcent 3 2 6 4 5" xfId="2919" xr:uid="{00000000-0005-0000-0000-0000110A0000}"/>
    <cellStyle name="20% - akcent 3 2 6 4 6" xfId="2920" xr:uid="{00000000-0005-0000-0000-0000120A0000}"/>
    <cellStyle name="20% - akcent 3 2 6 4 7" xfId="2921" xr:uid="{00000000-0005-0000-0000-0000130A0000}"/>
    <cellStyle name="20% - akcent 3 2 6 4 7 2" xfId="2922" xr:uid="{00000000-0005-0000-0000-0000140A0000}"/>
    <cellStyle name="20% - akcent 3 2 6 4 7 3" xfId="2923" xr:uid="{00000000-0005-0000-0000-0000150A0000}"/>
    <cellStyle name="20% - akcent 3 2 6 4 7 4" xfId="2924" xr:uid="{00000000-0005-0000-0000-0000160A0000}"/>
    <cellStyle name="20% - akcent 3 2 6 4 7 5" xfId="2925" xr:uid="{00000000-0005-0000-0000-0000170A0000}"/>
    <cellStyle name="20% - akcent 3 2 6 4 7 6" xfId="2926" xr:uid="{00000000-0005-0000-0000-0000180A0000}"/>
    <cellStyle name="20% - akcent 3 2 6 4 8" xfId="2927" xr:uid="{00000000-0005-0000-0000-0000190A0000}"/>
    <cellStyle name="20% - akcent 3 2 6 4 9" xfId="2928" xr:uid="{00000000-0005-0000-0000-00001A0A0000}"/>
    <cellStyle name="20% - akcent 3 2 6 5" xfId="2929" xr:uid="{00000000-0005-0000-0000-00001B0A0000}"/>
    <cellStyle name="20% - akcent 3 2 6 5 2" xfId="2930" xr:uid="{00000000-0005-0000-0000-00001C0A0000}"/>
    <cellStyle name="20% - akcent 3 2 6 5 2 2" xfId="2931" xr:uid="{00000000-0005-0000-0000-00001D0A0000}"/>
    <cellStyle name="20% - akcent 3 2 6 5 2 3" xfId="2932" xr:uid="{00000000-0005-0000-0000-00001E0A0000}"/>
    <cellStyle name="20% - akcent 3 2 6 5 2 4" xfId="2933" xr:uid="{00000000-0005-0000-0000-00001F0A0000}"/>
    <cellStyle name="20% - akcent 3 2 6 5 2 5" xfId="2934" xr:uid="{00000000-0005-0000-0000-0000200A0000}"/>
    <cellStyle name="20% - akcent 3 2 6 5 2 6" xfId="2935" xr:uid="{00000000-0005-0000-0000-0000210A0000}"/>
    <cellStyle name="20% - akcent 3 2 6 5 3" xfId="2936" xr:uid="{00000000-0005-0000-0000-0000220A0000}"/>
    <cellStyle name="20% - akcent 3 2 6 5 4" xfId="2937" xr:uid="{00000000-0005-0000-0000-0000230A0000}"/>
    <cellStyle name="20% - akcent 3 2 6 5 5" xfId="2938" xr:uid="{00000000-0005-0000-0000-0000240A0000}"/>
    <cellStyle name="20% - akcent 3 2 6 5 6" xfId="2939" xr:uid="{00000000-0005-0000-0000-0000250A0000}"/>
    <cellStyle name="20% - akcent 3 2 6 5 7" xfId="2940" xr:uid="{00000000-0005-0000-0000-0000260A0000}"/>
    <cellStyle name="20% - akcent 3 2 6 6" xfId="2941" xr:uid="{00000000-0005-0000-0000-0000270A0000}"/>
    <cellStyle name="20% - akcent 3 2 6 7" xfId="2942" xr:uid="{00000000-0005-0000-0000-0000280A0000}"/>
    <cellStyle name="20% - akcent 3 2 6 8" xfId="2943" xr:uid="{00000000-0005-0000-0000-0000290A0000}"/>
    <cellStyle name="20% - akcent 3 2 6 9" xfId="2944" xr:uid="{00000000-0005-0000-0000-00002A0A0000}"/>
    <cellStyle name="20% - akcent 3 2 6 9 2" xfId="2945" xr:uid="{00000000-0005-0000-0000-00002B0A0000}"/>
    <cellStyle name="20% - akcent 3 2 6 9 3" xfId="2946" xr:uid="{00000000-0005-0000-0000-00002C0A0000}"/>
    <cellStyle name="20% - akcent 3 2 6 9 4" xfId="2947" xr:uid="{00000000-0005-0000-0000-00002D0A0000}"/>
    <cellStyle name="20% - akcent 3 2 6 9 5" xfId="2948" xr:uid="{00000000-0005-0000-0000-00002E0A0000}"/>
    <cellStyle name="20% - akcent 3 2 6 9 6" xfId="2949" xr:uid="{00000000-0005-0000-0000-00002F0A0000}"/>
    <cellStyle name="20% - akcent 3 2 7" xfId="2950" xr:uid="{00000000-0005-0000-0000-0000300A0000}"/>
    <cellStyle name="20% - akcent 3 2 8" xfId="2951" xr:uid="{00000000-0005-0000-0000-0000310A0000}"/>
    <cellStyle name="20% - akcent 3 2 8 10" xfId="2952" xr:uid="{00000000-0005-0000-0000-0000320A0000}"/>
    <cellStyle name="20% - akcent 3 2 8 11" xfId="2953" xr:uid="{00000000-0005-0000-0000-0000330A0000}"/>
    <cellStyle name="20% - akcent 3 2 8 12" xfId="2954" xr:uid="{00000000-0005-0000-0000-0000340A0000}"/>
    <cellStyle name="20% - akcent 3 2 8 13" xfId="2955" xr:uid="{00000000-0005-0000-0000-0000350A0000}"/>
    <cellStyle name="20% - akcent 3 2 8 2" xfId="2956" xr:uid="{00000000-0005-0000-0000-0000360A0000}"/>
    <cellStyle name="20% - akcent 3 2 8 2 10" xfId="2957" xr:uid="{00000000-0005-0000-0000-0000370A0000}"/>
    <cellStyle name="20% - akcent 3 2 8 2 11" xfId="2958" xr:uid="{00000000-0005-0000-0000-0000380A0000}"/>
    <cellStyle name="20% - akcent 3 2 8 2 12" xfId="2959" xr:uid="{00000000-0005-0000-0000-0000390A0000}"/>
    <cellStyle name="20% - akcent 3 2 8 2 2" xfId="2960" xr:uid="{00000000-0005-0000-0000-00003A0A0000}"/>
    <cellStyle name="20% - akcent 3 2 8 2 2 10" xfId="2961" xr:uid="{00000000-0005-0000-0000-00003B0A0000}"/>
    <cellStyle name="20% - akcent 3 2 8 2 2 11" xfId="2962" xr:uid="{00000000-0005-0000-0000-00003C0A0000}"/>
    <cellStyle name="20% - akcent 3 2 8 2 2 2" xfId="2963" xr:uid="{00000000-0005-0000-0000-00003D0A0000}"/>
    <cellStyle name="20% - akcent 3 2 8 2 2 2 10" xfId="2964" xr:uid="{00000000-0005-0000-0000-00003E0A0000}"/>
    <cellStyle name="20% - akcent 3 2 8 2 2 2 11" xfId="2965" xr:uid="{00000000-0005-0000-0000-00003F0A0000}"/>
    <cellStyle name="20% - akcent 3 2 8 2 2 2 2" xfId="2966" xr:uid="{00000000-0005-0000-0000-0000400A0000}"/>
    <cellStyle name="20% - akcent 3 2 8 2 2 2 2 2" xfId="2967" xr:uid="{00000000-0005-0000-0000-0000410A0000}"/>
    <cellStyle name="20% - akcent 3 2 8 2 2 2 2 2 2" xfId="2968" xr:uid="{00000000-0005-0000-0000-0000420A0000}"/>
    <cellStyle name="20% - akcent 3 2 8 2 2 2 2 2 3" xfId="2969" xr:uid="{00000000-0005-0000-0000-0000430A0000}"/>
    <cellStyle name="20% - akcent 3 2 8 2 2 2 2 2 4" xfId="2970" xr:uid="{00000000-0005-0000-0000-0000440A0000}"/>
    <cellStyle name="20% - akcent 3 2 8 2 2 2 2 2 5" xfId="2971" xr:uid="{00000000-0005-0000-0000-0000450A0000}"/>
    <cellStyle name="20% - akcent 3 2 8 2 2 2 2 2 6" xfId="2972" xr:uid="{00000000-0005-0000-0000-0000460A0000}"/>
    <cellStyle name="20% - akcent 3 2 8 2 2 2 2 3" xfId="2973" xr:uid="{00000000-0005-0000-0000-0000470A0000}"/>
    <cellStyle name="20% - akcent 3 2 8 2 2 2 2 4" xfId="2974" xr:uid="{00000000-0005-0000-0000-0000480A0000}"/>
    <cellStyle name="20% - akcent 3 2 8 2 2 2 2 5" xfId="2975" xr:uid="{00000000-0005-0000-0000-0000490A0000}"/>
    <cellStyle name="20% - akcent 3 2 8 2 2 2 2 6" xfId="2976" xr:uid="{00000000-0005-0000-0000-00004A0A0000}"/>
    <cellStyle name="20% - akcent 3 2 8 2 2 2 2 7" xfId="2977" xr:uid="{00000000-0005-0000-0000-00004B0A0000}"/>
    <cellStyle name="20% - akcent 3 2 8 2 2 2 3" xfId="2978" xr:uid="{00000000-0005-0000-0000-00004C0A0000}"/>
    <cellStyle name="20% - akcent 3 2 8 2 2 2 4" xfId="2979" xr:uid="{00000000-0005-0000-0000-00004D0A0000}"/>
    <cellStyle name="20% - akcent 3 2 8 2 2 2 5" xfId="2980" xr:uid="{00000000-0005-0000-0000-00004E0A0000}"/>
    <cellStyle name="20% - akcent 3 2 8 2 2 2 6" xfId="2981" xr:uid="{00000000-0005-0000-0000-00004F0A0000}"/>
    <cellStyle name="20% - akcent 3 2 8 2 2 2 7" xfId="2982" xr:uid="{00000000-0005-0000-0000-0000500A0000}"/>
    <cellStyle name="20% - akcent 3 2 8 2 2 2 7 2" xfId="2983" xr:uid="{00000000-0005-0000-0000-0000510A0000}"/>
    <cellStyle name="20% - akcent 3 2 8 2 2 2 7 3" xfId="2984" xr:uid="{00000000-0005-0000-0000-0000520A0000}"/>
    <cellStyle name="20% - akcent 3 2 8 2 2 2 7 4" xfId="2985" xr:uid="{00000000-0005-0000-0000-0000530A0000}"/>
    <cellStyle name="20% - akcent 3 2 8 2 2 2 7 5" xfId="2986" xr:uid="{00000000-0005-0000-0000-0000540A0000}"/>
    <cellStyle name="20% - akcent 3 2 8 2 2 2 7 6" xfId="2987" xr:uid="{00000000-0005-0000-0000-0000550A0000}"/>
    <cellStyle name="20% - akcent 3 2 8 2 2 2 8" xfId="2988" xr:uid="{00000000-0005-0000-0000-0000560A0000}"/>
    <cellStyle name="20% - akcent 3 2 8 2 2 2 9" xfId="2989" xr:uid="{00000000-0005-0000-0000-0000570A0000}"/>
    <cellStyle name="20% - akcent 3 2 8 2 2 3" xfId="2990" xr:uid="{00000000-0005-0000-0000-0000580A0000}"/>
    <cellStyle name="20% - akcent 3 2 8 2 2 3 2" xfId="2991" xr:uid="{00000000-0005-0000-0000-0000590A0000}"/>
    <cellStyle name="20% - akcent 3 2 8 2 2 3 2 2" xfId="2992" xr:uid="{00000000-0005-0000-0000-00005A0A0000}"/>
    <cellStyle name="20% - akcent 3 2 8 2 2 3 2 3" xfId="2993" xr:uid="{00000000-0005-0000-0000-00005B0A0000}"/>
    <cellStyle name="20% - akcent 3 2 8 2 2 3 2 4" xfId="2994" xr:uid="{00000000-0005-0000-0000-00005C0A0000}"/>
    <cellStyle name="20% - akcent 3 2 8 2 2 3 2 5" xfId="2995" xr:uid="{00000000-0005-0000-0000-00005D0A0000}"/>
    <cellStyle name="20% - akcent 3 2 8 2 2 3 2 6" xfId="2996" xr:uid="{00000000-0005-0000-0000-00005E0A0000}"/>
    <cellStyle name="20% - akcent 3 2 8 2 2 3 3" xfId="2997" xr:uid="{00000000-0005-0000-0000-00005F0A0000}"/>
    <cellStyle name="20% - akcent 3 2 8 2 2 3 4" xfId="2998" xr:uid="{00000000-0005-0000-0000-0000600A0000}"/>
    <cellStyle name="20% - akcent 3 2 8 2 2 3 5" xfId="2999" xr:uid="{00000000-0005-0000-0000-0000610A0000}"/>
    <cellStyle name="20% - akcent 3 2 8 2 2 3 6" xfId="3000" xr:uid="{00000000-0005-0000-0000-0000620A0000}"/>
    <cellStyle name="20% - akcent 3 2 8 2 2 3 7" xfId="3001" xr:uid="{00000000-0005-0000-0000-0000630A0000}"/>
    <cellStyle name="20% - akcent 3 2 8 2 2 4" xfId="3002" xr:uid="{00000000-0005-0000-0000-0000640A0000}"/>
    <cellStyle name="20% - akcent 3 2 8 2 2 5" xfId="3003" xr:uid="{00000000-0005-0000-0000-0000650A0000}"/>
    <cellStyle name="20% - akcent 3 2 8 2 2 6" xfId="3004" xr:uid="{00000000-0005-0000-0000-0000660A0000}"/>
    <cellStyle name="20% - akcent 3 2 8 2 2 7" xfId="3005" xr:uid="{00000000-0005-0000-0000-0000670A0000}"/>
    <cellStyle name="20% - akcent 3 2 8 2 2 7 2" xfId="3006" xr:uid="{00000000-0005-0000-0000-0000680A0000}"/>
    <cellStyle name="20% - akcent 3 2 8 2 2 7 3" xfId="3007" xr:uid="{00000000-0005-0000-0000-0000690A0000}"/>
    <cellStyle name="20% - akcent 3 2 8 2 2 7 4" xfId="3008" xr:uid="{00000000-0005-0000-0000-00006A0A0000}"/>
    <cellStyle name="20% - akcent 3 2 8 2 2 7 5" xfId="3009" xr:uid="{00000000-0005-0000-0000-00006B0A0000}"/>
    <cellStyle name="20% - akcent 3 2 8 2 2 7 6" xfId="3010" xr:uid="{00000000-0005-0000-0000-00006C0A0000}"/>
    <cellStyle name="20% - akcent 3 2 8 2 2 8" xfId="3011" xr:uid="{00000000-0005-0000-0000-00006D0A0000}"/>
    <cellStyle name="20% - akcent 3 2 8 2 2 9" xfId="3012" xr:uid="{00000000-0005-0000-0000-00006E0A0000}"/>
    <cellStyle name="20% - akcent 3 2 8 2 3" xfId="3013" xr:uid="{00000000-0005-0000-0000-00006F0A0000}"/>
    <cellStyle name="20% - akcent 3 2 8 2 3 2" xfId="3014" xr:uid="{00000000-0005-0000-0000-0000700A0000}"/>
    <cellStyle name="20% - akcent 3 2 8 2 3 2 2" xfId="3015" xr:uid="{00000000-0005-0000-0000-0000710A0000}"/>
    <cellStyle name="20% - akcent 3 2 8 2 3 2 3" xfId="3016" xr:uid="{00000000-0005-0000-0000-0000720A0000}"/>
    <cellStyle name="20% - akcent 3 2 8 2 3 2 4" xfId="3017" xr:uid="{00000000-0005-0000-0000-0000730A0000}"/>
    <cellStyle name="20% - akcent 3 2 8 2 3 2 5" xfId="3018" xr:uid="{00000000-0005-0000-0000-0000740A0000}"/>
    <cellStyle name="20% - akcent 3 2 8 2 3 2 6" xfId="3019" xr:uid="{00000000-0005-0000-0000-0000750A0000}"/>
    <cellStyle name="20% - akcent 3 2 8 2 3 3" xfId="3020" xr:uid="{00000000-0005-0000-0000-0000760A0000}"/>
    <cellStyle name="20% - akcent 3 2 8 2 3 4" xfId="3021" xr:uid="{00000000-0005-0000-0000-0000770A0000}"/>
    <cellStyle name="20% - akcent 3 2 8 2 3 5" xfId="3022" xr:uid="{00000000-0005-0000-0000-0000780A0000}"/>
    <cellStyle name="20% - akcent 3 2 8 2 3 6" xfId="3023" xr:uid="{00000000-0005-0000-0000-0000790A0000}"/>
    <cellStyle name="20% - akcent 3 2 8 2 3 7" xfId="3024" xr:uid="{00000000-0005-0000-0000-00007A0A0000}"/>
    <cellStyle name="20% - akcent 3 2 8 2 4" xfId="3025" xr:uid="{00000000-0005-0000-0000-00007B0A0000}"/>
    <cellStyle name="20% - akcent 3 2 8 2 5" xfId="3026" xr:uid="{00000000-0005-0000-0000-00007C0A0000}"/>
    <cellStyle name="20% - akcent 3 2 8 2 6" xfId="3027" xr:uid="{00000000-0005-0000-0000-00007D0A0000}"/>
    <cellStyle name="20% - akcent 3 2 8 2 7" xfId="3028" xr:uid="{00000000-0005-0000-0000-00007E0A0000}"/>
    <cellStyle name="20% - akcent 3 2 8 2 8" xfId="3029" xr:uid="{00000000-0005-0000-0000-00007F0A0000}"/>
    <cellStyle name="20% - akcent 3 2 8 2 8 2" xfId="3030" xr:uid="{00000000-0005-0000-0000-0000800A0000}"/>
    <cellStyle name="20% - akcent 3 2 8 2 8 3" xfId="3031" xr:uid="{00000000-0005-0000-0000-0000810A0000}"/>
    <cellStyle name="20% - akcent 3 2 8 2 8 4" xfId="3032" xr:uid="{00000000-0005-0000-0000-0000820A0000}"/>
    <cellStyle name="20% - akcent 3 2 8 2 8 5" xfId="3033" xr:uid="{00000000-0005-0000-0000-0000830A0000}"/>
    <cellStyle name="20% - akcent 3 2 8 2 8 6" xfId="3034" xr:uid="{00000000-0005-0000-0000-0000840A0000}"/>
    <cellStyle name="20% - akcent 3 2 8 2 9" xfId="3035" xr:uid="{00000000-0005-0000-0000-0000850A0000}"/>
    <cellStyle name="20% - akcent 3 2 8 3" xfId="3036" xr:uid="{00000000-0005-0000-0000-0000860A0000}"/>
    <cellStyle name="20% - akcent 3 2 8 4" xfId="3037" xr:uid="{00000000-0005-0000-0000-0000870A0000}"/>
    <cellStyle name="20% - akcent 3 2 8 4 10" xfId="3038" xr:uid="{00000000-0005-0000-0000-0000880A0000}"/>
    <cellStyle name="20% - akcent 3 2 8 4 11" xfId="3039" xr:uid="{00000000-0005-0000-0000-0000890A0000}"/>
    <cellStyle name="20% - akcent 3 2 8 4 2" xfId="3040" xr:uid="{00000000-0005-0000-0000-00008A0A0000}"/>
    <cellStyle name="20% - akcent 3 2 8 4 2 2" xfId="3041" xr:uid="{00000000-0005-0000-0000-00008B0A0000}"/>
    <cellStyle name="20% - akcent 3 2 8 4 2 2 2" xfId="3042" xr:uid="{00000000-0005-0000-0000-00008C0A0000}"/>
    <cellStyle name="20% - akcent 3 2 8 4 2 2 3" xfId="3043" xr:uid="{00000000-0005-0000-0000-00008D0A0000}"/>
    <cellStyle name="20% - akcent 3 2 8 4 2 2 4" xfId="3044" xr:uid="{00000000-0005-0000-0000-00008E0A0000}"/>
    <cellStyle name="20% - akcent 3 2 8 4 2 2 5" xfId="3045" xr:uid="{00000000-0005-0000-0000-00008F0A0000}"/>
    <cellStyle name="20% - akcent 3 2 8 4 2 2 6" xfId="3046" xr:uid="{00000000-0005-0000-0000-0000900A0000}"/>
    <cellStyle name="20% - akcent 3 2 8 4 2 3" xfId="3047" xr:uid="{00000000-0005-0000-0000-0000910A0000}"/>
    <cellStyle name="20% - akcent 3 2 8 4 2 4" xfId="3048" xr:uid="{00000000-0005-0000-0000-0000920A0000}"/>
    <cellStyle name="20% - akcent 3 2 8 4 2 5" xfId="3049" xr:uid="{00000000-0005-0000-0000-0000930A0000}"/>
    <cellStyle name="20% - akcent 3 2 8 4 2 6" xfId="3050" xr:uid="{00000000-0005-0000-0000-0000940A0000}"/>
    <cellStyle name="20% - akcent 3 2 8 4 2 7" xfId="3051" xr:uid="{00000000-0005-0000-0000-0000950A0000}"/>
    <cellStyle name="20% - akcent 3 2 8 4 3" xfId="3052" xr:uid="{00000000-0005-0000-0000-0000960A0000}"/>
    <cellStyle name="20% - akcent 3 2 8 4 4" xfId="3053" xr:uid="{00000000-0005-0000-0000-0000970A0000}"/>
    <cellStyle name="20% - akcent 3 2 8 4 5" xfId="3054" xr:uid="{00000000-0005-0000-0000-0000980A0000}"/>
    <cellStyle name="20% - akcent 3 2 8 4 6" xfId="3055" xr:uid="{00000000-0005-0000-0000-0000990A0000}"/>
    <cellStyle name="20% - akcent 3 2 8 4 7" xfId="3056" xr:uid="{00000000-0005-0000-0000-00009A0A0000}"/>
    <cellStyle name="20% - akcent 3 2 8 4 7 2" xfId="3057" xr:uid="{00000000-0005-0000-0000-00009B0A0000}"/>
    <cellStyle name="20% - akcent 3 2 8 4 7 3" xfId="3058" xr:uid="{00000000-0005-0000-0000-00009C0A0000}"/>
    <cellStyle name="20% - akcent 3 2 8 4 7 4" xfId="3059" xr:uid="{00000000-0005-0000-0000-00009D0A0000}"/>
    <cellStyle name="20% - akcent 3 2 8 4 7 5" xfId="3060" xr:uid="{00000000-0005-0000-0000-00009E0A0000}"/>
    <cellStyle name="20% - akcent 3 2 8 4 7 6" xfId="3061" xr:uid="{00000000-0005-0000-0000-00009F0A0000}"/>
    <cellStyle name="20% - akcent 3 2 8 4 8" xfId="3062" xr:uid="{00000000-0005-0000-0000-0000A00A0000}"/>
    <cellStyle name="20% - akcent 3 2 8 4 9" xfId="3063" xr:uid="{00000000-0005-0000-0000-0000A10A0000}"/>
    <cellStyle name="20% - akcent 3 2 8 5" xfId="3064" xr:uid="{00000000-0005-0000-0000-0000A20A0000}"/>
    <cellStyle name="20% - akcent 3 2 8 5 2" xfId="3065" xr:uid="{00000000-0005-0000-0000-0000A30A0000}"/>
    <cellStyle name="20% - akcent 3 2 8 5 2 2" xfId="3066" xr:uid="{00000000-0005-0000-0000-0000A40A0000}"/>
    <cellStyle name="20% - akcent 3 2 8 5 2 3" xfId="3067" xr:uid="{00000000-0005-0000-0000-0000A50A0000}"/>
    <cellStyle name="20% - akcent 3 2 8 5 2 4" xfId="3068" xr:uid="{00000000-0005-0000-0000-0000A60A0000}"/>
    <cellStyle name="20% - akcent 3 2 8 5 2 5" xfId="3069" xr:uid="{00000000-0005-0000-0000-0000A70A0000}"/>
    <cellStyle name="20% - akcent 3 2 8 5 2 6" xfId="3070" xr:uid="{00000000-0005-0000-0000-0000A80A0000}"/>
    <cellStyle name="20% - akcent 3 2 8 5 3" xfId="3071" xr:uid="{00000000-0005-0000-0000-0000A90A0000}"/>
    <cellStyle name="20% - akcent 3 2 8 5 4" xfId="3072" xr:uid="{00000000-0005-0000-0000-0000AA0A0000}"/>
    <cellStyle name="20% - akcent 3 2 8 5 5" xfId="3073" xr:uid="{00000000-0005-0000-0000-0000AB0A0000}"/>
    <cellStyle name="20% - akcent 3 2 8 5 6" xfId="3074" xr:uid="{00000000-0005-0000-0000-0000AC0A0000}"/>
    <cellStyle name="20% - akcent 3 2 8 5 7" xfId="3075" xr:uid="{00000000-0005-0000-0000-0000AD0A0000}"/>
    <cellStyle name="20% - akcent 3 2 8 6" xfId="3076" xr:uid="{00000000-0005-0000-0000-0000AE0A0000}"/>
    <cellStyle name="20% - akcent 3 2 8 7" xfId="3077" xr:uid="{00000000-0005-0000-0000-0000AF0A0000}"/>
    <cellStyle name="20% - akcent 3 2 8 8" xfId="3078" xr:uid="{00000000-0005-0000-0000-0000B00A0000}"/>
    <cellStyle name="20% - akcent 3 2 8 9" xfId="3079" xr:uid="{00000000-0005-0000-0000-0000B10A0000}"/>
    <cellStyle name="20% - akcent 3 2 8 9 2" xfId="3080" xr:uid="{00000000-0005-0000-0000-0000B20A0000}"/>
    <cellStyle name="20% - akcent 3 2 8 9 3" xfId="3081" xr:uid="{00000000-0005-0000-0000-0000B30A0000}"/>
    <cellStyle name="20% - akcent 3 2 8 9 4" xfId="3082" xr:uid="{00000000-0005-0000-0000-0000B40A0000}"/>
    <cellStyle name="20% - akcent 3 2 8 9 5" xfId="3083" xr:uid="{00000000-0005-0000-0000-0000B50A0000}"/>
    <cellStyle name="20% - akcent 3 2 8 9 6" xfId="3084" xr:uid="{00000000-0005-0000-0000-0000B60A0000}"/>
    <cellStyle name="20% - akcent 3 2 9" xfId="3085" xr:uid="{00000000-0005-0000-0000-0000B70A0000}"/>
    <cellStyle name="20% - akcent 3 2_archeolagia" xfId="3086" xr:uid="{00000000-0005-0000-0000-0000B80A0000}"/>
    <cellStyle name="20% - akcent 3 3" xfId="41" xr:uid="{00000000-0005-0000-0000-0000B90A0000}"/>
    <cellStyle name="20% - akcent 3 3 2" xfId="42" xr:uid="{00000000-0005-0000-0000-0000BA0A0000}"/>
    <cellStyle name="20% - akcent 3 3 2 2" xfId="3088" xr:uid="{00000000-0005-0000-0000-0000BB0A0000}"/>
    <cellStyle name="20% - akcent 3 3 3" xfId="3089" xr:uid="{00000000-0005-0000-0000-0000BC0A0000}"/>
    <cellStyle name="20% - akcent 3 3 4" xfId="3090" xr:uid="{00000000-0005-0000-0000-0000BD0A0000}"/>
    <cellStyle name="20% - akcent 3 3 5" xfId="3091" xr:uid="{00000000-0005-0000-0000-0000BE0A0000}"/>
    <cellStyle name="20% - akcent 3 3 6" xfId="3087" xr:uid="{00000000-0005-0000-0000-0000BF0A0000}"/>
    <cellStyle name="20% - akcent 3 4" xfId="43" xr:uid="{00000000-0005-0000-0000-0000C00A0000}"/>
    <cellStyle name="20% - akcent 3 4 2" xfId="44" xr:uid="{00000000-0005-0000-0000-0000C10A0000}"/>
    <cellStyle name="20% - akcent 3 4 2 2" xfId="3093" xr:uid="{00000000-0005-0000-0000-0000C20A0000}"/>
    <cellStyle name="20% - akcent 3 4 3" xfId="3094" xr:uid="{00000000-0005-0000-0000-0000C30A0000}"/>
    <cellStyle name="20% - akcent 3 4 4" xfId="3095" xr:uid="{00000000-0005-0000-0000-0000C40A0000}"/>
    <cellStyle name="20% - akcent 3 4 5" xfId="3096" xr:uid="{00000000-0005-0000-0000-0000C50A0000}"/>
    <cellStyle name="20% - akcent 3 4 6" xfId="3092" xr:uid="{00000000-0005-0000-0000-0000C60A0000}"/>
    <cellStyle name="20% - akcent 3 5" xfId="45" xr:uid="{00000000-0005-0000-0000-0000C70A0000}"/>
    <cellStyle name="20% - akcent 3 5 2" xfId="46" xr:uid="{00000000-0005-0000-0000-0000C80A0000}"/>
    <cellStyle name="20% - akcent 3 5 2 2" xfId="3098" xr:uid="{00000000-0005-0000-0000-0000C90A0000}"/>
    <cellStyle name="20% - akcent 3 5 3" xfId="3099" xr:uid="{00000000-0005-0000-0000-0000CA0A0000}"/>
    <cellStyle name="20% - akcent 3 5 4" xfId="3100" xr:uid="{00000000-0005-0000-0000-0000CB0A0000}"/>
    <cellStyle name="20% - akcent 3 5 5" xfId="3101" xr:uid="{00000000-0005-0000-0000-0000CC0A0000}"/>
    <cellStyle name="20% - akcent 3 5 6" xfId="3097" xr:uid="{00000000-0005-0000-0000-0000CD0A0000}"/>
    <cellStyle name="20% - akcent 3 6" xfId="47" xr:uid="{00000000-0005-0000-0000-0000CE0A0000}"/>
    <cellStyle name="20% - akcent 3 6 2" xfId="48" xr:uid="{00000000-0005-0000-0000-0000CF0A0000}"/>
    <cellStyle name="20% - akcent 3 6 2 2" xfId="3103" xr:uid="{00000000-0005-0000-0000-0000D00A0000}"/>
    <cellStyle name="20% - akcent 3 6 3" xfId="3104" xr:uid="{00000000-0005-0000-0000-0000D10A0000}"/>
    <cellStyle name="20% - akcent 3 6 4" xfId="3105" xr:uid="{00000000-0005-0000-0000-0000D20A0000}"/>
    <cellStyle name="20% - akcent 3 6 5" xfId="3106" xr:uid="{00000000-0005-0000-0000-0000D30A0000}"/>
    <cellStyle name="20% - akcent 3 6 6" xfId="3102" xr:uid="{00000000-0005-0000-0000-0000D40A0000}"/>
    <cellStyle name="20% - akcent 3 7" xfId="49" xr:uid="{00000000-0005-0000-0000-0000D50A0000}"/>
    <cellStyle name="20% - akcent 3 7 2" xfId="50" xr:uid="{00000000-0005-0000-0000-0000D60A0000}"/>
    <cellStyle name="20% - akcent 3 7 2 2" xfId="3108" xr:uid="{00000000-0005-0000-0000-0000D70A0000}"/>
    <cellStyle name="20% - akcent 3 7 3" xfId="3109" xr:uid="{00000000-0005-0000-0000-0000D80A0000}"/>
    <cellStyle name="20% - akcent 3 7 4" xfId="3110" xr:uid="{00000000-0005-0000-0000-0000D90A0000}"/>
    <cellStyle name="20% - akcent 3 7 5" xfId="3111" xr:uid="{00000000-0005-0000-0000-0000DA0A0000}"/>
    <cellStyle name="20% - akcent 3 7 6" xfId="3107" xr:uid="{00000000-0005-0000-0000-0000DB0A0000}"/>
    <cellStyle name="20% - akcent 3 8" xfId="3112" xr:uid="{00000000-0005-0000-0000-0000DC0A0000}"/>
    <cellStyle name="20% - akcent 3 8 2" xfId="3113" xr:uid="{00000000-0005-0000-0000-0000DD0A0000}"/>
    <cellStyle name="20% - akcent 3 8 3" xfId="3114" xr:uid="{00000000-0005-0000-0000-0000DE0A0000}"/>
    <cellStyle name="20% - akcent 3 8 4" xfId="3115" xr:uid="{00000000-0005-0000-0000-0000DF0A0000}"/>
    <cellStyle name="20% - akcent 3 9" xfId="3116" xr:uid="{00000000-0005-0000-0000-0000E00A0000}"/>
    <cellStyle name="20% - akcent 4 1" xfId="3117" xr:uid="{00000000-0005-0000-0000-0000E10A0000}"/>
    <cellStyle name="20% - akcent 4 10" xfId="3118" xr:uid="{00000000-0005-0000-0000-0000E20A0000}"/>
    <cellStyle name="20% - akcent 4 11" xfId="3119" xr:uid="{00000000-0005-0000-0000-0000E30A0000}"/>
    <cellStyle name="20% - akcent 4 12" xfId="3120" xr:uid="{00000000-0005-0000-0000-0000E40A0000}"/>
    <cellStyle name="20% - akcent 4 13" xfId="3121" xr:uid="{00000000-0005-0000-0000-0000E50A0000}"/>
    <cellStyle name="20% - akcent 4 14" xfId="3122" xr:uid="{00000000-0005-0000-0000-0000E60A0000}"/>
    <cellStyle name="20% - akcent 4 15" xfId="3123" xr:uid="{00000000-0005-0000-0000-0000E70A0000}"/>
    <cellStyle name="20% - akcent 4 16" xfId="3124" xr:uid="{00000000-0005-0000-0000-0000E80A0000}"/>
    <cellStyle name="20% - akcent 4 17" xfId="3125" xr:uid="{00000000-0005-0000-0000-0000E90A0000}"/>
    <cellStyle name="20% - akcent 4 18" xfId="3126" xr:uid="{00000000-0005-0000-0000-0000EA0A0000}"/>
    <cellStyle name="20% - akcent 4 19" xfId="3127" xr:uid="{00000000-0005-0000-0000-0000EB0A0000}"/>
    <cellStyle name="20% - akcent 4 2" xfId="51" xr:uid="{00000000-0005-0000-0000-0000EC0A0000}"/>
    <cellStyle name="20% - akcent 4 2 10" xfId="3129" xr:uid="{00000000-0005-0000-0000-0000ED0A0000}"/>
    <cellStyle name="20% - akcent 4 2 11" xfId="3130" xr:uid="{00000000-0005-0000-0000-0000EE0A0000}"/>
    <cellStyle name="20% - akcent 4 2 12" xfId="3131" xr:uid="{00000000-0005-0000-0000-0000EF0A0000}"/>
    <cellStyle name="20% - akcent 4 2 13" xfId="3132" xr:uid="{00000000-0005-0000-0000-0000F00A0000}"/>
    <cellStyle name="20% - akcent 4 2 13 10" xfId="3133" xr:uid="{00000000-0005-0000-0000-0000F10A0000}"/>
    <cellStyle name="20% - akcent 4 2 13 11" xfId="3134" xr:uid="{00000000-0005-0000-0000-0000F20A0000}"/>
    <cellStyle name="20% - akcent 4 2 13 12" xfId="3135" xr:uid="{00000000-0005-0000-0000-0000F30A0000}"/>
    <cellStyle name="20% - akcent 4 2 13 2" xfId="3136" xr:uid="{00000000-0005-0000-0000-0000F40A0000}"/>
    <cellStyle name="20% - akcent 4 2 13 2 10" xfId="3137" xr:uid="{00000000-0005-0000-0000-0000F50A0000}"/>
    <cellStyle name="20% - akcent 4 2 13 2 11" xfId="3138" xr:uid="{00000000-0005-0000-0000-0000F60A0000}"/>
    <cellStyle name="20% - akcent 4 2 13 2 2" xfId="3139" xr:uid="{00000000-0005-0000-0000-0000F70A0000}"/>
    <cellStyle name="20% - akcent 4 2 13 2 2 10" xfId="3140" xr:uid="{00000000-0005-0000-0000-0000F80A0000}"/>
    <cellStyle name="20% - akcent 4 2 13 2 2 11" xfId="3141" xr:uid="{00000000-0005-0000-0000-0000F90A0000}"/>
    <cellStyle name="20% - akcent 4 2 13 2 2 2" xfId="3142" xr:uid="{00000000-0005-0000-0000-0000FA0A0000}"/>
    <cellStyle name="20% - akcent 4 2 13 2 2 2 2" xfId="3143" xr:uid="{00000000-0005-0000-0000-0000FB0A0000}"/>
    <cellStyle name="20% - akcent 4 2 13 2 2 2 2 2" xfId="3144" xr:uid="{00000000-0005-0000-0000-0000FC0A0000}"/>
    <cellStyle name="20% - akcent 4 2 13 2 2 2 2 3" xfId="3145" xr:uid="{00000000-0005-0000-0000-0000FD0A0000}"/>
    <cellStyle name="20% - akcent 4 2 13 2 2 2 2 4" xfId="3146" xr:uid="{00000000-0005-0000-0000-0000FE0A0000}"/>
    <cellStyle name="20% - akcent 4 2 13 2 2 2 2 5" xfId="3147" xr:uid="{00000000-0005-0000-0000-0000FF0A0000}"/>
    <cellStyle name="20% - akcent 4 2 13 2 2 2 2 6" xfId="3148" xr:uid="{00000000-0005-0000-0000-0000000B0000}"/>
    <cellStyle name="20% - akcent 4 2 13 2 2 2 3" xfId="3149" xr:uid="{00000000-0005-0000-0000-0000010B0000}"/>
    <cellStyle name="20% - akcent 4 2 13 2 2 2 4" xfId="3150" xr:uid="{00000000-0005-0000-0000-0000020B0000}"/>
    <cellStyle name="20% - akcent 4 2 13 2 2 2 5" xfId="3151" xr:uid="{00000000-0005-0000-0000-0000030B0000}"/>
    <cellStyle name="20% - akcent 4 2 13 2 2 2 6" xfId="3152" xr:uid="{00000000-0005-0000-0000-0000040B0000}"/>
    <cellStyle name="20% - akcent 4 2 13 2 2 2 7" xfId="3153" xr:uid="{00000000-0005-0000-0000-0000050B0000}"/>
    <cellStyle name="20% - akcent 4 2 13 2 2 3" xfId="3154" xr:uid="{00000000-0005-0000-0000-0000060B0000}"/>
    <cellStyle name="20% - akcent 4 2 13 2 2 4" xfId="3155" xr:uid="{00000000-0005-0000-0000-0000070B0000}"/>
    <cellStyle name="20% - akcent 4 2 13 2 2 5" xfId="3156" xr:uid="{00000000-0005-0000-0000-0000080B0000}"/>
    <cellStyle name="20% - akcent 4 2 13 2 2 6" xfId="3157" xr:uid="{00000000-0005-0000-0000-0000090B0000}"/>
    <cellStyle name="20% - akcent 4 2 13 2 2 7" xfId="3158" xr:uid="{00000000-0005-0000-0000-00000A0B0000}"/>
    <cellStyle name="20% - akcent 4 2 13 2 2 7 2" xfId="3159" xr:uid="{00000000-0005-0000-0000-00000B0B0000}"/>
    <cellStyle name="20% - akcent 4 2 13 2 2 7 3" xfId="3160" xr:uid="{00000000-0005-0000-0000-00000C0B0000}"/>
    <cellStyle name="20% - akcent 4 2 13 2 2 7 4" xfId="3161" xr:uid="{00000000-0005-0000-0000-00000D0B0000}"/>
    <cellStyle name="20% - akcent 4 2 13 2 2 7 5" xfId="3162" xr:uid="{00000000-0005-0000-0000-00000E0B0000}"/>
    <cellStyle name="20% - akcent 4 2 13 2 2 7 6" xfId="3163" xr:uid="{00000000-0005-0000-0000-00000F0B0000}"/>
    <cellStyle name="20% - akcent 4 2 13 2 2 8" xfId="3164" xr:uid="{00000000-0005-0000-0000-0000100B0000}"/>
    <cellStyle name="20% - akcent 4 2 13 2 2 9" xfId="3165" xr:uid="{00000000-0005-0000-0000-0000110B0000}"/>
    <cellStyle name="20% - akcent 4 2 13 2 3" xfId="3166" xr:uid="{00000000-0005-0000-0000-0000120B0000}"/>
    <cellStyle name="20% - akcent 4 2 13 2 3 2" xfId="3167" xr:uid="{00000000-0005-0000-0000-0000130B0000}"/>
    <cellStyle name="20% - akcent 4 2 13 2 3 2 2" xfId="3168" xr:uid="{00000000-0005-0000-0000-0000140B0000}"/>
    <cellStyle name="20% - akcent 4 2 13 2 3 2 3" xfId="3169" xr:uid="{00000000-0005-0000-0000-0000150B0000}"/>
    <cellStyle name="20% - akcent 4 2 13 2 3 2 4" xfId="3170" xr:uid="{00000000-0005-0000-0000-0000160B0000}"/>
    <cellStyle name="20% - akcent 4 2 13 2 3 2 5" xfId="3171" xr:uid="{00000000-0005-0000-0000-0000170B0000}"/>
    <cellStyle name="20% - akcent 4 2 13 2 3 2 6" xfId="3172" xr:uid="{00000000-0005-0000-0000-0000180B0000}"/>
    <cellStyle name="20% - akcent 4 2 13 2 3 3" xfId="3173" xr:uid="{00000000-0005-0000-0000-0000190B0000}"/>
    <cellStyle name="20% - akcent 4 2 13 2 3 4" xfId="3174" xr:uid="{00000000-0005-0000-0000-00001A0B0000}"/>
    <cellStyle name="20% - akcent 4 2 13 2 3 5" xfId="3175" xr:uid="{00000000-0005-0000-0000-00001B0B0000}"/>
    <cellStyle name="20% - akcent 4 2 13 2 3 6" xfId="3176" xr:uid="{00000000-0005-0000-0000-00001C0B0000}"/>
    <cellStyle name="20% - akcent 4 2 13 2 3 7" xfId="3177" xr:uid="{00000000-0005-0000-0000-00001D0B0000}"/>
    <cellStyle name="20% - akcent 4 2 13 2 4" xfId="3178" xr:uid="{00000000-0005-0000-0000-00001E0B0000}"/>
    <cellStyle name="20% - akcent 4 2 13 2 5" xfId="3179" xr:uid="{00000000-0005-0000-0000-00001F0B0000}"/>
    <cellStyle name="20% - akcent 4 2 13 2 6" xfId="3180" xr:uid="{00000000-0005-0000-0000-0000200B0000}"/>
    <cellStyle name="20% - akcent 4 2 13 2 7" xfId="3181" xr:uid="{00000000-0005-0000-0000-0000210B0000}"/>
    <cellStyle name="20% - akcent 4 2 13 2 7 2" xfId="3182" xr:uid="{00000000-0005-0000-0000-0000220B0000}"/>
    <cellStyle name="20% - akcent 4 2 13 2 7 3" xfId="3183" xr:uid="{00000000-0005-0000-0000-0000230B0000}"/>
    <cellStyle name="20% - akcent 4 2 13 2 7 4" xfId="3184" xr:uid="{00000000-0005-0000-0000-0000240B0000}"/>
    <cellStyle name="20% - akcent 4 2 13 2 7 5" xfId="3185" xr:uid="{00000000-0005-0000-0000-0000250B0000}"/>
    <cellStyle name="20% - akcent 4 2 13 2 7 6" xfId="3186" xr:uid="{00000000-0005-0000-0000-0000260B0000}"/>
    <cellStyle name="20% - akcent 4 2 13 2 8" xfId="3187" xr:uid="{00000000-0005-0000-0000-0000270B0000}"/>
    <cellStyle name="20% - akcent 4 2 13 2 9" xfId="3188" xr:uid="{00000000-0005-0000-0000-0000280B0000}"/>
    <cellStyle name="20% - akcent 4 2 13 3" xfId="3189" xr:uid="{00000000-0005-0000-0000-0000290B0000}"/>
    <cellStyle name="20% - akcent 4 2 13 3 2" xfId="3190" xr:uid="{00000000-0005-0000-0000-00002A0B0000}"/>
    <cellStyle name="20% - akcent 4 2 13 3 2 2" xfId="3191" xr:uid="{00000000-0005-0000-0000-00002B0B0000}"/>
    <cellStyle name="20% - akcent 4 2 13 3 2 3" xfId="3192" xr:uid="{00000000-0005-0000-0000-00002C0B0000}"/>
    <cellStyle name="20% - akcent 4 2 13 3 2 4" xfId="3193" xr:uid="{00000000-0005-0000-0000-00002D0B0000}"/>
    <cellStyle name="20% - akcent 4 2 13 3 2 5" xfId="3194" xr:uid="{00000000-0005-0000-0000-00002E0B0000}"/>
    <cellStyle name="20% - akcent 4 2 13 3 2 6" xfId="3195" xr:uid="{00000000-0005-0000-0000-00002F0B0000}"/>
    <cellStyle name="20% - akcent 4 2 13 3 3" xfId="3196" xr:uid="{00000000-0005-0000-0000-0000300B0000}"/>
    <cellStyle name="20% - akcent 4 2 13 3 4" xfId="3197" xr:uid="{00000000-0005-0000-0000-0000310B0000}"/>
    <cellStyle name="20% - akcent 4 2 13 3 5" xfId="3198" xr:uid="{00000000-0005-0000-0000-0000320B0000}"/>
    <cellStyle name="20% - akcent 4 2 13 3 6" xfId="3199" xr:uid="{00000000-0005-0000-0000-0000330B0000}"/>
    <cellStyle name="20% - akcent 4 2 13 3 7" xfId="3200" xr:uid="{00000000-0005-0000-0000-0000340B0000}"/>
    <cellStyle name="20% - akcent 4 2 13 4" xfId="3201" xr:uid="{00000000-0005-0000-0000-0000350B0000}"/>
    <cellStyle name="20% - akcent 4 2 13 5" xfId="3202" xr:uid="{00000000-0005-0000-0000-0000360B0000}"/>
    <cellStyle name="20% - akcent 4 2 13 6" xfId="3203" xr:uid="{00000000-0005-0000-0000-0000370B0000}"/>
    <cellStyle name="20% - akcent 4 2 13 7" xfId="3204" xr:uid="{00000000-0005-0000-0000-0000380B0000}"/>
    <cellStyle name="20% - akcent 4 2 13 8" xfId="3205" xr:uid="{00000000-0005-0000-0000-0000390B0000}"/>
    <cellStyle name="20% - akcent 4 2 13 8 2" xfId="3206" xr:uid="{00000000-0005-0000-0000-00003A0B0000}"/>
    <cellStyle name="20% - akcent 4 2 13 8 3" xfId="3207" xr:uid="{00000000-0005-0000-0000-00003B0B0000}"/>
    <cellStyle name="20% - akcent 4 2 13 8 4" xfId="3208" xr:uid="{00000000-0005-0000-0000-00003C0B0000}"/>
    <cellStyle name="20% - akcent 4 2 13 8 5" xfId="3209" xr:uid="{00000000-0005-0000-0000-00003D0B0000}"/>
    <cellStyle name="20% - akcent 4 2 13 8 6" xfId="3210" xr:uid="{00000000-0005-0000-0000-00003E0B0000}"/>
    <cellStyle name="20% - akcent 4 2 13 9" xfId="3211" xr:uid="{00000000-0005-0000-0000-00003F0B0000}"/>
    <cellStyle name="20% - akcent 4 2 14" xfId="3212" xr:uid="{00000000-0005-0000-0000-0000400B0000}"/>
    <cellStyle name="20% - akcent 4 2 14 10" xfId="3213" xr:uid="{00000000-0005-0000-0000-0000410B0000}"/>
    <cellStyle name="20% - akcent 4 2 14 11" xfId="3214" xr:uid="{00000000-0005-0000-0000-0000420B0000}"/>
    <cellStyle name="20% - akcent 4 2 14 2" xfId="3215" xr:uid="{00000000-0005-0000-0000-0000430B0000}"/>
    <cellStyle name="20% - akcent 4 2 14 2 2" xfId="3216" xr:uid="{00000000-0005-0000-0000-0000440B0000}"/>
    <cellStyle name="20% - akcent 4 2 14 2 2 2" xfId="3217" xr:uid="{00000000-0005-0000-0000-0000450B0000}"/>
    <cellStyle name="20% - akcent 4 2 14 2 2 3" xfId="3218" xr:uid="{00000000-0005-0000-0000-0000460B0000}"/>
    <cellStyle name="20% - akcent 4 2 14 2 2 4" xfId="3219" xr:uid="{00000000-0005-0000-0000-0000470B0000}"/>
    <cellStyle name="20% - akcent 4 2 14 2 2 5" xfId="3220" xr:uid="{00000000-0005-0000-0000-0000480B0000}"/>
    <cellStyle name="20% - akcent 4 2 14 2 2 6" xfId="3221" xr:uid="{00000000-0005-0000-0000-0000490B0000}"/>
    <cellStyle name="20% - akcent 4 2 14 2 3" xfId="3222" xr:uid="{00000000-0005-0000-0000-00004A0B0000}"/>
    <cellStyle name="20% - akcent 4 2 14 2 4" xfId="3223" xr:uid="{00000000-0005-0000-0000-00004B0B0000}"/>
    <cellStyle name="20% - akcent 4 2 14 2 5" xfId="3224" xr:uid="{00000000-0005-0000-0000-00004C0B0000}"/>
    <cellStyle name="20% - akcent 4 2 14 2 6" xfId="3225" xr:uid="{00000000-0005-0000-0000-00004D0B0000}"/>
    <cellStyle name="20% - akcent 4 2 14 2 7" xfId="3226" xr:uid="{00000000-0005-0000-0000-00004E0B0000}"/>
    <cellStyle name="20% - akcent 4 2 14 3" xfId="3227" xr:uid="{00000000-0005-0000-0000-00004F0B0000}"/>
    <cellStyle name="20% - akcent 4 2 14 4" xfId="3228" xr:uid="{00000000-0005-0000-0000-0000500B0000}"/>
    <cellStyle name="20% - akcent 4 2 14 5" xfId="3229" xr:uid="{00000000-0005-0000-0000-0000510B0000}"/>
    <cellStyle name="20% - akcent 4 2 14 6" xfId="3230" xr:uid="{00000000-0005-0000-0000-0000520B0000}"/>
    <cellStyle name="20% - akcent 4 2 14 7" xfId="3231" xr:uid="{00000000-0005-0000-0000-0000530B0000}"/>
    <cellStyle name="20% - akcent 4 2 14 7 2" xfId="3232" xr:uid="{00000000-0005-0000-0000-0000540B0000}"/>
    <cellStyle name="20% - akcent 4 2 14 7 3" xfId="3233" xr:uid="{00000000-0005-0000-0000-0000550B0000}"/>
    <cellStyle name="20% - akcent 4 2 14 7 4" xfId="3234" xr:uid="{00000000-0005-0000-0000-0000560B0000}"/>
    <cellStyle name="20% - akcent 4 2 14 7 5" xfId="3235" xr:uid="{00000000-0005-0000-0000-0000570B0000}"/>
    <cellStyle name="20% - akcent 4 2 14 7 6" xfId="3236" xr:uid="{00000000-0005-0000-0000-0000580B0000}"/>
    <cellStyle name="20% - akcent 4 2 14 8" xfId="3237" xr:uid="{00000000-0005-0000-0000-0000590B0000}"/>
    <cellStyle name="20% - akcent 4 2 14 9" xfId="3238" xr:uid="{00000000-0005-0000-0000-00005A0B0000}"/>
    <cellStyle name="20% - akcent 4 2 15" xfId="3239" xr:uid="{00000000-0005-0000-0000-00005B0B0000}"/>
    <cellStyle name="20% - akcent 4 2 15 2" xfId="3240" xr:uid="{00000000-0005-0000-0000-00005C0B0000}"/>
    <cellStyle name="20% - akcent 4 2 15 2 2" xfId="3241" xr:uid="{00000000-0005-0000-0000-00005D0B0000}"/>
    <cellStyle name="20% - akcent 4 2 15 2 3" xfId="3242" xr:uid="{00000000-0005-0000-0000-00005E0B0000}"/>
    <cellStyle name="20% - akcent 4 2 15 2 4" xfId="3243" xr:uid="{00000000-0005-0000-0000-00005F0B0000}"/>
    <cellStyle name="20% - akcent 4 2 15 2 5" xfId="3244" xr:uid="{00000000-0005-0000-0000-0000600B0000}"/>
    <cellStyle name="20% - akcent 4 2 15 2 6" xfId="3245" xr:uid="{00000000-0005-0000-0000-0000610B0000}"/>
    <cellStyle name="20% - akcent 4 2 15 3" xfId="3246" xr:uid="{00000000-0005-0000-0000-0000620B0000}"/>
    <cellStyle name="20% - akcent 4 2 15 4" xfId="3247" xr:uid="{00000000-0005-0000-0000-0000630B0000}"/>
    <cellStyle name="20% - akcent 4 2 15 5" xfId="3248" xr:uid="{00000000-0005-0000-0000-0000640B0000}"/>
    <cellStyle name="20% - akcent 4 2 15 6" xfId="3249" xr:uid="{00000000-0005-0000-0000-0000650B0000}"/>
    <cellStyle name="20% - akcent 4 2 15 7" xfId="3250" xr:uid="{00000000-0005-0000-0000-0000660B0000}"/>
    <cellStyle name="20% - akcent 4 2 16" xfId="3251" xr:uid="{00000000-0005-0000-0000-0000670B0000}"/>
    <cellStyle name="20% - akcent 4 2 17" xfId="3252" xr:uid="{00000000-0005-0000-0000-0000680B0000}"/>
    <cellStyle name="20% - akcent 4 2 18" xfId="3253" xr:uid="{00000000-0005-0000-0000-0000690B0000}"/>
    <cellStyle name="20% - akcent 4 2 19" xfId="3254" xr:uid="{00000000-0005-0000-0000-00006A0B0000}"/>
    <cellStyle name="20% - akcent 4 2 2" xfId="52" xr:uid="{00000000-0005-0000-0000-00006B0B0000}"/>
    <cellStyle name="20% - akcent 4 2 2 10" xfId="3256" xr:uid="{00000000-0005-0000-0000-00006C0B0000}"/>
    <cellStyle name="20% - akcent 4 2 2 10 10" xfId="3257" xr:uid="{00000000-0005-0000-0000-00006D0B0000}"/>
    <cellStyle name="20% - akcent 4 2 2 10 11" xfId="3258" xr:uid="{00000000-0005-0000-0000-00006E0B0000}"/>
    <cellStyle name="20% - akcent 4 2 2 10 12" xfId="3259" xr:uid="{00000000-0005-0000-0000-00006F0B0000}"/>
    <cellStyle name="20% - akcent 4 2 2 10 2" xfId="3260" xr:uid="{00000000-0005-0000-0000-0000700B0000}"/>
    <cellStyle name="20% - akcent 4 2 2 10 2 10" xfId="3261" xr:uid="{00000000-0005-0000-0000-0000710B0000}"/>
    <cellStyle name="20% - akcent 4 2 2 10 2 11" xfId="3262" xr:uid="{00000000-0005-0000-0000-0000720B0000}"/>
    <cellStyle name="20% - akcent 4 2 2 10 2 2" xfId="3263" xr:uid="{00000000-0005-0000-0000-0000730B0000}"/>
    <cellStyle name="20% - akcent 4 2 2 10 2 2 10" xfId="3264" xr:uid="{00000000-0005-0000-0000-0000740B0000}"/>
    <cellStyle name="20% - akcent 4 2 2 10 2 2 11" xfId="3265" xr:uid="{00000000-0005-0000-0000-0000750B0000}"/>
    <cellStyle name="20% - akcent 4 2 2 10 2 2 2" xfId="3266" xr:uid="{00000000-0005-0000-0000-0000760B0000}"/>
    <cellStyle name="20% - akcent 4 2 2 10 2 2 2 2" xfId="3267" xr:uid="{00000000-0005-0000-0000-0000770B0000}"/>
    <cellStyle name="20% - akcent 4 2 2 10 2 2 2 2 2" xfId="3268" xr:uid="{00000000-0005-0000-0000-0000780B0000}"/>
    <cellStyle name="20% - akcent 4 2 2 10 2 2 2 2 3" xfId="3269" xr:uid="{00000000-0005-0000-0000-0000790B0000}"/>
    <cellStyle name="20% - akcent 4 2 2 10 2 2 2 2 4" xfId="3270" xr:uid="{00000000-0005-0000-0000-00007A0B0000}"/>
    <cellStyle name="20% - akcent 4 2 2 10 2 2 2 2 5" xfId="3271" xr:uid="{00000000-0005-0000-0000-00007B0B0000}"/>
    <cellStyle name="20% - akcent 4 2 2 10 2 2 2 2 6" xfId="3272" xr:uid="{00000000-0005-0000-0000-00007C0B0000}"/>
    <cellStyle name="20% - akcent 4 2 2 10 2 2 2 3" xfId="3273" xr:uid="{00000000-0005-0000-0000-00007D0B0000}"/>
    <cellStyle name="20% - akcent 4 2 2 10 2 2 2 4" xfId="3274" xr:uid="{00000000-0005-0000-0000-00007E0B0000}"/>
    <cellStyle name="20% - akcent 4 2 2 10 2 2 2 5" xfId="3275" xr:uid="{00000000-0005-0000-0000-00007F0B0000}"/>
    <cellStyle name="20% - akcent 4 2 2 10 2 2 2 6" xfId="3276" xr:uid="{00000000-0005-0000-0000-0000800B0000}"/>
    <cellStyle name="20% - akcent 4 2 2 10 2 2 2 7" xfId="3277" xr:uid="{00000000-0005-0000-0000-0000810B0000}"/>
    <cellStyle name="20% - akcent 4 2 2 10 2 2 3" xfId="3278" xr:uid="{00000000-0005-0000-0000-0000820B0000}"/>
    <cellStyle name="20% - akcent 4 2 2 10 2 2 4" xfId="3279" xr:uid="{00000000-0005-0000-0000-0000830B0000}"/>
    <cellStyle name="20% - akcent 4 2 2 10 2 2 5" xfId="3280" xr:uid="{00000000-0005-0000-0000-0000840B0000}"/>
    <cellStyle name="20% - akcent 4 2 2 10 2 2 6" xfId="3281" xr:uid="{00000000-0005-0000-0000-0000850B0000}"/>
    <cellStyle name="20% - akcent 4 2 2 10 2 2 7" xfId="3282" xr:uid="{00000000-0005-0000-0000-0000860B0000}"/>
    <cellStyle name="20% - akcent 4 2 2 10 2 2 7 2" xfId="3283" xr:uid="{00000000-0005-0000-0000-0000870B0000}"/>
    <cellStyle name="20% - akcent 4 2 2 10 2 2 7 3" xfId="3284" xr:uid="{00000000-0005-0000-0000-0000880B0000}"/>
    <cellStyle name="20% - akcent 4 2 2 10 2 2 7 4" xfId="3285" xr:uid="{00000000-0005-0000-0000-0000890B0000}"/>
    <cellStyle name="20% - akcent 4 2 2 10 2 2 7 5" xfId="3286" xr:uid="{00000000-0005-0000-0000-00008A0B0000}"/>
    <cellStyle name="20% - akcent 4 2 2 10 2 2 7 6" xfId="3287" xr:uid="{00000000-0005-0000-0000-00008B0B0000}"/>
    <cellStyle name="20% - akcent 4 2 2 10 2 2 8" xfId="3288" xr:uid="{00000000-0005-0000-0000-00008C0B0000}"/>
    <cellStyle name="20% - akcent 4 2 2 10 2 2 9" xfId="3289" xr:uid="{00000000-0005-0000-0000-00008D0B0000}"/>
    <cellStyle name="20% - akcent 4 2 2 10 2 3" xfId="3290" xr:uid="{00000000-0005-0000-0000-00008E0B0000}"/>
    <cellStyle name="20% - akcent 4 2 2 10 2 3 2" xfId="3291" xr:uid="{00000000-0005-0000-0000-00008F0B0000}"/>
    <cellStyle name="20% - akcent 4 2 2 10 2 3 2 2" xfId="3292" xr:uid="{00000000-0005-0000-0000-0000900B0000}"/>
    <cellStyle name="20% - akcent 4 2 2 10 2 3 2 3" xfId="3293" xr:uid="{00000000-0005-0000-0000-0000910B0000}"/>
    <cellStyle name="20% - akcent 4 2 2 10 2 3 2 4" xfId="3294" xr:uid="{00000000-0005-0000-0000-0000920B0000}"/>
    <cellStyle name="20% - akcent 4 2 2 10 2 3 2 5" xfId="3295" xr:uid="{00000000-0005-0000-0000-0000930B0000}"/>
    <cellStyle name="20% - akcent 4 2 2 10 2 3 2 6" xfId="3296" xr:uid="{00000000-0005-0000-0000-0000940B0000}"/>
    <cellStyle name="20% - akcent 4 2 2 10 2 3 3" xfId="3297" xr:uid="{00000000-0005-0000-0000-0000950B0000}"/>
    <cellStyle name="20% - akcent 4 2 2 10 2 3 4" xfId="3298" xr:uid="{00000000-0005-0000-0000-0000960B0000}"/>
    <cellStyle name="20% - akcent 4 2 2 10 2 3 5" xfId="3299" xr:uid="{00000000-0005-0000-0000-0000970B0000}"/>
    <cellStyle name="20% - akcent 4 2 2 10 2 3 6" xfId="3300" xr:uid="{00000000-0005-0000-0000-0000980B0000}"/>
    <cellStyle name="20% - akcent 4 2 2 10 2 3 7" xfId="3301" xr:uid="{00000000-0005-0000-0000-0000990B0000}"/>
    <cellStyle name="20% - akcent 4 2 2 10 2 4" xfId="3302" xr:uid="{00000000-0005-0000-0000-00009A0B0000}"/>
    <cellStyle name="20% - akcent 4 2 2 10 2 5" xfId="3303" xr:uid="{00000000-0005-0000-0000-00009B0B0000}"/>
    <cellStyle name="20% - akcent 4 2 2 10 2 6" xfId="3304" xr:uid="{00000000-0005-0000-0000-00009C0B0000}"/>
    <cellStyle name="20% - akcent 4 2 2 10 2 7" xfId="3305" xr:uid="{00000000-0005-0000-0000-00009D0B0000}"/>
    <cellStyle name="20% - akcent 4 2 2 10 2 7 2" xfId="3306" xr:uid="{00000000-0005-0000-0000-00009E0B0000}"/>
    <cellStyle name="20% - akcent 4 2 2 10 2 7 3" xfId="3307" xr:uid="{00000000-0005-0000-0000-00009F0B0000}"/>
    <cellStyle name="20% - akcent 4 2 2 10 2 7 4" xfId="3308" xr:uid="{00000000-0005-0000-0000-0000A00B0000}"/>
    <cellStyle name="20% - akcent 4 2 2 10 2 7 5" xfId="3309" xr:uid="{00000000-0005-0000-0000-0000A10B0000}"/>
    <cellStyle name="20% - akcent 4 2 2 10 2 7 6" xfId="3310" xr:uid="{00000000-0005-0000-0000-0000A20B0000}"/>
    <cellStyle name="20% - akcent 4 2 2 10 2 8" xfId="3311" xr:uid="{00000000-0005-0000-0000-0000A30B0000}"/>
    <cellStyle name="20% - akcent 4 2 2 10 2 9" xfId="3312" xr:uid="{00000000-0005-0000-0000-0000A40B0000}"/>
    <cellStyle name="20% - akcent 4 2 2 10 3" xfId="3313" xr:uid="{00000000-0005-0000-0000-0000A50B0000}"/>
    <cellStyle name="20% - akcent 4 2 2 10 3 2" xfId="3314" xr:uid="{00000000-0005-0000-0000-0000A60B0000}"/>
    <cellStyle name="20% - akcent 4 2 2 10 3 2 2" xfId="3315" xr:uid="{00000000-0005-0000-0000-0000A70B0000}"/>
    <cellStyle name="20% - akcent 4 2 2 10 3 2 3" xfId="3316" xr:uid="{00000000-0005-0000-0000-0000A80B0000}"/>
    <cellStyle name="20% - akcent 4 2 2 10 3 2 4" xfId="3317" xr:uid="{00000000-0005-0000-0000-0000A90B0000}"/>
    <cellStyle name="20% - akcent 4 2 2 10 3 2 5" xfId="3318" xr:uid="{00000000-0005-0000-0000-0000AA0B0000}"/>
    <cellStyle name="20% - akcent 4 2 2 10 3 2 6" xfId="3319" xr:uid="{00000000-0005-0000-0000-0000AB0B0000}"/>
    <cellStyle name="20% - akcent 4 2 2 10 3 3" xfId="3320" xr:uid="{00000000-0005-0000-0000-0000AC0B0000}"/>
    <cellStyle name="20% - akcent 4 2 2 10 3 4" xfId="3321" xr:uid="{00000000-0005-0000-0000-0000AD0B0000}"/>
    <cellStyle name="20% - akcent 4 2 2 10 3 5" xfId="3322" xr:uid="{00000000-0005-0000-0000-0000AE0B0000}"/>
    <cellStyle name="20% - akcent 4 2 2 10 3 6" xfId="3323" xr:uid="{00000000-0005-0000-0000-0000AF0B0000}"/>
    <cellStyle name="20% - akcent 4 2 2 10 3 7" xfId="3324" xr:uid="{00000000-0005-0000-0000-0000B00B0000}"/>
    <cellStyle name="20% - akcent 4 2 2 10 4" xfId="3325" xr:uid="{00000000-0005-0000-0000-0000B10B0000}"/>
    <cellStyle name="20% - akcent 4 2 2 10 5" xfId="3326" xr:uid="{00000000-0005-0000-0000-0000B20B0000}"/>
    <cellStyle name="20% - akcent 4 2 2 10 6" xfId="3327" xr:uid="{00000000-0005-0000-0000-0000B30B0000}"/>
    <cellStyle name="20% - akcent 4 2 2 10 7" xfId="3328" xr:uid="{00000000-0005-0000-0000-0000B40B0000}"/>
    <cellStyle name="20% - akcent 4 2 2 10 8" xfId="3329" xr:uid="{00000000-0005-0000-0000-0000B50B0000}"/>
    <cellStyle name="20% - akcent 4 2 2 10 8 2" xfId="3330" xr:uid="{00000000-0005-0000-0000-0000B60B0000}"/>
    <cellStyle name="20% - akcent 4 2 2 10 8 3" xfId="3331" xr:uid="{00000000-0005-0000-0000-0000B70B0000}"/>
    <cellStyle name="20% - akcent 4 2 2 10 8 4" xfId="3332" xr:uid="{00000000-0005-0000-0000-0000B80B0000}"/>
    <cellStyle name="20% - akcent 4 2 2 10 8 5" xfId="3333" xr:uid="{00000000-0005-0000-0000-0000B90B0000}"/>
    <cellStyle name="20% - akcent 4 2 2 10 8 6" xfId="3334" xr:uid="{00000000-0005-0000-0000-0000BA0B0000}"/>
    <cellStyle name="20% - akcent 4 2 2 10 9" xfId="3335" xr:uid="{00000000-0005-0000-0000-0000BB0B0000}"/>
    <cellStyle name="20% - akcent 4 2 2 11" xfId="3336" xr:uid="{00000000-0005-0000-0000-0000BC0B0000}"/>
    <cellStyle name="20% - akcent 4 2 2 11 10" xfId="3337" xr:uid="{00000000-0005-0000-0000-0000BD0B0000}"/>
    <cellStyle name="20% - akcent 4 2 2 11 11" xfId="3338" xr:uid="{00000000-0005-0000-0000-0000BE0B0000}"/>
    <cellStyle name="20% - akcent 4 2 2 11 2" xfId="3339" xr:uid="{00000000-0005-0000-0000-0000BF0B0000}"/>
    <cellStyle name="20% - akcent 4 2 2 11 2 2" xfId="3340" xr:uid="{00000000-0005-0000-0000-0000C00B0000}"/>
    <cellStyle name="20% - akcent 4 2 2 11 2 2 2" xfId="3341" xr:uid="{00000000-0005-0000-0000-0000C10B0000}"/>
    <cellStyle name="20% - akcent 4 2 2 11 2 2 3" xfId="3342" xr:uid="{00000000-0005-0000-0000-0000C20B0000}"/>
    <cellStyle name="20% - akcent 4 2 2 11 2 2 4" xfId="3343" xr:uid="{00000000-0005-0000-0000-0000C30B0000}"/>
    <cellStyle name="20% - akcent 4 2 2 11 2 2 5" xfId="3344" xr:uid="{00000000-0005-0000-0000-0000C40B0000}"/>
    <cellStyle name="20% - akcent 4 2 2 11 2 2 6" xfId="3345" xr:uid="{00000000-0005-0000-0000-0000C50B0000}"/>
    <cellStyle name="20% - akcent 4 2 2 11 2 3" xfId="3346" xr:uid="{00000000-0005-0000-0000-0000C60B0000}"/>
    <cellStyle name="20% - akcent 4 2 2 11 2 4" xfId="3347" xr:uid="{00000000-0005-0000-0000-0000C70B0000}"/>
    <cellStyle name="20% - akcent 4 2 2 11 2 5" xfId="3348" xr:uid="{00000000-0005-0000-0000-0000C80B0000}"/>
    <cellStyle name="20% - akcent 4 2 2 11 2 6" xfId="3349" xr:uid="{00000000-0005-0000-0000-0000C90B0000}"/>
    <cellStyle name="20% - akcent 4 2 2 11 2 7" xfId="3350" xr:uid="{00000000-0005-0000-0000-0000CA0B0000}"/>
    <cellStyle name="20% - akcent 4 2 2 11 3" xfId="3351" xr:uid="{00000000-0005-0000-0000-0000CB0B0000}"/>
    <cellStyle name="20% - akcent 4 2 2 11 4" xfId="3352" xr:uid="{00000000-0005-0000-0000-0000CC0B0000}"/>
    <cellStyle name="20% - akcent 4 2 2 11 5" xfId="3353" xr:uid="{00000000-0005-0000-0000-0000CD0B0000}"/>
    <cellStyle name="20% - akcent 4 2 2 11 6" xfId="3354" xr:uid="{00000000-0005-0000-0000-0000CE0B0000}"/>
    <cellStyle name="20% - akcent 4 2 2 11 7" xfId="3355" xr:uid="{00000000-0005-0000-0000-0000CF0B0000}"/>
    <cellStyle name="20% - akcent 4 2 2 11 7 2" xfId="3356" xr:uid="{00000000-0005-0000-0000-0000D00B0000}"/>
    <cellStyle name="20% - akcent 4 2 2 11 7 3" xfId="3357" xr:uid="{00000000-0005-0000-0000-0000D10B0000}"/>
    <cellStyle name="20% - akcent 4 2 2 11 7 4" xfId="3358" xr:uid="{00000000-0005-0000-0000-0000D20B0000}"/>
    <cellStyle name="20% - akcent 4 2 2 11 7 5" xfId="3359" xr:uid="{00000000-0005-0000-0000-0000D30B0000}"/>
    <cellStyle name="20% - akcent 4 2 2 11 7 6" xfId="3360" xr:uid="{00000000-0005-0000-0000-0000D40B0000}"/>
    <cellStyle name="20% - akcent 4 2 2 11 8" xfId="3361" xr:uid="{00000000-0005-0000-0000-0000D50B0000}"/>
    <cellStyle name="20% - akcent 4 2 2 11 9" xfId="3362" xr:uid="{00000000-0005-0000-0000-0000D60B0000}"/>
    <cellStyle name="20% - akcent 4 2 2 12" xfId="3363" xr:uid="{00000000-0005-0000-0000-0000D70B0000}"/>
    <cellStyle name="20% - akcent 4 2 2 12 2" xfId="3364" xr:uid="{00000000-0005-0000-0000-0000D80B0000}"/>
    <cellStyle name="20% - akcent 4 2 2 12 2 2" xfId="3365" xr:uid="{00000000-0005-0000-0000-0000D90B0000}"/>
    <cellStyle name="20% - akcent 4 2 2 12 2 3" xfId="3366" xr:uid="{00000000-0005-0000-0000-0000DA0B0000}"/>
    <cellStyle name="20% - akcent 4 2 2 12 2 4" xfId="3367" xr:uid="{00000000-0005-0000-0000-0000DB0B0000}"/>
    <cellStyle name="20% - akcent 4 2 2 12 2 5" xfId="3368" xr:uid="{00000000-0005-0000-0000-0000DC0B0000}"/>
    <cellStyle name="20% - akcent 4 2 2 12 2 6" xfId="3369" xr:uid="{00000000-0005-0000-0000-0000DD0B0000}"/>
    <cellStyle name="20% - akcent 4 2 2 12 3" xfId="3370" xr:uid="{00000000-0005-0000-0000-0000DE0B0000}"/>
    <cellStyle name="20% - akcent 4 2 2 12 4" xfId="3371" xr:uid="{00000000-0005-0000-0000-0000DF0B0000}"/>
    <cellStyle name="20% - akcent 4 2 2 12 5" xfId="3372" xr:uid="{00000000-0005-0000-0000-0000E00B0000}"/>
    <cellStyle name="20% - akcent 4 2 2 12 6" xfId="3373" xr:uid="{00000000-0005-0000-0000-0000E10B0000}"/>
    <cellStyle name="20% - akcent 4 2 2 12 7" xfId="3374" xr:uid="{00000000-0005-0000-0000-0000E20B0000}"/>
    <cellStyle name="20% - akcent 4 2 2 13" xfId="3375" xr:uid="{00000000-0005-0000-0000-0000E30B0000}"/>
    <cellStyle name="20% - akcent 4 2 2 14" xfId="3376" xr:uid="{00000000-0005-0000-0000-0000E40B0000}"/>
    <cellStyle name="20% - akcent 4 2 2 15" xfId="3377" xr:uid="{00000000-0005-0000-0000-0000E50B0000}"/>
    <cellStyle name="20% - akcent 4 2 2 16" xfId="3378" xr:uid="{00000000-0005-0000-0000-0000E60B0000}"/>
    <cellStyle name="20% - akcent 4 2 2 17" xfId="3379" xr:uid="{00000000-0005-0000-0000-0000E70B0000}"/>
    <cellStyle name="20% - akcent 4 2 2 18" xfId="3380" xr:uid="{00000000-0005-0000-0000-0000E80B0000}"/>
    <cellStyle name="20% - akcent 4 2 2 18 2" xfId="3381" xr:uid="{00000000-0005-0000-0000-0000E90B0000}"/>
    <cellStyle name="20% - akcent 4 2 2 18 3" xfId="3382" xr:uid="{00000000-0005-0000-0000-0000EA0B0000}"/>
    <cellStyle name="20% - akcent 4 2 2 18 4" xfId="3383" xr:uid="{00000000-0005-0000-0000-0000EB0B0000}"/>
    <cellStyle name="20% - akcent 4 2 2 18 5" xfId="3384" xr:uid="{00000000-0005-0000-0000-0000EC0B0000}"/>
    <cellStyle name="20% - akcent 4 2 2 18 6" xfId="3385" xr:uid="{00000000-0005-0000-0000-0000ED0B0000}"/>
    <cellStyle name="20% - akcent 4 2 2 19" xfId="3386" xr:uid="{00000000-0005-0000-0000-0000EE0B0000}"/>
    <cellStyle name="20% - akcent 4 2 2 2" xfId="3387" xr:uid="{00000000-0005-0000-0000-0000EF0B0000}"/>
    <cellStyle name="20% - akcent 4 2 2 2 10" xfId="3388" xr:uid="{00000000-0005-0000-0000-0000F00B0000}"/>
    <cellStyle name="20% - akcent 4 2 2 2 11" xfId="3389" xr:uid="{00000000-0005-0000-0000-0000F10B0000}"/>
    <cellStyle name="20% - akcent 4 2 2 2 2" xfId="3390" xr:uid="{00000000-0005-0000-0000-0000F20B0000}"/>
    <cellStyle name="20% - akcent 4 2 2 2 2 10" xfId="3391" xr:uid="{00000000-0005-0000-0000-0000F30B0000}"/>
    <cellStyle name="20% - akcent 4 2 2 2 2 2" xfId="3392" xr:uid="{00000000-0005-0000-0000-0000F40B0000}"/>
    <cellStyle name="20% - akcent 4 2 2 2 2 2 2" xfId="3393" xr:uid="{00000000-0005-0000-0000-0000F50B0000}"/>
    <cellStyle name="20% - akcent 4 2 2 2 2 2 2 2" xfId="3394" xr:uid="{00000000-0005-0000-0000-0000F60B0000}"/>
    <cellStyle name="20% - akcent 4 2 2 2 2 2 2 2 2" xfId="3395" xr:uid="{00000000-0005-0000-0000-0000F70B0000}"/>
    <cellStyle name="20% - akcent 4 2 2 2 2 2 2 2 2 2" xfId="3396" xr:uid="{00000000-0005-0000-0000-0000F80B0000}"/>
    <cellStyle name="20% - akcent 4 2 2 2 2 2 2 2 2 3" xfId="3397" xr:uid="{00000000-0005-0000-0000-0000F90B0000}"/>
    <cellStyle name="20% - akcent 4 2 2 2 2 2 2 2 2 4" xfId="3398" xr:uid="{00000000-0005-0000-0000-0000FA0B0000}"/>
    <cellStyle name="20% - akcent 4 2 2 2 2 2 2 2 3" xfId="3399" xr:uid="{00000000-0005-0000-0000-0000FB0B0000}"/>
    <cellStyle name="20% - akcent 4 2 2 2 2 2 2 2 4" xfId="3400" xr:uid="{00000000-0005-0000-0000-0000FC0B0000}"/>
    <cellStyle name="20% - akcent 4 2 2 2 2 2 2 2 5" xfId="3401" xr:uid="{00000000-0005-0000-0000-0000FD0B0000}"/>
    <cellStyle name="20% - akcent 4 2 2 2 2 2 2 3" xfId="3402" xr:uid="{00000000-0005-0000-0000-0000FE0B0000}"/>
    <cellStyle name="20% - akcent 4 2 2 2 2 2 2 4" xfId="3403" xr:uid="{00000000-0005-0000-0000-0000FF0B0000}"/>
    <cellStyle name="20% - akcent 4 2 2 2 2 2 2 5" xfId="3404" xr:uid="{00000000-0005-0000-0000-0000000C0000}"/>
    <cellStyle name="20% - akcent 4 2 2 2 2 2 2 6" xfId="3405" xr:uid="{00000000-0005-0000-0000-0000010C0000}"/>
    <cellStyle name="20% - akcent 4 2 2 2 2 2 2 7" xfId="3406" xr:uid="{00000000-0005-0000-0000-0000020C0000}"/>
    <cellStyle name="20% - akcent 4 2 2 2 2 2 2 7 2" xfId="3407" xr:uid="{00000000-0005-0000-0000-0000030C0000}"/>
    <cellStyle name="20% - akcent 4 2 2 2 2 2 2 7 3" xfId="3408" xr:uid="{00000000-0005-0000-0000-0000040C0000}"/>
    <cellStyle name="20% - akcent 4 2 2 2 2 2 2 7 4" xfId="3409" xr:uid="{00000000-0005-0000-0000-0000050C0000}"/>
    <cellStyle name="20% - akcent 4 2 2 2 2 2 2 7 5" xfId="3410" xr:uid="{00000000-0005-0000-0000-0000060C0000}"/>
    <cellStyle name="20% - akcent 4 2 2 2 2 2 2 7 6" xfId="3411" xr:uid="{00000000-0005-0000-0000-0000070C0000}"/>
    <cellStyle name="20% - akcent 4 2 2 2 2 2 2 8" xfId="3412" xr:uid="{00000000-0005-0000-0000-0000080C0000}"/>
    <cellStyle name="20% - akcent 4 2 2 2 2 2 2 9" xfId="3413" xr:uid="{00000000-0005-0000-0000-0000090C0000}"/>
    <cellStyle name="20% - akcent 4 2 2 2 2 2 3" xfId="3414" xr:uid="{00000000-0005-0000-0000-00000A0C0000}"/>
    <cellStyle name="20% - akcent 4 2 2 2 2 2 3 2" xfId="3415" xr:uid="{00000000-0005-0000-0000-00000B0C0000}"/>
    <cellStyle name="20% - akcent 4 2 2 2 2 2 3 2 2" xfId="3416" xr:uid="{00000000-0005-0000-0000-00000C0C0000}"/>
    <cellStyle name="20% - akcent 4 2 2 2 2 2 3 2 3" xfId="3417" xr:uid="{00000000-0005-0000-0000-00000D0C0000}"/>
    <cellStyle name="20% - akcent 4 2 2 2 2 2 3 2 4" xfId="3418" xr:uid="{00000000-0005-0000-0000-00000E0C0000}"/>
    <cellStyle name="20% - akcent 4 2 2 2 2 2 3 2 5" xfId="3419" xr:uid="{00000000-0005-0000-0000-00000F0C0000}"/>
    <cellStyle name="20% - akcent 4 2 2 2 2 2 3 2 6" xfId="3420" xr:uid="{00000000-0005-0000-0000-0000100C0000}"/>
    <cellStyle name="20% - akcent 4 2 2 2 2 2 3 3" xfId="3421" xr:uid="{00000000-0005-0000-0000-0000110C0000}"/>
    <cellStyle name="20% - akcent 4 2 2 2 2 2 3 4" xfId="3422" xr:uid="{00000000-0005-0000-0000-0000120C0000}"/>
    <cellStyle name="20% - akcent 4 2 2 2 2 2 3 5" xfId="3423" xr:uid="{00000000-0005-0000-0000-0000130C0000}"/>
    <cellStyle name="20% - akcent 4 2 2 2 2 2 3 6" xfId="3424" xr:uid="{00000000-0005-0000-0000-0000140C0000}"/>
    <cellStyle name="20% - akcent 4 2 2 2 2 2 3 7" xfId="3425" xr:uid="{00000000-0005-0000-0000-0000150C0000}"/>
    <cellStyle name="20% - akcent 4 2 2 2 2 2 4" xfId="3426" xr:uid="{00000000-0005-0000-0000-0000160C0000}"/>
    <cellStyle name="20% - akcent 4 2 2 2 2 2 5" xfId="3427" xr:uid="{00000000-0005-0000-0000-0000170C0000}"/>
    <cellStyle name="20% - akcent 4 2 2 2 2 2 6" xfId="3428" xr:uid="{00000000-0005-0000-0000-0000180C0000}"/>
    <cellStyle name="20% - akcent 4 2 2 2 2 2 7" xfId="3429" xr:uid="{00000000-0005-0000-0000-0000190C0000}"/>
    <cellStyle name="20% - akcent 4 2 2 2 2 2 7 2" xfId="3430" xr:uid="{00000000-0005-0000-0000-00001A0C0000}"/>
    <cellStyle name="20% - akcent 4 2 2 2 2 2 7 3" xfId="3431" xr:uid="{00000000-0005-0000-0000-00001B0C0000}"/>
    <cellStyle name="20% - akcent 4 2 2 2 2 2 7 4" xfId="3432" xr:uid="{00000000-0005-0000-0000-00001C0C0000}"/>
    <cellStyle name="20% - akcent 4 2 2 2 2 2 7 5" xfId="3433" xr:uid="{00000000-0005-0000-0000-00001D0C0000}"/>
    <cellStyle name="20% - akcent 4 2 2 2 2 2 7 6" xfId="3434" xr:uid="{00000000-0005-0000-0000-00001E0C0000}"/>
    <cellStyle name="20% - akcent 4 2 2 2 2 2 8" xfId="3435" xr:uid="{00000000-0005-0000-0000-00001F0C0000}"/>
    <cellStyle name="20% - akcent 4 2 2 2 2 2 9" xfId="3436" xr:uid="{00000000-0005-0000-0000-0000200C0000}"/>
    <cellStyle name="20% - akcent 4 2 2 2 2 3" xfId="3437" xr:uid="{00000000-0005-0000-0000-0000210C0000}"/>
    <cellStyle name="20% - akcent 4 2 2 2 2 3 2" xfId="3438" xr:uid="{00000000-0005-0000-0000-0000220C0000}"/>
    <cellStyle name="20% - akcent 4 2 2 2 2 3 2 2" xfId="3439" xr:uid="{00000000-0005-0000-0000-0000230C0000}"/>
    <cellStyle name="20% - akcent 4 2 2 2 2 3 2 3" xfId="3440" xr:uid="{00000000-0005-0000-0000-0000240C0000}"/>
    <cellStyle name="20% - akcent 4 2 2 2 2 3 2 4" xfId="3441" xr:uid="{00000000-0005-0000-0000-0000250C0000}"/>
    <cellStyle name="20% - akcent 4 2 2 2 2 3 2 5" xfId="3442" xr:uid="{00000000-0005-0000-0000-0000260C0000}"/>
    <cellStyle name="20% - akcent 4 2 2 2 2 3 2 6" xfId="3443" xr:uid="{00000000-0005-0000-0000-0000270C0000}"/>
    <cellStyle name="20% - akcent 4 2 2 2 2 3 3" xfId="3444" xr:uid="{00000000-0005-0000-0000-0000280C0000}"/>
    <cellStyle name="20% - akcent 4 2 2 2 2 3 4" xfId="3445" xr:uid="{00000000-0005-0000-0000-0000290C0000}"/>
    <cellStyle name="20% - akcent 4 2 2 2 2 3 5" xfId="3446" xr:uid="{00000000-0005-0000-0000-00002A0C0000}"/>
    <cellStyle name="20% - akcent 4 2 2 2 2 3 6" xfId="3447" xr:uid="{00000000-0005-0000-0000-00002B0C0000}"/>
    <cellStyle name="20% - akcent 4 2 2 2 2 3 7" xfId="3448" xr:uid="{00000000-0005-0000-0000-00002C0C0000}"/>
    <cellStyle name="20% - akcent 4 2 2 2 2 4" xfId="3449" xr:uid="{00000000-0005-0000-0000-00002D0C0000}"/>
    <cellStyle name="20% - akcent 4 2 2 2 2 5" xfId="3450" xr:uid="{00000000-0005-0000-0000-00002E0C0000}"/>
    <cellStyle name="20% - akcent 4 2 2 2 2 6" xfId="3451" xr:uid="{00000000-0005-0000-0000-00002F0C0000}"/>
    <cellStyle name="20% - akcent 4 2 2 2 2 7" xfId="3452" xr:uid="{00000000-0005-0000-0000-0000300C0000}"/>
    <cellStyle name="20% - akcent 4 2 2 2 2 8" xfId="3453" xr:uid="{00000000-0005-0000-0000-0000310C0000}"/>
    <cellStyle name="20% - akcent 4 2 2 2 2 8 2" xfId="3454" xr:uid="{00000000-0005-0000-0000-0000320C0000}"/>
    <cellStyle name="20% - akcent 4 2 2 2 2 8 3" xfId="3455" xr:uid="{00000000-0005-0000-0000-0000330C0000}"/>
    <cellStyle name="20% - akcent 4 2 2 2 2 8 4" xfId="3456" xr:uid="{00000000-0005-0000-0000-0000340C0000}"/>
    <cellStyle name="20% - akcent 4 2 2 2 2 8 5" xfId="3457" xr:uid="{00000000-0005-0000-0000-0000350C0000}"/>
    <cellStyle name="20% - akcent 4 2 2 2 2 8 6" xfId="3458" xr:uid="{00000000-0005-0000-0000-0000360C0000}"/>
    <cellStyle name="20% - akcent 4 2 2 2 2 9" xfId="3459" xr:uid="{00000000-0005-0000-0000-0000370C0000}"/>
    <cellStyle name="20% - akcent 4 2 2 2 3" xfId="3460" xr:uid="{00000000-0005-0000-0000-0000380C0000}"/>
    <cellStyle name="20% - akcent 4 2 2 2 4" xfId="3461" xr:uid="{00000000-0005-0000-0000-0000390C0000}"/>
    <cellStyle name="20% - akcent 4 2 2 2 4 10" xfId="3462" xr:uid="{00000000-0005-0000-0000-00003A0C0000}"/>
    <cellStyle name="20% - akcent 4 2 2 2 4 11" xfId="3463" xr:uid="{00000000-0005-0000-0000-00003B0C0000}"/>
    <cellStyle name="20% - akcent 4 2 2 2 4 2" xfId="3464" xr:uid="{00000000-0005-0000-0000-00003C0C0000}"/>
    <cellStyle name="20% - akcent 4 2 2 2 4 2 2" xfId="3465" xr:uid="{00000000-0005-0000-0000-00003D0C0000}"/>
    <cellStyle name="20% - akcent 4 2 2 2 4 2 2 2" xfId="3466" xr:uid="{00000000-0005-0000-0000-00003E0C0000}"/>
    <cellStyle name="20% - akcent 4 2 2 2 4 2 2 3" xfId="3467" xr:uid="{00000000-0005-0000-0000-00003F0C0000}"/>
    <cellStyle name="20% - akcent 4 2 2 2 4 2 2 4" xfId="3468" xr:uid="{00000000-0005-0000-0000-0000400C0000}"/>
    <cellStyle name="20% - akcent 4 2 2 2 4 2 2 5" xfId="3469" xr:uid="{00000000-0005-0000-0000-0000410C0000}"/>
    <cellStyle name="20% - akcent 4 2 2 2 4 2 2 6" xfId="3470" xr:uid="{00000000-0005-0000-0000-0000420C0000}"/>
    <cellStyle name="20% - akcent 4 2 2 2 4 2 3" xfId="3471" xr:uid="{00000000-0005-0000-0000-0000430C0000}"/>
    <cellStyle name="20% - akcent 4 2 2 2 4 2 4" xfId="3472" xr:uid="{00000000-0005-0000-0000-0000440C0000}"/>
    <cellStyle name="20% - akcent 4 2 2 2 4 2 5" xfId="3473" xr:uid="{00000000-0005-0000-0000-0000450C0000}"/>
    <cellStyle name="20% - akcent 4 2 2 2 4 2 6" xfId="3474" xr:uid="{00000000-0005-0000-0000-0000460C0000}"/>
    <cellStyle name="20% - akcent 4 2 2 2 4 2 7" xfId="3475" xr:uid="{00000000-0005-0000-0000-0000470C0000}"/>
    <cellStyle name="20% - akcent 4 2 2 2 4 3" xfId="3476" xr:uid="{00000000-0005-0000-0000-0000480C0000}"/>
    <cellStyle name="20% - akcent 4 2 2 2 4 4" xfId="3477" xr:uid="{00000000-0005-0000-0000-0000490C0000}"/>
    <cellStyle name="20% - akcent 4 2 2 2 4 5" xfId="3478" xr:uid="{00000000-0005-0000-0000-00004A0C0000}"/>
    <cellStyle name="20% - akcent 4 2 2 2 4 6" xfId="3479" xr:uid="{00000000-0005-0000-0000-00004B0C0000}"/>
    <cellStyle name="20% - akcent 4 2 2 2 4 7" xfId="3480" xr:uid="{00000000-0005-0000-0000-00004C0C0000}"/>
    <cellStyle name="20% - akcent 4 2 2 2 4 7 2" xfId="3481" xr:uid="{00000000-0005-0000-0000-00004D0C0000}"/>
    <cellStyle name="20% - akcent 4 2 2 2 4 7 3" xfId="3482" xr:uid="{00000000-0005-0000-0000-00004E0C0000}"/>
    <cellStyle name="20% - akcent 4 2 2 2 4 7 4" xfId="3483" xr:uid="{00000000-0005-0000-0000-00004F0C0000}"/>
    <cellStyle name="20% - akcent 4 2 2 2 4 7 5" xfId="3484" xr:uid="{00000000-0005-0000-0000-0000500C0000}"/>
    <cellStyle name="20% - akcent 4 2 2 2 4 7 6" xfId="3485" xr:uid="{00000000-0005-0000-0000-0000510C0000}"/>
    <cellStyle name="20% - akcent 4 2 2 2 4 8" xfId="3486" xr:uid="{00000000-0005-0000-0000-0000520C0000}"/>
    <cellStyle name="20% - akcent 4 2 2 2 4 9" xfId="3487" xr:uid="{00000000-0005-0000-0000-0000530C0000}"/>
    <cellStyle name="20% - akcent 4 2 2 2 5" xfId="3488" xr:uid="{00000000-0005-0000-0000-0000540C0000}"/>
    <cellStyle name="20% - akcent 4 2 2 2 5 2" xfId="3489" xr:uid="{00000000-0005-0000-0000-0000550C0000}"/>
    <cellStyle name="20% - akcent 4 2 2 2 5 2 2" xfId="3490" xr:uid="{00000000-0005-0000-0000-0000560C0000}"/>
    <cellStyle name="20% - akcent 4 2 2 2 5 2 3" xfId="3491" xr:uid="{00000000-0005-0000-0000-0000570C0000}"/>
    <cellStyle name="20% - akcent 4 2 2 2 5 2 4" xfId="3492" xr:uid="{00000000-0005-0000-0000-0000580C0000}"/>
    <cellStyle name="20% - akcent 4 2 2 2 5 2 5" xfId="3493" xr:uid="{00000000-0005-0000-0000-0000590C0000}"/>
    <cellStyle name="20% - akcent 4 2 2 2 5 2 6" xfId="3494" xr:uid="{00000000-0005-0000-0000-00005A0C0000}"/>
    <cellStyle name="20% - akcent 4 2 2 2 5 3" xfId="3495" xr:uid="{00000000-0005-0000-0000-00005B0C0000}"/>
    <cellStyle name="20% - akcent 4 2 2 2 5 4" xfId="3496" xr:uid="{00000000-0005-0000-0000-00005C0C0000}"/>
    <cellStyle name="20% - akcent 4 2 2 2 5 5" xfId="3497" xr:uid="{00000000-0005-0000-0000-00005D0C0000}"/>
    <cellStyle name="20% - akcent 4 2 2 2 5 6" xfId="3498" xr:uid="{00000000-0005-0000-0000-00005E0C0000}"/>
    <cellStyle name="20% - akcent 4 2 2 2 5 7" xfId="3499" xr:uid="{00000000-0005-0000-0000-00005F0C0000}"/>
    <cellStyle name="20% - akcent 4 2 2 2 6" xfId="3500" xr:uid="{00000000-0005-0000-0000-0000600C0000}"/>
    <cellStyle name="20% - akcent 4 2 2 2 7" xfId="3501" xr:uid="{00000000-0005-0000-0000-0000610C0000}"/>
    <cellStyle name="20% - akcent 4 2 2 2 8" xfId="3502" xr:uid="{00000000-0005-0000-0000-0000620C0000}"/>
    <cellStyle name="20% - akcent 4 2 2 2 9" xfId="3503" xr:uid="{00000000-0005-0000-0000-0000630C0000}"/>
    <cellStyle name="20% - akcent 4 2 2 2 9 2" xfId="3504" xr:uid="{00000000-0005-0000-0000-0000640C0000}"/>
    <cellStyle name="20% - akcent 4 2 2 2 9 3" xfId="3505" xr:uid="{00000000-0005-0000-0000-0000650C0000}"/>
    <cellStyle name="20% - akcent 4 2 2 2 9 4" xfId="3506" xr:uid="{00000000-0005-0000-0000-0000660C0000}"/>
    <cellStyle name="20% - akcent 4 2 2 2 9 5" xfId="3507" xr:uid="{00000000-0005-0000-0000-0000670C0000}"/>
    <cellStyle name="20% - akcent 4 2 2 2 9 6" xfId="3508" xr:uid="{00000000-0005-0000-0000-0000680C0000}"/>
    <cellStyle name="20% - akcent 4 2 2 20" xfId="3509" xr:uid="{00000000-0005-0000-0000-0000690C0000}"/>
    <cellStyle name="20% - akcent 4 2 2 21" xfId="3255" xr:uid="{00000000-0005-0000-0000-00006A0C0000}"/>
    <cellStyle name="20% - akcent 4 2 2 3" xfId="3510" xr:uid="{00000000-0005-0000-0000-00006B0C0000}"/>
    <cellStyle name="20% - akcent 4 2 2 4" xfId="3511" xr:uid="{00000000-0005-0000-0000-00006C0C0000}"/>
    <cellStyle name="20% - akcent 4 2 2 5" xfId="3512" xr:uid="{00000000-0005-0000-0000-00006D0C0000}"/>
    <cellStyle name="20% - akcent 4 2 2 6" xfId="3513" xr:uid="{00000000-0005-0000-0000-00006E0C0000}"/>
    <cellStyle name="20% - akcent 4 2 2 7" xfId="3514" xr:uid="{00000000-0005-0000-0000-00006F0C0000}"/>
    <cellStyle name="20% - akcent 4 2 2 8" xfId="3515" xr:uid="{00000000-0005-0000-0000-0000700C0000}"/>
    <cellStyle name="20% - akcent 4 2 2 9" xfId="3516" xr:uid="{00000000-0005-0000-0000-0000710C0000}"/>
    <cellStyle name="20% - akcent 4 2 20" xfId="3517" xr:uid="{00000000-0005-0000-0000-0000720C0000}"/>
    <cellStyle name="20% - akcent 4 2 21" xfId="3518" xr:uid="{00000000-0005-0000-0000-0000730C0000}"/>
    <cellStyle name="20% - akcent 4 2 21 2" xfId="3519" xr:uid="{00000000-0005-0000-0000-0000740C0000}"/>
    <cellStyle name="20% - akcent 4 2 21 3" xfId="3520" xr:uid="{00000000-0005-0000-0000-0000750C0000}"/>
    <cellStyle name="20% - akcent 4 2 21 4" xfId="3521" xr:uid="{00000000-0005-0000-0000-0000760C0000}"/>
    <cellStyle name="20% - akcent 4 2 21 5" xfId="3522" xr:uid="{00000000-0005-0000-0000-0000770C0000}"/>
    <cellStyle name="20% - akcent 4 2 21 6" xfId="3523" xr:uid="{00000000-0005-0000-0000-0000780C0000}"/>
    <cellStyle name="20% - akcent 4 2 22" xfId="3524" xr:uid="{00000000-0005-0000-0000-0000790C0000}"/>
    <cellStyle name="20% - akcent 4 2 23" xfId="3525" xr:uid="{00000000-0005-0000-0000-00007A0C0000}"/>
    <cellStyle name="20% - akcent 4 2 24" xfId="3526" xr:uid="{00000000-0005-0000-0000-00007B0C0000}"/>
    <cellStyle name="20% - akcent 4 2 25" xfId="3527" xr:uid="{00000000-0005-0000-0000-00007C0C0000}"/>
    <cellStyle name="20% - akcent 4 2 26" xfId="3528" xr:uid="{00000000-0005-0000-0000-00007D0C0000}"/>
    <cellStyle name="20% - akcent 4 2 27" xfId="3529" xr:uid="{00000000-0005-0000-0000-00007E0C0000}"/>
    <cellStyle name="20% - akcent 4 2 28" xfId="3530" xr:uid="{00000000-0005-0000-0000-00007F0C0000}"/>
    <cellStyle name="20% - akcent 4 2 29" xfId="3531" xr:uid="{00000000-0005-0000-0000-0000800C0000}"/>
    <cellStyle name="20% - akcent 4 2 3" xfId="3532" xr:uid="{00000000-0005-0000-0000-0000810C0000}"/>
    <cellStyle name="20% - akcent 4 2 30" xfId="3533" xr:uid="{00000000-0005-0000-0000-0000820C0000}"/>
    <cellStyle name="20% - akcent 4 2 31" xfId="3534" xr:uid="{00000000-0005-0000-0000-0000830C0000}"/>
    <cellStyle name="20% - akcent 4 2 32" xfId="3128" xr:uid="{00000000-0005-0000-0000-0000840C0000}"/>
    <cellStyle name="20% - akcent 4 2 33" xfId="37820" xr:uid="{00000000-0005-0000-0000-0000850C0000}"/>
    <cellStyle name="20% - akcent 4 2 4" xfId="3535" xr:uid="{00000000-0005-0000-0000-0000860C0000}"/>
    <cellStyle name="20% - akcent 4 2 5" xfId="3536" xr:uid="{00000000-0005-0000-0000-0000870C0000}"/>
    <cellStyle name="20% - akcent 4 2 6" xfId="3537" xr:uid="{00000000-0005-0000-0000-0000880C0000}"/>
    <cellStyle name="20% - akcent 4 2 6 10" xfId="3538" xr:uid="{00000000-0005-0000-0000-0000890C0000}"/>
    <cellStyle name="20% - akcent 4 2 6 11" xfId="3539" xr:uid="{00000000-0005-0000-0000-00008A0C0000}"/>
    <cellStyle name="20% - akcent 4 2 6 12" xfId="3540" xr:uid="{00000000-0005-0000-0000-00008B0C0000}"/>
    <cellStyle name="20% - akcent 4 2 6 13" xfId="3541" xr:uid="{00000000-0005-0000-0000-00008C0C0000}"/>
    <cellStyle name="20% - akcent 4 2 6 2" xfId="3542" xr:uid="{00000000-0005-0000-0000-00008D0C0000}"/>
    <cellStyle name="20% - akcent 4 2 6 2 10" xfId="3543" xr:uid="{00000000-0005-0000-0000-00008E0C0000}"/>
    <cellStyle name="20% - akcent 4 2 6 2 11" xfId="3544" xr:uid="{00000000-0005-0000-0000-00008F0C0000}"/>
    <cellStyle name="20% - akcent 4 2 6 2 12" xfId="3545" xr:uid="{00000000-0005-0000-0000-0000900C0000}"/>
    <cellStyle name="20% - akcent 4 2 6 2 13" xfId="3546" xr:uid="{00000000-0005-0000-0000-0000910C0000}"/>
    <cellStyle name="20% - akcent 4 2 6 2 2" xfId="3547" xr:uid="{00000000-0005-0000-0000-0000920C0000}"/>
    <cellStyle name="20% - akcent 4 2 6 2 2 10" xfId="3548" xr:uid="{00000000-0005-0000-0000-0000930C0000}"/>
    <cellStyle name="20% - akcent 4 2 6 2 2 11" xfId="3549" xr:uid="{00000000-0005-0000-0000-0000940C0000}"/>
    <cellStyle name="20% - akcent 4 2 6 2 2 12" xfId="3550" xr:uid="{00000000-0005-0000-0000-0000950C0000}"/>
    <cellStyle name="20% - akcent 4 2 6 2 2 2" xfId="3551" xr:uid="{00000000-0005-0000-0000-0000960C0000}"/>
    <cellStyle name="20% - akcent 4 2 6 2 2 2 10" xfId="3552" xr:uid="{00000000-0005-0000-0000-0000970C0000}"/>
    <cellStyle name="20% - akcent 4 2 6 2 2 2 11" xfId="3553" xr:uid="{00000000-0005-0000-0000-0000980C0000}"/>
    <cellStyle name="20% - akcent 4 2 6 2 2 2 2" xfId="3554" xr:uid="{00000000-0005-0000-0000-0000990C0000}"/>
    <cellStyle name="20% - akcent 4 2 6 2 2 2 2 10" xfId="3555" xr:uid="{00000000-0005-0000-0000-00009A0C0000}"/>
    <cellStyle name="20% - akcent 4 2 6 2 2 2 2 11" xfId="3556" xr:uid="{00000000-0005-0000-0000-00009B0C0000}"/>
    <cellStyle name="20% - akcent 4 2 6 2 2 2 2 2" xfId="3557" xr:uid="{00000000-0005-0000-0000-00009C0C0000}"/>
    <cellStyle name="20% - akcent 4 2 6 2 2 2 2 2 2" xfId="3558" xr:uid="{00000000-0005-0000-0000-00009D0C0000}"/>
    <cellStyle name="20% - akcent 4 2 6 2 2 2 2 2 2 2" xfId="3559" xr:uid="{00000000-0005-0000-0000-00009E0C0000}"/>
    <cellStyle name="20% - akcent 4 2 6 2 2 2 2 2 2 3" xfId="3560" xr:uid="{00000000-0005-0000-0000-00009F0C0000}"/>
    <cellStyle name="20% - akcent 4 2 6 2 2 2 2 2 2 4" xfId="3561" xr:uid="{00000000-0005-0000-0000-0000A00C0000}"/>
    <cellStyle name="20% - akcent 4 2 6 2 2 2 2 2 2 5" xfId="3562" xr:uid="{00000000-0005-0000-0000-0000A10C0000}"/>
    <cellStyle name="20% - akcent 4 2 6 2 2 2 2 2 2 6" xfId="3563" xr:uid="{00000000-0005-0000-0000-0000A20C0000}"/>
    <cellStyle name="20% - akcent 4 2 6 2 2 2 2 2 3" xfId="3564" xr:uid="{00000000-0005-0000-0000-0000A30C0000}"/>
    <cellStyle name="20% - akcent 4 2 6 2 2 2 2 2 4" xfId="3565" xr:uid="{00000000-0005-0000-0000-0000A40C0000}"/>
    <cellStyle name="20% - akcent 4 2 6 2 2 2 2 2 5" xfId="3566" xr:uid="{00000000-0005-0000-0000-0000A50C0000}"/>
    <cellStyle name="20% - akcent 4 2 6 2 2 2 2 2 6" xfId="3567" xr:uid="{00000000-0005-0000-0000-0000A60C0000}"/>
    <cellStyle name="20% - akcent 4 2 6 2 2 2 2 2 7" xfId="3568" xr:uid="{00000000-0005-0000-0000-0000A70C0000}"/>
    <cellStyle name="20% - akcent 4 2 6 2 2 2 2 3" xfId="3569" xr:uid="{00000000-0005-0000-0000-0000A80C0000}"/>
    <cellStyle name="20% - akcent 4 2 6 2 2 2 2 4" xfId="3570" xr:uid="{00000000-0005-0000-0000-0000A90C0000}"/>
    <cellStyle name="20% - akcent 4 2 6 2 2 2 2 5" xfId="3571" xr:uid="{00000000-0005-0000-0000-0000AA0C0000}"/>
    <cellStyle name="20% - akcent 4 2 6 2 2 2 2 6" xfId="3572" xr:uid="{00000000-0005-0000-0000-0000AB0C0000}"/>
    <cellStyle name="20% - akcent 4 2 6 2 2 2 2 7" xfId="3573" xr:uid="{00000000-0005-0000-0000-0000AC0C0000}"/>
    <cellStyle name="20% - akcent 4 2 6 2 2 2 2 7 2" xfId="3574" xr:uid="{00000000-0005-0000-0000-0000AD0C0000}"/>
    <cellStyle name="20% - akcent 4 2 6 2 2 2 2 7 3" xfId="3575" xr:uid="{00000000-0005-0000-0000-0000AE0C0000}"/>
    <cellStyle name="20% - akcent 4 2 6 2 2 2 2 7 4" xfId="3576" xr:uid="{00000000-0005-0000-0000-0000AF0C0000}"/>
    <cellStyle name="20% - akcent 4 2 6 2 2 2 2 7 5" xfId="3577" xr:uid="{00000000-0005-0000-0000-0000B00C0000}"/>
    <cellStyle name="20% - akcent 4 2 6 2 2 2 2 7 6" xfId="3578" xr:uid="{00000000-0005-0000-0000-0000B10C0000}"/>
    <cellStyle name="20% - akcent 4 2 6 2 2 2 2 8" xfId="3579" xr:uid="{00000000-0005-0000-0000-0000B20C0000}"/>
    <cellStyle name="20% - akcent 4 2 6 2 2 2 2 9" xfId="3580" xr:uid="{00000000-0005-0000-0000-0000B30C0000}"/>
    <cellStyle name="20% - akcent 4 2 6 2 2 2 3" xfId="3581" xr:uid="{00000000-0005-0000-0000-0000B40C0000}"/>
    <cellStyle name="20% - akcent 4 2 6 2 2 2 3 2" xfId="3582" xr:uid="{00000000-0005-0000-0000-0000B50C0000}"/>
    <cellStyle name="20% - akcent 4 2 6 2 2 2 3 2 2" xfId="3583" xr:uid="{00000000-0005-0000-0000-0000B60C0000}"/>
    <cellStyle name="20% - akcent 4 2 6 2 2 2 3 2 3" xfId="3584" xr:uid="{00000000-0005-0000-0000-0000B70C0000}"/>
    <cellStyle name="20% - akcent 4 2 6 2 2 2 3 2 4" xfId="3585" xr:uid="{00000000-0005-0000-0000-0000B80C0000}"/>
    <cellStyle name="20% - akcent 4 2 6 2 2 2 3 2 5" xfId="3586" xr:uid="{00000000-0005-0000-0000-0000B90C0000}"/>
    <cellStyle name="20% - akcent 4 2 6 2 2 2 3 2 6" xfId="3587" xr:uid="{00000000-0005-0000-0000-0000BA0C0000}"/>
    <cellStyle name="20% - akcent 4 2 6 2 2 2 3 3" xfId="3588" xr:uid="{00000000-0005-0000-0000-0000BB0C0000}"/>
    <cellStyle name="20% - akcent 4 2 6 2 2 2 3 4" xfId="3589" xr:uid="{00000000-0005-0000-0000-0000BC0C0000}"/>
    <cellStyle name="20% - akcent 4 2 6 2 2 2 3 5" xfId="3590" xr:uid="{00000000-0005-0000-0000-0000BD0C0000}"/>
    <cellStyle name="20% - akcent 4 2 6 2 2 2 3 6" xfId="3591" xr:uid="{00000000-0005-0000-0000-0000BE0C0000}"/>
    <cellStyle name="20% - akcent 4 2 6 2 2 2 3 7" xfId="3592" xr:uid="{00000000-0005-0000-0000-0000BF0C0000}"/>
    <cellStyle name="20% - akcent 4 2 6 2 2 2 4" xfId="3593" xr:uid="{00000000-0005-0000-0000-0000C00C0000}"/>
    <cellStyle name="20% - akcent 4 2 6 2 2 2 5" xfId="3594" xr:uid="{00000000-0005-0000-0000-0000C10C0000}"/>
    <cellStyle name="20% - akcent 4 2 6 2 2 2 6" xfId="3595" xr:uid="{00000000-0005-0000-0000-0000C20C0000}"/>
    <cellStyle name="20% - akcent 4 2 6 2 2 2 7" xfId="3596" xr:uid="{00000000-0005-0000-0000-0000C30C0000}"/>
    <cellStyle name="20% - akcent 4 2 6 2 2 2 7 2" xfId="3597" xr:uid="{00000000-0005-0000-0000-0000C40C0000}"/>
    <cellStyle name="20% - akcent 4 2 6 2 2 2 7 3" xfId="3598" xr:uid="{00000000-0005-0000-0000-0000C50C0000}"/>
    <cellStyle name="20% - akcent 4 2 6 2 2 2 7 4" xfId="3599" xr:uid="{00000000-0005-0000-0000-0000C60C0000}"/>
    <cellStyle name="20% - akcent 4 2 6 2 2 2 7 5" xfId="3600" xr:uid="{00000000-0005-0000-0000-0000C70C0000}"/>
    <cellStyle name="20% - akcent 4 2 6 2 2 2 7 6" xfId="3601" xr:uid="{00000000-0005-0000-0000-0000C80C0000}"/>
    <cellStyle name="20% - akcent 4 2 6 2 2 2 8" xfId="3602" xr:uid="{00000000-0005-0000-0000-0000C90C0000}"/>
    <cellStyle name="20% - akcent 4 2 6 2 2 2 9" xfId="3603" xr:uid="{00000000-0005-0000-0000-0000CA0C0000}"/>
    <cellStyle name="20% - akcent 4 2 6 2 2 3" xfId="3604" xr:uid="{00000000-0005-0000-0000-0000CB0C0000}"/>
    <cellStyle name="20% - akcent 4 2 6 2 2 3 2" xfId="3605" xr:uid="{00000000-0005-0000-0000-0000CC0C0000}"/>
    <cellStyle name="20% - akcent 4 2 6 2 2 3 2 2" xfId="3606" xr:uid="{00000000-0005-0000-0000-0000CD0C0000}"/>
    <cellStyle name="20% - akcent 4 2 6 2 2 3 2 3" xfId="3607" xr:uid="{00000000-0005-0000-0000-0000CE0C0000}"/>
    <cellStyle name="20% - akcent 4 2 6 2 2 3 2 4" xfId="3608" xr:uid="{00000000-0005-0000-0000-0000CF0C0000}"/>
    <cellStyle name="20% - akcent 4 2 6 2 2 3 2 5" xfId="3609" xr:uid="{00000000-0005-0000-0000-0000D00C0000}"/>
    <cellStyle name="20% - akcent 4 2 6 2 2 3 2 6" xfId="3610" xr:uid="{00000000-0005-0000-0000-0000D10C0000}"/>
    <cellStyle name="20% - akcent 4 2 6 2 2 3 3" xfId="3611" xr:uid="{00000000-0005-0000-0000-0000D20C0000}"/>
    <cellStyle name="20% - akcent 4 2 6 2 2 3 4" xfId="3612" xr:uid="{00000000-0005-0000-0000-0000D30C0000}"/>
    <cellStyle name="20% - akcent 4 2 6 2 2 3 5" xfId="3613" xr:uid="{00000000-0005-0000-0000-0000D40C0000}"/>
    <cellStyle name="20% - akcent 4 2 6 2 2 3 6" xfId="3614" xr:uid="{00000000-0005-0000-0000-0000D50C0000}"/>
    <cellStyle name="20% - akcent 4 2 6 2 2 3 7" xfId="3615" xr:uid="{00000000-0005-0000-0000-0000D60C0000}"/>
    <cellStyle name="20% - akcent 4 2 6 2 2 4" xfId="3616" xr:uid="{00000000-0005-0000-0000-0000D70C0000}"/>
    <cellStyle name="20% - akcent 4 2 6 2 2 5" xfId="3617" xr:uid="{00000000-0005-0000-0000-0000D80C0000}"/>
    <cellStyle name="20% - akcent 4 2 6 2 2 6" xfId="3618" xr:uid="{00000000-0005-0000-0000-0000D90C0000}"/>
    <cellStyle name="20% - akcent 4 2 6 2 2 7" xfId="3619" xr:uid="{00000000-0005-0000-0000-0000DA0C0000}"/>
    <cellStyle name="20% - akcent 4 2 6 2 2 8" xfId="3620" xr:uid="{00000000-0005-0000-0000-0000DB0C0000}"/>
    <cellStyle name="20% - akcent 4 2 6 2 2 8 2" xfId="3621" xr:uid="{00000000-0005-0000-0000-0000DC0C0000}"/>
    <cellStyle name="20% - akcent 4 2 6 2 2 8 3" xfId="3622" xr:uid="{00000000-0005-0000-0000-0000DD0C0000}"/>
    <cellStyle name="20% - akcent 4 2 6 2 2 8 4" xfId="3623" xr:uid="{00000000-0005-0000-0000-0000DE0C0000}"/>
    <cellStyle name="20% - akcent 4 2 6 2 2 8 5" xfId="3624" xr:uid="{00000000-0005-0000-0000-0000DF0C0000}"/>
    <cellStyle name="20% - akcent 4 2 6 2 2 8 6" xfId="3625" xr:uid="{00000000-0005-0000-0000-0000E00C0000}"/>
    <cellStyle name="20% - akcent 4 2 6 2 2 9" xfId="3626" xr:uid="{00000000-0005-0000-0000-0000E10C0000}"/>
    <cellStyle name="20% - akcent 4 2 6 2 3" xfId="3627" xr:uid="{00000000-0005-0000-0000-0000E20C0000}"/>
    <cellStyle name="20% - akcent 4 2 6 2 4" xfId="3628" xr:uid="{00000000-0005-0000-0000-0000E30C0000}"/>
    <cellStyle name="20% - akcent 4 2 6 2 4 10" xfId="3629" xr:uid="{00000000-0005-0000-0000-0000E40C0000}"/>
    <cellStyle name="20% - akcent 4 2 6 2 4 11" xfId="3630" xr:uid="{00000000-0005-0000-0000-0000E50C0000}"/>
    <cellStyle name="20% - akcent 4 2 6 2 4 2" xfId="3631" xr:uid="{00000000-0005-0000-0000-0000E60C0000}"/>
    <cellStyle name="20% - akcent 4 2 6 2 4 2 2" xfId="3632" xr:uid="{00000000-0005-0000-0000-0000E70C0000}"/>
    <cellStyle name="20% - akcent 4 2 6 2 4 2 2 2" xfId="3633" xr:uid="{00000000-0005-0000-0000-0000E80C0000}"/>
    <cellStyle name="20% - akcent 4 2 6 2 4 2 2 3" xfId="3634" xr:uid="{00000000-0005-0000-0000-0000E90C0000}"/>
    <cellStyle name="20% - akcent 4 2 6 2 4 2 2 4" xfId="3635" xr:uid="{00000000-0005-0000-0000-0000EA0C0000}"/>
    <cellStyle name="20% - akcent 4 2 6 2 4 2 2 5" xfId="3636" xr:uid="{00000000-0005-0000-0000-0000EB0C0000}"/>
    <cellStyle name="20% - akcent 4 2 6 2 4 2 2 6" xfId="3637" xr:uid="{00000000-0005-0000-0000-0000EC0C0000}"/>
    <cellStyle name="20% - akcent 4 2 6 2 4 2 3" xfId="3638" xr:uid="{00000000-0005-0000-0000-0000ED0C0000}"/>
    <cellStyle name="20% - akcent 4 2 6 2 4 2 4" xfId="3639" xr:uid="{00000000-0005-0000-0000-0000EE0C0000}"/>
    <cellStyle name="20% - akcent 4 2 6 2 4 2 5" xfId="3640" xr:uid="{00000000-0005-0000-0000-0000EF0C0000}"/>
    <cellStyle name="20% - akcent 4 2 6 2 4 2 6" xfId="3641" xr:uid="{00000000-0005-0000-0000-0000F00C0000}"/>
    <cellStyle name="20% - akcent 4 2 6 2 4 2 7" xfId="3642" xr:uid="{00000000-0005-0000-0000-0000F10C0000}"/>
    <cellStyle name="20% - akcent 4 2 6 2 4 3" xfId="3643" xr:uid="{00000000-0005-0000-0000-0000F20C0000}"/>
    <cellStyle name="20% - akcent 4 2 6 2 4 4" xfId="3644" xr:uid="{00000000-0005-0000-0000-0000F30C0000}"/>
    <cellStyle name="20% - akcent 4 2 6 2 4 5" xfId="3645" xr:uid="{00000000-0005-0000-0000-0000F40C0000}"/>
    <cellStyle name="20% - akcent 4 2 6 2 4 6" xfId="3646" xr:uid="{00000000-0005-0000-0000-0000F50C0000}"/>
    <cellStyle name="20% - akcent 4 2 6 2 4 7" xfId="3647" xr:uid="{00000000-0005-0000-0000-0000F60C0000}"/>
    <cellStyle name="20% - akcent 4 2 6 2 4 7 2" xfId="3648" xr:uid="{00000000-0005-0000-0000-0000F70C0000}"/>
    <cellStyle name="20% - akcent 4 2 6 2 4 7 3" xfId="3649" xr:uid="{00000000-0005-0000-0000-0000F80C0000}"/>
    <cellStyle name="20% - akcent 4 2 6 2 4 7 4" xfId="3650" xr:uid="{00000000-0005-0000-0000-0000F90C0000}"/>
    <cellStyle name="20% - akcent 4 2 6 2 4 7 5" xfId="3651" xr:uid="{00000000-0005-0000-0000-0000FA0C0000}"/>
    <cellStyle name="20% - akcent 4 2 6 2 4 7 6" xfId="3652" xr:uid="{00000000-0005-0000-0000-0000FB0C0000}"/>
    <cellStyle name="20% - akcent 4 2 6 2 4 8" xfId="3653" xr:uid="{00000000-0005-0000-0000-0000FC0C0000}"/>
    <cellStyle name="20% - akcent 4 2 6 2 4 9" xfId="3654" xr:uid="{00000000-0005-0000-0000-0000FD0C0000}"/>
    <cellStyle name="20% - akcent 4 2 6 2 5" xfId="3655" xr:uid="{00000000-0005-0000-0000-0000FE0C0000}"/>
    <cellStyle name="20% - akcent 4 2 6 2 5 2" xfId="3656" xr:uid="{00000000-0005-0000-0000-0000FF0C0000}"/>
    <cellStyle name="20% - akcent 4 2 6 2 5 2 2" xfId="3657" xr:uid="{00000000-0005-0000-0000-0000000D0000}"/>
    <cellStyle name="20% - akcent 4 2 6 2 5 2 3" xfId="3658" xr:uid="{00000000-0005-0000-0000-0000010D0000}"/>
    <cellStyle name="20% - akcent 4 2 6 2 5 2 4" xfId="3659" xr:uid="{00000000-0005-0000-0000-0000020D0000}"/>
    <cellStyle name="20% - akcent 4 2 6 2 5 2 5" xfId="3660" xr:uid="{00000000-0005-0000-0000-0000030D0000}"/>
    <cellStyle name="20% - akcent 4 2 6 2 5 2 6" xfId="3661" xr:uid="{00000000-0005-0000-0000-0000040D0000}"/>
    <cellStyle name="20% - akcent 4 2 6 2 5 3" xfId="3662" xr:uid="{00000000-0005-0000-0000-0000050D0000}"/>
    <cellStyle name="20% - akcent 4 2 6 2 5 4" xfId="3663" xr:uid="{00000000-0005-0000-0000-0000060D0000}"/>
    <cellStyle name="20% - akcent 4 2 6 2 5 5" xfId="3664" xr:uid="{00000000-0005-0000-0000-0000070D0000}"/>
    <cellStyle name="20% - akcent 4 2 6 2 5 6" xfId="3665" xr:uid="{00000000-0005-0000-0000-0000080D0000}"/>
    <cellStyle name="20% - akcent 4 2 6 2 5 7" xfId="3666" xr:uid="{00000000-0005-0000-0000-0000090D0000}"/>
    <cellStyle name="20% - akcent 4 2 6 2 6" xfId="3667" xr:uid="{00000000-0005-0000-0000-00000A0D0000}"/>
    <cellStyle name="20% - akcent 4 2 6 2 7" xfId="3668" xr:uid="{00000000-0005-0000-0000-00000B0D0000}"/>
    <cellStyle name="20% - akcent 4 2 6 2 8" xfId="3669" xr:uid="{00000000-0005-0000-0000-00000C0D0000}"/>
    <cellStyle name="20% - akcent 4 2 6 2 9" xfId="3670" xr:uid="{00000000-0005-0000-0000-00000D0D0000}"/>
    <cellStyle name="20% - akcent 4 2 6 2 9 2" xfId="3671" xr:uid="{00000000-0005-0000-0000-00000E0D0000}"/>
    <cellStyle name="20% - akcent 4 2 6 2 9 3" xfId="3672" xr:uid="{00000000-0005-0000-0000-00000F0D0000}"/>
    <cellStyle name="20% - akcent 4 2 6 2 9 4" xfId="3673" xr:uid="{00000000-0005-0000-0000-0000100D0000}"/>
    <cellStyle name="20% - akcent 4 2 6 2 9 5" xfId="3674" xr:uid="{00000000-0005-0000-0000-0000110D0000}"/>
    <cellStyle name="20% - akcent 4 2 6 2 9 6" xfId="3675" xr:uid="{00000000-0005-0000-0000-0000120D0000}"/>
    <cellStyle name="20% - akcent 4 2 6 3" xfId="3676" xr:uid="{00000000-0005-0000-0000-0000130D0000}"/>
    <cellStyle name="20% - akcent 4 2 6 3 10" xfId="3677" xr:uid="{00000000-0005-0000-0000-0000140D0000}"/>
    <cellStyle name="20% - akcent 4 2 6 3 11" xfId="3678" xr:uid="{00000000-0005-0000-0000-0000150D0000}"/>
    <cellStyle name="20% - akcent 4 2 6 3 12" xfId="3679" xr:uid="{00000000-0005-0000-0000-0000160D0000}"/>
    <cellStyle name="20% - akcent 4 2 6 3 2" xfId="3680" xr:uid="{00000000-0005-0000-0000-0000170D0000}"/>
    <cellStyle name="20% - akcent 4 2 6 3 2 10" xfId="3681" xr:uid="{00000000-0005-0000-0000-0000180D0000}"/>
    <cellStyle name="20% - akcent 4 2 6 3 2 11" xfId="3682" xr:uid="{00000000-0005-0000-0000-0000190D0000}"/>
    <cellStyle name="20% - akcent 4 2 6 3 2 2" xfId="3683" xr:uid="{00000000-0005-0000-0000-00001A0D0000}"/>
    <cellStyle name="20% - akcent 4 2 6 3 2 2 10" xfId="3684" xr:uid="{00000000-0005-0000-0000-00001B0D0000}"/>
    <cellStyle name="20% - akcent 4 2 6 3 2 2 11" xfId="3685" xr:uid="{00000000-0005-0000-0000-00001C0D0000}"/>
    <cellStyle name="20% - akcent 4 2 6 3 2 2 2" xfId="3686" xr:uid="{00000000-0005-0000-0000-00001D0D0000}"/>
    <cellStyle name="20% - akcent 4 2 6 3 2 2 2 2" xfId="3687" xr:uid="{00000000-0005-0000-0000-00001E0D0000}"/>
    <cellStyle name="20% - akcent 4 2 6 3 2 2 2 2 2" xfId="3688" xr:uid="{00000000-0005-0000-0000-00001F0D0000}"/>
    <cellStyle name="20% - akcent 4 2 6 3 2 2 2 2 3" xfId="3689" xr:uid="{00000000-0005-0000-0000-0000200D0000}"/>
    <cellStyle name="20% - akcent 4 2 6 3 2 2 2 2 4" xfId="3690" xr:uid="{00000000-0005-0000-0000-0000210D0000}"/>
    <cellStyle name="20% - akcent 4 2 6 3 2 2 2 2 5" xfId="3691" xr:uid="{00000000-0005-0000-0000-0000220D0000}"/>
    <cellStyle name="20% - akcent 4 2 6 3 2 2 2 2 6" xfId="3692" xr:uid="{00000000-0005-0000-0000-0000230D0000}"/>
    <cellStyle name="20% - akcent 4 2 6 3 2 2 2 3" xfId="3693" xr:uid="{00000000-0005-0000-0000-0000240D0000}"/>
    <cellStyle name="20% - akcent 4 2 6 3 2 2 2 4" xfId="3694" xr:uid="{00000000-0005-0000-0000-0000250D0000}"/>
    <cellStyle name="20% - akcent 4 2 6 3 2 2 2 5" xfId="3695" xr:uid="{00000000-0005-0000-0000-0000260D0000}"/>
    <cellStyle name="20% - akcent 4 2 6 3 2 2 2 6" xfId="3696" xr:uid="{00000000-0005-0000-0000-0000270D0000}"/>
    <cellStyle name="20% - akcent 4 2 6 3 2 2 2 7" xfId="3697" xr:uid="{00000000-0005-0000-0000-0000280D0000}"/>
    <cellStyle name="20% - akcent 4 2 6 3 2 2 3" xfId="3698" xr:uid="{00000000-0005-0000-0000-0000290D0000}"/>
    <cellStyle name="20% - akcent 4 2 6 3 2 2 4" xfId="3699" xr:uid="{00000000-0005-0000-0000-00002A0D0000}"/>
    <cellStyle name="20% - akcent 4 2 6 3 2 2 5" xfId="3700" xr:uid="{00000000-0005-0000-0000-00002B0D0000}"/>
    <cellStyle name="20% - akcent 4 2 6 3 2 2 6" xfId="3701" xr:uid="{00000000-0005-0000-0000-00002C0D0000}"/>
    <cellStyle name="20% - akcent 4 2 6 3 2 2 7" xfId="3702" xr:uid="{00000000-0005-0000-0000-00002D0D0000}"/>
    <cellStyle name="20% - akcent 4 2 6 3 2 2 7 2" xfId="3703" xr:uid="{00000000-0005-0000-0000-00002E0D0000}"/>
    <cellStyle name="20% - akcent 4 2 6 3 2 2 7 3" xfId="3704" xr:uid="{00000000-0005-0000-0000-00002F0D0000}"/>
    <cellStyle name="20% - akcent 4 2 6 3 2 2 7 4" xfId="3705" xr:uid="{00000000-0005-0000-0000-0000300D0000}"/>
    <cellStyle name="20% - akcent 4 2 6 3 2 2 7 5" xfId="3706" xr:uid="{00000000-0005-0000-0000-0000310D0000}"/>
    <cellStyle name="20% - akcent 4 2 6 3 2 2 7 6" xfId="3707" xr:uid="{00000000-0005-0000-0000-0000320D0000}"/>
    <cellStyle name="20% - akcent 4 2 6 3 2 2 8" xfId="3708" xr:uid="{00000000-0005-0000-0000-0000330D0000}"/>
    <cellStyle name="20% - akcent 4 2 6 3 2 2 9" xfId="3709" xr:uid="{00000000-0005-0000-0000-0000340D0000}"/>
    <cellStyle name="20% - akcent 4 2 6 3 2 3" xfId="3710" xr:uid="{00000000-0005-0000-0000-0000350D0000}"/>
    <cellStyle name="20% - akcent 4 2 6 3 2 3 2" xfId="3711" xr:uid="{00000000-0005-0000-0000-0000360D0000}"/>
    <cellStyle name="20% - akcent 4 2 6 3 2 3 2 2" xfId="3712" xr:uid="{00000000-0005-0000-0000-0000370D0000}"/>
    <cellStyle name="20% - akcent 4 2 6 3 2 3 2 3" xfId="3713" xr:uid="{00000000-0005-0000-0000-0000380D0000}"/>
    <cellStyle name="20% - akcent 4 2 6 3 2 3 2 4" xfId="3714" xr:uid="{00000000-0005-0000-0000-0000390D0000}"/>
    <cellStyle name="20% - akcent 4 2 6 3 2 3 2 5" xfId="3715" xr:uid="{00000000-0005-0000-0000-00003A0D0000}"/>
    <cellStyle name="20% - akcent 4 2 6 3 2 3 2 6" xfId="3716" xr:uid="{00000000-0005-0000-0000-00003B0D0000}"/>
    <cellStyle name="20% - akcent 4 2 6 3 2 3 3" xfId="3717" xr:uid="{00000000-0005-0000-0000-00003C0D0000}"/>
    <cellStyle name="20% - akcent 4 2 6 3 2 3 4" xfId="3718" xr:uid="{00000000-0005-0000-0000-00003D0D0000}"/>
    <cellStyle name="20% - akcent 4 2 6 3 2 3 5" xfId="3719" xr:uid="{00000000-0005-0000-0000-00003E0D0000}"/>
    <cellStyle name="20% - akcent 4 2 6 3 2 3 6" xfId="3720" xr:uid="{00000000-0005-0000-0000-00003F0D0000}"/>
    <cellStyle name="20% - akcent 4 2 6 3 2 3 7" xfId="3721" xr:uid="{00000000-0005-0000-0000-0000400D0000}"/>
    <cellStyle name="20% - akcent 4 2 6 3 2 4" xfId="3722" xr:uid="{00000000-0005-0000-0000-0000410D0000}"/>
    <cellStyle name="20% - akcent 4 2 6 3 2 5" xfId="3723" xr:uid="{00000000-0005-0000-0000-0000420D0000}"/>
    <cellStyle name="20% - akcent 4 2 6 3 2 6" xfId="3724" xr:uid="{00000000-0005-0000-0000-0000430D0000}"/>
    <cellStyle name="20% - akcent 4 2 6 3 2 7" xfId="3725" xr:uid="{00000000-0005-0000-0000-0000440D0000}"/>
    <cellStyle name="20% - akcent 4 2 6 3 2 7 2" xfId="3726" xr:uid="{00000000-0005-0000-0000-0000450D0000}"/>
    <cellStyle name="20% - akcent 4 2 6 3 2 7 3" xfId="3727" xr:uid="{00000000-0005-0000-0000-0000460D0000}"/>
    <cellStyle name="20% - akcent 4 2 6 3 2 7 4" xfId="3728" xr:uid="{00000000-0005-0000-0000-0000470D0000}"/>
    <cellStyle name="20% - akcent 4 2 6 3 2 7 5" xfId="3729" xr:uid="{00000000-0005-0000-0000-0000480D0000}"/>
    <cellStyle name="20% - akcent 4 2 6 3 2 7 6" xfId="3730" xr:uid="{00000000-0005-0000-0000-0000490D0000}"/>
    <cellStyle name="20% - akcent 4 2 6 3 2 8" xfId="3731" xr:uid="{00000000-0005-0000-0000-00004A0D0000}"/>
    <cellStyle name="20% - akcent 4 2 6 3 2 9" xfId="3732" xr:uid="{00000000-0005-0000-0000-00004B0D0000}"/>
    <cellStyle name="20% - akcent 4 2 6 3 3" xfId="3733" xr:uid="{00000000-0005-0000-0000-00004C0D0000}"/>
    <cellStyle name="20% - akcent 4 2 6 3 3 2" xfId="3734" xr:uid="{00000000-0005-0000-0000-00004D0D0000}"/>
    <cellStyle name="20% - akcent 4 2 6 3 3 2 2" xfId="3735" xr:uid="{00000000-0005-0000-0000-00004E0D0000}"/>
    <cellStyle name="20% - akcent 4 2 6 3 3 2 3" xfId="3736" xr:uid="{00000000-0005-0000-0000-00004F0D0000}"/>
    <cellStyle name="20% - akcent 4 2 6 3 3 2 4" xfId="3737" xr:uid="{00000000-0005-0000-0000-0000500D0000}"/>
    <cellStyle name="20% - akcent 4 2 6 3 3 2 5" xfId="3738" xr:uid="{00000000-0005-0000-0000-0000510D0000}"/>
    <cellStyle name="20% - akcent 4 2 6 3 3 2 6" xfId="3739" xr:uid="{00000000-0005-0000-0000-0000520D0000}"/>
    <cellStyle name="20% - akcent 4 2 6 3 3 3" xfId="3740" xr:uid="{00000000-0005-0000-0000-0000530D0000}"/>
    <cellStyle name="20% - akcent 4 2 6 3 3 4" xfId="3741" xr:uid="{00000000-0005-0000-0000-0000540D0000}"/>
    <cellStyle name="20% - akcent 4 2 6 3 3 5" xfId="3742" xr:uid="{00000000-0005-0000-0000-0000550D0000}"/>
    <cellStyle name="20% - akcent 4 2 6 3 3 6" xfId="3743" xr:uid="{00000000-0005-0000-0000-0000560D0000}"/>
    <cellStyle name="20% - akcent 4 2 6 3 3 7" xfId="3744" xr:uid="{00000000-0005-0000-0000-0000570D0000}"/>
    <cellStyle name="20% - akcent 4 2 6 3 4" xfId="3745" xr:uid="{00000000-0005-0000-0000-0000580D0000}"/>
    <cellStyle name="20% - akcent 4 2 6 3 5" xfId="3746" xr:uid="{00000000-0005-0000-0000-0000590D0000}"/>
    <cellStyle name="20% - akcent 4 2 6 3 6" xfId="3747" xr:uid="{00000000-0005-0000-0000-00005A0D0000}"/>
    <cellStyle name="20% - akcent 4 2 6 3 7" xfId="3748" xr:uid="{00000000-0005-0000-0000-00005B0D0000}"/>
    <cellStyle name="20% - akcent 4 2 6 3 8" xfId="3749" xr:uid="{00000000-0005-0000-0000-00005C0D0000}"/>
    <cellStyle name="20% - akcent 4 2 6 3 8 2" xfId="3750" xr:uid="{00000000-0005-0000-0000-00005D0D0000}"/>
    <cellStyle name="20% - akcent 4 2 6 3 8 3" xfId="3751" xr:uid="{00000000-0005-0000-0000-00005E0D0000}"/>
    <cellStyle name="20% - akcent 4 2 6 3 8 4" xfId="3752" xr:uid="{00000000-0005-0000-0000-00005F0D0000}"/>
    <cellStyle name="20% - akcent 4 2 6 3 8 5" xfId="3753" xr:uid="{00000000-0005-0000-0000-0000600D0000}"/>
    <cellStyle name="20% - akcent 4 2 6 3 8 6" xfId="3754" xr:uid="{00000000-0005-0000-0000-0000610D0000}"/>
    <cellStyle name="20% - akcent 4 2 6 3 9" xfId="3755" xr:uid="{00000000-0005-0000-0000-0000620D0000}"/>
    <cellStyle name="20% - akcent 4 2 6 4" xfId="3756" xr:uid="{00000000-0005-0000-0000-0000630D0000}"/>
    <cellStyle name="20% - akcent 4 2 6 4 10" xfId="3757" xr:uid="{00000000-0005-0000-0000-0000640D0000}"/>
    <cellStyle name="20% - akcent 4 2 6 4 11" xfId="3758" xr:uid="{00000000-0005-0000-0000-0000650D0000}"/>
    <cellStyle name="20% - akcent 4 2 6 4 2" xfId="3759" xr:uid="{00000000-0005-0000-0000-0000660D0000}"/>
    <cellStyle name="20% - akcent 4 2 6 4 2 2" xfId="3760" xr:uid="{00000000-0005-0000-0000-0000670D0000}"/>
    <cellStyle name="20% - akcent 4 2 6 4 2 2 2" xfId="3761" xr:uid="{00000000-0005-0000-0000-0000680D0000}"/>
    <cellStyle name="20% - akcent 4 2 6 4 2 2 3" xfId="3762" xr:uid="{00000000-0005-0000-0000-0000690D0000}"/>
    <cellStyle name="20% - akcent 4 2 6 4 2 2 4" xfId="3763" xr:uid="{00000000-0005-0000-0000-00006A0D0000}"/>
    <cellStyle name="20% - akcent 4 2 6 4 2 2 5" xfId="3764" xr:uid="{00000000-0005-0000-0000-00006B0D0000}"/>
    <cellStyle name="20% - akcent 4 2 6 4 2 2 6" xfId="3765" xr:uid="{00000000-0005-0000-0000-00006C0D0000}"/>
    <cellStyle name="20% - akcent 4 2 6 4 2 3" xfId="3766" xr:uid="{00000000-0005-0000-0000-00006D0D0000}"/>
    <cellStyle name="20% - akcent 4 2 6 4 2 4" xfId="3767" xr:uid="{00000000-0005-0000-0000-00006E0D0000}"/>
    <cellStyle name="20% - akcent 4 2 6 4 2 5" xfId="3768" xr:uid="{00000000-0005-0000-0000-00006F0D0000}"/>
    <cellStyle name="20% - akcent 4 2 6 4 2 6" xfId="3769" xr:uid="{00000000-0005-0000-0000-0000700D0000}"/>
    <cellStyle name="20% - akcent 4 2 6 4 2 7" xfId="3770" xr:uid="{00000000-0005-0000-0000-0000710D0000}"/>
    <cellStyle name="20% - akcent 4 2 6 4 3" xfId="3771" xr:uid="{00000000-0005-0000-0000-0000720D0000}"/>
    <cellStyle name="20% - akcent 4 2 6 4 4" xfId="3772" xr:uid="{00000000-0005-0000-0000-0000730D0000}"/>
    <cellStyle name="20% - akcent 4 2 6 4 5" xfId="3773" xr:uid="{00000000-0005-0000-0000-0000740D0000}"/>
    <cellStyle name="20% - akcent 4 2 6 4 6" xfId="3774" xr:uid="{00000000-0005-0000-0000-0000750D0000}"/>
    <cellStyle name="20% - akcent 4 2 6 4 7" xfId="3775" xr:uid="{00000000-0005-0000-0000-0000760D0000}"/>
    <cellStyle name="20% - akcent 4 2 6 4 7 2" xfId="3776" xr:uid="{00000000-0005-0000-0000-0000770D0000}"/>
    <cellStyle name="20% - akcent 4 2 6 4 7 3" xfId="3777" xr:uid="{00000000-0005-0000-0000-0000780D0000}"/>
    <cellStyle name="20% - akcent 4 2 6 4 7 4" xfId="3778" xr:uid="{00000000-0005-0000-0000-0000790D0000}"/>
    <cellStyle name="20% - akcent 4 2 6 4 7 5" xfId="3779" xr:uid="{00000000-0005-0000-0000-00007A0D0000}"/>
    <cellStyle name="20% - akcent 4 2 6 4 7 6" xfId="3780" xr:uid="{00000000-0005-0000-0000-00007B0D0000}"/>
    <cellStyle name="20% - akcent 4 2 6 4 8" xfId="3781" xr:uid="{00000000-0005-0000-0000-00007C0D0000}"/>
    <cellStyle name="20% - akcent 4 2 6 4 9" xfId="3782" xr:uid="{00000000-0005-0000-0000-00007D0D0000}"/>
    <cellStyle name="20% - akcent 4 2 6 5" xfId="3783" xr:uid="{00000000-0005-0000-0000-00007E0D0000}"/>
    <cellStyle name="20% - akcent 4 2 6 5 2" xfId="3784" xr:uid="{00000000-0005-0000-0000-00007F0D0000}"/>
    <cellStyle name="20% - akcent 4 2 6 5 2 2" xfId="3785" xr:uid="{00000000-0005-0000-0000-0000800D0000}"/>
    <cellStyle name="20% - akcent 4 2 6 5 2 3" xfId="3786" xr:uid="{00000000-0005-0000-0000-0000810D0000}"/>
    <cellStyle name="20% - akcent 4 2 6 5 2 4" xfId="3787" xr:uid="{00000000-0005-0000-0000-0000820D0000}"/>
    <cellStyle name="20% - akcent 4 2 6 5 2 5" xfId="3788" xr:uid="{00000000-0005-0000-0000-0000830D0000}"/>
    <cellStyle name="20% - akcent 4 2 6 5 2 6" xfId="3789" xr:uid="{00000000-0005-0000-0000-0000840D0000}"/>
    <cellStyle name="20% - akcent 4 2 6 5 3" xfId="3790" xr:uid="{00000000-0005-0000-0000-0000850D0000}"/>
    <cellStyle name="20% - akcent 4 2 6 5 4" xfId="3791" xr:uid="{00000000-0005-0000-0000-0000860D0000}"/>
    <cellStyle name="20% - akcent 4 2 6 5 5" xfId="3792" xr:uid="{00000000-0005-0000-0000-0000870D0000}"/>
    <cellStyle name="20% - akcent 4 2 6 5 6" xfId="3793" xr:uid="{00000000-0005-0000-0000-0000880D0000}"/>
    <cellStyle name="20% - akcent 4 2 6 5 7" xfId="3794" xr:uid="{00000000-0005-0000-0000-0000890D0000}"/>
    <cellStyle name="20% - akcent 4 2 6 6" xfId="3795" xr:uid="{00000000-0005-0000-0000-00008A0D0000}"/>
    <cellStyle name="20% - akcent 4 2 6 7" xfId="3796" xr:uid="{00000000-0005-0000-0000-00008B0D0000}"/>
    <cellStyle name="20% - akcent 4 2 6 8" xfId="3797" xr:uid="{00000000-0005-0000-0000-00008C0D0000}"/>
    <cellStyle name="20% - akcent 4 2 6 9" xfId="3798" xr:uid="{00000000-0005-0000-0000-00008D0D0000}"/>
    <cellStyle name="20% - akcent 4 2 6 9 2" xfId="3799" xr:uid="{00000000-0005-0000-0000-00008E0D0000}"/>
    <cellStyle name="20% - akcent 4 2 6 9 3" xfId="3800" xr:uid="{00000000-0005-0000-0000-00008F0D0000}"/>
    <cellStyle name="20% - akcent 4 2 6 9 4" xfId="3801" xr:uid="{00000000-0005-0000-0000-0000900D0000}"/>
    <cellStyle name="20% - akcent 4 2 6 9 5" xfId="3802" xr:uid="{00000000-0005-0000-0000-0000910D0000}"/>
    <cellStyle name="20% - akcent 4 2 6 9 6" xfId="3803" xr:uid="{00000000-0005-0000-0000-0000920D0000}"/>
    <cellStyle name="20% - akcent 4 2 7" xfId="3804" xr:uid="{00000000-0005-0000-0000-0000930D0000}"/>
    <cellStyle name="20% - akcent 4 2 8" xfId="3805" xr:uid="{00000000-0005-0000-0000-0000940D0000}"/>
    <cellStyle name="20% - akcent 4 2 8 10" xfId="3806" xr:uid="{00000000-0005-0000-0000-0000950D0000}"/>
    <cellStyle name="20% - akcent 4 2 8 11" xfId="3807" xr:uid="{00000000-0005-0000-0000-0000960D0000}"/>
    <cellStyle name="20% - akcent 4 2 8 12" xfId="3808" xr:uid="{00000000-0005-0000-0000-0000970D0000}"/>
    <cellStyle name="20% - akcent 4 2 8 13" xfId="3809" xr:uid="{00000000-0005-0000-0000-0000980D0000}"/>
    <cellStyle name="20% - akcent 4 2 8 2" xfId="3810" xr:uid="{00000000-0005-0000-0000-0000990D0000}"/>
    <cellStyle name="20% - akcent 4 2 8 2 10" xfId="3811" xr:uid="{00000000-0005-0000-0000-00009A0D0000}"/>
    <cellStyle name="20% - akcent 4 2 8 2 11" xfId="3812" xr:uid="{00000000-0005-0000-0000-00009B0D0000}"/>
    <cellStyle name="20% - akcent 4 2 8 2 12" xfId="3813" xr:uid="{00000000-0005-0000-0000-00009C0D0000}"/>
    <cellStyle name="20% - akcent 4 2 8 2 2" xfId="3814" xr:uid="{00000000-0005-0000-0000-00009D0D0000}"/>
    <cellStyle name="20% - akcent 4 2 8 2 2 10" xfId="3815" xr:uid="{00000000-0005-0000-0000-00009E0D0000}"/>
    <cellStyle name="20% - akcent 4 2 8 2 2 11" xfId="3816" xr:uid="{00000000-0005-0000-0000-00009F0D0000}"/>
    <cellStyle name="20% - akcent 4 2 8 2 2 2" xfId="3817" xr:uid="{00000000-0005-0000-0000-0000A00D0000}"/>
    <cellStyle name="20% - akcent 4 2 8 2 2 2 10" xfId="3818" xr:uid="{00000000-0005-0000-0000-0000A10D0000}"/>
    <cellStyle name="20% - akcent 4 2 8 2 2 2 11" xfId="3819" xr:uid="{00000000-0005-0000-0000-0000A20D0000}"/>
    <cellStyle name="20% - akcent 4 2 8 2 2 2 2" xfId="3820" xr:uid="{00000000-0005-0000-0000-0000A30D0000}"/>
    <cellStyle name="20% - akcent 4 2 8 2 2 2 2 2" xfId="3821" xr:uid="{00000000-0005-0000-0000-0000A40D0000}"/>
    <cellStyle name="20% - akcent 4 2 8 2 2 2 2 2 2" xfId="3822" xr:uid="{00000000-0005-0000-0000-0000A50D0000}"/>
    <cellStyle name="20% - akcent 4 2 8 2 2 2 2 2 3" xfId="3823" xr:uid="{00000000-0005-0000-0000-0000A60D0000}"/>
    <cellStyle name="20% - akcent 4 2 8 2 2 2 2 2 4" xfId="3824" xr:uid="{00000000-0005-0000-0000-0000A70D0000}"/>
    <cellStyle name="20% - akcent 4 2 8 2 2 2 2 2 5" xfId="3825" xr:uid="{00000000-0005-0000-0000-0000A80D0000}"/>
    <cellStyle name="20% - akcent 4 2 8 2 2 2 2 2 6" xfId="3826" xr:uid="{00000000-0005-0000-0000-0000A90D0000}"/>
    <cellStyle name="20% - akcent 4 2 8 2 2 2 2 3" xfId="3827" xr:uid="{00000000-0005-0000-0000-0000AA0D0000}"/>
    <cellStyle name="20% - akcent 4 2 8 2 2 2 2 4" xfId="3828" xr:uid="{00000000-0005-0000-0000-0000AB0D0000}"/>
    <cellStyle name="20% - akcent 4 2 8 2 2 2 2 5" xfId="3829" xr:uid="{00000000-0005-0000-0000-0000AC0D0000}"/>
    <cellStyle name="20% - akcent 4 2 8 2 2 2 2 6" xfId="3830" xr:uid="{00000000-0005-0000-0000-0000AD0D0000}"/>
    <cellStyle name="20% - akcent 4 2 8 2 2 2 2 7" xfId="3831" xr:uid="{00000000-0005-0000-0000-0000AE0D0000}"/>
    <cellStyle name="20% - akcent 4 2 8 2 2 2 3" xfId="3832" xr:uid="{00000000-0005-0000-0000-0000AF0D0000}"/>
    <cellStyle name="20% - akcent 4 2 8 2 2 2 4" xfId="3833" xr:uid="{00000000-0005-0000-0000-0000B00D0000}"/>
    <cellStyle name="20% - akcent 4 2 8 2 2 2 5" xfId="3834" xr:uid="{00000000-0005-0000-0000-0000B10D0000}"/>
    <cellStyle name="20% - akcent 4 2 8 2 2 2 6" xfId="3835" xr:uid="{00000000-0005-0000-0000-0000B20D0000}"/>
    <cellStyle name="20% - akcent 4 2 8 2 2 2 7" xfId="3836" xr:uid="{00000000-0005-0000-0000-0000B30D0000}"/>
    <cellStyle name="20% - akcent 4 2 8 2 2 2 7 2" xfId="3837" xr:uid="{00000000-0005-0000-0000-0000B40D0000}"/>
    <cellStyle name="20% - akcent 4 2 8 2 2 2 7 3" xfId="3838" xr:uid="{00000000-0005-0000-0000-0000B50D0000}"/>
    <cellStyle name="20% - akcent 4 2 8 2 2 2 7 4" xfId="3839" xr:uid="{00000000-0005-0000-0000-0000B60D0000}"/>
    <cellStyle name="20% - akcent 4 2 8 2 2 2 7 5" xfId="3840" xr:uid="{00000000-0005-0000-0000-0000B70D0000}"/>
    <cellStyle name="20% - akcent 4 2 8 2 2 2 7 6" xfId="3841" xr:uid="{00000000-0005-0000-0000-0000B80D0000}"/>
    <cellStyle name="20% - akcent 4 2 8 2 2 2 8" xfId="3842" xr:uid="{00000000-0005-0000-0000-0000B90D0000}"/>
    <cellStyle name="20% - akcent 4 2 8 2 2 2 9" xfId="3843" xr:uid="{00000000-0005-0000-0000-0000BA0D0000}"/>
    <cellStyle name="20% - akcent 4 2 8 2 2 3" xfId="3844" xr:uid="{00000000-0005-0000-0000-0000BB0D0000}"/>
    <cellStyle name="20% - akcent 4 2 8 2 2 3 2" xfId="3845" xr:uid="{00000000-0005-0000-0000-0000BC0D0000}"/>
    <cellStyle name="20% - akcent 4 2 8 2 2 3 2 2" xfId="3846" xr:uid="{00000000-0005-0000-0000-0000BD0D0000}"/>
    <cellStyle name="20% - akcent 4 2 8 2 2 3 2 3" xfId="3847" xr:uid="{00000000-0005-0000-0000-0000BE0D0000}"/>
    <cellStyle name="20% - akcent 4 2 8 2 2 3 2 4" xfId="3848" xr:uid="{00000000-0005-0000-0000-0000BF0D0000}"/>
    <cellStyle name="20% - akcent 4 2 8 2 2 3 2 5" xfId="3849" xr:uid="{00000000-0005-0000-0000-0000C00D0000}"/>
    <cellStyle name="20% - akcent 4 2 8 2 2 3 2 6" xfId="3850" xr:uid="{00000000-0005-0000-0000-0000C10D0000}"/>
    <cellStyle name="20% - akcent 4 2 8 2 2 3 3" xfId="3851" xr:uid="{00000000-0005-0000-0000-0000C20D0000}"/>
    <cellStyle name="20% - akcent 4 2 8 2 2 3 4" xfId="3852" xr:uid="{00000000-0005-0000-0000-0000C30D0000}"/>
    <cellStyle name="20% - akcent 4 2 8 2 2 3 5" xfId="3853" xr:uid="{00000000-0005-0000-0000-0000C40D0000}"/>
    <cellStyle name="20% - akcent 4 2 8 2 2 3 6" xfId="3854" xr:uid="{00000000-0005-0000-0000-0000C50D0000}"/>
    <cellStyle name="20% - akcent 4 2 8 2 2 3 7" xfId="3855" xr:uid="{00000000-0005-0000-0000-0000C60D0000}"/>
    <cellStyle name="20% - akcent 4 2 8 2 2 4" xfId="3856" xr:uid="{00000000-0005-0000-0000-0000C70D0000}"/>
    <cellStyle name="20% - akcent 4 2 8 2 2 5" xfId="3857" xr:uid="{00000000-0005-0000-0000-0000C80D0000}"/>
    <cellStyle name="20% - akcent 4 2 8 2 2 6" xfId="3858" xr:uid="{00000000-0005-0000-0000-0000C90D0000}"/>
    <cellStyle name="20% - akcent 4 2 8 2 2 7" xfId="3859" xr:uid="{00000000-0005-0000-0000-0000CA0D0000}"/>
    <cellStyle name="20% - akcent 4 2 8 2 2 7 2" xfId="3860" xr:uid="{00000000-0005-0000-0000-0000CB0D0000}"/>
    <cellStyle name="20% - akcent 4 2 8 2 2 7 3" xfId="3861" xr:uid="{00000000-0005-0000-0000-0000CC0D0000}"/>
    <cellStyle name="20% - akcent 4 2 8 2 2 7 4" xfId="3862" xr:uid="{00000000-0005-0000-0000-0000CD0D0000}"/>
    <cellStyle name="20% - akcent 4 2 8 2 2 7 5" xfId="3863" xr:uid="{00000000-0005-0000-0000-0000CE0D0000}"/>
    <cellStyle name="20% - akcent 4 2 8 2 2 7 6" xfId="3864" xr:uid="{00000000-0005-0000-0000-0000CF0D0000}"/>
    <cellStyle name="20% - akcent 4 2 8 2 2 8" xfId="3865" xr:uid="{00000000-0005-0000-0000-0000D00D0000}"/>
    <cellStyle name="20% - akcent 4 2 8 2 2 9" xfId="3866" xr:uid="{00000000-0005-0000-0000-0000D10D0000}"/>
    <cellStyle name="20% - akcent 4 2 8 2 3" xfId="3867" xr:uid="{00000000-0005-0000-0000-0000D20D0000}"/>
    <cellStyle name="20% - akcent 4 2 8 2 3 2" xfId="3868" xr:uid="{00000000-0005-0000-0000-0000D30D0000}"/>
    <cellStyle name="20% - akcent 4 2 8 2 3 2 2" xfId="3869" xr:uid="{00000000-0005-0000-0000-0000D40D0000}"/>
    <cellStyle name="20% - akcent 4 2 8 2 3 2 3" xfId="3870" xr:uid="{00000000-0005-0000-0000-0000D50D0000}"/>
    <cellStyle name="20% - akcent 4 2 8 2 3 2 4" xfId="3871" xr:uid="{00000000-0005-0000-0000-0000D60D0000}"/>
    <cellStyle name="20% - akcent 4 2 8 2 3 2 5" xfId="3872" xr:uid="{00000000-0005-0000-0000-0000D70D0000}"/>
    <cellStyle name="20% - akcent 4 2 8 2 3 2 6" xfId="3873" xr:uid="{00000000-0005-0000-0000-0000D80D0000}"/>
    <cellStyle name="20% - akcent 4 2 8 2 3 3" xfId="3874" xr:uid="{00000000-0005-0000-0000-0000D90D0000}"/>
    <cellStyle name="20% - akcent 4 2 8 2 3 4" xfId="3875" xr:uid="{00000000-0005-0000-0000-0000DA0D0000}"/>
    <cellStyle name="20% - akcent 4 2 8 2 3 5" xfId="3876" xr:uid="{00000000-0005-0000-0000-0000DB0D0000}"/>
    <cellStyle name="20% - akcent 4 2 8 2 3 6" xfId="3877" xr:uid="{00000000-0005-0000-0000-0000DC0D0000}"/>
    <cellStyle name="20% - akcent 4 2 8 2 3 7" xfId="3878" xr:uid="{00000000-0005-0000-0000-0000DD0D0000}"/>
    <cellStyle name="20% - akcent 4 2 8 2 4" xfId="3879" xr:uid="{00000000-0005-0000-0000-0000DE0D0000}"/>
    <cellStyle name="20% - akcent 4 2 8 2 5" xfId="3880" xr:uid="{00000000-0005-0000-0000-0000DF0D0000}"/>
    <cellStyle name="20% - akcent 4 2 8 2 6" xfId="3881" xr:uid="{00000000-0005-0000-0000-0000E00D0000}"/>
    <cellStyle name="20% - akcent 4 2 8 2 7" xfId="3882" xr:uid="{00000000-0005-0000-0000-0000E10D0000}"/>
    <cellStyle name="20% - akcent 4 2 8 2 8" xfId="3883" xr:uid="{00000000-0005-0000-0000-0000E20D0000}"/>
    <cellStyle name="20% - akcent 4 2 8 2 8 2" xfId="3884" xr:uid="{00000000-0005-0000-0000-0000E30D0000}"/>
    <cellStyle name="20% - akcent 4 2 8 2 8 3" xfId="3885" xr:uid="{00000000-0005-0000-0000-0000E40D0000}"/>
    <cellStyle name="20% - akcent 4 2 8 2 8 4" xfId="3886" xr:uid="{00000000-0005-0000-0000-0000E50D0000}"/>
    <cellStyle name="20% - akcent 4 2 8 2 8 5" xfId="3887" xr:uid="{00000000-0005-0000-0000-0000E60D0000}"/>
    <cellStyle name="20% - akcent 4 2 8 2 8 6" xfId="3888" xr:uid="{00000000-0005-0000-0000-0000E70D0000}"/>
    <cellStyle name="20% - akcent 4 2 8 2 9" xfId="3889" xr:uid="{00000000-0005-0000-0000-0000E80D0000}"/>
    <cellStyle name="20% - akcent 4 2 8 3" xfId="3890" xr:uid="{00000000-0005-0000-0000-0000E90D0000}"/>
    <cellStyle name="20% - akcent 4 2 8 4" xfId="3891" xr:uid="{00000000-0005-0000-0000-0000EA0D0000}"/>
    <cellStyle name="20% - akcent 4 2 8 4 10" xfId="3892" xr:uid="{00000000-0005-0000-0000-0000EB0D0000}"/>
    <cellStyle name="20% - akcent 4 2 8 4 11" xfId="3893" xr:uid="{00000000-0005-0000-0000-0000EC0D0000}"/>
    <cellStyle name="20% - akcent 4 2 8 4 2" xfId="3894" xr:uid="{00000000-0005-0000-0000-0000ED0D0000}"/>
    <cellStyle name="20% - akcent 4 2 8 4 2 2" xfId="3895" xr:uid="{00000000-0005-0000-0000-0000EE0D0000}"/>
    <cellStyle name="20% - akcent 4 2 8 4 2 2 2" xfId="3896" xr:uid="{00000000-0005-0000-0000-0000EF0D0000}"/>
    <cellStyle name="20% - akcent 4 2 8 4 2 2 3" xfId="3897" xr:uid="{00000000-0005-0000-0000-0000F00D0000}"/>
    <cellStyle name="20% - akcent 4 2 8 4 2 2 4" xfId="3898" xr:uid="{00000000-0005-0000-0000-0000F10D0000}"/>
    <cellStyle name="20% - akcent 4 2 8 4 2 2 5" xfId="3899" xr:uid="{00000000-0005-0000-0000-0000F20D0000}"/>
    <cellStyle name="20% - akcent 4 2 8 4 2 2 6" xfId="3900" xr:uid="{00000000-0005-0000-0000-0000F30D0000}"/>
    <cellStyle name="20% - akcent 4 2 8 4 2 3" xfId="3901" xr:uid="{00000000-0005-0000-0000-0000F40D0000}"/>
    <cellStyle name="20% - akcent 4 2 8 4 2 4" xfId="3902" xr:uid="{00000000-0005-0000-0000-0000F50D0000}"/>
    <cellStyle name="20% - akcent 4 2 8 4 2 5" xfId="3903" xr:uid="{00000000-0005-0000-0000-0000F60D0000}"/>
    <cellStyle name="20% - akcent 4 2 8 4 2 6" xfId="3904" xr:uid="{00000000-0005-0000-0000-0000F70D0000}"/>
    <cellStyle name="20% - akcent 4 2 8 4 2 7" xfId="3905" xr:uid="{00000000-0005-0000-0000-0000F80D0000}"/>
    <cellStyle name="20% - akcent 4 2 8 4 3" xfId="3906" xr:uid="{00000000-0005-0000-0000-0000F90D0000}"/>
    <cellStyle name="20% - akcent 4 2 8 4 4" xfId="3907" xr:uid="{00000000-0005-0000-0000-0000FA0D0000}"/>
    <cellStyle name="20% - akcent 4 2 8 4 5" xfId="3908" xr:uid="{00000000-0005-0000-0000-0000FB0D0000}"/>
    <cellStyle name="20% - akcent 4 2 8 4 6" xfId="3909" xr:uid="{00000000-0005-0000-0000-0000FC0D0000}"/>
    <cellStyle name="20% - akcent 4 2 8 4 7" xfId="3910" xr:uid="{00000000-0005-0000-0000-0000FD0D0000}"/>
    <cellStyle name="20% - akcent 4 2 8 4 7 2" xfId="3911" xr:uid="{00000000-0005-0000-0000-0000FE0D0000}"/>
    <cellStyle name="20% - akcent 4 2 8 4 7 3" xfId="3912" xr:uid="{00000000-0005-0000-0000-0000FF0D0000}"/>
    <cellStyle name="20% - akcent 4 2 8 4 7 4" xfId="3913" xr:uid="{00000000-0005-0000-0000-0000000E0000}"/>
    <cellStyle name="20% - akcent 4 2 8 4 7 5" xfId="3914" xr:uid="{00000000-0005-0000-0000-0000010E0000}"/>
    <cellStyle name="20% - akcent 4 2 8 4 7 6" xfId="3915" xr:uid="{00000000-0005-0000-0000-0000020E0000}"/>
    <cellStyle name="20% - akcent 4 2 8 4 8" xfId="3916" xr:uid="{00000000-0005-0000-0000-0000030E0000}"/>
    <cellStyle name="20% - akcent 4 2 8 4 9" xfId="3917" xr:uid="{00000000-0005-0000-0000-0000040E0000}"/>
    <cellStyle name="20% - akcent 4 2 8 5" xfId="3918" xr:uid="{00000000-0005-0000-0000-0000050E0000}"/>
    <cellStyle name="20% - akcent 4 2 8 5 2" xfId="3919" xr:uid="{00000000-0005-0000-0000-0000060E0000}"/>
    <cellStyle name="20% - akcent 4 2 8 5 2 2" xfId="3920" xr:uid="{00000000-0005-0000-0000-0000070E0000}"/>
    <cellStyle name="20% - akcent 4 2 8 5 2 3" xfId="3921" xr:uid="{00000000-0005-0000-0000-0000080E0000}"/>
    <cellStyle name="20% - akcent 4 2 8 5 2 4" xfId="3922" xr:uid="{00000000-0005-0000-0000-0000090E0000}"/>
    <cellStyle name="20% - akcent 4 2 8 5 2 5" xfId="3923" xr:uid="{00000000-0005-0000-0000-00000A0E0000}"/>
    <cellStyle name="20% - akcent 4 2 8 5 2 6" xfId="3924" xr:uid="{00000000-0005-0000-0000-00000B0E0000}"/>
    <cellStyle name="20% - akcent 4 2 8 5 3" xfId="3925" xr:uid="{00000000-0005-0000-0000-00000C0E0000}"/>
    <cellStyle name="20% - akcent 4 2 8 5 4" xfId="3926" xr:uid="{00000000-0005-0000-0000-00000D0E0000}"/>
    <cellStyle name="20% - akcent 4 2 8 5 5" xfId="3927" xr:uid="{00000000-0005-0000-0000-00000E0E0000}"/>
    <cellStyle name="20% - akcent 4 2 8 5 6" xfId="3928" xr:uid="{00000000-0005-0000-0000-00000F0E0000}"/>
    <cellStyle name="20% - akcent 4 2 8 5 7" xfId="3929" xr:uid="{00000000-0005-0000-0000-0000100E0000}"/>
    <cellStyle name="20% - akcent 4 2 8 6" xfId="3930" xr:uid="{00000000-0005-0000-0000-0000110E0000}"/>
    <cellStyle name="20% - akcent 4 2 8 7" xfId="3931" xr:uid="{00000000-0005-0000-0000-0000120E0000}"/>
    <cellStyle name="20% - akcent 4 2 8 8" xfId="3932" xr:uid="{00000000-0005-0000-0000-0000130E0000}"/>
    <cellStyle name="20% - akcent 4 2 8 9" xfId="3933" xr:uid="{00000000-0005-0000-0000-0000140E0000}"/>
    <cellStyle name="20% - akcent 4 2 8 9 2" xfId="3934" xr:uid="{00000000-0005-0000-0000-0000150E0000}"/>
    <cellStyle name="20% - akcent 4 2 8 9 3" xfId="3935" xr:uid="{00000000-0005-0000-0000-0000160E0000}"/>
    <cellStyle name="20% - akcent 4 2 8 9 4" xfId="3936" xr:uid="{00000000-0005-0000-0000-0000170E0000}"/>
    <cellStyle name="20% - akcent 4 2 8 9 5" xfId="3937" xr:uid="{00000000-0005-0000-0000-0000180E0000}"/>
    <cellStyle name="20% - akcent 4 2 8 9 6" xfId="3938" xr:uid="{00000000-0005-0000-0000-0000190E0000}"/>
    <cellStyle name="20% - akcent 4 2 9" xfId="3939" xr:uid="{00000000-0005-0000-0000-00001A0E0000}"/>
    <cellStyle name="20% - akcent 4 2_archeolagia" xfId="3940" xr:uid="{00000000-0005-0000-0000-00001B0E0000}"/>
    <cellStyle name="20% - akcent 4 3" xfId="53" xr:uid="{00000000-0005-0000-0000-00001C0E0000}"/>
    <cellStyle name="20% - akcent 4 3 2" xfId="54" xr:uid="{00000000-0005-0000-0000-00001D0E0000}"/>
    <cellStyle name="20% - akcent 4 3 2 2" xfId="3942" xr:uid="{00000000-0005-0000-0000-00001E0E0000}"/>
    <cellStyle name="20% - akcent 4 3 3" xfId="3943" xr:uid="{00000000-0005-0000-0000-00001F0E0000}"/>
    <cellStyle name="20% - akcent 4 3 4" xfId="3944" xr:uid="{00000000-0005-0000-0000-0000200E0000}"/>
    <cellStyle name="20% - akcent 4 3 5" xfId="3945" xr:uid="{00000000-0005-0000-0000-0000210E0000}"/>
    <cellStyle name="20% - akcent 4 3 6" xfId="3941" xr:uid="{00000000-0005-0000-0000-0000220E0000}"/>
    <cellStyle name="20% - akcent 4 4" xfId="55" xr:uid="{00000000-0005-0000-0000-0000230E0000}"/>
    <cellStyle name="20% - akcent 4 4 2" xfId="56" xr:uid="{00000000-0005-0000-0000-0000240E0000}"/>
    <cellStyle name="20% - akcent 4 4 2 2" xfId="3947" xr:uid="{00000000-0005-0000-0000-0000250E0000}"/>
    <cellStyle name="20% - akcent 4 4 3" xfId="3948" xr:uid="{00000000-0005-0000-0000-0000260E0000}"/>
    <cellStyle name="20% - akcent 4 4 4" xfId="3949" xr:uid="{00000000-0005-0000-0000-0000270E0000}"/>
    <cellStyle name="20% - akcent 4 4 5" xfId="3950" xr:uid="{00000000-0005-0000-0000-0000280E0000}"/>
    <cellStyle name="20% - akcent 4 4 6" xfId="3946" xr:uid="{00000000-0005-0000-0000-0000290E0000}"/>
    <cellStyle name="20% - akcent 4 5" xfId="57" xr:uid="{00000000-0005-0000-0000-00002A0E0000}"/>
    <cellStyle name="20% - akcent 4 5 2" xfId="58" xr:uid="{00000000-0005-0000-0000-00002B0E0000}"/>
    <cellStyle name="20% - akcent 4 5 2 2" xfId="3952" xr:uid="{00000000-0005-0000-0000-00002C0E0000}"/>
    <cellStyle name="20% - akcent 4 5 3" xfId="3953" xr:uid="{00000000-0005-0000-0000-00002D0E0000}"/>
    <cellStyle name="20% - akcent 4 5 4" xfId="3954" xr:uid="{00000000-0005-0000-0000-00002E0E0000}"/>
    <cellStyle name="20% - akcent 4 5 5" xfId="3955" xr:uid="{00000000-0005-0000-0000-00002F0E0000}"/>
    <cellStyle name="20% - akcent 4 5 6" xfId="3951" xr:uid="{00000000-0005-0000-0000-0000300E0000}"/>
    <cellStyle name="20% - akcent 4 6" xfId="59" xr:uid="{00000000-0005-0000-0000-0000310E0000}"/>
    <cellStyle name="20% - akcent 4 6 2" xfId="60" xr:uid="{00000000-0005-0000-0000-0000320E0000}"/>
    <cellStyle name="20% - akcent 4 6 2 2" xfId="3957" xr:uid="{00000000-0005-0000-0000-0000330E0000}"/>
    <cellStyle name="20% - akcent 4 6 3" xfId="3958" xr:uid="{00000000-0005-0000-0000-0000340E0000}"/>
    <cellStyle name="20% - akcent 4 6 4" xfId="3959" xr:uid="{00000000-0005-0000-0000-0000350E0000}"/>
    <cellStyle name="20% - akcent 4 6 5" xfId="3960" xr:uid="{00000000-0005-0000-0000-0000360E0000}"/>
    <cellStyle name="20% - akcent 4 6 6" xfId="3956" xr:uid="{00000000-0005-0000-0000-0000370E0000}"/>
    <cellStyle name="20% - akcent 4 7" xfId="61" xr:uid="{00000000-0005-0000-0000-0000380E0000}"/>
    <cellStyle name="20% - akcent 4 7 2" xfId="62" xr:uid="{00000000-0005-0000-0000-0000390E0000}"/>
    <cellStyle name="20% - akcent 4 7 2 2" xfId="3962" xr:uid="{00000000-0005-0000-0000-00003A0E0000}"/>
    <cellStyle name="20% - akcent 4 7 3" xfId="3963" xr:uid="{00000000-0005-0000-0000-00003B0E0000}"/>
    <cellStyle name="20% - akcent 4 7 4" xfId="3964" xr:uid="{00000000-0005-0000-0000-00003C0E0000}"/>
    <cellStyle name="20% - akcent 4 7 5" xfId="3965" xr:uid="{00000000-0005-0000-0000-00003D0E0000}"/>
    <cellStyle name="20% - akcent 4 7 6" xfId="3961" xr:uid="{00000000-0005-0000-0000-00003E0E0000}"/>
    <cellStyle name="20% - akcent 4 8" xfId="3966" xr:uid="{00000000-0005-0000-0000-00003F0E0000}"/>
    <cellStyle name="20% - akcent 4 8 2" xfId="3967" xr:uid="{00000000-0005-0000-0000-0000400E0000}"/>
    <cellStyle name="20% - akcent 4 8 3" xfId="3968" xr:uid="{00000000-0005-0000-0000-0000410E0000}"/>
    <cellStyle name="20% - akcent 4 8 4" xfId="3969" xr:uid="{00000000-0005-0000-0000-0000420E0000}"/>
    <cellStyle name="20% - akcent 4 9" xfId="3970" xr:uid="{00000000-0005-0000-0000-0000430E0000}"/>
    <cellStyle name="20% - akcent 5 1" xfId="3971" xr:uid="{00000000-0005-0000-0000-0000440E0000}"/>
    <cellStyle name="20% - akcent 5 10" xfId="3972" xr:uid="{00000000-0005-0000-0000-0000450E0000}"/>
    <cellStyle name="20% - akcent 5 11" xfId="3973" xr:uid="{00000000-0005-0000-0000-0000460E0000}"/>
    <cellStyle name="20% - akcent 5 12" xfId="3974" xr:uid="{00000000-0005-0000-0000-0000470E0000}"/>
    <cellStyle name="20% - akcent 5 13" xfId="3975" xr:uid="{00000000-0005-0000-0000-0000480E0000}"/>
    <cellStyle name="20% - akcent 5 14" xfId="3976" xr:uid="{00000000-0005-0000-0000-0000490E0000}"/>
    <cellStyle name="20% - akcent 5 15" xfId="3977" xr:uid="{00000000-0005-0000-0000-00004A0E0000}"/>
    <cellStyle name="20% - akcent 5 16" xfId="3978" xr:uid="{00000000-0005-0000-0000-00004B0E0000}"/>
    <cellStyle name="20% - akcent 5 17" xfId="3979" xr:uid="{00000000-0005-0000-0000-00004C0E0000}"/>
    <cellStyle name="20% - akcent 5 18" xfId="3980" xr:uid="{00000000-0005-0000-0000-00004D0E0000}"/>
    <cellStyle name="20% - akcent 5 19" xfId="3981" xr:uid="{00000000-0005-0000-0000-00004E0E0000}"/>
    <cellStyle name="20% - akcent 5 2" xfId="63" xr:uid="{00000000-0005-0000-0000-00004F0E0000}"/>
    <cellStyle name="20% - akcent 5 2 10" xfId="3983" xr:uid="{00000000-0005-0000-0000-0000500E0000}"/>
    <cellStyle name="20% - akcent 5 2 11" xfId="3984" xr:uid="{00000000-0005-0000-0000-0000510E0000}"/>
    <cellStyle name="20% - akcent 5 2 12" xfId="3985" xr:uid="{00000000-0005-0000-0000-0000520E0000}"/>
    <cellStyle name="20% - akcent 5 2 13" xfId="3986" xr:uid="{00000000-0005-0000-0000-0000530E0000}"/>
    <cellStyle name="20% - akcent 5 2 13 10" xfId="3987" xr:uid="{00000000-0005-0000-0000-0000540E0000}"/>
    <cellStyle name="20% - akcent 5 2 13 11" xfId="3988" xr:uid="{00000000-0005-0000-0000-0000550E0000}"/>
    <cellStyle name="20% - akcent 5 2 13 12" xfId="3989" xr:uid="{00000000-0005-0000-0000-0000560E0000}"/>
    <cellStyle name="20% - akcent 5 2 13 2" xfId="3990" xr:uid="{00000000-0005-0000-0000-0000570E0000}"/>
    <cellStyle name="20% - akcent 5 2 13 2 10" xfId="3991" xr:uid="{00000000-0005-0000-0000-0000580E0000}"/>
    <cellStyle name="20% - akcent 5 2 13 2 11" xfId="3992" xr:uid="{00000000-0005-0000-0000-0000590E0000}"/>
    <cellStyle name="20% - akcent 5 2 13 2 2" xfId="3993" xr:uid="{00000000-0005-0000-0000-00005A0E0000}"/>
    <cellStyle name="20% - akcent 5 2 13 2 2 10" xfId="3994" xr:uid="{00000000-0005-0000-0000-00005B0E0000}"/>
    <cellStyle name="20% - akcent 5 2 13 2 2 11" xfId="3995" xr:uid="{00000000-0005-0000-0000-00005C0E0000}"/>
    <cellStyle name="20% - akcent 5 2 13 2 2 2" xfId="3996" xr:uid="{00000000-0005-0000-0000-00005D0E0000}"/>
    <cellStyle name="20% - akcent 5 2 13 2 2 2 2" xfId="3997" xr:uid="{00000000-0005-0000-0000-00005E0E0000}"/>
    <cellStyle name="20% - akcent 5 2 13 2 2 2 2 2" xfId="3998" xr:uid="{00000000-0005-0000-0000-00005F0E0000}"/>
    <cellStyle name="20% - akcent 5 2 13 2 2 2 2 3" xfId="3999" xr:uid="{00000000-0005-0000-0000-0000600E0000}"/>
    <cellStyle name="20% - akcent 5 2 13 2 2 2 2 4" xfId="4000" xr:uid="{00000000-0005-0000-0000-0000610E0000}"/>
    <cellStyle name="20% - akcent 5 2 13 2 2 2 2 5" xfId="4001" xr:uid="{00000000-0005-0000-0000-0000620E0000}"/>
    <cellStyle name="20% - akcent 5 2 13 2 2 2 2 6" xfId="4002" xr:uid="{00000000-0005-0000-0000-0000630E0000}"/>
    <cellStyle name="20% - akcent 5 2 13 2 2 2 3" xfId="4003" xr:uid="{00000000-0005-0000-0000-0000640E0000}"/>
    <cellStyle name="20% - akcent 5 2 13 2 2 2 4" xfId="4004" xr:uid="{00000000-0005-0000-0000-0000650E0000}"/>
    <cellStyle name="20% - akcent 5 2 13 2 2 2 5" xfId="4005" xr:uid="{00000000-0005-0000-0000-0000660E0000}"/>
    <cellStyle name="20% - akcent 5 2 13 2 2 2 6" xfId="4006" xr:uid="{00000000-0005-0000-0000-0000670E0000}"/>
    <cellStyle name="20% - akcent 5 2 13 2 2 2 7" xfId="4007" xr:uid="{00000000-0005-0000-0000-0000680E0000}"/>
    <cellStyle name="20% - akcent 5 2 13 2 2 3" xfId="4008" xr:uid="{00000000-0005-0000-0000-0000690E0000}"/>
    <cellStyle name="20% - akcent 5 2 13 2 2 4" xfId="4009" xr:uid="{00000000-0005-0000-0000-00006A0E0000}"/>
    <cellStyle name="20% - akcent 5 2 13 2 2 5" xfId="4010" xr:uid="{00000000-0005-0000-0000-00006B0E0000}"/>
    <cellStyle name="20% - akcent 5 2 13 2 2 6" xfId="4011" xr:uid="{00000000-0005-0000-0000-00006C0E0000}"/>
    <cellStyle name="20% - akcent 5 2 13 2 2 7" xfId="4012" xr:uid="{00000000-0005-0000-0000-00006D0E0000}"/>
    <cellStyle name="20% - akcent 5 2 13 2 2 7 2" xfId="4013" xr:uid="{00000000-0005-0000-0000-00006E0E0000}"/>
    <cellStyle name="20% - akcent 5 2 13 2 2 7 3" xfId="4014" xr:uid="{00000000-0005-0000-0000-00006F0E0000}"/>
    <cellStyle name="20% - akcent 5 2 13 2 2 7 4" xfId="4015" xr:uid="{00000000-0005-0000-0000-0000700E0000}"/>
    <cellStyle name="20% - akcent 5 2 13 2 2 7 5" xfId="4016" xr:uid="{00000000-0005-0000-0000-0000710E0000}"/>
    <cellStyle name="20% - akcent 5 2 13 2 2 7 6" xfId="4017" xr:uid="{00000000-0005-0000-0000-0000720E0000}"/>
    <cellStyle name="20% - akcent 5 2 13 2 2 8" xfId="4018" xr:uid="{00000000-0005-0000-0000-0000730E0000}"/>
    <cellStyle name="20% - akcent 5 2 13 2 2 9" xfId="4019" xr:uid="{00000000-0005-0000-0000-0000740E0000}"/>
    <cellStyle name="20% - akcent 5 2 13 2 3" xfId="4020" xr:uid="{00000000-0005-0000-0000-0000750E0000}"/>
    <cellStyle name="20% - akcent 5 2 13 2 3 2" xfId="4021" xr:uid="{00000000-0005-0000-0000-0000760E0000}"/>
    <cellStyle name="20% - akcent 5 2 13 2 3 2 2" xfId="4022" xr:uid="{00000000-0005-0000-0000-0000770E0000}"/>
    <cellStyle name="20% - akcent 5 2 13 2 3 2 3" xfId="4023" xr:uid="{00000000-0005-0000-0000-0000780E0000}"/>
    <cellStyle name="20% - akcent 5 2 13 2 3 2 4" xfId="4024" xr:uid="{00000000-0005-0000-0000-0000790E0000}"/>
    <cellStyle name="20% - akcent 5 2 13 2 3 2 5" xfId="4025" xr:uid="{00000000-0005-0000-0000-00007A0E0000}"/>
    <cellStyle name="20% - akcent 5 2 13 2 3 2 6" xfId="4026" xr:uid="{00000000-0005-0000-0000-00007B0E0000}"/>
    <cellStyle name="20% - akcent 5 2 13 2 3 3" xfId="4027" xr:uid="{00000000-0005-0000-0000-00007C0E0000}"/>
    <cellStyle name="20% - akcent 5 2 13 2 3 4" xfId="4028" xr:uid="{00000000-0005-0000-0000-00007D0E0000}"/>
    <cellStyle name="20% - akcent 5 2 13 2 3 5" xfId="4029" xr:uid="{00000000-0005-0000-0000-00007E0E0000}"/>
    <cellStyle name="20% - akcent 5 2 13 2 3 6" xfId="4030" xr:uid="{00000000-0005-0000-0000-00007F0E0000}"/>
    <cellStyle name="20% - akcent 5 2 13 2 3 7" xfId="4031" xr:uid="{00000000-0005-0000-0000-0000800E0000}"/>
    <cellStyle name="20% - akcent 5 2 13 2 4" xfId="4032" xr:uid="{00000000-0005-0000-0000-0000810E0000}"/>
    <cellStyle name="20% - akcent 5 2 13 2 5" xfId="4033" xr:uid="{00000000-0005-0000-0000-0000820E0000}"/>
    <cellStyle name="20% - akcent 5 2 13 2 6" xfId="4034" xr:uid="{00000000-0005-0000-0000-0000830E0000}"/>
    <cellStyle name="20% - akcent 5 2 13 2 7" xfId="4035" xr:uid="{00000000-0005-0000-0000-0000840E0000}"/>
    <cellStyle name="20% - akcent 5 2 13 2 7 2" xfId="4036" xr:uid="{00000000-0005-0000-0000-0000850E0000}"/>
    <cellStyle name="20% - akcent 5 2 13 2 7 3" xfId="4037" xr:uid="{00000000-0005-0000-0000-0000860E0000}"/>
    <cellStyle name="20% - akcent 5 2 13 2 7 4" xfId="4038" xr:uid="{00000000-0005-0000-0000-0000870E0000}"/>
    <cellStyle name="20% - akcent 5 2 13 2 7 5" xfId="4039" xr:uid="{00000000-0005-0000-0000-0000880E0000}"/>
    <cellStyle name="20% - akcent 5 2 13 2 7 6" xfId="4040" xr:uid="{00000000-0005-0000-0000-0000890E0000}"/>
    <cellStyle name="20% - akcent 5 2 13 2 8" xfId="4041" xr:uid="{00000000-0005-0000-0000-00008A0E0000}"/>
    <cellStyle name="20% - akcent 5 2 13 2 9" xfId="4042" xr:uid="{00000000-0005-0000-0000-00008B0E0000}"/>
    <cellStyle name="20% - akcent 5 2 13 3" xfId="4043" xr:uid="{00000000-0005-0000-0000-00008C0E0000}"/>
    <cellStyle name="20% - akcent 5 2 13 3 2" xfId="4044" xr:uid="{00000000-0005-0000-0000-00008D0E0000}"/>
    <cellStyle name="20% - akcent 5 2 13 3 2 2" xfId="4045" xr:uid="{00000000-0005-0000-0000-00008E0E0000}"/>
    <cellStyle name="20% - akcent 5 2 13 3 2 3" xfId="4046" xr:uid="{00000000-0005-0000-0000-00008F0E0000}"/>
    <cellStyle name="20% - akcent 5 2 13 3 2 4" xfId="4047" xr:uid="{00000000-0005-0000-0000-0000900E0000}"/>
    <cellStyle name="20% - akcent 5 2 13 3 2 5" xfId="4048" xr:uid="{00000000-0005-0000-0000-0000910E0000}"/>
    <cellStyle name="20% - akcent 5 2 13 3 2 6" xfId="4049" xr:uid="{00000000-0005-0000-0000-0000920E0000}"/>
    <cellStyle name="20% - akcent 5 2 13 3 3" xfId="4050" xr:uid="{00000000-0005-0000-0000-0000930E0000}"/>
    <cellStyle name="20% - akcent 5 2 13 3 4" xfId="4051" xr:uid="{00000000-0005-0000-0000-0000940E0000}"/>
    <cellStyle name="20% - akcent 5 2 13 3 5" xfId="4052" xr:uid="{00000000-0005-0000-0000-0000950E0000}"/>
    <cellStyle name="20% - akcent 5 2 13 3 6" xfId="4053" xr:uid="{00000000-0005-0000-0000-0000960E0000}"/>
    <cellStyle name="20% - akcent 5 2 13 3 7" xfId="4054" xr:uid="{00000000-0005-0000-0000-0000970E0000}"/>
    <cellStyle name="20% - akcent 5 2 13 4" xfId="4055" xr:uid="{00000000-0005-0000-0000-0000980E0000}"/>
    <cellStyle name="20% - akcent 5 2 13 5" xfId="4056" xr:uid="{00000000-0005-0000-0000-0000990E0000}"/>
    <cellStyle name="20% - akcent 5 2 13 6" xfId="4057" xr:uid="{00000000-0005-0000-0000-00009A0E0000}"/>
    <cellStyle name="20% - akcent 5 2 13 7" xfId="4058" xr:uid="{00000000-0005-0000-0000-00009B0E0000}"/>
    <cellStyle name="20% - akcent 5 2 13 8" xfId="4059" xr:uid="{00000000-0005-0000-0000-00009C0E0000}"/>
    <cellStyle name="20% - akcent 5 2 13 8 2" xfId="4060" xr:uid="{00000000-0005-0000-0000-00009D0E0000}"/>
    <cellStyle name="20% - akcent 5 2 13 8 3" xfId="4061" xr:uid="{00000000-0005-0000-0000-00009E0E0000}"/>
    <cellStyle name="20% - akcent 5 2 13 8 4" xfId="4062" xr:uid="{00000000-0005-0000-0000-00009F0E0000}"/>
    <cellStyle name="20% - akcent 5 2 13 8 5" xfId="4063" xr:uid="{00000000-0005-0000-0000-0000A00E0000}"/>
    <cellStyle name="20% - akcent 5 2 13 8 6" xfId="4064" xr:uid="{00000000-0005-0000-0000-0000A10E0000}"/>
    <cellStyle name="20% - akcent 5 2 13 9" xfId="4065" xr:uid="{00000000-0005-0000-0000-0000A20E0000}"/>
    <cellStyle name="20% - akcent 5 2 14" xfId="4066" xr:uid="{00000000-0005-0000-0000-0000A30E0000}"/>
    <cellStyle name="20% - akcent 5 2 14 10" xfId="4067" xr:uid="{00000000-0005-0000-0000-0000A40E0000}"/>
    <cellStyle name="20% - akcent 5 2 14 11" xfId="4068" xr:uid="{00000000-0005-0000-0000-0000A50E0000}"/>
    <cellStyle name="20% - akcent 5 2 14 2" xfId="4069" xr:uid="{00000000-0005-0000-0000-0000A60E0000}"/>
    <cellStyle name="20% - akcent 5 2 14 2 2" xfId="4070" xr:uid="{00000000-0005-0000-0000-0000A70E0000}"/>
    <cellStyle name="20% - akcent 5 2 14 2 2 2" xfId="4071" xr:uid="{00000000-0005-0000-0000-0000A80E0000}"/>
    <cellStyle name="20% - akcent 5 2 14 2 2 3" xfId="4072" xr:uid="{00000000-0005-0000-0000-0000A90E0000}"/>
    <cellStyle name="20% - akcent 5 2 14 2 2 4" xfId="4073" xr:uid="{00000000-0005-0000-0000-0000AA0E0000}"/>
    <cellStyle name="20% - akcent 5 2 14 2 2 5" xfId="4074" xr:uid="{00000000-0005-0000-0000-0000AB0E0000}"/>
    <cellStyle name="20% - akcent 5 2 14 2 2 6" xfId="4075" xr:uid="{00000000-0005-0000-0000-0000AC0E0000}"/>
    <cellStyle name="20% - akcent 5 2 14 2 3" xfId="4076" xr:uid="{00000000-0005-0000-0000-0000AD0E0000}"/>
    <cellStyle name="20% - akcent 5 2 14 2 4" xfId="4077" xr:uid="{00000000-0005-0000-0000-0000AE0E0000}"/>
    <cellStyle name="20% - akcent 5 2 14 2 5" xfId="4078" xr:uid="{00000000-0005-0000-0000-0000AF0E0000}"/>
    <cellStyle name="20% - akcent 5 2 14 2 6" xfId="4079" xr:uid="{00000000-0005-0000-0000-0000B00E0000}"/>
    <cellStyle name="20% - akcent 5 2 14 2 7" xfId="4080" xr:uid="{00000000-0005-0000-0000-0000B10E0000}"/>
    <cellStyle name="20% - akcent 5 2 14 3" xfId="4081" xr:uid="{00000000-0005-0000-0000-0000B20E0000}"/>
    <cellStyle name="20% - akcent 5 2 14 4" xfId="4082" xr:uid="{00000000-0005-0000-0000-0000B30E0000}"/>
    <cellStyle name="20% - akcent 5 2 14 5" xfId="4083" xr:uid="{00000000-0005-0000-0000-0000B40E0000}"/>
    <cellStyle name="20% - akcent 5 2 14 6" xfId="4084" xr:uid="{00000000-0005-0000-0000-0000B50E0000}"/>
    <cellStyle name="20% - akcent 5 2 14 7" xfId="4085" xr:uid="{00000000-0005-0000-0000-0000B60E0000}"/>
    <cellStyle name="20% - akcent 5 2 14 7 2" xfId="4086" xr:uid="{00000000-0005-0000-0000-0000B70E0000}"/>
    <cellStyle name="20% - akcent 5 2 14 7 3" xfId="4087" xr:uid="{00000000-0005-0000-0000-0000B80E0000}"/>
    <cellStyle name="20% - akcent 5 2 14 7 4" xfId="4088" xr:uid="{00000000-0005-0000-0000-0000B90E0000}"/>
    <cellStyle name="20% - akcent 5 2 14 7 5" xfId="4089" xr:uid="{00000000-0005-0000-0000-0000BA0E0000}"/>
    <cellStyle name="20% - akcent 5 2 14 7 6" xfId="4090" xr:uid="{00000000-0005-0000-0000-0000BB0E0000}"/>
    <cellStyle name="20% - akcent 5 2 14 8" xfId="4091" xr:uid="{00000000-0005-0000-0000-0000BC0E0000}"/>
    <cellStyle name="20% - akcent 5 2 14 9" xfId="4092" xr:uid="{00000000-0005-0000-0000-0000BD0E0000}"/>
    <cellStyle name="20% - akcent 5 2 15" xfId="4093" xr:uid="{00000000-0005-0000-0000-0000BE0E0000}"/>
    <cellStyle name="20% - akcent 5 2 15 2" xfId="4094" xr:uid="{00000000-0005-0000-0000-0000BF0E0000}"/>
    <cellStyle name="20% - akcent 5 2 15 2 2" xfId="4095" xr:uid="{00000000-0005-0000-0000-0000C00E0000}"/>
    <cellStyle name="20% - akcent 5 2 15 2 3" xfId="4096" xr:uid="{00000000-0005-0000-0000-0000C10E0000}"/>
    <cellStyle name="20% - akcent 5 2 15 2 4" xfId="4097" xr:uid="{00000000-0005-0000-0000-0000C20E0000}"/>
    <cellStyle name="20% - akcent 5 2 15 2 5" xfId="4098" xr:uid="{00000000-0005-0000-0000-0000C30E0000}"/>
    <cellStyle name="20% - akcent 5 2 15 2 6" xfId="4099" xr:uid="{00000000-0005-0000-0000-0000C40E0000}"/>
    <cellStyle name="20% - akcent 5 2 15 3" xfId="4100" xr:uid="{00000000-0005-0000-0000-0000C50E0000}"/>
    <cellStyle name="20% - akcent 5 2 15 4" xfId="4101" xr:uid="{00000000-0005-0000-0000-0000C60E0000}"/>
    <cellStyle name="20% - akcent 5 2 15 5" xfId="4102" xr:uid="{00000000-0005-0000-0000-0000C70E0000}"/>
    <cellStyle name="20% - akcent 5 2 15 6" xfId="4103" xr:uid="{00000000-0005-0000-0000-0000C80E0000}"/>
    <cellStyle name="20% - akcent 5 2 15 7" xfId="4104" xr:uid="{00000000-0005-0000-0000-0000C90E0000}"/>
    <cellStyle name="20% - akcent 5 2 16" xfId="4105" xr:uid="{00000000-0005-0000-0000-0000CA0E0000}"/>
    <cellStyle name="20% - akcent 5 2 17" xfId="4106" xr:uid="{00000000-0005-0000-0000-0000CB0E0000}"/>
    <cellStyle name="20% - akcent 5 2 18" xfId="4107" xr:uid="{00000000-0005-0000-0000-0000CC0E0000}"/>
    <cellStyle name="20% - akcent 5 2 19" xfId="4108" xr:uid="{00000000-0005-0000-0000-0000CD0E0000}"/>
    <cellStyle name="20% - akcent 5 2 2" xfId="64" xr:uid="{00000000-0005-0000-0000-0000CE0E0000}"/>
    <cellStyle name="20% - akcent 5 2 2 2" xfId="4109" xr:uid="{00000000-0005-0000-0000-0000CF0E0000}"/>
    <cellStyle name="20% - akcent 5 2 20" xfId="4110" xr:uid="{00000000-0005-0000-0000-0000D00E0000}"/>
    <cellStyle name="20% - akcent 5 2 21" xfId="4111" xr:uid="{00000000-0005-0000-0000-0000D10E0000}"/>
    <cellStyle name="20% - akcent 5 2 21 2" xfId="4112" xr:uid="{00000000-0005-0000-0000-0000D20E0000}"/>
    <cellStyle name="20% - akcent 5 2 21 3" xfId="4113" xr:uid="{00000000-0005-0000-0000-0000D30E0000}"/>
    <cellStyle name="20% - akcent 5 2 21 4" xfId="4114" xr:uid="{00000000-0005-0000-0000-0000D40E0000}"/>
    <cellStyle name="20% - akcent 5 2 21 5" xfId="4115" xr:uid="{00000000-0005-0000-0000-0000D50E0000}"/>
    <cellStyle name="20% - akcent 5 2 21 6" xfId="4116" xr:uid="{00000000-0005-0000-0000-0000D60E0000}"/>
    <cellStyle name="20% - akcent 5 2 22" xfId="4117" xr:uid="{00000000-0005-0000-0000-0000D70E0000}"/>
    <cellStyle name="20% - akcent 5 2 23" xfId="4118" xr:uid="{00000000-0005-0000-0000-0000D80E0000}"/>
    <cellStyle name="20% - akcent 5 2 24" xfId="4119" xr:uid="{00000000-0005-0000-0000-0000D90E0000}"/>
    <cellStyle name="20% - akcent 5 2 25" xfId="4120" xr:uid="{00000000-0005-0000-0000-0000DA0E0000}"/>
    <cellStyle name="20% - akcent 5 2 26" xfId="4121" xr:uid="{00000000-0005-0000-0000-0000DB0E0000}"/>
    <cellStyle name="20% - akcent 5 2 27" xfId="4122" xr:uid="{00000000-0005-0000-0000-0000DC0E0000}"/>
    <cellStyle name="20% - akcent 5 2 28" xfId="4123" xr:uid="{00000000-0005-0000-0000-0000DD0E0000}"/>
    <cellStyle name="20% - akcent 5 2 29" xfId="4124" xr:uid="{00000000-0005-0000-0000-0000DE0E0000}"/>
    <cellStyle name="20% - akcent 5 2 3" xfId="4125" xr:uid="{00000000-0005-0000-0000-0000DF0E0000}"/>
    <cellStyle name="20% - akcent 5 2 30" xfId="4126" xr:uid="{00000000-0005-0000-0000-0000E00E0000}"/>
    <cellStyle name="20% - akcent 5 2 31" xfId="4127" xr:uid="{00000000-0005-0000-0000-0000E10E0000}"/>
    <cellStyle name="20% - akcent 5 2 32" xfId="3982" xr:uid="{00000000-0005-0000-0000-0000E20E0000}"/>
    <cellStyle name="20% - akcent 5 2 33" xfId="37821" xr:uid="{00000000-0005-0000-0000-0000E30E0000}"/>
    <cellStyle name="20% - akcent 5 2 4" xfId="4128" xr:uid="{00000000-0005-0000-0000-0000E40E0000}"/>
    <cellStyle name="20% - akcent 5 2 5" xfId="4129" xr:uid="{00000000-0005-0000-0000-0000E50E0000}"/>
    <cellStyle name="20% - akcent 5 2 6" xfId="4130" xr:uid="{00000000-0005-0000-0000-0000E60E0000}"/>
    <cellStyle name="20% - akcent 5 2 6 10" xfId="4131" xr:uid="{00000000-0005-0000-0000-0000E70E0000}"/>
    <cellStyle name="20% - akcent 5 2 6 11" xfId="4132" xr:uid="{00000000-0005-0000-0000-0000E80E0000}"/>
    <cellStyle name="20% - akcent 5 2 6 12" xfId="4133" xr:uid="{00000000-0005-0000-0000-0000E90E0000}"/>
    <cellStyle name="20% - akcent 5 2 6 13" xfId="4134" xr:uid="{00000000-0005-0000-0000-0000EA0E0000}"/>
    <cellStyle name="20% - akcent 5 2 6 2" xfId="4135" xr:uid="{00000000-0005-0000-0000-0000EB0E0000}"/>
    <cellStyle name="20% - akcent 5 2 6 2 10" xfId="4136" xr:uid="{00000000-0005-0000-0000-0000EC0E0000}"/>
    <cellStyle name="20% - akcent 5 2 6 2 11" xfId="4137" xr:uid="{00000000-0005-0000-0000-0000ED0E0000}"/>
    <cellStyle name="20% - akcent 5 2 6 2 12" xfId="4138" xr:uid="{00000000-0005-0000-0000-0000EE0E0000}"/>
    <cellStyle name="20% - akcent 5 2 6 2 2" xfId="4139" xr:uid="{00000000-0005-0000-0000-0000EF0E0000}"/>
    <cellStyle name="20% - akcent 5 2 6 2 2 10" xfId="4140" xr:uid="{00000000-0005-0000-0000-0000F00E0000}"/>
    <cellStyle name="20% - akcent 5 2 6 2 2 11" xfId="4141" xr:uid="{00000000-0005-0000-0000-0000F10E0000}"/>
    <cellStyle name="20% - akcent 5 2 6 2 2 2" xfId="4142" xr:uid="{00000000-0005-0000-0000-0000F20E0000}"/>
    <cellStyle name="20% - akcent 5 2 6 2 2 2 10" xfId="4143" xr:uid="{00000000-0005-0000-0000-0000F30E0000}"/>
    <cellStyle name="20% - akcent 5 2 6 2 2 2 11" xfId="4144" xr:uid="{00000000-0005-0000-0000-0000F40E0000}"/>
    <cellStyle name="20% - akcent 5 2 6 2 2 2 2" xfId="4145" xr:uid="{00000000-0005-0000-0000-0000F50E0000}"/>
    <cellStyle name="20% - akcent 5 2 6 2 2 2 2 2" xfId="4146" xr:uid="{00000000-0005-0000-0000-0000F60E0000}"/>
    <cellStyle name="20% - akcent 5 2 6 2 2 2 2 2 2" xfId="4147" xr:uid="{00000000-0005-0000-0000-0000F70E0000}"/>
    <cellStyle name="20% - akcent 5 2 6 2 2 2 2 2 3" xfId="4148" xr:uid="{00000000-0005-0000-0000-0000F80E0000}"/>
    <cellStyle name="20% - akcent 5 2 6 2 2 2 2 2 4" xfId="4149" xr:uid="{00000000-0005-0000-0000-0000F90E0000}"/>
    <cellStyle name="20% - akcent 5 2 6 2 2 2 2 2 5" xfId="4150" xr:uid="{00000000-0005-0000-0000-0000FA0E0000}"/>
    <cellStyle name="20% - akcent 5 2 6 2 2 2 2 2 6" xfId="4151" xr:uid="{00000000-0005-0000-0000-0000FB0E0000}"/>
    <cellStyle name="20% - akcent 5 2 6 2 2 2 2 3" xfId="4152" xr:uid="{00000000-0005-0000-0000-0000FC0E0000}"/>
    <cellStyle name="20% - akcent 5 2 6 2 2 2 2 4" xfId="4153" xr:uid="{00000000-0005-0000-0000-0000FD0E0000}"/>
    <cellStyle name="20% - akcent 5 2 6 2 2 2 2 5" xfId="4154" xr:uid="{00000000-0005-0000-0000-0000FE0E0000}"/>
    <cellStyle name="20% - akcent 5 2 6 2 2 2 2 6" xfId="4155" xr:uid="{00000000-0005-0000-0000-0000FF0E0000}"/>
    <cellStyle name="20% - akcent 5 2 6 2 2 2 2 7" xfId="4156" xr:uid="{00000000-0005-0000-0000-0000000F0000}"/>
    <cellStyle name="20% - akcent 5 2 6 2 2 2 3" xfId="4157" xr:uid="{00000000-0005-0000-0000-0000010F0000}"/>
    <cellStyle name="20% - akcent 5 2 6 2 2 2 4" xfId="4158" xr:uid="{00000000-0005-0000-0000-0000020F0000}"/>
    <cellStyle name="20% - akcent 5 2 6 2 2 2 5" xfId="4159" xr:uid="{00000000-0005-0000-0000-0000030F0000}"/>
    <cellStyle name="20% - akcent 5 2 6 2 2 2 6" xfId="4160" xr:uid="{00000000-0005-0000-0000-0000040F0000}"/>
    <cellStyle name="20% - akcent 5 2 6 2 2 2 7" xfId="4161" xr:uid="{00000000-0005-0000-0000-0000050F0000}"/>
    <cellStyle name="20% - akcent 5 2 6 2 2 2 7 2" xfId="4162" xr:uid="{00000000-0005-0000-0000-0000060F0000}"/>
    <cellStyle name="20% - akcent 5 2 6 2 2 2 7 3" xfId="4163" xr:uid="{00000000-0005-0000-0000-0000070F0000}"/>
    <cellStyle name="20% - akcent 5 2 6 2 2 2 7 4" xfId="4164" xr:uid="{00000000-0005-0000-0000-0000080F0000}"/>
    <cellStyle name="20% - akcent 5 2 6 2 2 2 7 5" xfId="4165" xr:uid="{00000000-0005-0000-0000-0000090F0000}"/>
    <cellStyle name="20% - akcent 5 2 6 2 2 2 7 6" xfId="4166" xr:uid="{00000000-0005-0000-0000-00000A0F0000}"/>
    <cellStyle name="20% - akcent 5 2 6 2 2 2 8" xfId="4167" xr:uid="{00000000-0005-0000-0000-00000B0F0000}"/>
    <cellStyle name="20% - akcent 5 2 6 2 2 2 9" xfId="4168" xr:uid="{00000000-0005-0000-0000-00000C0F0000}"/>
    <cellStyle name="20% - akcent 5 2 6 2 2 3" xfId="4169" xr:uid="{00000000-0005-0000-0000-00000D0F0000}"/>
    <cellStyle name="20% - akcent 5 2 6 2 2 3 2" xfId="4170" xr:uid="{00000000-0005-0000-0000-00000E0F0000}"/>
    <cellStyle name="20% - akcent 5 2 6 2 2 3 2 2" xfId="4171" xr:uid="{00000000-0005-0000-0000-00000F0F0000}"/>
    <cellStyle name="20% - akcent 5 2 6 2 2 3 2 3" xfId="4172" xr:uid="{00000000-0005-0000-0000-0000100F0000}"/>
    <cellStyle name="20% - akcent 5 2 6 2 2 3 2 4" xfId="4173" xr:uid="{00000000-0005-0000-0000-0000110F0000}"/>
    <cellStyle name="20% - akcent 5 2 6 2 2 3 2 5" xfId="4174" xr:uid="{00000000-0005-0000-0000-0000120F0000}"/>
    <cellStyle name="20% - akcent 5 2 6 2 2 3 2 6" xfId="4175" xr:uid="{00000000-0005-0000-0000-0000130F0000}"/>
    <cellStyle name="20% - akcent 5 2 6 2 2 3 3" xfId="4176" xr:uid="{00000000-0005-0000-0000-0000140F0000}"/>
    <cellStyle name="20% - akcent 5 2 6 2 2 3 4" xfId="4177" xr:uid="{00000000-0005-0000-0000-0000150F0000}"/>
    <cellStyle name="20% - akcent 5 2 6 2 2 3 5" xfId="4178" xr:uid="{00000000-0005-0000-0000-0000160F0000}"/>
    <cellStyle name="20% - akcent 5 2 6 2 2 3 6" xfId="4179" xr:uid="{00000000-0005-0000-0000-0000170F0000}"/>
    <cellStyle name="20% - akcent 5 2 6 2 2 3 7" xfId="4180" xr:uid="{00000000-0005-0000-0000-0000180F0000}"/>
    <cellStyle name="20% - akcent 5 2 6 2 2 4" xfId="4181" xr:uid="{00000000-0005-0000-0000-0000190F0000}"/>
    <cellStyle name="20% - akcent 5 2 6 2 2 5" xfId="4182" xr:uid="{00000000-0005-0000-0000-00001A0F0000}"/>
    <cellStyle name="20% - akcent 5 2 6 2 2 6" xfId="4183" xr:uid="{00000000-0005-0000-0000-00001B0F0000}"/>
    <cellStyle name="20% - akcent 5 2 6 2 2 7" xfId="4184" xr:uid="{00000000-0005-0000-0000-00001C0F0000}"/>
    <cellStyle name="20% - akcent 5 2 6 2 2 7 2" xfId="4185" xr:uid="{00000000-0005-0000-0000-00001D0F0000}"/>
    <cellStyle name="20% - akcent 5 2 6 2 2 7 3" xfId="4186" xr:uid="{00000000-0005-0000-0000-00001E0F0000}"/>
    <cellStyle name="20% - akcent 5 2 6 2 2 7 4" xfId="4187" xr:uid="{00000000-0005-0000-0000-00001F0F0000}"/>
    <cellStyle name="20% - akcent 5 2 6 2 2 7 5" xfId="4188" xr:uid="{00000000-0005-0000-0000-0000200F0000}"/>
    <cellStyle name="20% - akcent 5 2 6 2 2 7 6" xfId="4189" xr:uid="{00000000-0005-0000-0000-0000210F0000}"/>
    <cellStyle name="20% - akcent 5 2 6 2 2 8" xfId="4190" xr:uid="{00000000-0005-0000-0000-0000220F0000}"/>
    <cellStyle name="20% - akcent 5 2 6 2 2 9" xfId="4191" xr:uid="{00000000-0005-0000-0000-0000230F0000}"/>
    <cellStyle name="20% - akcent 5 2 6 2 3" xfId="4192" xr:uid="{00000000-0005-0000-0000-0000240F0000}"/>
    <cellStyle name="20% - akcent 5 2 6 2 3 2" xfId="4193" xr:uid="{00000000-0005-0000-0000-0000250F0000}"/>
    <cellStyle name="20% - akcent 5 2 6 2 3 2 2" xfId="4194" xr:uid="{00000000-0005-0000-0000-0000260F0000}"/>
    <cellStyle name="20% - akcent 5 2 6 2 3 2 3" xfId="4195" xr:uid="{00000000-0005-0000-0000-0000270F0000}"/>
    <cellStyle name="20% - akcent 5 2 6 2 3 2 4" xfId="4196" xr:uid="{00000000-0005-0000-0000-0000280F0000}"/>
    <cellStyle name="20% - akcent 5 2 6 2 3 2 5" xfId="4197" xr:uid="{00000000-0005-0000-0000-0000290F0000}"/>
    <cellStyle name="20% - akcent 5 2 6 2 3 2 6" xfId="4198" xr:uid="{00000000-0005-0000-0000-00002A0F0000}"/>
    <cellStyle name="20% - akcent 5 2 6 2 3 3" xfId="4199" xr:uid="{00000000-0005-0000-0000-00002B0F0000}"/>
    <cellStyle name="20% - akcent 5 2 6 2 3 4" xfId="4200" xr:uid="{00000000-0005-0000-0000-00002C0F0000}"/>
    <cellStyle name="20% - akcent 5 2 6 2 3 5" xfId="4201" xr:uid="{00000000-0005-0000-0000-00002D0F0000}"/>
    <cellStyle name="20% - akcent 5 2 6 2 3 6" xfId="4202" xr:uid="{00000000-0005-0000-0000-00002E0F0000}"/>
    <cellStyle name="20% - akcent 5 2 6 2 3 7" xfId="4203" xr:uid="{00000000-0005-0000-0000-00002F0F0000}"/>
    <cellStyle name="20% - akcent 5 2 6 2 4" xfId="4204" xr:uid="{00000000-0005-0000-0000-0000300F0000}"/>
    <cellStyle name="20% - akcent 5 2 6 2 5" xfId="4205" xr:uid="{00000000-0005-0000-0000-0000310F0000}"/>
    <cellStyle name="20% - akcent 5 2 6 2 6" xfId="4206" xr:uid="{00000000-0005-0000-0000-0000320F0000}"/>
    <cellStyle name="20% - akcent 5 2 6 2 7" xfId="4207" xr:uid="{00000000-0005-0000-0000-0000330F0000}"/>
    <cellStyle name="20% - akcent 5 2 6 2 8" xfId="4208" xr:uid="{00000000-0005-0000-0000-0000340F0000}"/>
    <cellStyle name="20% - akcent 5 2 6 2 8 2" xfId="4209" xr:uid="{00000000-0005-0000-0000-0000350F0000}"/>
    <cellStyle name="20% - akcent 5 2 6 2 8 3" xfId="4210" xr:uid="{00000000-0005-0000-0000-0000360F0000}"/>
    <cellStyle name="20% - akcent 5 2 6 2 8 4" xfId="4211" xr:uid="{00000000-0005-0000-0000-0000370F0000}"/>
    <cellStyle name="20% - akcent 5 2 6 2 8 5" xfId="4212" xr:uid="{00000000-0005-0000-0000-0000380F0000}"/>
    <cellStyle name="20% - akcent 5 2 6 2 8 6" xfId="4213" xr:uid="{00000000-0005-0000-0000-0000390F0000}"/>
    <cellStyle name="20% - akcent 5 2 6 2 9" xfId="4214" xr:uid="{00000000-0005-0000-0000-00003A0F0000}"/>
    <cellStyle name="20% - akcent 5 2 6 3" xfId="4215" xr:uid="{00000000-0005-0000-0000-00003B0F0000}"/>
    <cellStyle name="20% - akcent 5 2 6 4" xfId="4216" xr:uid="{00000000-0005-0000-0000-00003C0F0000}"/>
    <cellStyle name="20% - akcent 5 2 6 4 10" xfId="4217" xr:uid="{00000000-0005-0000-0000-00003D0F0000}"/>
    <cellStyle name="20% - akcent 5 2 6 4 11" xfId="4218" xr:uid="{00000000-0005-0000-0000-00003E0F0000}"/>
    <cellStyle name="20% - akcent 5 2 6 4 2" xfId="4219" xr:uid="{00000000-0005-0000-0000-00003F0F0000}"/>
    <cellStyle name="20% - akcent 5 2 6 4 2 2" xfId="4220" xr:uid="{00000000-0005-0000-0000-0000400F0000}"/>
    <cellStyle name="20% - akcent 5 2 6 4 2 2 2" xfId="4221" xr:uid="{00000000-0005-0000-0000-0000410F0000}"/>
    <cellStyle name="20% - akcent 5 2 6 4 2 2 3" xfId="4222" xr:uid="{00000000-0005-0000-0000-0000420F0000}"/>
    <cellStyle name="20% - akcent 5 2 6 4 2 2 4" xfId="4223" xr:uid="{00000000-0005-0000-0000-0000430F0000}"/>
    <cellStyle name="20% - akcent 5 2 6 4 2 2 5" xfId="4224" xr:uid="{00000000-0005-0000-0000-0000440F0000}"/>
    <cellStyle name="20% - akcent 5 2 6 4 2 2 6" xfId="4225" xr:uid="{00000000-0005-0000-0000-0000450F0000}"/>
    <cellStyle name="20% - akcent 5 2 6 4 2 3" xfId="4226" xr:uid="{00000000-0005-0000-0000-0000460F0000}"/>
    <cellStyle name="20% - akcent 5 2 6 4 2 4" xfId="4227" xr:uid="{00000000-0005-0000-0000-0000470F0000}"/>
    <cellStyle name="20% - akcent 5 2 6 4 2 5" xfId="4228" xr:uid="{00000000-0005-0000-0000-0000480F0000}"/>
    <cellStyle name="20% - akcent 5 2 6 4 2 6" xfId="4229" xr:uid="{00000000-0005-0000-0000-0000490F0000}"/>
    <cellStyle name="20% - akcent 5 2 6 4 2 7" xfId="4230" xr:uid="{00000000-0005-0000-0000-00004A0F0000}"/>
    <cellStyle name="20% - akcent 5 2 6 4 3" xfId="4231" xr:uid="{00000000-0005-0000-0000-00004B0F0000}"/>
    <cellStyle name="20% - akcent 5 2 6 4 4" xfId="4232" xr:uid="{00000000-0005-0000-0000-00004C0F0000}"/>
    <cellStyle name="20% - akcent 5 2 6 4 5" xfId="4233" xr:uid="{00000000-0005-0000-0000-00004D0F0000}"/>
    <cellStyle name="20% - akcent 5 2 6 4 6" xfId="4234" xr:uid="{00000000-0005-0000-0000-00004E0F0000}"/>
    <cellStyle name="20% - akcent 5 2 6 4 7" xfId="4235" xr:uid="{00000000-0005-0000-0000-00004F0F0000}"/>
    <cellStyle name="20% - akcent 5 2 6 4 7 2" xfId="4236" xr:uid="{00000000-0005-0000-0000-0000500F0000}"/>
    <cellStyle name="20% - akcent 5 2 6 4 7 3" xfId="4237" xr:uid="{00000000-0005-0000-0000-0000510F0000}"/>
    <cellStyle name="20% - akcent 5 2 6 4 7 4" xfId="4238" xr:uid="{00000000-0005-0000-0000-0000520F0000}"/>
    <cellStyle name="20% - akcent 5 2 6 4 7 5" xfId="4239" xr:uid="{00000000-0005-0000-0000-0000530F0000}"/>
    <cellStyle name="20% - akcent 5 2 6 4 7 6" xfId="4240" xr:uid="{00000000-0005-0000-0000-0000540F0000}"/>
    <cellStyle name="20% - akcent 5 2 6 4 8" xfId="4241" xr:uid="{00000000-0005-0000-0000-0000550F0000}"/>
    <cellStyle name="20% - akcent 5 2 6 4 9" xfId="4242" xr:uid="{00000000-0005-0000-0000-0000560F0000}"/>
    <cellStyle name="20% - akcent 5 2 6 5" xfId="4243" xr:uid="{00000000-0005-0000-0000-0000570F0000}"/>
    <cellStyle name="20% - akcent 5 2 6 5 2" xfId="4244" xr:uid="{00000000-0005-0000-0000-0000580F0000}"/>
    <cellStyle name="20% - akcent 5 2 6 5 2 2" xfId="4245" xr:uid="{00000000-0005-0000-0000-0000590F0000}"/>
    <cellStyle name="20% - akcent 5 2 6 5 2 3" xfId="4246" xr:uid="{00000000-0005-0000-0000-00005A0F0000}"/>
    <cellStyle name="20% - akcent 5 2 6 5 2 4" xfId="4247" xr:uid="{00000000-0005-0000-0000-00005B0F0000}"/>
    <cellStyle name="20% - akcent 5 2 6 5 2 5" xfId="4248" xr:uid="{00000000-0005-0000-0000-00005C0F0000}"/>
    <cellStyle name="20% - akcent 5 2 6 5 2 6" xfId="4249" xr:uid="{00000000-0005-0000-0000-00005D0F0000}"/>
    <cellStyle name="20% - akcent 5 2 6 5 3" xfId="4250" xr:uid="{00000000-0005-0000-0000-00005E0F0000}"/>
    <cellStyle name="20% - akcent 5 2 6 5 4" xfId="4251" xr:uid="{00000000-0005-0000-0000-00005F0F0000}"/>
    <cellStyle name="20% - akcent 5 2 6 5 5" xfId="4252" xr:uid="{00000000-0005-0000-0000-0000600F0000}"/>
    <cellStyle name="20% - akcent 5 2 6 5 6" xfId="4253" xr:uid="{00000000-0005-0000-0000-0000610F0000}"/>
    <cellStyle name="20% - akcent 5 2 6 5 7" xfId="4254" xr:uid="{00000000-0005-0000-0000-0000620F0000}"/>
    <cellStyle name="20% - akcent 5 2 6 6" xfId="4255" xr:uid="{00000000-0005-0000-0000-0000630F0000}"/>
    <cellStyle name="20% - akcent 5 2 6 7" xfId="4256" xr:uid="{00000000-0005-0000-0000-0000640F0000}"/>
    <cellStyle name="20% - akcent 5 2 6 8" xfId="4257" xr:uid="{00000000-0005-0000-0000-0000650F0000}"/>
    <cellStyle name="20% - akcent 5 2 6 9" xfId="4258" xr:uid="{00000000-0005-0000-0000-0000660F0000}"/>
    <cellStyle name="20% - akcent 5 2 6 9 2" xfId="4259" xr:uid="{00000000-0005-0000-0000-0000670F0000}"/>
    <cellStyle name="20% - akcent 5 2 6 9 3" xfId="4260" xr:uid="{00000000-0005-0000-0000-0000680F0000}"/>
    <cellStyle name="20% - akcent 5 2 6 9 4" xfId="4261" xr:uid="{00000000-0005-0000-0000-0000690F0000}"/>
    <cellStyle name="20% - akcent 5 2 6 9 5" xfId="4262" xr:uid="{00000000-0005-0000-0000-00006A0F0000}"/>
    <cellStyle name="20% - akcent 5 2 6 9 6" xfId="4263" xr:uid="{00000000-0005-0000-0000-00006B0F0000}"/>
    <cellStyle name="20% - akcent 5 2 7" xfId="4264" xr:uid="{00000000-0005-0000-0000-00006C0F0000}"/>
    <cellStyle name="20% - akcent 5 2 8" xfId="4265" xr:uid="{00000000-0005-0000-0000-00006D0F0000}"/>
    <cellStyle name="20% - akcent 5 2 9" xfId="4266" xr:uid="{00000000-0005-0000-0000-00006E0F0000}"/>
    <cellStyle name="20% - akcent 5 2_archeolagia" xfId="4267" xr:uid="{00000000-0005-0000-0000-00006F0F0000}"/>
    <cellStyle name="20% - akcent 5 3" xfId="65" xr:uid="{00000000-0005-0000-0000-0000700F0000}"/>
    <cellStyle name="20% - akcent 5 3 2" xfId="66" xr:uid="{00000000-0005-0000-0000-0000710F0000}"/>
    <cellStyle name="20% - akcent 5 3 2 2" xfId="4269" xr:uid="{00000000-0005-0000-0000-0000720F0000}"/>
    <cellStyle name="20% - akcent 5 3 3" xfId="4270" xr:uid="{00000000-0005-0000-0000-0000730F0000}"/>
    <cellStyle name="20% - akcent 5 3 4" xfId="4271" xr:uid="{00000000-0005-0000-0000-0000740F0000}"/>
    <cellStyle name="20% - akcent 5 3 5" xfId="4268" xr:uid="{00000000-0005-0000-0000-0000750F0000}"/>
    <cellStyle name="20% - akcent 5 4" xfId="67" xr:uid="{00000000-0005-0000-0000-0000760F0000}"/>
    <cellStyle name="20% - akcent 5 4 2" xfId="68" xr:uid="{00000000-0005-0000-0000-0000770F0000}"/>
    <cellStyle name="20% - akcent 5 4 2 2" xfId="4273" xr:uid="{00000000-0005-0000-0000-0000780F0000}"/>
    <cellStyle name="20% - akcent 5 4 3" xfId="4274" xr:uid="{00000000-0005-0000-0000-0000790F0000}"/>
    <cellStyle name="20% - akcent 5 4 4" xfId="4275" xr:uid="{00000000-0005-0000-0000-00007A0F0000}"/>
    <cellStyle name="20% - akcent 5 4 5" xfId="4272" xr:uid="{00000000-0005-0000-0000-00007B0F0000}"/>
    <cellStyle name="20% - akcent 5 5" xfId="69" xr:uid="{00000000-0005-0000-0000-00007C0F0000}"/>
    <cellStyle name="20% - akcent 5 5 2" xfId="70" xr:uid="{00000000-0005-0000-0000-00007D0F0000}"/>
    <cellStyle name="20% - akcent 5 5 2 2" xfId="4277" xr:uid="{00000000-0005-0000-0000-00007E0F0000}"/>
    <cellStyle name="20% - akcent 5 5 3" xfId="4278" xr:uid="{00000000-0005-0000-0000-00007F0F0000}"/>
    <cellStyle name="20% - akcent 5 5 4" xfId="4279" xr:uid="{00000000-0005-0000-0000-0000800F0000}"/>
    <cellStyle name="20% - akcent 5 5 5" xfId="4276" xr:uid="{00000000-0005-0000-0000-0000810F0000}"/>
    <cellStyle name="20% - akcent 5 6" xfId="71" xr:uid="{00000000-0005-0000-0000-0000820F0000}"/>
    <cellStyle name="20% - akcent 5 6 2" xfId="72" xr:uid="{00000000-0005-0000-0000-0000830F0000}"/>
    <cellStyle name="20% - akcent 5 6 2 2" xfId="4281" xr:uid="{00000000-0005-0000-0000-0000840F0000}"/>
    <cellStyle name="20% - akcent 5 6 3" xfId="4282" xr:uid="{00000000-0005-0000-0000-0000850F0000}"/>
    <cellStyle name="20% - akcent 5 6 4" xfId="4283" xr:uid="{00000000-0005-0000-0000-0000860F0000}"/>
    <cellStyle name="20% - akcent 5 6 5" xfId="4280" xr:uid="{00000000-0005-0000-0000-0000870F0000}"/>
    <cellStyle name="20% - akcent 5 7" xfId="73" xr:uid="{00000000-0005-0000-0000-0000880F0000}"/>
    <cellStyle name="20% - akcent 5 7 2" xfId="74" xr:uid="{00000000-0005-0000-0000-0000890F0000}"/>
    <cellStyle name="20% - akcent 5 7 2 2" xfId="4285" xr:uid="{00000000-0005-0000-0000-00008A0F0000}"/>
    <cellStyle name="20% - akcent 5 7 3" xfId="4286" xr:uid="{00000000-0005-0000-0000-00008B0F0000}"/>
    <cellStyle name="20% - akcent 5 7 4" xfId="4287" xr:uid="{00000000-0005-0000-0000-00008C0F0000}"/>
    <cellStyle name="20% - akcent 5 7 5" xfId="4284" xr:uid="{00000000-0005-0000-0000-00008D0F0000}"/>
    <cellStyle name="20% - akcent 5 8" xfId="4288" xr:uid="{00000000-0005-0000-0000-00008E0F0000}"/>
    <cellStyle name="20% - akcent 5 8 2" xfId="4289" xr:uid="{00000000-0005-0000-0000-00008F0F0000}"/>
    <cellStyle name="20% - akcent 5 8 3" xfId="4290" xr:uid="{00000000-0005-0000-0000-0000900F0000}"/>
    <cellStyle name="20% - akcent 5 8 4" xfId="4291" xr:uid="{00000000-0005-0000-0000-0000910F0000}"/>
    <cellStyle name="20% - akcent 5 9" xfId="4292" xr:uid="{00000000-0005-0000-0000-0000920F0000}"/>
    <cellStyle name="20% - akcent 6 1" xfId="4293" xr:uid="{00000000-0005-0000-0000-0000930F0000}"/>
    <cellStyle name="20% - akcent 6 10" xfId="4294" xr:uid="{00000000-0005-0000-0000-0000940F0000}"/>
    <cellStyle name="20% - akcent 6 11" xfId="4295" xr:uid="{00000000-0005-0000-0000-0000950F0000}"/>
    <cellStyle name="20% - akcent 6 12" xfId="4296" xr:uid="{00000000-0005-0000-0000-0000960F0000}"/>
    <cellStyle name="20% - akcent 6 13" xfId="4297" xr:uid="{00000000-0005-0000-0000-0000970F0000}"/>
    <cellStyle name="20% - akcent 6 14" xfId="4298" xr:uid="{00000000-0005-0000-0000-0000980F0000}"/>
    <cellStyle name="20% - akcent 6 15" xfId="4299" xr:uid="{00000000-0005-0000-0000-0000990F0000}"/>
    <cellStyle name="20% - akcent 6 16" xfId="4300" xr:uid="{00000000-0005-0000-0000-00009A0F0000}"/>
    <cellStyle name="20% - akcent 6 17" xfId="4301" xr:uid="{00000000-0005-0000-0000-00009B0F0000}"/>
    <cellStyle name="20% - akcent 6 18" xfId="4302" xr:uid="{00000000-0005-0000-0000-00009C0F0000}"/>
    <cellStyle name="20% - akcent 6 19" xfId="4303" xr:uid="{00000000-0005-0000-0000-00009D0F0000}"/>
    <cellStyle name="20% - akcent 6 2" xfId="75" xr:uid="{00000000-0005-0000-0000-00009E0F0000}"/>
    <cellStyle name="20% - akcent 6 2 10" xfId="4305" xr:uid="{00000000-0005-0000-0000-00009F0F0000}"/>
    <cellStyle name="20% - akcent 6 2 11" xfId="4306" xr:uid="{00000000-0005-0000-0000-0000A00F0000}"/>
    <cellStyle name="20% - akcent 6 2 12" xfId="4307" xr:uid="{00000000-0005-0000-0000-0000A10F0000}"/>
    <cellStyle name="20% - akcent 6 2 13" xfId="4308" xr:uid="{00000000-0005-0000-0000-0000A20F0000}"/>
    <cellStyle name="20% - akcent 6 2 13 10" xfId="4309" xr:uid="{00000000-0005-0000-0000-0000A30F0000}"/>
    <cellStyle name="20% - akcent 6 2 13 11" xfId="4310" xr:uid="{00000000-0005-0000-0000-0000A40F0000}"/>
    <cellStyle name="20% - akcent 6 2 13 12" xfId="4311" xr:uid="{00000000-0005-0000-0000-0000A50F0000}"/>
    <cellStyle name="20% - akcent 6 2 13 2" xfId="4312" xr:uid="{00000000-0005-0000-0000-0000A60F0000}"/>
    <cellStyle name="20% - akcent 6 2 13 2 10" xfId="4313" xr:uid="{00000000-0005-0000-0000-0000A70F0000}"/>
    <cellStyle name="20% - akcent 6 2 13 2 11" xfId="4314" xr:uid="{00000000-0005-0000-0000-0000A80F0000}"/>
    <cellStyle name="20% - akcent 6 2 13 2 2" xfId="4315" xr:uid="{00000000-0005-0000-0000-0000A90F0000}"/>
    <cellStyle name="20% - akcent 6 2 13 2 2 10" xfId="4316" xr:uid="{00000000-0005-0000-0000-0000AA0F0000}"/>
    <cellStyle name="20% - akcent 6 2 13 2 2 11" xfId="4317" xr:uid="{00000000-0005-0000-0000-0000AB0F0000}"/>
    <cellStyle name="20% - akcent 6 2 13 2 2 2" xfId="4318" xr:uid="{00000000-0005-0000-0000-0000AC0F0000}"/>
    <cellStyle name="20% - akcent 6 2 13 2 2 2 2" xfId="4319" xr:uid="{00000000-0005-0000-0000-0000AD0F0000}"/>
    <cellStyle name="20% - akcent 6 2 13 2 2 2 2 2" xfId="4320" xr:uid="{00000000-0005-0000-0000-0000AE0F0000}"/>
    <cellStyle name="20% - akcent 6 2 13 2 2 2 2 3" xfId="4321" xr:uid="{00000000-0005-0000-0000-0000AF0F0000}"/>
    <cellStyle name="20% - akcent 6 2 13 2 2 2 2 4" xfId="4322" xr:uid="{00000000-0005-0000-0000-0000B00F0000}"/>
    <cellStyle name="20% - akcent 6 2 13 2 2 2 2 5" xfId="4323" xr:uid="{00000000-0005-0000-0000-0000B10F0000}"/>
    <cellStyle name="20% - akcent 6 2 13 2 2 2 2 6" xfId="4324" xr:uid="{00000000-0005-0000-0000-0000B20F0000}"/>
    <cellStyle name="20% - akcent 6 2 13 2 2 2 3" xfId="4325" xr:uid="{00000000-0005-0000-0000-0000B30F0000}"/>
    <cellStyle name="20% - akcent 6 2 13 2 2 2 4" xfId="4326" xr:uid="{00000000-0005-0000-0000-0000B40F0000}"/>
    <cellStyle name="20% - akcent 6 2 13 2 2 2 5" xfId="4327" xr:uid="{00000000-0005-0000-0000-0000B50F0000}"/>
    <cellStyle name="20% - akcent 6 2 13 2 2 2 6" xfId="4328" xr:uid="{00000000-0005-0000-0000-0000B60F0000}"/>
    <cellStyle name="20% - akcent 6 2 13 2 2 2 7" xfId="4329" xr:uid="{00000000-0005-0000-0000-0000B70F0000}"/>
    <cellStyle name="20% - akcent 6 2 13 2 2 3" xfId="4330" xr:uid="{00000000-0005-0000-0000-0000B80F0000}"/>
    <cellStyle name="20% - akcent 6 2 13 2 2 4" xfId="4331" xr:uid="{00000000-0005-0000-0000-0000B90F0000}"/>
    <cellStyle name="20% - akcent 6 2 13 2 2 5" xfId="4332" xr:uid="{00000000-0005-0000-0000-0000BA0F0000}"/>
    <cellStyle name="20% - akcent 6 2 13 2 2 6" xfId="4333" xr:uid="{00000000-0005-0000-0000-0000BB0F0000}"/>
    <cellStyle name="20% - akcent 6 2 13 2 2 7" xfId="4334" xr:uid="{00000000-0005-0000-0000-0000BC0F0000}"/>
    <cellStyle name="20% - akcent 6 2 13 2 2 7 2" xfId="4335" xr:uid="{00000000-0005-0000-0000-0000BD0F0000}"/>
    <cellStyle name="20% - akcent 6 2 13 2 2 7 3" xfId="4336" xr:uid="{00000000-0005-0000-0000-0000BE0F0000}"/>
    <cellStyle name="20% - akcent 6 2 13 2 2 7 4" xfId="4337" xr:uid="{00000000-0005-0000-0000-0000BF0F0000}"/>
    <cellStyle name="20% - akcent 6 2 13 2 2 7 5" xfId="4338" xr:uid="{00000000-0005-0000-0000-0000C00F0000}"/>
    <cellStyle name="20% - akcent 6 2 13 2 2 7 6" xfId="4339" xr:uid="{00000000-0005-0000-0000-0000C10F0000}"/>
    <cellStyle name="20% - akcent 6 2 13 2 2 8" xfId="4340" xr:uid="{00000000-0005-0000-0000-0000C20F0000}"/>
    <cellStyle name="20% - akcent 6 2 13 2 2 9" xfId="4341" xr:uid="{00000000-0005-0000-0000-0000C30F0000}"/>
    <cellStyle name="20% - akcent 6 2 13 2 3" xfId="4342" xr:uid="{00000000-0005-0000-0000-0000C40F0000}"/>
    <cellStyle name="20% - akcent 6 2 13 2 3 2" xfId="4343" xr:uid="{00000000-0005-0000-0000-0000C50F0000}"/>
    <cellStyle name="20% - akcent 6 2 13 2 3 2 2" xfId="4344" xr:uid="{00000000-0005-0000-0000-0000C60F0000}"/>
    <cellStyle name="20% - akcent 6 2 13 2 3 2 3" xfId="4345" xr:uid="{00000000-0005-0000-0000-0000C70F0000}"/>
    <cellStyle name="20% - akcent 6 2 13 2 3 2 4" xfId="4346" xr:uid="{00000000-0005-0000-0000-0000C80F0000}"/>
    <cellStyle name="20% - akcent 6 2 13 2 3 2 5" xfId="4347" xr:uid="{00000000-0005-0000-0000-0000C90F0000}"/>
    <cellStyle name="20% - akcent 6 2 13 2 3 2 6" xfId="4348" xr:uid="{00000000-0005-0000-0000-0000CA0F0000}"/>
    <cellStyle name="20% - akcent 6 2 13 2 3 3" xfId="4349" xr:uid="{00000000-0005-0000-0000-0000CB0F0000}"/>
    <cellStyle name="20% - akcent 6 2 13 2 3 4" xfId="4350" xr:uid="{00000000-0005-0000-0000-0000CC0F0000}"/>
    <cellStyle name="20% - akcent 6 2 13 2 3 5" xfId="4351" xr:uid="{00000000-0005-0000-0000-0000CD0F0000}"/>
    <cellStyle name="20% - akcent 6 2 13 2 3 6" xfId="4352" xr:uid="{00000000-0005-0000-0000-0000CE0F0000}"/>
    <cellStyle name="20% - akcent 6 2 13 2 3 7" xfId="4353" xr:uid="{00000000-0005-0000-0000-0000CF0F0000}"/>
    <cellStyle name="20% - akcent 6 2 13 2 4" xfId="4354" xr:uid="{00000000-0005-0000-0000-0000D00F0000}"/>
    <cellStyle name="20% - akcent 6 2 13 2 5" xfId="4355" xr:uid="{00000000-0005-0000-0000-0000D10F0000}"/>
    <cellStyle name="20% - akcent 6 2 13 2 6" xfId="4356" xr:uid="{00000000-0005-0000-0000-0000D20F0000}"/>
    <cellStyle name="20% - akcent 6 2 13 2 7" xfId="4357" xr:uid="{00000000-0005-0000-0000-0000D30F0000}"/>
    <cellStyle name="20% - akcent 6 2 13 2 7 2" xfId="4358" xr:uid="{00000000-0005-0000-0000-0000D40F0000}"/>
    <cellStyle name="20% - akcent 6 2 13 2 7 3" xfId="4359" xr:uid="{00000000-0005-0000-0000-0000D50F0000}"/>
    <cellStyle name="20% - akcent 6 2 13 2 7 4" xfId="4360" xr:uid="{00000000-0005-0000-0000-0000D60F0000}"/>
    <cellStyle name="20% - akcent 6 2 13 2 7 5" xfId="4361" xr:uid="{00000000-0005-0000-0000-0000D70F0000}"/>
    <cellStyle name="20% - akcent 6 2 13 2 7 6" xfId="4362" xr:uid="{00000000-0005-0000-0000-0000D80F0000}"/>
    <cellStyle name="20% - akcent 6 2 13 2 8" xfId="4363" xr:uid="{00000000-0005-0000-0000-0000D90F0000}"/>
    <cellStyle name="20% - akcent 6 2 13 2 9" xfId="4364" xr:uid="{00000000-0005-0000-0000-0000DA0F0000}"/>
    <cellStyle name="20% - akcent 6 2 13 3" xfId="4365" xr:uid="{00000000-0005-0000-0000-0000DB0F0000}"/>
    <cellStyle name="20% - akcent 6 2 13 3 2" xfId="4366" xr:uid="{00000000-0005-0000-0000-0000DC0F0000}"/>
    <cellStyle name="20% - akcent 6 2 13 3 2 2" xfId="4367" xr:uid="{00000000-0005-0000-0000-0000DD0F0000}"/>
    <cellStyle name="20% - akcent 6 2 13 3 2 3" xfId="4368" xr:uid="{00000000-0005-0000-0000-0000DE0F0000}"/>
    <cellStyle name="20% - akcent 6 2 13 3 2 4" xfId="4369" xr:uid="{00000000-0005-0000-0000-0000DF0F0000}"/>
    <cellStyle name="20% - akcent 6 2 13 3 2 5" xfId="4370" xr:uid="{00000000-0005-0000-0000-0000E00F0000}"/>
    <cellStyle name="20% - akcent 6 2 13 3 2 6" xfId="4371" xr:uid="{00000000-0005-0000-0000-0000E10F0000}"/>
    <cellStyle name="20% - akcent 6 2 13 3 3" xfId="4372" xr:uid="{00000000-0005-0000-0000-0000E20F0000}"/>
    <cellStyle name="20% - akcent 6 2 13 3 4" xfId="4373" xr:uid="{00000000-0005-0000-0000-0000E30F0000}"/>
    <cellStyle name="20% - akcent 6 2 13 3 5" xfId="4374" xr:uid="{00000000-0005-0000-0000-0000E40F0000}"/>
    <cellStyle name="20% - akcent 6 2 13 3 6" xfId="4375" xr:uid="{00000000-0005-0000-0000-0000E50F0000}"/>
    <cellStyle name="20% - akcent 6 2 13 3 7" xfId="4376" xr:uid="{00000000-0005-0000-0000-0000E60F0000}"/>
    <cellStyle name="20% - akcent 6 2 13 4" xfId="4377" xr:uid="{00000000-0005-0000-0000-0000E70F0000}"/>
    <cellStyle name="20% - akcent 6 2 13 5" xfId="4378" xr:uid="{00000000-0005-0000-0000-0000E80F0000}"/>
    <cellStyle name="20% - akcent 6 2 13 6" xfId="4379" xr:uid="{00000000-0005-0000-0000-0000E90F0000}"/>
    <cellStyle name="20% - akcent 6 2 13 7" xfId="4380" xr:uid="{00000000-0005-0000-0000-0000EA0F0000}"/>
    <cellStyle name="20% - akcent 6 2 13 8" xfId="4381" xr:uid="{00000000-0005-0000-0000-0000EB0F0000}"/>
    <cellStyle name="20% - akcent 6 2 13 8 2" xfId="4382" xr:uid="{00000000-0005-0000-0000-0000EC0F0000}"/>
    <cellStyle name="20% - akcent 6 2 13 8 3" xfId="4383" xr:uid="{00000000-0005-0000-0000-0000ED0F0000}"/>
    <cellStyle name="20% - akcent 6 2 13 8 4" xfId="4384" xr:uid="{00000000-0005-0000-0000-0000EE0F0000}"/>
    <cellStyle name="20% - akcent 6 2 13 8 5" xfId="4385" xr:uid="{00000000-0005-0000-0000-0000EF0F0000}"/>
    <cellStyle name="20% - akcent 6 2 13 8 6" xfId="4386" xr:uid="{00000000-0005-0000-0000-0000F00F0000}"/>
    <cellStyle name="20% - akcent 6 2 13 9" xfId="4387" xr:uid="{00000000-0005-0000-0000-0000F10F0000}"/>
    <cellStyle name="20% - akcent 6 2 14" xfId="4388" xr:uid="{00000000-0005-0000-0000-0000F20F0000}"/>
    <cellStyle name="20% - akcent 6 2 14 10" xfId="4389" xr:uid="{00000000-0005-0000-0000-0000F30F0000}"/>
    <cellStyle name="20% - akcent 6 2 14 11" xfId="4390" xr:uid="{00000000-0005-0000-0000-0000F40F0000}"/>
    <cellStyle name="20% - akcent 6 2 14 2" xfId="4391" xr:uid="{00000000-0005-0000-0000-0000F50F0000}"/>
    <cellStyle name="20% - akcent 6 2 14 2 2" xfId="4392" xr:uid="{00000000-0005-0000-0000-0000F60F0000}"/>
    <cellStyle name="20% - akcent 6 2 14 2 2 2" xfId="4393" xr:uid="{00000000-0005-0000-0000-0000F70F0000}"/>
    <cellStyle name="20% - akcent 6 2 14 2 2 3" xfId="4394" xr:uid="{00000000-0005-0000-0000-0000F80F0000}"/>
    <cellStyle name="20% - akcent 6 2 14 2 2 4" xfId="4395" xr:uid="{00000000-0005-0000-0000-0000F90F0000}"/>
    <cellStyle name="20% - akcent 6 2 14 2 2 5" xfId="4396" xr:uid="{00000000-0005-0000-0000-0000FA0F0000}"/>
    <cellStyle name="20% - akcent 6 2 14 2 2 6" xfId="4397" xr:uid="{00000000-0005-0000-0000-0000FB0F0000}"/>
    <cellStyle name="20% - akcent 6 2 14 2 3" xfId="4398" xr:uid="{00000000-0005-0000-0000-0000FC0F0000}"/>
    <cellStyle name="20% - akcent 6 2 14 2 4" xfId="4399" xr:uid="{00000000-0005-0000-0000-0000FD0F0000}"/>
    <cellStyle name="20% - akcent 6 2 14 2 5" xfId="4400" xr:uid="{00000000-0005-0000-0000-0000FE0F0000}"/>
    <cellStyle name="20% - akcent 6 2 14 2 6" xfId="4401" xr:uid="{00000000-0005-0000-0000-0000FF0F0000}"/>
    <cellStyle name="20% - akcent 6 2 14 2 7" xfId="4402" xr:uid="{00000000-0005-0000-0000-000000100000}"/>
    <cellStyle name="20% - akcent 6 2 14 3" xfId="4403" xr:uid="{00000000-0005-0000-0000-000001100000}"/>
    <cellStyle name="20% - akcent 6 2 14 4" xfId="4404" xr:uid="{00000000-0005-0000-0000-000002100000}"/>
    <cellStyle name="20% - akcent 6 2 14 5" xfId="4405" xr:uid="{00000000-0005-0000-0000-000003100000}"/>
    <cellStyle name="20% - akcent 6 2 14 6" xfId="4406" xr:uid="{00000000-0005-0000-0000-000004100000}"/>
    <cellStyle name="20% - akcent 6 2 14 7" xfId="4407" xr:uid="{00000000-0005-0000-0000-000005100000}"/>
    <cellStyle name="20% - akcent 6 2 14 7 2" xfId="4408" xr:uid="{00000000-0005-0000-0000-000006100000}"/>
    <cellStyle name="20% - akcent 6 2 14 7 3" xfId="4409" xr:uid="{00000000-0005-0000-0000-000007100000}"/>
    <cellStyle name="20% - akcent 6 2 14 7 4" xfId="4410" xr:uid="{00000000-0005-0000-0000-000008100000}"/>
    <cellStyle name="20% - akcent 6 2 14 7 5" xfId="4411" xr:uid="{00000000-0005-0000-0000-000009100000}"/>
    <cellStyle name="20% - akcent 6 2 14 7 6" xfId="4412" xr:uid="{00000000-0005-0000-0000-00000A100000}"/>
    <cellStyle name="20% - akcent 6 2 14 8" xfId="4413" xr:uid="{00000000-0005-0000-0000-00000B100000}"/>
    <cellStyle name="20% - akcent 6 2 14 9" xfId="4414" xr:uid="{00000000-0005-0000-0000-00000C100000}"/>
    <cellStyle name="20% - akcent 6 2 15" xfId="4415" xr:uid="{00000000-0005-0000-0000-00000D100000}"/>
    <cellStyle name="20% - akcent 6 2 15 2" xfId="4416" xr:uid="{00000000-0005-0000-0000-00000E100000}"/>
    <cellStyle name="20% - akcent 6 2 15 2 2" xfId="4417" xr:uid="{00000000-0005-0000-0000-00000F100000}"/>
    <cellStyle name="20% - akcent 6 2 15 2 3" xfId="4418" xr:uid="{00000000-0005-0000-0000-000010100000}"/>
    <cellStyle name="20% - akcent 6 2 15 2 4" xfId="4419" xr:uid="{00000000-0005-0000-0000-000011100000}"/>
    <cellStyle name="20% - akcent 6 2 15 2 5" xfId="4420" xr:uid="{00000000-0005-0000-0000-000012100000}"/>
    <cellStyle name="20% - akcent 6 2 15 2 6" xfId="4421" xr:uid="{00000000-0005-0000-0000-000013100000}"/>
    <cellStyle name="20% - akcent 6 2 15 3" xfId="4422" xr:uid="{00000000-0005-0000-0000-000014100000}"/>
    <cellStyle name="20% - akcent 6 2 15 4" xfId="4423" xr:uid="{00000000-0005-0000-0000-000015100000}"/>
    <cellStyle name="20% - akcent 6 2 15 5" xfId="4424" xr:uid="{00000000-0005-0000-0000-000016100000}"/>
    <cellStyle name="20% - akcent 6 2 15 6" xfId="4425" xr:uid="{00000000-0005-0000-0000-000017100000}"/>
    <cellStyle name="20% - akcent 6 2 15 7" xfId="4426" xr:uid="{00000000-0005-0000-0000-000018100000}"/>
    <cellStyle name="20% - akcent 6 2 16" xfId="4427" xr:uid="{00000000-0005-0000-0000-000019100000}"/>
    <cellStyle name="20% - akcent 6 2 17" xfId="4428" xr:uid="{00000000-0005-0000-0000-00001A100000}"/>
    <cellStyle name="20% - akcent 6 2 18" xfId="4429" xr:uid="{00000000-0005-0000-0000-00001B100000}"/>
    <cellStyle name="20% - akcent 6 2 19" xfId="4430" xr:uid="{00000000-0005-0000-0000-00001C100000}"/>
    <cellStyle name="20% - akcent 6 2 2" xfId="76" xr:uid="{00000000-0005-0000-0000-00001D100000}"/>
    <cellStyle name="20% - akcent 6 2 2 10" xfId="4432" xr:uid="{00000000-0005-0000-0000-00001E100000}"/>
    <cellStyle name="20% - akcent 6 2 2 10 10" xfId="4433" xr:uid="{00000000-0005-0000-0000-00001F100000}"/>
    <cellStyle name="20% - akcent 6 2 2 10 11" xfId="4434" xr:uid="{00000000-0005-0000-0000-000020100000}"/>
    <cellStyle name="20% - akcent 6 2 2 10 12" xfId="4435" xr:uid="{00000000-0005-0000-0000-000021100000}"/>
    <cellStyle name="20% - akcent 6 2 2 10 2" xfId="4436" xr:uid="{00000000-0005-0000-0000-000022100000}"/>
    <cellStyle name="20% - akcent 6 2 2 10 2 10" xfId="4437" xr:uid="{00000000-0005-0000-0000-000023100000}"/>
    <cellStyle name="20% - akcent 6 2 2 10 2 11" xfId="4438" xr:uid="{00000000-0005-0000-0000-000024100000}"/>
    <cellStyle name="20% - akcent 6 2 2 10 2 2" xfId="4439" xr:uid="{00000000-0005-0000-0000-000025100000}"/>
    <cellStyle name="20% - akcent 6 2 2 10 2 2 10" xfId="4440" xr:uid="{00000000-0005-0000-0000-000026100000}"/>
    <cellStyle name="20% - akcent 6 2 2 10 2 2 11" xfId="4441" xr:uid="{00000000-0005-0000-0000-000027100000}"/>
    <cellStyle name="20% - akcent 6 2 2 10 2 2 2" xfId="4442" xr:uid="{00000000-0005-0000-0000-000028100000}"/>
    <cellStyle name="20% - akcent 6 2 2 10 2 2 2 2" xfId="4443" xr:uid="{00000000-0005-0000-0000-000029100000}"/>
    <cellStyle name="20% - akcent 6 2 2 10 2 2 2 2 2" xfId="4444" xr:uid="{00000000-0005-0000-0000-00002A100000}"/>
    <cellStyle name="20% - akcent 6 2 2 10 2 2 2 2 3" xfId="4445" xr:uid="{00000000-0005-0000-0000-00002B100000}"/>
    <cellStyle name="20% - akcent 6 2 2 10 2 2 2 2 4" xfId="4446" xr:uid="{00000000-0005-0000-0000-00002C100000}"/>
    <cellStyle name="20% - akcent 6 2 2 10 2 2 2 2 5" xfId="4447" xr:uid="{00000000-0005-0000-0000-00002D100000}"/>
    <cellStyle name="20% - akcent 6 2 2 10 2 2 2 2 6" xfId="4448" xr:uid="{00000000-0005-0000-0000-00002E100000}"/>
    <cellStyle name="20% - akcent 6 2 2 10 2 2 2 3" xfId="4449" xr:uid="{00000000-0005-0000-0000-00002F100000}"/>
    <cellStyle name="20% - akcent 6 2 2 10 2 2 2 4" xfId="4450" xr:uid="{00000000-0005-0000-0000-000030100000}"/>
    <cellStyle name="20% - akcent 6 2 2 10 2 2 2 5" xfId="4451" xr:uid="{00000000-0005-0000-0000-000031100000}"/>
    <cellStyle name="20% - akcent 6 2 2 10 2 2 2 6" xfId="4452" xr:uid="{00000000-0005-0000-0000-000032100000}"/>
    <cellStyle name="20% - akcent 6 2 2 10 2 2 2 7" xfId="4453" xr:uid="{00000000-0005-0000-0000-000033100000}"/>
    <cellStyle name="20% - akcent 6 2 2 10 2 2 3" xfId="4454" xr:uid="{00000000-0005-0000-0000-000034100000}"/>
    <cellStyle name="20% - akcent 6 2 2 10 2 2 4" xfId="4455" xr:uid="{00000000-0005-0000-0000-000035100000}"/>
    <cellStyle name="20% - akcent 6 2 2 10 2 2 5" xfId="4456" xr:uid="{00000000-0005-0000-0000-000036100000}"/>
    <cellStyle name="20% - akcent 6 2 2 10 2 2 6" xfId="4457" xr:uid="{00000000-0005-0000-0000-000037100000}"/>
    <cellStyle name="20% - akcent 6 2 2 10 2 2 7" xfId="4458" xr:uid="{00000000-0005-0000-0000-000038100000}"/>
    <cellStyle name="20% - akcent 6 2 2 10 2 2 7 2" xfId="4459" xr:uid="{00000000-0005-0000-0000-000039100000}"/>
    <cellStyle name="20% - akcent 6 2 2 10 2 2 7 3" xfId="4460" xr:uid="{00000000-0005-0000-0000-00003A100000}"/>
    <cellStyle name="20% - akcent 6 2 2 10 2 2 7 4" xfId="4461" xr:uid="{00000000-0005-0000-0000-00003B100000}"/>
    <cellStyle name="20% - akcent 6 2 2 10 2 2 7 5" xfId="4462" xr:uid="{00000000-0005-0000-0000-00003C100000}"/>
    <cellStyle name="20% - akcent 6 2 2 10 2 2 7 6" xfId="4463" xr:uid="{00000000-0005-0000-0000-00003D100000}"/>
    <cellStyle name="20% - akcent 6 2 2 10 2 2 8" xfId="4464" xr:uid="{00000000-0005-0000-0000-00003E100000}"/>
    <cellStyle name="20% - akcent 6 2 2 10 2 2 9" xfId="4465" xr:uid="{00000000-0005-0000-0000-00003F100000}"/>
    <cellStyle name="20% - akcent 6 2 2 10 2 3" xfId="4466" xr:uid="{00000000-0005-0000-0000-000040100000}"/>
    <cellStyle name="20% - akcent 6 2 2 10 2 3 2" xfId="4467" xr:uid="{00000000-0005-0000-0000-000041100000}"/>
    <cellStyle name="20% - akcent 6 2 2 10 2 3 2 2" xfId="4468" xr:uid="{00000000-0005-0000-0000-000042100000}"/>
    <cellStyle name="20% - akcent 6 2 2 10 2 3 2 3" xfId="4469" xr:uid="{00000000-0005-0000-0000-000043100000}"/>
    <cellStyle name="20% - akcent 6 2 2 10 2 3 2 4" xfId="4470" xr:uid="{00000000-0005-0000-0000-000044100000}"/>
    <cellStyle name="20% - akcent 6 2 2 10 2 3 2 5" xfId="4471" xr:uid="{00000000-0005-0000-0000-000045100000}"/>
    <cellStyle name="20% - akcent 6 2 2 10 2 3 2 6" xfId="4472" xr:uid="{00000000-0005-0000-0000-000046100000}"/>
    <cellStyle name="20% - akcent 6 2 2 10 2 3 3" xfId="4473" xr:uid="{00000000-0005-0000-0000-000047100000}"/>
    <cellStyle name="20% - akcent 6 2 2 10 2 3 4" xfId="4474" xr:uid="{00000000-0005-0000-0000-000048100000}"/>
    <cellStyle name="20% - akcent 6 2 2 10 2 3 5" xfId="4475" xr:uid="{00000000-0005-0000-0000-000049100000}"/>
    <cellStyle name="20% - akcent 6 2 2 10 2 3 6" xfId="4476" xr:uid="{00000000-0005-0000-0000-00004A100000}"/>
    <cellStyle name="20% - akcent 6 2 2 10 2 3 7" xfId="4477" xr:uid="{00000000-0005-0000-0000-00004B100000}"/>
    <cellStyle name="20% - akcent 6 2 2 10 2 4" xfId="4478" xr:uid="{00000000-0005-0000-0000-00004C100000}"/>
    <cellStyle name="20% - akcent 6 2 2 10 2 5" xfId="4479" xr:uid="{00000000-0005-0000-0000-00004D100000}"/>
    <cellStyle name="20% - akcent 6 2 2 10 2 6" xfId="4480" xr:uid="{00000000-0005-0000-0000-00004E100000}"/>
    <cellStyle name="20% - akcent 6 2 2 10 2 7" xfId="4481" xr:uid="{00000000-0005-0000-0000-00004F100000}"/>
    <cellStyle name="20% - akcent 6 2 2 10 2 7 2" xfId="4482" xr:uid="{00000000-0005-0000-0000-000050100000}"/>
    <cellStyle name="20% - akcent 6 2 2 10 2 7 3" xfId="4483" xr:uid="{00000000-0005-0000-0000-000051100000}"/>
    <cellStyle name="20% - akcent 6 2 2 10 2 7 4" xfId="4484" xr:uid="{00000000-0005-0000-0000-000052100000}"/>
    <cellStyle name="20% - akcent 6 2 2 10 2 7 5" xfId="4485" xr:uid="{00000000-0005-0000-0000-000053100000}"/>
    <cellStyle name="20% - akcent 6 2 2 10 2 7 6" xfId="4486" xr:uid="{00000000-0005-0000-0000-000054100000}"/>
    <cellStyle name="20% - akcent 6 2 2 10 2 8" xfId="4487" xr:uid="{00000000-0005-0000-0000-000055100000}"/>
    <cellStyle name="20% - akcent 6 2 2 10 2 9" xfId="4488" xr:uid="{00000000-0005-0000-0000-000056100000}"/>
    <cellStyle name="20% - akcent 6 2 2 10 3" xfId="4489" xr:uid="{00000000-0005-0000-0000-000057100000}"/>
    <cellStyle name="20% - akcent 6 2 2 10 3 2" xfId="4490" xr:uid="{00000000-0005-0000-0000-000058100000}"/>
    <cellStyle name="20% - akcent 6 2 2 10 3 2 2" xfId="4491" xr:uid="{00000000-0005-0000-0000-000059100000}"/>
    <cellStyle name="20% - akcent 6 2 2 10 3 2 3" xfId="4492" xr:uid="{00000000-0005-0000-0000-00005A100000}"/>
    <cellStyle name="20% - akcent 6 2 2 10 3 2 4" xfId="4493" xr:uid="{00000000-0005-0000-0000-00005B100000}"/>
    <cellStyle name="20% - akcent 6 2 2 10 3 2 5" xfId="4494" xr:uid="{00000000-0005-0000-0000-00005C100000}"/>
    <cellStyle name="20% - akcent 6 2 2 10 3 2 6" xfId="4495" xr:uid="{00000000-0005-0000-0000-00005D100000}"/>
    <cellStyle name="20% - akcent 6 2 2 10 3 3" xfId="4496" xr:uid="{00000000-0005-0000-0000-00005E100000}"/>
    <cellStyle name="20% - akcent 6 2 2 10 3 4" xfId="4497" xr:uid="{00000000-0005-0000-0000-00005F100000}"/>
    <cellStyle name="20% - akcent 6 2 2 10 3 5" xfId="4498" xr:uid="{00000000-0005-0000-0000-000060100000}"/>
    <cellStyle name="20% - akcent 6 2 2 10 3 6" xfId="4499" xr:uid="{00000000-0005-0000-0000-000061100000}"/>
    <cellStyle name="20% - akcent 6 2 2 10 3 7" xfId="4500" xr:uid="{00000000-0005-0000-0000-000062100000}"/>
    <cellStyle name="20% - akcent 6 2 2 10 4" xfId="4501" xr:uid="{00000000-0005-0000-0000-000063100000}"/>
    <cellStyle name="20% - akcent 6 2 2 10 5" xfId="4502" xr:uid="{00000000-0005-0000-0000-000064100000}"/>
    <cellStyle name="20% - akcent 6 2 2 10 6" xfId="4503" xr:uid="{00000000-0005-0000-0000-000065100000}"/>
    <cellStyle name="20% - akcent 6 2 2 10 7" xfId="4504" xr:uid="{00000000-0005-0000-0000-000066100000}"/>
    <cellStyle name="20% - akcent 6 2 2 10 8" xfId="4505" xr:uid="{00000000-0005-0000-0000-000067100000}"/>
    <cellStyle name="20% - akcent 6 2 2 10 8 2" xfId="4506" xr:uid="{00000000-0005-0000-0000-000068100000}"/>
    <cellStyle name="20% - akcent 6 2 2 10 8 3" xfId="4507" xr:uid="{00000000-0005-0000-0000-000069100000}"/>
    <cellStyle name="20% - akcent 6 2 2 10 8 4" xfId="4508" xr:uid="{00000000-0005-0000-0000-00006A100000}"/>
    <cellStyle name="20% - akcent 6 2 2 10 8 5" xfId="4509" xr:uid="{00000000-0005-0000-0000-00006B100000}"/>
    <cellStyle name="20% - akcent 6 2 2 10 8 6" xfId="4510" xr:uid="{00000000-0005-0000-0000-00006C100000}"/>
    <cellStyle name="20% - akcent 6 2 2 10 9" xfId="4511" xr:uid="{00000000-0005-0000-0000-00006D100000}"/>
    <cellStyle name="20% - akcent 6 2 2 11" xfId="4512" xr:uid="{00000000-0005-0000-0000-00006E100000}"/>
    <cellStyle name="20% - akcent 6 2 2 11 10" xfId="4513" xr:uid="{00000000-0005-0000-0000-00006F100000}"/>
    <cellStyle name="20% - akcent 6 2 2 11 11" xfId="4514" xr:uid="{00000000-0005-0000-0000-000070100000}"/>
    <cellStyle name="20% - akcent 6 2 2 11 2" xfId="4515" xr:uid="{00000000-0005-0000-0000-000071100000}"/>
    <cellStyle name="20% - akcent 6 2 2 11 2 2" xfId="4516" xr:uid="{00000000-0005-0000-0000-000072100000}"/>
    <cellStyle name="20% - akcent 6 2 2 11 2 2 2" xfId="4517" xr:uid="{00000000-0005-0000-0000-000073100000}"/>
    <cellStyle name="20% - akcent 6 2 2 11 2 2 3" xfId="4518" xr:uid="{00000000-0005-0000-0000-000074100000}"/>
    <cellStyle name="20% - akcent 6 2 2 11 2 2 4" xfId="4519" xr:uid="{00000000-0005-0000-0000-000075100000}"/>
    <cellStyle name="20% - akcent 6 2 2 11 2 2 5" xfId="4520" xr:uid="{00000000-0005-0000-0000-000076100000}"/>
    <cellStyle name="20% - akcent 6 2 2 11 2 2 6" xfId="4521" xr:uid="{00000000-0005-0000-0000-000077100000}"/>
    <cellStyle name="20% - akcent 6 2 2 11 2 3" xfId="4522" xr:uid="{00000000-0005-0000-0000-000078100000}"/>
    <cellStyle name="20% - akcent 6 2 2 11 2 4" xfId="4523" xr:uid="{00000000-0005-0000-0000-000079100000}"/>
    <cellStyle name="20% - akcent 6 2 2 11 2 5" xfId="4524" xr:uid="{00000000-0005-0000-0000-00007A100000}"/>
    <cellStyle name="20% - akcent 6 2 2 11 2 6" xfId="4525" xr:uid="{00000000-0005-0000-0000-00007B100000}"/>
    <cellStyle name="20% - akcent 6 2 2 11 2 7" xfId="4526" xr:uid="{00000000-0005-0000-0000-00007C100000}"/>
    <cellStyle name="20% - akcent 6 2 2 11 3" xfId="4527" xr:uid="{00000000-0005-0000-0000-00007D100000}"/>
    <cellStyle name="20% - akcent 6 2 2 11 4" xfId="4528" xr:uid="{00000000-0005-0000-0000-00007E100000}"/>
    <cellStyle name="20% - akcent 6 2 2 11 5" xfId="4529" xr:uid="{00000000-0005-0000-0000-00007F100000}"/>
    <cellStyle name="20% - akcent 6 2 2 11 6" xfId="4530" xr:uid="{00000000-0005-0000-0000-000080100000}"/>
    <cellStyle name="20% - akcent 6 2 2 11 7" xfId="4531" xr:uid="{00000000-0005-0000-0000-000081100000}"/>
    <cellStyle name="20% - akcent 6 2 2 11 7 2" xfId="4532" xr:uid="{00000000-0005-0000-0000-000082100000}"/>
    <cellStyle name="20% - akcent 6 2 2 11 7 3" xfId="4533" xr:uid="{00000000-0005-0000-0000-000083100000}"/>
    <cellStyle name="20% - akcent 6 2 2 11 7 4" xfId="4534" xr:uid="{00000000-0005-0000-0000-000084100000}"/>
    <cellStyle name="20% - akcent 6 2 2 11 7 5" xfId="4535" xr:uid="{00000000-0005-0000-0000-000085100000}"/>
    <cellStyle name="20% - akcent 6 2 2 11 7 6" xfId="4536" xr:uid="{00000000-0005-0000-0000-000086100000}"/>
    <cellStyle name="20% - akcent 6 2 2 11 8" xfId="4537" xr:uid="{00000000-0005-0000-0000-000087100000}"/>
    <cellStyle name="20% - akcent 6 2 2 11 9" xfId="4538" xr:uid="{00000000-0005-0000-0000-000088100000}"/>
    <cellStyle name="20% - akcent 6 2 2 12" xfId="4539" xr:uid="{00000000-0005-0000-0000-000089100000}"/>
    <cellStyle name="20% - akcent 6 2 2 12 2" xfId="4540" xr:uid="{00000000-0005-0000-0000-00008A100000}"/>
    <cellStyle name="20% - akcent 6 2 2 12 2 2" xfId="4541" xr:uid="{00000000-0005-0000-0000-00008B100000}"/>
    <cellStyle name="20% - akcent 6 2 2 12 2 3" xfId="4542" xr:uid="{00000000-0005-0000-0000-00008C100000}"/>
    <cellStyle name="20% - akcent 6 2 2 12 2 4" xfId="4543" xr:uid="{00000000-0005-0000-0000-00008D100000}"/>
    <cellStyle name="20% - akcent 6 2 2 12 2 5" xfId="4544" xr:uid="{00000000-0005-0000-0000-00008E100000}"/>
    <cellStyle name="20% - akcent 6 2 2 12 2 6" xfId="4545" xr:uid="{00000000-0005-0000-0000-00008F100000}"/>
    <cellStyle name="20% - akcent 6 2 2 12 3" xfId="4546" xr:uid="{00000000-0005-0000-0000-000090100000}"/>
    <cellStyle name="20% - akcent 6 2 2 12 4" xfId="4547" xr:uid="{00000000-0005-0000-0000-000091100000}"/>
    <cellStyle name="20% - akcent 6 2 2 12 5" xfId="4548" xr:uid="{00000000-0005-0000-0000-000092100000}"/>
    <cellStyle name="20% - akcent 6 2 2 12 6" xfId="4549" xr:uid="{00000000-0005-0000-0000-000093100000}"/>
    <cellStyle name="20% - akcent 6 2 2 12 7" xfId="4550" xr:uid="{00000000-0005-0000-0000-000094100000}"/>
    <cellStyle name="20% - akcent 6 2 2 13" xfId="4551" xr:uid="{00000000-0005-0000-0000-000095100000}"/>
    <cellStyle name="20% - akcent 6 2 2 14" xfId="4552" xr:uid="{00000000-0005-0000-0000-000096100000}"/>
    <cellStyle name="20% - akcent 6 2 2 15" xfId="4553" xr:uid="{00000000-0005-0000-0000-000097100000}"/>
    <cellStyle name="20% - akcent 6 2 2 16" xfId="4554" xr:uid="{00000000-0005-0000-0000-000098100000}"/>
    <cellStyle name="20% - akcent 6 2 2 17" xfId="4555" xr:uid="{00000000-0005-0000-0000-000099100000}"/>
    <cellStyle name="20% - akcent 6 2 2 18" xfId="4556" xr:uid="{00000000-0005-0000-0000-00009A100000}"/>
    <cellStyle name="20% - akcent 6 2 2 18 2" xfId="4557" xr:uid="{00000000-0005-0000-0000-00009B100000}"/>
    <cellStyle name="20% - akcent 6 2 2 18 3" xfId="4558" xr:uid="{00000000-0005-0000-0000-00009C100000}"/>
    <cellStyle name="20% - akcent 6 2 2 18 4" xfId="4559" xr:uid="{00000000-0005-0000-0000-00009D100000}"/>
    <cellStyle name="20% - akcent 6 2 2 18 5" xfId="4560" xr:uid="{00000000-0005-0000-0000-00009E100000}"/>
    <cellStyle name="20% - akcent 6 2 2 18 6" xfId="4561" xr:uid="{00000000-0005-0000-0000-00009F100000}"/>
    <cellStyle name="20% - akcent 6 2 2 19" xfId="4562" xr:uid="{00000000-0005-0000-0000-0000A0100000}"/>
    <cellStyle name="20% - akcent 6 2 2 2" xfId="4563" xr:uid="{00000000-0005-0000-0000-0000A1100000}"/>
    <cellStyle name="20% - akcent 6 2 2 2 10" xfId="4564" xr:uid="{00000000-0005-0000-0000-0000A2100000}"/>
    <cellStyle name="20% - akcent 6 2 2 2 11" xfId="4565" xr:uid="{00000000-0005-0000-0000-0000A3100000}"/>
    <cellStyle name="20% - akcent 6 2 2 2 2" xfId="4566" xr:uid="{00000000-0005-0000-0000-0000A4100000}"/>
    <cellStyle name="20% - akcent 6 2 2 2 2 10" xfId="4567" xr:uid="{00000000-0005-0000-0000-0000A5100000}"/>
    <cellStyle name="20% - akcent 6 2 2 2 2 2" xfId="4568" xr:uid="{00000000-0005-0000-0000-0000A6100000}"/>
    <cellStyle name="20% - akcent 6 2 2 2 2 2 2" xfId="4569" xr:uid="{00000000-0005-0000-0000-0000A7100000}"/>
    <cellStyle name="20% - akcent 6 2 2 2 2 2 2 2" xfId="4570" xr:uid="{00000000-0005-0000-0000-0000A8100000}"/>
    <cellStyle name="20% - akcent 6 2 2 2 2 2 2 2 2" xfId="4571" xr:uid="{00000000-0005-0000-0000-0000A9100000}"/>
    <cellStyle name="20% - akcent 6 2 2 2 2 2 2 2 2 2" xfId="4572" xr:uid="{00000000-0005-0000-0000-0000AA100000}"/>
    <cellStyle name="20% - akcent 6 2 2 2 2 2 2 2 2 3" xfId="4573" xr:uid="{00000000-0005-0000-0000-0000AB100000}"/>
    <cellStyle name="20% - akcent 6 2 2 2 2 2 2 2 2 4" xfId="4574" xr:uid="{00000000-0005-0000-0000-0000AC100000}"/>
    <cellStyle name="20% - akcent 6 2 2 2 2 2 2 2 3" xfId="4575" xr:uid="{00000000-0005-0000-0000-0000AD100000}"/>
    <cellStyle name="20% - akcent 6 2 2 2 2 2 2 2 4" xfId="4576" xr:uid="{00000000-0005-0000-0000-0000AE100000}"/>
    <cellStyle name="20% - akcent 6 2 2 2 2 2 2 2 5" xfId="4577" xr:uid="{00000000-0005-0000-0000-0000AF100000}"/>
    <cellStyle name="20% - akcent 6 2 2 2 2 2 2 3" xfId="4578" xr:uid="{00000000-0005-0000-0000-0000B0100000}"/>
    <cellStyle name="20% - akcent 6 2 2 2 2 2 2 4" xfId="4579" xr:uid="{00000000-0005-0000-0000-0000B1100000}"/>
    <cellStyle name="20% - akcent 6 2 2 2 2 2 2 5" xfId="4580" xr:uid="{00000000-0005-0000-0000-0000B2100000}"/>
    <cellStyle name="20% - akcent 6 2 2 2 2 2 2 6" xfId="4581" xr:uid="{00000000-0005-0000-0000-0000B3100000}"/>
    <cellStyle name="20% - akcent 6 2 2 2 2 2 2 7" xfId="4582" xr:uid="{00000000-0005-0000-0000-0000B4100000}"/>
    <cellStyle name="20% - akcent 6 2 2 2 2 2 2 7 2" xfId="4583" xr:uid="{00000000-0005-0000-0000-0000B5100000}"/>
    <cellStyle name="20% - akcent 6 2 2 2 2 2 2 7 3" xfId="4584" xr:uid="{00000000-0005-0000-0000-0000B6100000}"/>
    <cellStyle name="20% - akcent 6 2 2 2 2 2 2 7 4" xfId="4585" xr:uid="{00000000-0005-0000-0000-0000B7100000}"/>
    <cellStyle name="20% - akcent 6 2 2 2 2 2 2 7 5" xfId="4586" xr:uid="{00000000-0005-0000-0000-0000B8100000}"/>
    <cellStyle name="20% - akcent 6 2 2 2 2 2 2 7 6" xfId="4587" xr:uid="{00000000-0005-0000-0000-0000B9100000}"/>
    <cellStyle name="20% - akcent 6 2 2 2 2 2 2 8" xfId="4588" xr:uid="{00000000-0005-0000-0000-0000BA100000}"/>
    <cellStyle name="20% - akcent 6 2 2 2 2 2 2 9" xfId="4589" xr:uid="{00000000-0005-0000-0000-0000BB100000}"/>
    <cellStyle name="20% - akcent 6 2 2 2 2 2 3" xfId="4590" xr:uid="{00000000-0005-0000-0000-0000BC100000}"/>
    <cellStyle name="20% - akcent 6 2 2 2 2 2 3 2" xfId="4591" xr:uid="{00000000-0005-0000-0000-0000BD100000}"/>
    <cellStyle name="20% - akcent 6 2 2 2 2 2 3 2 2" xfId="4592" xr:uid="{00000000-0005-0000-0000-0000BE100000}"/>
    <cellStyle name="20% - akcent 6 2 2 2 2 2 3 2 3" xfId="4593" xr:uid="{00000000-0005-0000-0000-0000BF100000}"/>
    <cellStyle name="20% - akcent 6 2 2 2 2 2 3 2 4" xfId="4594" xr:uid="{00000000-0005-0000-0000-0000C0100000}"/>
    <cellStyle name="20% - akcent 6 2 2 2 2 2 3 2 5" xfId="4595" xr:uid="{00000000-0005-0000-0000-0000C1100000}"/>
    <cellStyle name="20% - akcent 6 2 2 2 2 2 3 2 6" xfId="4596" xr:uid="{00000000-0005-0000-0000-0000C2100000}"/>
    <cellStyle name="20% - akcent 6 2 2 2 2 2 3 3" xfId="4597" xr:uid="{00000000-0005-0000-0000-0000C3100000}"/>
    <cellStyle name="20% - akcent 6 2 2 2 2 2 3 4" xfId="4598" xr:uid="{00000000-0005-0000-0000-0000C4100000}"/>
    <cellStyle name="20% - akcent 6 2 2 2 2 2 3 5" xfId="4599" xr:uid="{00000000-0005-0000-0000-0000C5100000}"/>
    <cellStyle name="20% - akcent 6 2 2 2 2 2 3 6" xfId="4600" xr:uid="{00000000-0005-0000-0000-0000C6100000}"/>
    <cellStyle name="20% - akcent 6 2 2 2 2 2 3 7" xfId="4601" xr:uid="{00000000-0005-0000-0000-0000C7100000}"/>
    <cellStyle name="20% - akcent 6 2 2 2 2 2 4" xfId="4602" xr:uid="{00000000-0005-0000-0000-0000C8100000}"/>
    <cellStyle name="20% - akcent 6 2 2 2 2 2 5" xfId="4603" xr:uid="{00000000-0005-0000-0000-0000C9100000}"/>
    <cellStyle name="20% - akcent 6 2 2 2 2 2 6" xfId="4604" xr:uid="{00000000-0005-0000-0000-0000CA100000}"/>
    <cellStyle name="20% - akcent 6 2 2 2 2 2 7" xfId="4605" xr:uid="{00000000-0005-0000-0000-0000CB100000}"/>
    <cellStyle name="20% - akcent 6 2 2 2 2 2 7 2" xfId="4606" xr:uid="{00000000-0005-0000-0000-0000CC100000}"/>
    <cellStyle name="20% - akcent 6 2 2 2 2 2 7 3" xfId="4607" xr:uid="{00000000-0005-0000-0000-0000CD100000}"/>
    <cellStyle name="20% - akcent 6 2 2 2 2 2 7 4" xfId="4608" xr:uid="{00000000-0005-0000-0000-0000CE100000}"/>
    <cellStyle name="20% - akcent 6 2 2 2 2 2 7 5" xfId="4609" xr:uid="{00000000-0005-0000-0000-0000CF100000}"/>
    <cellStyle name="20% - akcent 6 2 2 2 2 2 7 6" xfId="4610" xr:uid="{00000000-0005-0000-0000-0000D0100000}"/>
    <cellStyle name="20% - akcent 6 2 2 2 2 2 8" xfId="4611" xr:uid="{00000000-0005-0000-0000-0000D1100000}"/>
    <cellStyle name="20% - akcent 6 2 2 2 2 2 9" xfId="4612" xr:uid="{00000000-0005-0000-0000-0000D2100000}"/>
    <cellStyle name="20% - akcent 6 2 2 2 2 3" xfId="4613" xr:uid="{00000000-0005-0000-0000-0000D3100000}"/>
    <cellStyle name="20% - akcent 6 2 2 2 2 3 2" xfId="4614" xr:uid="{00000000-0005-0000-0000-0000D4100000}"/>
    <cellStyle name="20% - akcent 6 2 2 2 2 3 2 2" xfId="4615" xr:uid="{00000000-0005-0000-0000-0000D5100000}"/>
    <cellStyle name="20% - akcent 6 2 2 2 2 3 2 3" xfId="4616" xr:uid="{00000000-0005-0000-0000-0000D6100000}"/>
    <cellStyle name="20% - akcent 6 2 2 2 2 3 2 4" xfId="4617" xr:uid="{00000000-0005-0000-0000-0000D7100000}"/>
    <cellStyle name="20% - akcent 6 2 2 2 2 3 2 5" xfId="4618" xr:uid="{00000000-0005-0000-0000-0000D8100000}"/>
    <cellStyle name="20% - akcent 6 2 2 2 2 3 2 6" xfId="4619" xr:uid="{00000000-0005-0000-0000-0000D9100000}"/>
    <cellStyle name="20% - akcent 6 2 2 2 2 3 3" xfId="4620" xr:uid="{00000000-0005-0000-0000-0000DA100000}"/>
    <cellStyle name="20% - akcent 6 2 2 2 2 3 4" xfId="4621" xr:uid="{00000000-0005-0000-0000-0000DB100000}"/>
    <cellStyle name="20% - akcent 6 2 2 2 2 3 5" xfId="4622" xr:uid="{00000000-0005-0000-0000-0000DC100000}"/>
    <cellStyle name="20% - akcent 6 2 2 2 2 3 6" xfId="4623" xr:uid="{00000000-0005-0000-0000-0000DD100000}"/>
    <cellStyle name="20% - akcent 6 2 2 2 2 3 7" xfId="4624" xr:uid="{00000000-0005-0000-0000-0000DE100000}"/>
    <cellStyle name="20% - akcent 6 2 2 2 2 4" xfId="4625" xr:uid="{00000000-0005-0000-0000-0000DF100000}"/>
    <cellStyle name="20% - akcent 6 2 2 2 2 5" xfId="4626" xr:uid="{00000000-0005-0000-0000-0000E0100000}"/>
    <cellStyle name="20% - akcent 6 2 2 2 2 6" xfId="4627" xr:uid="{00000000-0005-0000-0000-0000E1100000}"/>
    <cellStyle name="20% - akcent 6 2 2 2 2 7" xfId="4628" xr:uid="{00000000-0005-0000-0000-0000E2100000}"/>
    <cellStyle name="20% - akcent 6 2 2 2 2 8" xfId="4629" xr:uid="{00000000-0005-0000-0000-0000E3100000}"/>
    <cellStyle name="20% - akcent 6 2 2 2 2 8 2" xfId="4630" xr:uid="{00000000-0005-0000-0000-0000E4100000}"/>
    <cellStyle name="20% - akcent 6 2 2 2 2 8 3" xfId="4631" xr:uid="{00000000-0005-0000-0000-0000E5100000}"/>
    <cellStyle name="20% - akcent 6 2 2 2 2 8 4" xfId="4632" xr:uid="{00000000-0005-0000-0000-0000E6100000}"/>
    <cellStyle name="20% - akcent 6 2 2 2 2 8 5" xfId="4633" xr:uid="{00000000-0005-0000-0000-0000E7100000}"/>
    <cellStyle name="20% - akcent 6 2 2 2 2 8 6" xfId="4634" xr:uid="{00000000-0005-0000-0000-0000E8100000}"/>
    <cellStyle name="20% - akcent 6 2 2 2 2 9" xfId="4635" xr:uid="{00000000-0005-0000-0000-0000E9100000}"/>
    <cellStyle name="20% - akcent 6 2 2 2 3" xfId="4636" xr:uid="{00000000-0005-0000-0000-0000EA100000}"/>
    <cellStyle name="20% - akcent 6 2 2 2 4" xfId="4637" xr:uid="{00000000-0005-0000-0000-0000EB100000}"/>
    <cellStyle name="20% - akcent 6 2 2 2 4 10" xfId="4638" xr:uid="{00000000-0005-0000-0000-0000EC100000}"/>
    <cellStyle name="20% - akcent 6 2 2 2 4 11" xfId="4639" xr:uid="{00000000-0005-0000-0000-0000ED100000}"/>
    <cellStyle name="20% - akcent 6 2 2 2 4 2" xfId="4640" xr:uid="{00000000-0005-0000-0000-0000EE100000}"/>
    <cellStyle name="20% - akcent 6 2 2 2 4 2 2" xfId="4641" xr:uid="{00000000-0005-0000-0000-0000EF100000}"/>
    <cellStyle name="20% - akcent 6 2 2 2 4 2 2 2" xfId="4642" xr:uid="{00000000-0005-0000-0000-0000F0100000}"/>
    <cellStyle name="20% - akcent 6 2 2 2 4 2 2 3" xfId="4643" xr:uid="{00000000-0005-0000-0000-0000F1100000}"/>
    <cellStyle name="20% - akcent 6 2 2 2 4 2 2 4" xfId="4644" xr:uid="{00000000-0005-0000-0000-0000F2100000}"/>
    <cellStyle name="20% - akcent 6 2 2 2 4 2 2 5" xfId="4645" xr:uid="{00000000-0005-0000-0000-0000F3100000}"/>
    <cellStyle name="20% - akcent 6 2 2 2 4 2 2 6" xfId="4646" xr:uid="{00000000-0005-0000-0000-0000F4100000}"/>
    <cellStyle name="20% - akcent 6 2 2 2 4 2 3" xfId="4647" xr:uid="{00000000-0005-0000-0000-0000F5100000}"/>
    <cellStyle name="20% - akcent 6 2 2 2 4 2 4" xfId="4648" xr:uid="{00000000-0005-0000-0000-0000F6100000}"/>
    <cellStyle name="20% - akcent 6 2 2 2 4 2 5" xfId="4649" xr:uid="{00000000-0005-0000-0000-0000F7100000}"/>
    <cellStyle name="20% - akcent 6 2 2 2 4 2 6" xfId="4650" xr:uid="{00000000-0005-0000-0000-0000F8100000}"/>
    <cellStyle name="20% - akcent 6 2 2 2 4 2 7" xfId="4651" xr:uid="{00000000-0005-0000-0000-0000F9100000}"/>
    <cellStyle name="20% - akcent 6 2 2 2 4 3" xfId="4652" xr:uid="{00000000-0005-0000-0000-0000FA100000}"/>
    <cellStyle name="20% - akcent 6 2 2 2 4 4" xfId="4653" xr:uid="{00000000-0005-0000-0000-0000FB100000}"/>
    <cellStyle name="20% - akcent 6 2 2 2 4 5" xfId="4654" xr:uid="{00000000-0005-0000-0000-0000FC100000}"/>
    <cellStyle name="20% - akcent 6 2 2 2 4 6" xfId="4655" xr:uid="{00000000-0005-0000-0000-0000FD100000}"/>
    <cellStyle name="20% - akcent 6 2 2 2 4 7" xfId="4656" xr:uid="{00000000-0005-0000-0000-0000FE100000}"/>
    <cellStyle name="20% - akcent 6 2 2 2 4 7 2" xfId="4657" xr:uid="{00000000-0005-0000-0000-0000FF100000}"/>
    <cellStyle name="20% - akcent 6 2 2 2 4 7 3" xfId="4658" xr:uid="{00000000-0005-0000-0000-000000110000}"/>
    <cellStyle name="20% - akcent 6 2 2 2 4 7 4" xfId="4659" xr:uid="{00000000-0005-0000-0000-000001110000}"/>
    <cellStyle name="20% - akcent 6 2 2 2 4 7 5" xfId="4660" xr:uid="{00000000-0005-0000-0000-000002110000}"/>
    <cellStyle name="20% - akcent 6 2 2 2 4 7 6" xfId="4661" xr:uid="{00000000-0005-0000-0000-000003110000}"/>
    <cellStyle name="20% - akcent 6 2 2 2 4 8" xfId="4662" xr:uid="{00000000-0005-0000-0000-000004110000}"/>
    <cellStyle name="20% - akcent 6 2 2 2 4 9" xfId="4663" xr:uid="{00000000-0005-0000-0000-000005110000}"/>
    <cellStyle name="20% - akcent 6 2 2 2 5" xfId="4664" xr:uid="{00000000-0005-0000-0000-000006110000}"/>
    <cellStyle name="20% - akcent 6 2 2 2 5 2" xfId="4665" xr:uid="{00000000-0005-0000-0000-000007110000}"/>
    <cellStyle name="20% - akcent 6 2 2 2 5 2 2" xfId="4666" xr:uid="{00000000-0005-0000-0000-000008110000}"/>
    <cellStyle name="20% - akcent 6 2 2 2 5 2 3" xfId="4667" xr:uid="{00000000-0005-0000-0000-000009110000}"/>
    <cellStyle name="20% - akcent 6 2 2 2 5 2 4" xfId="4668" xr:uid="{00000000-0005-0000-0000-00000A110000}"/>
    <cellStyle name="20% - akcent 6 2 2 2 5 2 5" xfId="4669" xr:uid="{00000000-0005-0000-0000-00000B110000}"/>
    <cellStyle name="20% - akcent 6 2 2 2 5 2 6" xfId="4670" xr:uid="{00000000-0005-0000-0000-00000C110000}"/>
    <cellStyle name="20% - akcent 6 2 2 2 5 3" xfId="4671" xr:uid="{00000000-0005-0000-0000-00000D110000}"/>
    <cellStyle name="20% - akcent 6 2 2 2 5 4" xfId="4672" xr:uid="{00000000-0005-0000-0000-00000E110000}"/>
    <cellStyle name="20% - akcent 6 2 2 2 5 5" xfId="4673" xr:uid="{00000000-0005-0000-0000-00000F110000}"/>
    <cellStyle name="20% - akcent 6 2 2 2 5 6" xfId="4674" xr:uid="{00000000-0005-0000-0000-000010110000}"/>
    <cellStyle name="20% - akcent 6 2 2 2 5 7" xfId="4675" xr:uid="{00000000-0005-0000-0000-000011110000}"/>
    <cellStyle name="20% - akcent 6 2 2 2 6" xfId="4676" xr:uid="{00000000-0005-0000-0000-000012110000}"/>
    <cellStyle name="20% - akcent 6 2 2 2 7" xfId="4677" xr:uid="{00000000-0005-0000-0000-000013110000}"/>
    <cellStyle name="20% - akcent 6 2 2 2 8" xfId="4678" xr:uid="{00000000-0005-0000-0000-000014110000}"/>
    <cellStyle name="20% - akcent 6 2 2 2 9" xfId="4679" xr:uid="{00000000-0005-0000-0000-000015110000}"/>
    <cellStyle name="20% - akcent 6 2 2 2 9 2" xfId="4680" xr:uid="{00000000-0005-0000-0000-000016110000}"/>
    <cellStyle name="20% - akcent 6 2 2 2 9 3" xfId="4681" xr:uid="{00000000-0005-0000-0000-000017110000}"/>
    <cellStyle name="20% - akcent 6 2 2 2 9 4" xfId="4682" xr:uid="{00000000-0005-0000-0000-000018110000}"/>
    <cellStyle name="20% - akcent 6 2 2 2 9 5" xfId="4683" xr:uid="{00000000-0005-0000-0000-000019110000}"/>
    <cellStyle name="20% - akcent 6 2 2 2 9 6" xfId="4684" xr:uid="{00000000-0005-0000-0000-00001A110000}"/>
    <cellStyle name="20% - akcent 6 2 2 20" xfId="4685" xr:uid="{00000000-0005-0000-0000-00001B110000}"/>
    <cellStyle name="20% - akcent 6 2 2 21" xfId="4431" xr:uid="{00000000-0005-0000-0000-00001C110000}"/>
    <cellStyle name="20% - akcent 6 2 2 3" xfId="4686" xr:uid="{00000000-0005-0000-0000-00001D110000}"/>
    <cellStyle name="20% - akcent 6 2 2 4" xfId="4687" xr:uid="{00000000-0005-0000-0000-00001E110000}"/>
    <cellStyle name="20% - akcent 6 2 2 5" xfId="4688" xr:uid="{00000000-0005-0000-0000-00001F110000}"/>
    <cellStyle name="20% - akcent 6 2 2 6" xfId="4689" xr:uid="{00000000-0005-0000-0000-000020110000}"/>
    <cellStyle name="20% - akcent 6 2 2 7" xfId="4690" xr:uid="{00000000-0005-0000-0000-000021110000}"/>
    <cellStyle name="20% - akcent 6 2 2 8" xfId="4691" xr:uid="{00000000-0005-0000-0000-000022110000}"/>
    <cellStyle name="20% - akcent 6 2 2 9" xfId="4692" xr:uid="{00000000-0005-0000-0000-000023110000}"/>
    <cellStyle name="20% - akcent 6 2 20" xfId="4693" xr:uid="{00000000-0005-0000-0000-000024110000}"/>
    <cellStyle name="20% - akcent 6 2 21" xfId="4694" xr:uid="{00000000-0005-0000-0000-000025110000}"/>
    <cellStyle name="20% - akcent 6 2 21 2" xfId="4695" xr:uid="{00000000-0005-0000-0000-000026110000}"/>
    <cellStyle name="20% - akcent 6 2 21 3" xfId="4696" xr:uid="{00000000-0005-0000-0000-000027110000}"/>
    <cellStyle name="20% - akcent 6 2 21 4" xfId="4697" xr:uid="{00000000-0005-0000-0000-000028110000}"/>
    <cellStyle name="20% - akcent 6 2 21 5" xfId="4698" xr:uid="{00000000-0005-0000-0000-000029110000}"/>
    <cellStyle name="20% - akcent 6 2 21 6" xfId="4699" xr:uid="{00000000-0005-0000-0000-00002A110000}"/>
    <cellStyle name="20% - akcent 6 2 22" xfId="4700" xr:uid="{00000000-0005-0000-0000-00002B110000}"/>
    <cellStyle name="20% - akcent 6 2 23" xfId="4701" xr:uid="{00000000-0005-0000-0000-00002C110000}"/>
    <cellStyle name="20% - akcent 6 2 24" xfId="4702" xr:uid="{00000000-0005-0000-0000-00002D110000}"/>
    <cellStyle name="20% - akcent 6 2 25" xfId="4703" xr:uid="{00000000-0005-0000-0000-00002E110000}"/>
    <cellStyle name="20% - akcent 6 2 26" xfId="4704" xr:uid="{00000000-0005-0000-0000-00002F110000}"/>
    <cellStyle name="20% - akcent 6 2 27" xfId="4705" xr:uid="{00000000-0005-0000-0000-000030110000}"/>
    <cellStyle name="20% - akcent 6 2 28" xfId="4706" xr:uid="{00000000-0005-0000-0000-000031110000}"/>
    <cellStyle name="20% - akcent 6 2 29" xfId="4707" xr:uid="{00000000-0005-0000-0000-000032110000}"/>
    <cellStyle name="20% - akcent 6 2 3" xfId="4708" xr:uid="{00000000-0005-0000-0000-000033110000}"/>
    <cellStyle name="20% - akcent 6 2 30" xfId="4709" xr:uid="{00000000-0005-0000-0000-000034110000}"/>
    <cellStyle name="20% - akcent 6 2 31" xfId="4710" xr:uid="{00000000-0005-0000-0000-000035110000}"/>
    <cellStyle name="20% - akcent 6 2 32" xfId="4304" xr:uid="{00000000-0005-0000-0000-000036110000}"/>
    <cellStyle name="20% - akcent 6 2 33" xfId="37822" xr:uid="{00000000-0005-0000-0000-000037110000}"/>
    <cellStyle name="20% - akcent 6 2 4" xfId="4711" xr:uid="{00000000-0005-0000-0000-000038110000}"/>
    <cellStyle name="20% - akcent 6 2 5" xfId="4712" xr:uid="{00000000-0005-0000-0000-000039110000}"/>
    <cellStyle name="20% - akcent 6 2 6" xfId="4713" xr:uid="{00000000-0005-0000-0000-00003A110000}"/>
    <cellStyle name="20% - akcent 6 2 6 10" xfId="4714" xr:uid="{00000000-0005-0000-0000-00003B110000}"/>
    <cellStyle name="20% - akcent 6 2 6 11" xfId="4715" xr:uid="{00000000-0005-0000-0000-00003C110000}"/>
    <cellStyle name="20% - akcent 6 2 6 12" xfId="4716" xr:uid="{00000000-0005-0000-0000-00003D110000}"/>
    <cellStyle name="20% - akcent 6 2 6 13" xfId="4717" xr:uid="{00000000-0005-0000-0000-00003E110000}"/>
    <cellStyle name="20% - akcent 6 2 6 2" xfId="4718" xr:uid="{00000000-0005-0000-0000-00003F110000}"/>
    <cellStyle name="20% - akcent 6 2 6 2 10" xfId="4719" xr:uid="{00000000-0005-0000-0000-000040110000}"/>
    <cellStyle name="20% - akcent 6 2 6 2 11" xfId="4720" xr:uid="{00000000-0005-0000-0000-000041110000}"/>
    <cellStyle name="20% - akcent 6 2 6 2 12" xfId="4721" xr:uid="{00000000-0005-0000-0000-000042110000}"/>
    <cellStyle name="20% - akcent 6 2 6 2 2" xfId="4722" xr:uid="{00000000-0005-0000-0000-000043110000}"/>
    <cellStyle name="20% - akcent 6 2 6 2 2 10" xfId="4723" xr:uid="{00000000-0005-0000-0000-000044110000}"/>
    <cellStyle name="20% - akcent 6 2 6 2 2 11" xfId="4724" xr:uid="{00000000-0005-0000-0000-000045110000}"/>
    <cellStyle name="20% - akcent 6 2 6 2 2 2" xfId="4725" xr:uid="{00000000-0005-0000-0000-000046110000}"/>
    <cellStyle name="20% - akcent 6 2 6 2 2 2 10" xfId="4726" xr:uid="{00000000-0005-0000-0000-000047110000}"/>
    <cellStyle name="20% - akcent 6 2 6 2 2 2 11" xfId="4727" xr:uid="{00000000-0005-0000-0000-000048110000}"/>
    <cellStyle name="20% - akcent 6 2 6 2 2 2 2" xfId="4728" xr:uid="{00000000-0005-0000-0000-000049110000}"/>
    <cellStyle name="20% - akcent 6 2 6 2 2 2 2 2" xfId="4729" xr:uid="{00000000-0005-0000-0000-00004A110000}"/>
    <cellStyle name="20% - akcent 6 2 6 2 2 2 2 2 2" xfId="4730" xr:uid="{00000000-0005-0000-0000-00004B110000}"/>
    <cellStyle name="20% - akcent 6 2 6 2 2 2 2 2 3" xfId="4731" xr:uid="{00000000-0005-0000-0000-00004C110000}"/>
    <cellStyle name="20% - akcent 6 2 6 2 2 2 2 2 4" xfId="4732" xr:uid="{00000000-0005-0000-0000-00004D110000}"/>
    <cellStyle name="20% - akcent 6 2 6 2 2 2 2 2 5" xfId="4733" xr:uid="{00000000-0005-0000-0000-00004E110000}"/>
    <cellStyle name="20% - akcent 6 2 6 2 2 2 2 2 6" xfId="4734" xr:uid="{00000000-0005-0000-0000-00004F110000}"/>
    <cellStyle name="20% - akcent 6 2 6 2 2 2 2 3" xfId="4735" xr:uid="{00000000-0005-0000-0000-000050110000}"/>
    <cellStyle name="20% - akcent 6 2 6 2 2 2 2 4" xfId="4736" xr:uid="{00000000-0005-0000-0000-000051110000}"/>
    <cellStyle name="20% - akcent 6 2 6 2 2 2 2 5" xfId="4737" xr:uid="{00000000-0005-0000-0000-000052110000}"/>
    <cellStyle name="20% - akcent 6 2 6 2 2 2 2 6" xfId="4738" xr:uid="{00000000-0005-0000-0000-000053110000}"/>
    <cellStyle name="20% - akcent 6 2 6 2 2 2 2 7" xfId="4739" xr:uid="{00000000-0005-0000-0000-000054110000}"/>
    <cellStyle name="20% - akcent 6 2 6 2 2 2 3" xfId="4740" xr:uid="{00000000-0005-0000-0000-000055110000}"/>
    <cellStyle name="20% - akcent 6 2 6 2 2 2 4" xfId="4741" xr:uid="{00000000-0005-0000-0000-000056110000}"/>
    <cellStyle name="20% - akcent 6 2 6 2 2 2 5" xfId="4742" xr:uid="{00000000-0005-0000-0000-000057110000}"/>
    <cellStyle name="20% - akcent 6 2 6 2 2 2 6" xfId="4743" xr:uid="{00000000-0005-0000-0000-000058110000}"/>
    <cellStyle name="20% - akcent 6 2 6 2 2 2 7" xfId="4744" xr:uid="{00000000-0005-0000-0000-000059110000}"/>
    <cellStyle name="20% - akcent 6 2 6 2 2 2 7 2" xfId="4745" xr:uid="{00000000-0005-0000-0000-00005A110000}"/>
    <cellStyle name="20% - akcent 6 2 6 2 2 2 7 3" xfId="4746" xr:uid="{00000000-0005-0000-0000-00005B110000}"/>
    <cellStyle name="20% - akcent 6 2 6 2 2 2 7 4" xfId="4747" xr:uid="{00000000-0005-0000-0000-00005C110000}"/>
    <cellStyle name="20% - akcent 6 2 6 2 2 2 7 5" xfId="4748" xr:uid="{00000000-0005-0000-0000-00005D110000}"/>
    <cellStyle name="20% - akcent 6 2 6 2 2 2 7 6" xfId="4749" xr:uid="{00000000-0005-0000-0000-00005E110000}"/>
    <cellStyle name="20% - akcent 6 2 6 2 2 2 8" xfId="4750" xr:uid="{00000000-0005-0000-0000-00005F110000}"/>
    <cellStyle name="20% - akcent 6 2 6 2 2 2 9" xfId="4751" xr:uid="{00000000-0005-0000-0000-000060110000}"/>
    <cellStyle name="20% - akcent 6 2 6 2 2 3" xfId="4752" xr:uid="{00000000-0005-0000-0000-000061110000}"/>
    <cellStyle name="20% - akcent 6 2 6 2 2 3 2" xfId="4753" xr:uid="{00000000-0005-0000-0000-000062110000}"/>
    <cellStyle name="20% - akcent 6 2 6 2 2 3 2 2" xfId="4754" xr:uid="{00000000-0005-0000-0000-000063110000}"/>
    <cellStyle name="20% - akcent 6 2 6 2 2 3 2 3" xfId="4755" xr:uid="{00000000-0005-0000-0000-000064110000}"/>
    <cellStyle name="20% - akcent 6 2 6 2 2 3 2 4" xfId="4756" xr:uid="{00000000-0005-0000-0000-000065110000}"/>
    <cellStyle name="20% - akcent 6 2 6 2 2 3 2 5" xfId="4757" xr:uid="{00000000-0005-0000-0000-000066110000}"/>
    <cellStyle name="20% - akcent 6 2 6 2 2 3 2 6" xfId="4758" xr:uid="{00000000-0005-0000-0000-000067110000}"/>
    <cellStyle name="20% - akcent 6 2 6 2 2 3 3" xfId="4759" xr:uid="{00000000-0005-0000-0000-000068110000}"/>
    <cellStyle name="20% - akcent 6 2 6 2 2 3 4" xfId="4760" xr:uid="{00000000-0005-0000-0000-000069110000}"/>
    <cellStyle name="20% - akcent 6 2 6 2 2 3 5" xfId="4761" xr:uid="{00000000-0005-0000-0000-00006A110000}"/>
    <cellStyle name="20% - akcent 6 2 6 2 2 3 6" xfId="4762" xr:uid="{00000000-0005-0000-0000-00006B110000}"/>
    <cellStyle name="20% - akcent 6 2 6 2 2 3 7" xfId="4763" xr:uid="{00000000-0005-0000-0000-00006C110000}"/>
    <cellStyle name="20% - akcent 6 2 6 2 2 4" xfId="4764" xr:uid="{00000000-0005-0000-0000-00006D110000}"/>
    <cellStyle name="20% - akcent 6 2 6 2 2 5" xfId="4765" xr:uid="{00000000-0005-0000-0000-00006E110000}"/>
    <cellStyle name="20% - akcent 6 2 6 2 2 6" xfId="4766" xr:uid="{00000000-0005-0000-0000-00006F110000}"/>
    <cellStyle name="20% - akcent 6 2 6 2 2 7" xfId="4767" xr:uid="{00000000-0005-0000-0000-000070110000}"/>
    <cellStyle name="20% - akcent 6 2 6 2 2 7 2" xfId="4768" xr:uid="{00000000-0005-0000-0000-000071110000}"/>
    <cellStyle name="20% - akcent 6 2 6 2 2 7 3" xfId="4769" xr:uid="{00000000-0005-0000-0000-000072110000}"/>
    <cellStyle name="20% - akcent 6 2 6 2 2 7 4" xfId="4770" xr:uid="{00000000-0005-0000-0000-000073110000}"/>
    <cellStyle name="20% - akcent 6 2 6 2 2 7 5" xfId="4771" xr:uid="{00000000-0005-0000-0000-000074110000}"/>
    <cellStyle name="20% - akcent 6 2 6 2 2 7 6" xfId="4772" xr:uid="{00000000-0005-0000-0000-000075110000}"/>
    <cellStyle name="20% - akcent 6 2 6 2 2 8" xfId="4773" xr:uid="{00000000-0005-0000-0000-000076110000}"/>
    <cellStyle name="20% - akcent 6 2 6 2 2 9" xfId="4774" xr:uid="{00000000-0005-0000-0000-000077110000}"/>
    <cellStyle name="20% - akcent 6 2 6 2 3" xfId="4775" xr:uid="{00000000-0005-0000-0000-000078110000}"/>
    <cellStyle name="20% - akcent 6 2 6 2 3 2" xfId="4776" xr:uid="{00000000-0005-0000-0000-000079110000}"/>
    <cellStyle name="20% - akcent 6 2 6 2 3 2 2" xfId="4777" xr:uid="{00000000-0005-0000-0000-00007A110000}"/>
    <cellStyle name="20% - akcent 6 2 6 2 3 2 3" xfId="4778" xr:uid="{00000000-0005-0000-0000-00007B110000}"/>
    <cellStyle name="20% - akcent 6 2 6 2 3 2 4" xfId="4779" xr:uid="{00000000-0005-0000-0000-00007C110000}"/>
    <cellStyle name="20% - akcent 6 2 6 2 3 2 5" xfId="4780" xr:uid="{00000000-0005-0000-0000-00007D110000}"/>
    <cellStyle name="20% - akcent 6 2 6 2 3 2 6" xfId="4781" xr:uid="{00000000-0005-0000-0000-00007E110000}"/>
    <cellStyle name="20% - akcent 6 2 6 2 3 3" xfId="4782" xr:uid="{00000000-0005-0000-0000-00007F110000}"/>
    <cellStyle name="20% - akcent 6 2 6 2 3 4" xfId="4783" xr:uid="{00000000-0005-0000-0000-000080110000}"/>
    <cellStyle name="20% - akcent 6 2 6 2 3 5" xfId="4784" xr:uid="{00000000-0005-0000-0000-000081110000}"/>
    <cellStyle name="20% - akcent 6 2 6 2 3 6" xfId="4785" xr:uid="{00000000-0005-0000-0000-000082110000}"/>
    <cellStyle name="20% - akcent 6 2 6 2 3 7" xfId="4786" xr:uid="{00000000-0005-0000-0000-000083110000}"/>
    <cellStyle name="20% - akcent 6 2 6 2 4" xfId="4787" xr:uid="{00000000-0005-0000-0000-000084110000}"/>
    <cellStyle name="20% - akcent 6 2 6 2 5" xfId="4788" xr:uid="{00000000-0005-0000-0000-000085110000}"/>
    <cellStyle name="20% - akcent 6 2 6 2 6" xfId="4789" xr:uid="{00000000-0005-0000-0000-000086110000}"/>
    <cellStyle name="20% - akcent 6 2 6 2 7" xfId="4790" xr:uid="{00000000-0005-0000-0000-000087110000}"/>
    <cellStyle name="20% - akcent 6 2 6 2 8" xfId="4791" xr:uid="{00000000-0005-0000-0000-000088110000}"/>
    <cellStyle name="20% - akcent 6 2 6 2 8 2" xfId="4792" xr:uid="{00000000-0005-0000-0000-000089110000}"/>
    <cellStyle name="20% - akcent 6 2 6 2 8 3" xfId="4793" xr:uid="{00000000-0005-0000-0000-00008A110000}"/>
    <cellStyle name="20% - akcent 6 2 6 2 8 4" xfId="4794" xr:uid="{00000000-0005-0000-0000-00008B110000}"/>
    <cellStyle name="20% - akcent 6 2 6 2 8 5" xfId="4795" xr:uid="{00000000-0005-0000-0000-00008C110000}"/>
    <cellStyle name="20% - akcent 6 2 6 2 8 6" xfId="4796" xr:uid="{00000000-0005-0000-0000-00008D110000}"/>
    <cellStyle name="20% - akcent 6 2 6 2 9" xfId="4797" xr:uid="{00000000-0005-0000-0000-00008E110000}"/>
    <cellStyle name="20% - akcent 6 2 6 3" xfId="4798" xr:uid="{00000000-0005-0000-0000-00008F110000}"/>
    <cellStyle name="20% - akcent 6 2 6 4" xfId="4799" xr:uid="{00000000-0005-0000-0000-000090110000}"/>
    <cellStyle name="20% - akcent 6 2 6 4 10" xfId="4800" xr:uid="{00000000-0005-0000-0000-000091110000}"/>
    <cellStyle name="20% - akcent 6 2 6 4 11" xfId="4801" xr:uid="{00000000-0005-0000-0000-000092110000}"/>
    <cellStyle name="20% - akcent 6 2 6 4 2" xfId="4802" xr:uid="{00000000-0005-0000-0000-000093110000}"/>
    <cellStyle name="20% - akcent 6 2 6 4 2 2" xfId="4803" xr:uid="{00000000-0005-0000-0000-000094110000}"/>
    <cellStyle name="20% - akcent 6 2 6 4 2 2 2" xfId="4804" xr:uid="{00000000-0005-0000-0000-000095110000}"/>
    <cellStyle name="20% - akcent 6 2 6 4 2 2 3" xfId="4805" xr:uid="{00000000-0005-0000-0000-000096110000}"/>
    <cellStyle name="20% - akcent 6 2 6 4 2 2 4" xfId="4806" xr:uid="{00000000-0005-0000-0000-000097110000}"/>
    <cellStyle name="20% - akcent 6 2 6 4 2 2 5" xfId="4807" xr:uid="{00000000-0005-0000-0000-000098110000}"/>
    <cellStyle name="20% - akcent 6 2 6 4 2 2 6" xfId="4808" xr:uid="{00000000-0005-0000-0000-000099110000}"/>
    <cellStyle name="20% - akcent 6 2 6 4 2 3" xfId="4809" xr:uid="{00000000-0005-0000-0000-00009A110000}"/>
    <cellStyle name="20% - akcent 6 2 6 4 2 4" xfId="4810" xr:uid="{00000000-0005-0000-0000-00009B110000}"/>
    <cellStyle name="20% - akcent 6 2 6 4 2 5" xfId="4811" xr:uid="{00000000-0005-0000-0000-00009C110000}"/>
    <cellStyle name="20% - akcent 6 2 6 4 2 6" xfId="4812" xr:uid="{00000000-0005-0000-0000-00009D110000}"/>
    <cellStyle name="20% - akcent 6 2 6 4 2 7" xfId="4813" xr:uid="{00000000-0005-0000-0000-00009E110000}"/>
    <cellStyle name="20% - akcent 6 2 6 4 3" xfId="4814" xr:uid="{00000000-0005-0000-0000-00009F110000}"/>
    <cellStyle name="20% - akcent 6 2 6 4 4" xfId="4815" xr:uid="{00000000-0005-0000-0000-0000A0110000}"/>
    <cellStyle name="20% - akcent 6 2 6 4 5" xfId="4816" xr:uid="{00000000-0005-0000-0000-0000A1110000}"/>
    <cellStyle name="20% - akcent 6 2 6 4 6" xfId="4817" xr:uid="{00000000-0005-0000-0000-0000A2110000}"/>
    <cellStyle name="20% - akcent 6 2 6 4 7" xfId="4818" xr:uid="{00000000-0005-0000-0000-0000A3110000}"/>
    <cellStyle name="20% - akcent 6 2 6 4 7 2" xfId="4819" xr:uid="{00000000-0005-0000-0000-0000A4110000}"/>
    <cellStyle name="20% - akcent 6 2 6 4 7 3" xfId="4820" xr:uid="{00000000-0005-0000-0000-0000A5110000}"/>
    <cellStyle name="20% - akcent 6 2 6 4 7 4" xfId="4821" xr:uid="{00000000-0005-0000-0000-0000A6110000}"/>
    <cellStyle name="20% - akcent 6 2 6 4 7 5" xfId="4822" xr:uid="{00000000-0005-0000-0000-0000A7110000}"/>
    <cellStyle name="20% - akcent 6 2 6 4 7 6" xfId="4823" xr:uid="{00000000-0005-0000-0000-0000A8110000}"/>
    <cellStyle name="20% - akcent 6 2 6 4 8" xfId="4824" xr:uid="{00000000-0005-0000-0000-0000A9110000}"/>
    <cellStyle name="20% - akcent 6 2 6 4 9" xfId="4825" xr:uid="{00000000-0005-0000-0000-0000AA110000}"/>
    <cellStyle name="20% - akcent 6 2 6 5" xfId="4826" xr:uid="{00000000-0005-0000-0000-0000AB110000}"/>
    <cellStyle name="20% - akcent 6 2 6 5 2" xfId="4827" xr:uid="{00000000-0005-0000-0000-0000AC110000}"/>
    <cellStyle name="20% - akcent 6 2 6 5 2 2" xfId="4828" xr:uid="{00000000-0005-0000-0000-0000AD110000}"/>
    <cellStyle name="20% - akcent 6 2 6 5 2 3" xfId="4829" xr:uid="{00000000-0005-0000-0000-0000AE110000}"/>
    <cellStyle name="20% - akcent 6 2 6 5 2 4" xfId="4830" xr:uid="{00000000-0005-0000-0000-0000AF110000}"/>
    <cellStyle name="20% - akcent 6 2 6 5 2 5" xfId="4831" xr:uid="{00000000-0005-0000-0000-0000B0110000}"/>
    <cellStyle name="20% - akcent 6 2 6 5 2 6" xfId="4832" xr:uid="{00000000-0005-0000-0000-0000B1110000}"/>
    <cellStyle name="20% - akcent 6 2 6 5 3" xfId="4833" xr:uid="{00000000-0005-0000-0000-0000B2110000}"/>
    <cellStyle name="20% - akcent 6 2 6 5 4" xfId="4834" xr:uid="{00000000-0005-0000-0000-0000B3110000}"/>
    <cellStyle name="20% - akcent 6 2 6 5 5" xfId="4835" xr:uid="{00000000-0005-0000-0000-0000B4110000}"/>
    <cellStyle name="20% - akcent 6 2 6 5 6" xfId="4836" xr:uid="{00000000-0005-0000-0000-0000B5110000}"/>
    <cellStyle name="20% - akcent 6 2 6 5 7" xfId="4837" xr:uid="{00000000-0005-0000-0000-0000B6110000}"/>
    <cellStyle name="20% - akcent 6 2 6 6" xfId="4838" xr:uid="{00000000-0005-0000-0000-0000B7110000}"/>
    <cellStyle name="20% - akcent 6 2 6 7" xfId="4839" xr:uid="{00000000-0005-0000-0000-0000B8110000}"/>
    <cellStyle name="20% - akcent 6 2 6 8" xfId="4840" xr:uid="{00000000-0005-0000-0000-0000B9110000}"/>
    <cellStyle name="20% - akcent 6 2 6 9" xfId="4841" xr:uid="{00000000-0005-0000-0000-0000BA110000}"/>
    <cellStyle name="20% - akcent 6 2 6 9 2" xfId="4842" xr:uid="{00000000-0005-0000-0000-0000BB110000}"/>
    <cellStyle name="20% - akcent 6 2 6 9 3" xfId="4843" xr:uid="{00000000-0005-0000-0000-0000BC110000}"/>
    <cellStyle name="20% - akcent 6 2 6 9 4" xfId="4844" xr:uid="{00000000-0005-0000-0000-0000BD110000}"/>
    <cellStyle name="20% - akcent 6 2 6 9 5" xfId="4845" xr:uid="{00000000-0005-0000-0000-0000BE110000}"/>
    <cellStyle name="20% - akcent 6 2 6 9 6" xfId="4846" xr:uid="{00000000-0005-0000-0000-0000BF110000}"/>
    <cellStyle name="20% - akcent 6 2 7" xfId="4847" xr:uid="{00000000-0005-0000-0000-0000C0110000}"/>
    <cellStyle name="20% - akcent 6 2 8" xfId="4848" xr:uid="{00000000-0005-0000-0000-0000C1110000}"/>
    <cellStyle name="20% - akcent 6 2 9" xfId="4849" xr:uid="{00000000-0005-0000-0000-0000C2110000}"/>
    <cellStyle name="20% - akcent 6 2_archeolagia" xfId="4850" xr:uid="{00000000-0005-0000-0000-0000C3110000}"/>
    <cellStyle name="20% - akcent 6 3" xfId="77" xr:uid="{00000000-0005-0000-0000-0000C4110000}"/>
    <cellStyle name="20% - akcent 6 3 2" xfId="78" xr:uid="{00000000-0005-0000-0000-0000C5110000}"/>
    <cellStyle name="20% - akcent 6 3 2 2" xfId="4852" xr:uid="{00000000-0005-0000-0000-0000C6110000}"/>
    <cellStyle name="20% - akcent 6 3 3" xfId="4853" xr:uid="{00000000-0005-0000-0000-0000C7110000}"/>
    <cellStyle name="20% - akcent 6 3 4" xfId="4854" xr:uid="{00000000-0005-0000-0000-0000C8110000}"/>
    <cellStyle name="20% - akcent 6 3 5" xfId="4851" xr:uid="{00000000-0005-0000-0000-0000C9110000}"/>
    <cellStyle name="20% - akcent 6 4" xfId="79" xr:uid="{00000000-0005-0000-0000-0000CA110000}"/>
    <cellStyle name="20% - akcent 6 4 2" xfId="80" xr:uid="{00000000-0005-0000-0000-0000CB110000}"/>
    <cellStyle name="20% - akcent 6 4 2 2" xfId="4856" xr:uid="{00000000-0005-0000-0000-0000CC110000}"/>
    <cellStyle name="20% - akcent 6 4 3" xfId="4857" xr:uid="{00000000-0005-0000-0000-0000CD110000}"/>
    <cellStyle name="20% - akcent 6 4 4" xfId="4858" xr:uid="{00000000-0005-0000-0000-0000CE110000}"/>
    <cellStyle name="20% - akcent 6 4 5" xfId="4859" xr:uid="{00000000-0005-0000-0000-0000CF110000}"/>
    <cellStyle name="20% - akcent 6 4 6" xfId="4855" xr:uid="{00000000-0005-0000-0000-0000D0110000}"/>
    <cellStyle name="20% - akcent 6 5" xfId="81" xr:uid="{00000000-0005-0000-0000-0000D1110000}"/>
    <cellStyle name="20% - akcent 6 5 2" xfId="82" xr:uid="{00000000-0005-0000-0000-0000D2110000}"/>
    <cellStyle name="20% - akcent 6 5 2 2" xfId="4861" xr:uid="{00000000-0005-0000-0000-0000D3110000}"/>
    <cellStyle name="20% - akcent 6 5 3" xfId="4862" xr:uid="{00000000-0005-0000-0000-0000D4110000}"/>
    <cellStyle name="20% - akcent 6 5 4" xfId="4863" xr:uid="{00000000-0005-0000-0000-0000D5110000}"/>
    <cellStyle name="20% - akcent 6 5 5" xfId="4864" xr:uid="{00000000-0005-0000-0000-0000D6110000}"/>
    <cellStyle name="20% - akcent 6 5 6" xfId="4860" xr:uid="{00000000-0005-0000-0000-0000D7110000}"/>
    <cellStyle name="20% - akcent 6 6" xfId="83" xr:uid="{00000000-0005-0000-0000-0000D8110000}"/>
    <cellStyle name="20% - akcent 6 6 2" xfId="84" xr:uid="{00000000-0005-0000-0000-0000D9110000}"/>
    <cellStyle name="20% - akcent 6 6 2 2" xfId="4866" xr:uid="{00000000-0005-0000-0000-0000DA110000}"/>
    <cellStyle name="20% - akcent 6 6 3" xfId="4867" xr:uid="{00000000-0005-0000-0000-0000DB110000}"/>
    <cellStyle name="20% - akcent 6 6 4" xfId="4868" xr:uid="{00000000-0005-0000-0000-0000DC110000}"/>
    <cellStyle name="20% - akcent 6 6 5" xfId="4869" xr:uid="{00000000-0005-0000-0000-0000DD110000}"/>
    <cellStyle name="20% - akcent 6 6 6" xfId="4865" xr:uid="{00000000-0005-0000-0000-0000DE110000}"/>
    <cellStyle name="20% - akcent 6 7" xfId="85" xr:uid="{00000000-0005-0000-0000-0000DF110000}"/>
    <cellStyle name="20% - akcent 6 7 2" xfId="86" xr:uid="{00000000-0005-0000-0000-0000E0110000}"/>
    <cellStyle name="20% - akcent 6 7 2 2" xfId="4871" xr:uid="{00000000-0005-0000-0000-0000E1110000}"/>
    <cellStyle name="20% - akcent 6 7 3" xfId="4872" xr:uid="{00000000-0005-0000-0000-0000E2110000}"/>
    <cellStyle name="20% - akcent 6 7 4" xfId="4873" xr:uid="{00000000-0005-0000-0000-0000E3110000}"/>
    <cellStyle name="20% - akcent 6 7 5" xfId="4870" xr:uid="{00000000-0005-0000-0000-0000E4110000}"/>
    <cellStyle name="20% - akcent 6 8" xfId="4874" xr:uid="{00000000-0005-0000-0000-0000E5110000}"/>
    <cellStyle name="20% - akcent 6 8 2" xfId="4875" xr:uid="{00000000-0005-0000-0000-0000E6110000}"/>
    <cellStyle name="20% - akcent 6 8 3" xfId="4876" xr:uid="{00000000-0005-0000-0000-0000E7110000}"/>
    <cellStyle name="20% - akcent 6 8 4" xfId="4877" xr:uid="{00000000-0005-0000-0000-0000E8110000}"/>
    <cellStyle name="20% - akcent 6 9" xfId="4878" xr:uid="{00000000-0005-0000-0000-0000E9110000}"/>
    <cellStyle name="20% - Akzent1" xfId="4879" xr:uid="{00000000-0005-0000-0000-0000EA110000}"/>
    <cellStyle name="20% - Akzent2" xfId="4880" xr:uid="{00000000-0005-0000-0000-0000EB110000}"/>
    <cellStyle name="20% - Akzent3" xfId="4881" xr:uid="{00000000-0005-0000-0000-0000EC110000}"/>
    <cellStyle name="20% - Akzent4" xfId="4882" xr:uid="{00000000-0005-0000-0000-0000ED110000}"/>
    <cellStyle name="20% - Akzent5" xfId="4883" xr:uid="{00000000-0005-0000-0000-0000EE110000}"/>
    <cellStyle name="20% - Akzent6" xfId="4884" xr:uid="{00000000-0005-0000-0000-0000EF110000}"/>
    <cellStyle name="20% - Énfasis1" xfId="4885" xr:uid="{00000000-0005-0000-0000-0000F0110000}"/>
    <cellStyle name="20% - Énfasis2" xfId="4886" xr:uid="{00000000-0005-0000-0000-0000F1110000}"/>
    <cellStyle name="20% - Énfasis3" xfId="4887" xr:uid="{00000000-0005-0000-0000-0000F2110000}"/>
    <cellStyle name="20% - Énfasis4" xfId="4888" xr:uid="{00000000-0005-0000-0000-0000F3110000}"/>
    <cellStyle name="20% - Énfasis5" xfId="4889" xr:uid="{00000000-0005-0000-0000-0000F4110000}"/>
    <cellStyle name="20% - Énfasis6" xfId="4890" xr:uid="{00000000-0005-0000-0000-0000F5110000}"/>
    <cellStyle name="40% - Accent1" xfId="4891" xr:uid="{00000000-0005-0000-0000-0000F6110000}"/>
    <cellStyle name="40% - Accent1 2" xfId="4892" xr:uid="{00000000-0005-0000-0000-0000F7110000}"/>
    <cellStyle name="40% - Accent1 3" xfId="4893" xr:uid="{00000000-0005-0000-0000-0000F8110000}"/>
    <cellStyle name="40% - Accent1 4" xfId="4894" xr:uid="{00000000-0005-0000-0000-0000F9110000}"/>
    <cellStyle name="40% - Accent1 5" xfId="4895" xr:uid="{00000000-0005-0000-0000-0000FA110000}"/>
    <cellStyle name="40% - Accent1 6" xfId="4896" xr:uid="{00000000-0005-0000-0000-0000FB110000}"/>
    <cellStyle name="40% - Accent1 7" xfId="4897" xr:uid="{00000000-0005-0000-0000-0000FC110000}"/>
    <cellStyle name="40% - Accent1 8" xfId="4898" xr:uid="{00000000-0005-0000-0000-0000FD110000}"/>
    <cellStyle name="40% - Accent1 9" xfId="4899" xr:uid="{00000000-0005-0000-0000-0000FE110000}"/>
    <cellStyle name="40% - Accent1_PGE Rzeszów Budget" xfId="38647" xr:uid="{9DB6E2E1-C5F1-4432-AA1F-412261BF2DAF}"/>
    <cellStyle name="40% - Accent2" xfId="4900" xr:uid="{00000000-0005-0000-0000-0000FF110000}"/>
    <cellStyle name="40% - Accent2 2" xfId="4901" xr:uid="{00000000-0005-0000-0000-000000120000}"/>
    <cellStyle name="40% - Accent2 3" xfId="4902" xr:uid="{00000000-0005-0000-0000-000001120000}"/>
    <cellStyle name="40% - Accent2 4" xfId="4903" xr:uid="{00000000-0005-0000-0000-000002120000}"/>
    <cellStyle name="40% - Accent2 5" xfId="4904" xr:uid="{00000000-0005-0000-0000-000003120000}"/>
    <cellStyle name="40% - Accent2 6" xfId="4905" xr:uid="{00000000-0005-0000-0000-000004120000}"/>
    <cellStyle name="40% - Accent2 7" xfId="4906" xr:uid="{00000000-0005-0000-0000-000005120000}"/>
    <cellStyle name="40% - Accent2 8" xfId="4907" xr:uid="{00000000-0005-0000-0000-000006120000}"/>
    <cellStyle name="40% - Accent2 9" xfId="4908" xr:uid="{00000000-0005-0000-0000-000007120000}"/>
    <cellStyle name="40% - Accent2_PGE Rzeszów Budget" xfId="38648" xr:uid="{8278E429-A2B1-4BFD-8577-DB243974262E}"/>
    <cellStyle name="40% - Accent3" xfId="4909" xr:uid="{00000000-0005-0000-0000-000008120000}"/>
    <cellStyle name="40% - Accent3 2" xfId="4910" xr:uid="{00000000-0005-0000-0000-000009120000}"/>
    <cellStyle name="40% - Accent3 3" xfId="4911" xr:uid="{00000000-0005-0000-0000-00000A120000}"/>
    <cellStyle name="40% - Accent3 4" xfId="4912" xr:uid="{00000000-0005-0000-0000-00000B120000}"/>
    <cellStyle name="40% - Accent3 5" xfId="4913" xr:uid="{00000000-0005-0000-0000-00000C120000}"/>
    <cellStyle name="40% - Accent3 6" xfId="4914" xr:uid="{00000000-0005-0000-0000-00000D120000}"/>
    <cellStyle name="40% - Accent3 7" xfId="4915" xr:uid="{00000000-0005-0000-0000-00000E120000}"/>
    <cellStyle name="40% - Accent3 8" xfId="4916" xr:uid="{00000000-0005-0000-0000-00000F120000}"/>
    <cellStyle name="40% - Accent3 9" xfId="4917" xr:uid="{00000000-0005-0000-0000-000010120000}"/>
    <cellStyle name="40% - Accent3_PGE Rzeszów Budget" xfId="38649" xr:uid="{E752CA53-F219-486D-ADC4-24B555EAA6BD}"/>
    <cellStyle name="40% - Accent4" xfId="4918" xr:uid="{00000000-0005-0000-0000-000011120000}"/>
    <cellStyle name="40% - Accent4 2" xfId="4919" xr:uid="{00000000-0005-0000-0000-000012120000}"/>
    <cellStyle name="40% - Accent4 3" xfId="4920" xr:uid="{00000000-0005-0000-0000-000013120000}"/>
    <cellStyle name="40% - Accent4 4" xfId="4921" xr:uid="{00000000-0005-0000-0000-000014120000}"/>
    <cellStyle name="40% - Accent4 5" xfId="4922" xr:uid="{00000000-0005-0000-0000-000015120000}"/>
    <cellStyle name="40% - Accent4 6" xfId="4923" xr:uid="{00000000-0005-0000-0000-000016120000}"/>
    <cellStyle name="40% - Accent4 7" xfId="4924" xr:uid="{00000000-0005-0000-0000-000017120000}"/>
    <cellStyle name="40% - Accent4 8" xfId="4925" xr:uid="{00000000-0005-0000-0000-000018120000}"/>
    <cellStyle name="40% - Accent4 9" xfId="4926" xr:uid="{00000000-0005-0000-0000-000019120000}"/>
    <cellStyle name="40% - Accent4_PGE Rzeszów Budget" xfId="38650" xr:uid="{9110740A-3FAC-4921-8606-98BABCC10BCB}"/>
    <cellStyle name="40% - Accent5" xfId="4927" xr:uid="{00000000-0005-0000-0000-00001A120000}"/>
    <cellStyle name="40% - Accent5 2" xfId="4928" xr:uid="{00000000-0005-0000-0000-00001B120000}"/>
    <cellStyle name="40% - Accent5 3" xfId="4929" xr:uid="{00000000-0005-0000-0000-00001C120000}"/>
    <cellStyle name="40% - Accent5 4" xfId="4930" xr:uid="{00000000-0005-0000-0000-00001D120000}"/>
    <cellStyle name="40% - Accent5 5" xfId="4931" xr:uid="{00000000-0005-0000-0000-00001E120000}"/>
    <cellStyle name="40% - Accent5 6" xfId="4932" xr:uid="{00000000-0005-0000-0000-00001F120000}"/>
    <cellStyle name="40% - Accent5 7" xfId="4933" xr:uid="{00000000-0005-0000-0000-000020120000}"/>
    <cellStyle name="40% - Accent5 8" xfId="4934" xr:uid="{00000000-0005-0000-0000-000021120000}"/>
    <cellStyle name="40% - Accent5 9" xfId="4935" xr:uid="{00000000-0005-0000-0000-000022120000}"/>
    <cellStyle name="40% - Accent5_PGE Rzeszów Budget" xfId="38651" xr:uid="{1741F7E4-BF7A-4E50-BEA9-909D199438BF}"/>
    <cellStyle name="40% - Accent6" xfId="4936" xr:uid="{00000000-0005-0000-0000-000023120000}"/>
    <cellStyle name="40% - Accent6 2" xfId="4937" xr:uid="{00000000-0005-0000-0000-000024120000}"/>
    <cellStyle name="40% - Accent6 3" xfId="4938" xr:uid="{00000000-0005-0000-0000-000025120000}"/>
    <cellStyle name="40% - Accent6 4" xfId="4939" xr:uid="{00000000-0005-0000-0000-000026120000}"/>
    <cellStyle name="40% - Accent6 5" xfId="4940" xr:uid="{00000000-0005-0000-0000-000027120000}"/>
    <cellStyle name="40% - Accent6 6" xfId="4941" xr:uid="{00000000-0005-0000-0000-000028120000}"/>
    <cellStyle name="40% - Accent6 7" xfId="4942" xr:uid="{00000000-0005-0000-0000-000029120000}"/>
    <cellStyle name="40% - Accent6 8" xfId="4943" xr:uid="{00000000-0005-0000-0000-00002A120000}"/>
    <cellStyle name="40% - Accent6 9" xfId="4944" xr:uid="{00000000-0005-0000-0000-00002B120000}"/>
    <cellStyle name="40% - Accent6_PGE Rzeszów Budget" xfId="38652" xr:uid="{9453E137-2D98-4A7E-B5E5-6CE78EA40312}"/>
    <cellStyle name="40% - akcent 1 1" xfId="4945" xr:uid="{00000000-0005-0000-0000-00002C120000}"/>
    <cellStyle name="40% - akcent 1 10" xfId="4946" xr:uid="{00000000-0005-0000-0000-00002D120000}"/>
    <cellStyle name="40% - akcent 1 11" xfId="4947" xr:uid="{00000000-0005-0000-0000-00002E120000}"/>
    <cellStyle name="40% - akcent 1 12" xfId="4948" xr:uid="{00000000-0005-0000-0000-00002F120000}"/>
    <cellStyle name="40% - akcent 1 13" xfId="4949" xr:uid="{00000000-0005-0000-0000-000030120000}"/>
    <cellStyle name="40% - akcent 1 14" xfId="4950" xr:uid="{00000000-0005-0000-0000-000031120000}"/>
    <cellStyle name="40% - akcent 1 15" xfId="4951" xr:uid="{00000000-0005-0000-0000-000032120000}"/>
    <cellStyle name="40% - akcent 1 16" xfId="4952" xr:uid="{00000000-0005-0000-0000-000033120000}"/>
    <cellStyle name="40% - akcent 1 17" xfId="4953" xr:uid="{00000000-0005-0000-0000-000034120000}"/>
    <cellStyle name="40% - akcent 1 18" xfId="4954" xr:uid="{00000000-0005-0000-0000-000035120000}"/>
    <cellStyle name="40% - akcent 1 19" xfId="4955" xr:uid="{00000000-0005-0000-0000-000036120000}"/>
    <cellStyle name="40% - akcent 1 2" xfId="87" xr:uid="{00000000-0005-0000-0000-000037120000}"/>
    <cellStyle name="40% - akcent 1 2 10" xfId="4957" xr:uid="{00000000-0005-0000-0000-000038120000}"/>
    <cellStyle name="40% - akcent 1 2 11" xfId="4958" xr:uid="{00000000-0005-0000-0000-000039120000}"/>
    <cellStyle name="40% - akcent 1 2 12" xfId="4959" xr:uid="{00000000-0005-0000-0000-00003A120000}"/>
    <cellStyle name="40% - akcent 1 2 13" xfId="4960" xr:uid="{00000000-0005-0000-0000-00003B120000}"/>
    <cellStyle name="40% - akcent 1 2 13 10" xfId="4961" xr:uid="{00000000-0005-0000-0000-00003C120000}"/>
    <cellStyle name="40% - akcent 1 2 13 11" xfId="4962" xr:uid="{00000000-0005-0000-0000-00003D120000}"/>
    <cellStyle name="40% - akcent 1 2 13 12" xfId="4963" xr:uid="{00000000-0005-0000-0000-00003E120000}"/>
    <cellStyle name="40% - akcent 1 2 13 2" xfId="4964" xr:uid="{00000000-0005-0000-0000-00003F120000}"/>
    <cellStyle name="40% - akcent 1 2 13 2 10" xfId="4965" xr:uid="{00000000-0005-0000-0000-000040120000}"/>
    <cellStyle name="40% - akcent 1 2 13 2 11" xfId="4966" xr:uid="{00000000-0005-0000-0000-000041120000}"/>
    <cellStyle name="40% - akcent 1 2 13 2 2" xfId="4967" xr:uid="{00000000-0005-0000-0000-000042120000}"/>
    <cellStyle name="40% - akcent 1 2 13 2 2 10" xfId="4968" xr:uid="{00000000-0005-0000-0000-000043120000}"/>
    <cellStyle name="40% - akcent 1 2 13 2 2 11" xfId="4969" xr:uid="{00000000-0005-0000-0000-000044120000}"/>
    <cellStyle name="40% - akcent 1 2 13 2 2 2" xfId="4970" xr:uid="{00000000-0005-0000-0000-000045120000}"/>
    <cellStyle name="40% - akcent 1 2 13 2 2 2 2" xfId="4971" xr:uid="{00000000-0005-0000-0000-000046120000}"/>
    <cellStyle name="40% - akcent 1 2 13 2 2 2 2 2" xfId="4972" xr:uid="{00000000-0005-0000-0000-000047120000}"/>
    <cellStyle name="40% - akcent 1 2 13 2 2 2 2 3" xfId="4973" xr:uid="{00000000-0005-0000-0000-000048120000}"/>
    <cellStyle name="40% - akcent 1 2 13 2 2 2 2 4" xfId="4974" xr:uid="{00000000-0005-0000-0000-000049120000}"/>
    <cellStyle name="40% - akcent 1 2 13 2 2 2 2 5" xfId="4975" xr:uid="{00000000-0005-0000-0000-00004A120000}"/>
    <cellStyle name="40% - akcent 1 2 13 2 2 2 2 6" xfId="4976" xr:uid="{00000000-0005-0000-0000-00004B120000}"/>
    <cellStyle name="40% - akcent 1 2 13 2 2 2 3" xfId="4977" xr:uid="{00000000-0005-0000-0000-00004C120000}"/>
    <cellStyle name="40% - akcent 1 2 13 2 2 2 4" xfId="4978" xr:uid="{00000000-0005-0000-0000-00004D120000}"/>
    <cellStyle name="40% - akcent 1 2 13 2 2 2 5" xfId="4979" xr:uid="{00000000-0005-0000-0000-00004E120000}"/>
    <cellStyle name="40% - akcent 1 2 13 2 2 2 6" xfId="4980" xr:uid="{00000000-0005-0000-0000-00004F120000}"/>
    <cellStyle name="40% - akcent 1 2 13 2 2 2 7" xfId="4981" xr:uid="{00000000-0005-0000-0000-000050120000}"/>
    <cellStyle name="40% - akcent 1 2 13 2 2 3" xfId="4982" xr:uid="{00000000-0005-0000-0000-000051120000}"/>
    <cellStyle name="40% - akcent 1 2 13 2 2 4" xfId="4983" xr:uid="{00000000-0005-0000-0000-000052120000}"/>
    <cellStyle name="40% - akcent 1 2 13 2 2 5" xfId="4984" xr:uid="{00000000-0005-0000-0000-000053120000}"/>
    <cellStyle name="40% - akcent 1 2 13 2 2 6" xfId="4985" xr:uid="{00000000-0005-0000-0000-000054120000}"/>
    <cellStyle name="40% - akcent 1 2 13 2 2 7" xfId="4986" xr:uid="{00000000-0005-0000-0000-000055120000}"/>
    <cellStyle name="40% - akcent 1 2 13 2 2 7 2" xfId="4987" xr:uid="{00000000-0005-0000-0000-000056120000}"/>
    <cellStyle name="40% - akcent 1 2 13 2 2 7 3" xfId="4988" xr:uid="{00000000-0005-0000-0000-000057120000}"/>
    <cellStyle name="40% - akcent 1 2 13 2 2 7 4" xfId="4989" xr:uid="{00000000-0005-0000-0000-000058120000}"/>
    <cellStyle name="40% - akcent 1 2 13 2 2 7 5" xfId="4990" xr:uid="{00000000-0005-0000-0000-000059120000}"/>
    <cellStyle name="40% - akcent 1 2 13 2 2 7 6" xfId="4991" xr:uid="{00000000-0005-0000-0000-00005A120000}"/>
    <cellStyle name="40% - akcent 1 2 13 2 2 8" xfId="4992" xr:uid="{00000000-0005-0000-0000-00005B120000}"/>
    <cellStyle name="40% - akcent 1 2 13 2 2 9" xfId="4993" xr:uid="{00000000-0005-0000-0000-00005C120000}"/>
    <cellStyle name="40% - akcent 1 2 13 2 3" xfId="4994" xr:uid="{00000000-0005-0000-0000-00005D120000}"/>
    <cellStyle name="40% - akcent 1 2 13 2 3 2" xfId="4995" xr:uid="{00000000-0005-0000-0000-00005E120000}"/>
    <cellStyle name="40% - akcent 1 2 13 2 3 2 2" xfId="4996" xr:uid="{00000000-0005-0000-0000-00005F120000}"/>
    <cellStyle name="40% - akcent 1 2 13 2 3 2 3" xfId="4997" xr:uid="{00000000-0005-0000-0000-000060120000}"/>
    <cellStyle name="40% - akcent 1 2 13 2 3 2 4" xfId="4998" xr:uid="{00000000-0005-0000-0000-000061120000}"/>
    <cellStyle name="40% - akcent 1 2 13 2 3 2 5" xfId="4999" xr:uid="{00000000-0005-0000-0000-000062120000}"/>
    <cellStyle name="40% - akcent 1 2 13 2 3 2 6" xfId="5000" xr:uid="{00000000-0005-0000-0000-000063120000}"/>
    <cellStyle name="40% - akcent 1 2 13 2 3 3" xfId="5001" xr:uid="{00000000-0005-0000-0000-000064120000}"/>
    <cellStyle name="40% - akcent 1 2 13 2 3 4" xfId="5002" xr:uid="{00000000-0005-0000-0000-000065120000}"/>
    <cellStyle name="40% - akcent 1 2 13 2 3 5" xfId="5003" xr:uid="{00000000-0005-0000-0000-000066120000}"/>
    <cellStyle name="40% - akcent 1 2 13 2 3 6" xfId="5004" xr:uid="{00000000-0005-0000-0000-000067120000}"/>
    <cellStyle name="40% - akcent 1 2 13 2 3 7" xfId="5005" xr:uid="{00000000-0005-0000-0000-000068120000}"/>
    <cellStyle name="40% - akcent 1 2 13 2 4" xfId="5006" xr:uid="{00000000-0005-0000-0000-000069120000}"/>
    <cellStyle name="40% - akcent 1 2 13 2 5" xfId="5007" xr:uid="{00000000-0005-0000-0000-00006A120000}"/>
    <cellStyle name="40% - akcent 1 2 13 2 6" xfId="5008" xr:uid="{00000000-0005-0000-0000-00006B120000}"/>
    <cellStyle name="40% - akcent 1 2 13 2 7" xfId="5009" xr:uid="{00000000-0005-0000-0000-00006C120000}"/>
    <cellStyle name="40% - akcent 1 2 13 2 7 2" xfId="5010" xr:uid="{00000000-0005-0000-0000-00006D120000}"/>
    <cellStyle name="40% - akcent 1 2 13 2 7 3" xfId="5011" xr:uid="{00000000-0005-0000-0000-00006E120000}"/>
    <cellStyle name="40% - akcent 1 2 13 2 7 4" xfId="5012" xr:uid="{00000000-0005-0000-0000-00006F120000}"/>
    <cellStyle name="40% - akcent 1 2 13 2 7 5" xfId="5013" xr:uid="{00000000-0005-0000-0000-000070120000}"/>
    <cellStyle name="40% - akcent 1 2 13 2 7 6" xfId="5014" xr:uid="{00000000-0005-0000-0000-000071120000}"/>
    <cellStyle name="40% - akcent 1 2 13 2 8" xfId="5015" xr:uid="{00000000-0005-0000-0000-000072120000}"/>
    <cellStyle name="40% - akcent 1 2 13 2 9" xfId="5016" xr:uid="{00000000-0005-0000-0000-000073120000}"/>
    <cellStyle name="40% - akcent 1 2 13 3" xfId="5017" xr:uid="{00000000-0005-0000-0000-000074120000}"/>
    <cellStyle name="40% - akcent 1 2 13 3 2" xfId="5018" xr:uid="{00000000-0005-0000-0000-000075120000}"/>
    <cellStyle name="40% - akcent 1 2 13 3 2 2" xfId="5019" xr:uid="{00000000-0005-0000-0000-000076120000}"/>
    <cellStyle name="40% - akcent 1 2 13 3 2 3" xfId="5020" xr:uid="{00000000-0005-0000-0000-000077120000}"/>
    <cellStyle name="40% - akcent 1 2 13 3 2 4" xfId="5021" xr:uid="{00000000-0005-0000-0000-000078120000}"/>
    <cellStyle name="40% - akcent 1 2 13 3 2 5" xfId="5022" xr:uid="{00000000-0005-0000-0000-000079120000}"/>
    <cellStyle name="40% - akcent 1 2 13 3 2 6" xfId="5023" xr:uid="{00000000-0005-0000-0000-00007A120000}"/>
    <cellStyle name="40% - akcent 1 2 13 3 3" xfId="5024" xr:uid="{00000000-0005-0000-0000-00007B120000}"/>
    <cellStyle name="40% - akcent 1 2 13 3 4" xfId="5025" xr:uid="{00000000-0005-0000-0000-00007C120000}"/>
    <cellStyle name="40% - akcent 1 2 13 3 5" xfId="5026" xr:uid="{00000000-0005-0000-0000-00007D120000}"/>
    <cellStyle name="40% - akcent 1 2 13 3 6" xfId="5027" xr:uid="{00000000-0005-0000-0000-00007E120000}"/>
    <cellStyle name="40% - akcent 1 2 13 3 7" xfId="5028" xr:uid="{00000000-0005-0000-0000-00007F120000}"/>
    <cellStyle name="40% - akcent 1 2 13 4" xfId="5029" xr:uid="{00000000-0005-0000-0000-000080120000}"/>
    <cellStyle name="40% - akcent 1 2 13 5" xfId="5030" xr:uid="{00000000-0005-0000-0000-000081120000}"/>
    <cellStyle name="40% - akcent 1 2 13 6" xfId="5031" xr:uid="{00000000-0005-0000-0000-000082120000}"/>
    <cellStyle name="40% - akcent 1 2 13 7" xfId="5032" xr:uid="{00000000-0005-0000-0000-000083120000}"/>
    <cellStyle name="40% - akcent 1 2 13 8" xfId="5033" xr:uid="{00000000-0005-0000-0000-000084120000}"/>
    <cellStyle name="40% - akcent 1 2 13 8 2" xfId="5034" xr:uid="{00000000-0005-0000-0000-000085120000}"/>
    <cellStyle name="40% - akcent 1 2 13 8 3" xfId="5035" xr:uid="{00000000-0005-0000-0000-000086120000}"/>
    <cellStyle name="40% - akcent 1 2 13 8 4" xfId="5036" xr:uid="{00000000-0005-0000-0000-000087120000}"/>
    <cellStyle name="40% - akcent 1 2 13 8 5" xfId="5037" xr:uid="{00000000-0005-0000-0000-000088120000}"/>
    <cellStyle name="40% - akcent 1 2 13 8 6" xfId="5038" xr:uid="{00000000-0005-0000-0000-000089120000}"/>
    <cellStyle name="40% - akcent 1 2 13 9" xfId="5039" xr:uid="{00000000-0005-0000-0000-00008A120000}"/>
    <cellStyle name="40% - akcent 1 2 14" xfId="5040" xr:uid="{00000000-0005-0000-0000-00008B120000}"/>
    <cellStyle name="40% - akcent 1 2 14 10" xfId="5041" xr:uid="{00000000-0005-0000-0000-00008C120000}"/>
    <cellStyle name="40% - akcent 1 2 14 11" xfId="5042" xr:uid="{00000000-0005-0000-0000-00008D120000}"/>
    <cellStyle name="40% - akcent 1 2 14 2" xfId="5043" xr:uid="{00000000-0005-0000-0000-00008E120000}"/>
    <cellStyle name="40% - akcent 1 2 14 2 2" xfId="5044" xr:uid="{00000000-0005-0000-0000-00008F120000}"/>
    <cellStyle name="40% - akcent 1 2 14 2 2 2" xfId="5045" xr:uid="{00000000-0005-0000-0000-000090120000}"/>
    <cellStyle name="40% - akcent 1 2 14 2 2 3" xfId="5046" xr:uid="{00000000-0005-0000-0000-000091120000}"/>
    <cellStyle name="40% - akcent 1 2 14 2 2 4" xfId="5047" xr:uid="{00000000-0005-0000-0000-000092120000}"/>
    <cellStyle name="40% - akcent 1 2 14 2 2 5" xfId="5048" xr:uid="{00000000-0005-0000-0000-000093120000}"/>
    <cellStyle name="40% - akcent 1 2 14 2 2 6" xfId="5049" xr:uid="{00000000-0005-0000-0000-000094120000}"/>
    <cellStyle name="40% - akcent 1 2 14 2 3" xfId="5050" xr:uid="{00000000-0005-0000-0000-000095120000}"/>
    <cellStyle name="40% - akcent 1 2 14 2 4" xfId="5051" xr:uid="{00000000-0005-0000-0000-000096120000}"/>
    <cellStyle name="40% - akcent 1 2 14 2 5" xfId="5052" xr:uid="{00000000-0005-0000-0000-000097120000}"/>
    <cellStyle name="40% - akcent 1 2 14 2 6" xfId="5053" xr:uid="{00000000-0005-0000-0000-000098120000}"/>
    <cellStyle name="40% - akcent 1 2 14 2 7" xfId="5054" xr:uid="{00000000-0005-0000-0000-000099120000}"/>
    <cellStyle name="40% - akcent 1 2 14 3" xfId="5055" xr:uid="{00000000-0005-0000-0000-00009A120000}"/>
    <cellStyle name="40% - akcent 1 2 14 4" xfId="5056" xr:uid="{00000000-0005-0000-0000-00009B120000}"/>
    <cellStyle name="40% - akcent 1 2 14 5" xfId="5057" xr:uid="{00000000-0005-0000-0000-00009C120000}"/>
    <cellStyle name="40% - akcent 1 2 14 6" xfId="5058" xr:uid="{00000000-0005-0000-0000-00009D120000}"/>
    <cellStyle name="40% - akcent 1 2 14 7" xfId="5059" xr:uid="{00000000-0005-0000-0000-00009E120000}"/>
    <cellStyle name="40% - akcent 1 2 14 7 2" xfId="5060" xr:uid="{00000000-0005-0000-0000-00009F120000}"/>
    <cellStyle name="40% - akcent 1 2 14 7 3" xfId="5061" xr:uid="{00000000-0005-0000-0000-0000A0120000}"/>
    <cellStyle name="40% - akcent 1 2 14 7 4" xfId="5062" xr:uid="{00000000-0005-0000-0000-0000A1120000}"/>
    <cellStyle name="40% - akcent 1 2 14 7 5" xfId="5063" xr:uid="{00000000-0005-0000-0000-0000A2120000}"/>
    <cellStyle name="40% - akcent 1 2 14 7 6" xfId="5064" xr:uid="{00000000-0005-0000-0000-0000A3120000}"/>
    <cellStyle name="40% - akcent 1 2 14 8" xfId="5065" xr:uid="{00000000-0005-0000-0000-0000A4120000}"/>
    <cellStyle name="40% - akcent 1 2 14 9" xfId="5066" xr:uid="{00000000-0005-0000-0000-0000A5120000}"/>
    <cellStyle name="40% - akcent 1 2 15" xfId="5067" xr:uid="{00000000-0005-0000-0000-0000A6120000}"/>
    <cellStyle name="40% - akcent 1 2 15 2" xfId="5068" xr:uid="{00000000-0005-0000-0000-0000A7120000}"/>
    <cellStyle name="40% - akcent 1 2 15 2 2" xfId="5069" xr:uid="{00000000-0005-0000-0000-0000A8120000}"/>
    <cellStyle name="40% - akcent 1 2 15 2 3" xfId="5070" xr:uid="{00000000-0005-0000-0000-0000A9120000}"/>
    <cellStyle name="40% - akcent 1 2 15 2 4" xfId="5071" xr:uid="{00000000-0005-0000-0000-0000AA120000}"/>
    <cellStyle name="40% - akcent 1 2 15 2 5" xfId="5072" xr:uid="{00000000-0005-0000-0000-0000AB120000}"/>
    <cellStyle name="40% - akcent 1 2 15 2 6" xfId="5073" xr:uid="{00000000-0005-0000-0000-0000AC120000}"/>
    <cellStyle name="40% - akcent 1 2 15 3" xfId="5074" xr:uid="{00000000-0005-0000-0000-0000AD120000}"/>
    <cellStyle name="40% - akcent 1 2 15 4" xfId="5075" xr:uid="{00000000-0005-0000-0000-0000AE120000}"/>
    <cellStyle name="40% - akcent 1 2 15 5" xfId="5076" xr:uid="{00000000-0005-0000-0000-0000AF120000}"/>
    <cellStyle name="40% - akcent 1 2 15 6" xfId="5077" xr:uid="{00000000-0005-0000-0000-0000B0120000}"/>
    <cellStyle name="40% - akcent 1 2 15 7" xfId="5078" xr:uid="{00000000-0005-0000-0000-0000B1120000}"/>
    <cellStyle name="40% - akcent 1 2 16" xfId="5079" xr:uid="{00000000-0005-0000-0000-0000B2120000}"/>
    <cellStyle name="40% - akcent 1 2 17" xfId="5080" xr:uid="{00000000-0005-0000-0000-0000B3120000}"/>
    <cellStyle name="40% - akcent 1 2 18" xfId="5081" xr:uid="{00000000-0005-0000-0000-0000B4120000}"/>
    <cellStyle name="40% - akcent 1 2 19" xfId="5082" xr:uid="{00000000-0005-0000-0000-0000B5120000}"/>
    <cellStyle name="40% - akcent 1 2 2" xfId="88" xr:uid="{00000000-0005-0000-0000-0000B6120000}"/>
    <cellStyle name="40% - akcent 1 2 2 10" xfId="5084" xr:uid="{00000000-0005-0000-0000-0000B7120000}"/>
    <cellStyle name="40% - akcent 1 2 2 10 10" xfId="5085" xr:uid="{00000000-0005-0000-0000-0000B8120000}"/>
    <cellStyle name="40% - akcent 1 2 2 10 11" xfId="5086" xr:uid="{00000000-0005-0000-0000-0000B9120000}"/>
    <cellStyle name="40% - akcent 1 2 2 10 12" xfId="5087" xr:uid="{00000000-0005-0000-0000-0000BA120000}"/>
    <cellStyle name="40% - akcent 1 2 2 10 2" xfId="5088" xr:uid="{00000000-0005-0000-0000-0000BB120000}"/>
    <cellStyle name="40% - akcent 1 2 2 10 2 10" xfId="5089" xr:uid="{00000000-0005-0000-0000-0000BC120000}"/>
    <cellStyle name="40% - akcent 1 2 2 10 2 11" xfId="5090" xr:uid="{00000000-0005-0000-0000-0000BD120000}"/>
    <cellStyle name="40% - akcent 1 2 2 10 2 2" xfId="5091" xr:uid="{00000000-0005-0000-0000-0000BE120000}"/>
    <cellStyle name="40% - akcent 1 2 2 10 2 2 10" xfId="5092" xr:uid="{00000000-0005-0000-0000-0000BF120000}"/>
    <cellStyle name="40% - akcent 1 2 2 10 2 2 11" xfId="5093" xr:uid="{00000000-0005-0000-0000-0000C0120000}"/>
    <cellStyle name="40% - akcent 1 2 2 10 2 2 2" xfId="5094" xr:uid="{00000000-0005-0000-0000-0000C1120000}"/>
    <cellStyle name="40% - akcent 1 2 2 10 2 2 2 2" xfId="5095" xr:uid="{00000000-0005-0000-0000-0000C2120000}"/>
    <cellStyle name="40% - akcent 1 2 2 10 2 2 2 2 2" xfId="5096" xr:uid="{00000000-0005-0000-0000-0000C3120000}"/>
    <cellStyle name="40% - akcent 1 2 2 10 2 2 2 2 3" xfId="5097" xr:uid="{00000000-0005-0000-0000-0000C4120000}"/>
    <cellStyle name="40% - akcent 1 2 2 10 2 2 2 2 4" xfId="5098" xr:uid="{00000000-0005-0000-0000-0000C5120000}"/>
    <cellStyle name="40% - akcent 1 2 2 10 2 2 2 2 5" xfId="5099" xr:uid="{00000000-0005-0000-0000-0000C6120000}"/>
    <cellStyle name="40% - akcent 1 2 2 10 2 2 2 2 6" xfId="5100" xr:uid="{00000000-0005-0000-0000-0000C7120000}"/>
    <cellStyle name="40% - akcent 1 2 2 10 2 2 2 3" xfId="5101" xr:uid="{00000000-0005-0000-0000-0000C8120000}"/>
    <cellStyle name="40% - akcent 1 2 2 10 2 2 2 4" xfId="5102" xr:uid="{00000000-0005-0000-0000-0000C9120000}"/>
    <cellStyle name="40% - akcent 1 2 2 10 2 2 2 5" xfId="5103" xr:uid="{00000000-0005-0000-0000-0000CA120000}"/>
    <cellStyle name="40% - akcent 1 2 2 10 2 2 2 6" xfId="5104" xr:uid="{00000000-0005-0000-0000-0000CB120000}"/>
    <cellStyle name="40% - akcent 1 2 2 10 2 2 2 7" xfId="5105" xr:uid="{00000000-0005-0000-0000-0000CC120000}"/>
    <cellStyle name="40% - akcent 1 2 2 10 2 2 3" xfId="5106" xr:uid="{00000000-0005-0000-0000-0000CD120000}"/>
    <cellStyle name="40% - akcent 1 2 2 10 2 2 4" xfId="5107" xr:uid="{00000000-0005-0000-0000-0000CE120000}"/>
    <cellStyle name="40% - akcent 1 2 2 10 2 2 5" xfId="5108" xr:uid="{00000000-0005-0000-0000-0000CF120000}"/>
    <cellStyle name="40% - akcent 1 2 2 10 2 2 6" xfId="5109" xr:uid="{00000000-0005-0000-0000-0000D0120000}"/>
    <cellStyle name="40% - akcent 1 2 2 10 2 2 7" xfId="5110" xr:uid="{00000000-0005-0000-0000-0000D1120000}"/>
    <cellStyle name="40% - akcent 1 2 2 10 2 2 7 2" xfId="5111" xr:uid="{00000000-0005-0000-0000-0000D2120000}"/>
    <cellStyle name="40% - akcent 1 2 2 10 2 2 7 3" xfId="5112" xr:uid="{00000000-0005-0000-0000-0000D3120000}"/>
    <cellStyle name="40% - akcent 1 2 2 10 2 2 7 4" xfId="5113" xr:uid="{00000000-0005-0000-0000-0000D4120000}"/>
    <cellStyle name="40% - akcent 1 2 2 10 2 2 7 5" xfId="5114" xr:uid="{00000000-0005-0000-0000-0000D5120000}"/>
    <cellStyle name="40% - akcent 1 2 2 10 2 2 7 6" xfId="5115" xr:uid="{00000000-0005-0000-0000-0000D6120000}"/>
    <cellStyle name="40% - akcent 1 2 2 10 2 2 8" xfId="5116" xr:uid="{00000000-0005-0000-0000-0000D7120000}"/>
    <cellStyle name="40% - akcent 1 2 2 10 2 2 9" xfId="5117" xr:uid="{00000000-0005-0000-0000-0000D8120000}"/>
    <cellStyle name="40% - akcent 1 2 2 10 2 3" xfId="5118" xr:uid="{00000000-0005-0000-0000-0000D9120000}"/>
    <cellStyle name="40% - akcent 1 2 2 10 2 3 2" xfId="5119" xr:uid="{00000000-0005-0000-0000-0000DA120000}"/>
    <cellStyle name="40% - akcent 1 2 2 10 2 3 2 2" xfId="5120" xr:uid="{00000000-0005-0000-0000-0000DB120000}"/>
    <cellStyle name="40% - akcent 1 2 2 10 2 3 2 3" xfId="5121" xr:uid="{00000000-0005-0000-0000-0000DC120000}"/>
    <cellStyle name="40% - akcent 1 2 2 10 2 3 2 4" xfId="5122" xr:uid="{00000000-0005-0000-0000-0000DD120000}"/>
    <cellStyle name="40% - akcent 1 2 2 10 2 3 2 5" xfId="5123" xr:uid="{00000000-0005-0000-0000-0000DE120000}"/>
    <cellStyle name="40% - akcent 1 2 2 10 2 3 2 6" xfId="5124" xr:uid="{00000000-0005-0000-0000-0000DF120000}"/>
    <cellStyle name="40% - akcent 1 2 2 10 2 3 3" xfId="5125" xr:uid="{00000000-0005-0000-0000-0000E0120000}"/>
    <cellStyle name="40% - akcent 1 2 2 10 2 3 4" xfId="5126" xr:uid="{00000000-0005-0000-0000-0000E1120000}"/>
    <cellStyle name="40% - akcent 1 2 2 10 2 3 5" xfId="5127" xr:uid="{00000000-0005-0000-0000-0000E2120000}"/>
    <cellStyle name="40% - akcent 1 2 2 10 2 3 6" xfId="5128" xr:uid="{00000000-0005-0000-0000-0000E3120000}"/>
    <cellStyle name="40% - akcent 1 2 2 10 2 3 7" xfId="5129" xr:uid="{00000000-0005-0000-0000-0000E4120000}"/>
    <cellStyle name="40% - akcent 1 2 2 10 2 4" xfId="5130" xr:uid="{00000000-0005-0000-0000-0000E5120000}"/>
    <cellStyle name="40% - akcent 1 2 2 10 2 5" xfId="5131" xr:uid="{00000000-0005-0000-0000-0000E6120000}"/>
    <cellStyle name="40% - akcent 1 2 2 10 2 6" xfId="5132" xr:uid="{00000000-0005-0000-0000-0000E7120000}"/>
    <cellStyle name="40% - akcent 1 2 2 10 2 7" xfId="5133" xr:uid="{00000000-0005-0000-0000-0000E8120000}"/>
    <cellStyle name="40% - akcent 1 2 2 10 2 7 2" xfId="5134" xr:uid="{00000000-0005-0000-0000-0000E9120000}"/>
    <cellStyle name="40% - akcent 1 2 2 10 2 7 3" xfId="5135" xr:uid="{00000000-0005-0000-0000-0000EA120000}"/>
    <cellStyle name="40% - akcent 1 2 2 10 2 7 4" xfId="5136" xr:uid="{00000000-0005-0000-0000-0000EB120000}"/>
    <cellStyle name="40% - akcent 1 2 2 10 2 7 5" xfId="5137" xr:uid="{00000000-0005-0000-0000-0000EC120000}"/>
    <cellStyle name="40% - akcent 1 2 2 10 2 7 6" xfId="5138" xr:uid="{00000000-0005-0000-0000-0000ED120000}"/>
    <cellStyle name="40% - akcent 1 2 2 10 2 8" xfId="5139" xr:uid="{00000000-0005-0000-0000-0000EE120000}"/>
    <cellStyle name="40% - akcent 1 2 2 10 2 9" xfId="5140" xr:uid="{00000000-0005-0000-0000-0000EF120000}"/>
    <cellStyle name="40% - akcent 1 2 2 10 3" xfId="5141" xr:uid="{00000000-0005-0000-0000-0000F0120000}"/>
    <cellStyle name="40% - akcent 1 2 2 10 3 2" xfId="5142" xr:uid="{00000000-0005-0000-0000-0000F1120000}"/>
    <cellStyle name="40% - akcent 1 2 2 10 3 2 2" xfId="5143" xr:uid="{00000000-0005-0000-0000-0000F2120000}"/>
    <cellStyle name="40% - akcent 1 2 2 10 3 2 3" xfId="5144" xr:uid="{00000000-0005-0000-0000-0000F3120000}"/>
    <cellStyle name="40% - akcent 1 2 2 10 3 2 4" xfId="5145" xr:uid="{00000000-0005-0000-0000-0000F4120000}"/>
    <cellStyle name="40% - akcent 1 2 2 10 3 2 5" xfId="5146" xr:uid="{00000000-0005-0000-0000-0000F5120000}"/>
    <cellStyle name="40% - akcent 1 2 2 10 3 2 6" xfId="5147" xr:uid="{00000000-0005-0000-0000-0000F6120000}"/>
    <cellStyle name="40% - akcent 1 2 2 10 3 3" xfId="5148" xr:uid="{00000000-0005-0000-0000-0000F7120000}"/>
    <cellStyle name="40% - akcent 1 2 2 10 3 4" xfId="5149" xr:uid="{00000000-0005-0000-0000-0000F8120000}"/>
    <cellStyle name="40% - akcent 1 2 2 10 3 5" xfId="5150" xr:uid="{00000000-0005-0000-0000-0000F9120000}"/>
    <cellStyle name="40% - akcent 1 2 2 10 3 6" xfId="5151" xr:uid="{00000000-0005-0000-0000-0000FA120000}"/>
    <cellStyle name="40% - akcent 1 2 2 10 3 7" xfId="5152" xr:uid="{00000000-0005-0000-0000-0000FB120000}"/>
    <cellStyle name="40% - akcent 1 2 2 10 4" xfId="5153" xr:uid="{00000000-0005-0000-0000-0000FC120000}"/>
    <cellStyle name="40% - akcent 1 2 2 10 5" xfId="5154" xr:uid="{00000000-0005-0000-0000-0000FD120000}"/>
    <cellStyle name="40% - akcent 1 2 2 10 6" xfId="5155" xr:uid="{00000000-0005-0000-0000-0000FE120000}"/>
    <cellStyle name="40% - akcent 1 2 2 10 7" xfId="5156" xr:uid="{00000000-0005-0000-0000-0000FF120000}"/>
    <cellStyle name="40% - akcent 1 2 2 10 8" xfId="5157" xr:uid="{00000000-0005-0000-0000-000000130000}"/>
    <cellStyle name="40% - akcent 1 2 2 10 8 2" xfId="5158" xr:uid="{00000000-0005-0000-0000-000001130000}"/>
    <cellStyle name="40% - akcent 1 2 2 10 8 3" xfId="5159" xr:uid="{00000000-0005-0000-0000-000002130000}"/>
    <cellStyle name="40% - akcent 1 2 2 10 8 4" xfId="5160" xr:uid="{00000000-0005-0000-0000-000003130000}"/>
    <cellStyle name="40% - akcent 1 2 2 10 8 5" xfId="5161" xr:uid="{00000000-0005-0000-0000-000004130000}"/>
    <cellStyle name="40% - akcent 1 2 2 10 8 6" xfId="5162" xr:uid="{00000000-0005-0000-0000-000005130000}"/>
    <cellStyle name="40% - akcent 1 2 2 10 9" xfId="5163" xr:uid="{00000000-0005-0000-0000-000006130000}"/>
    <cellStyle name="40% - akcent 1 2 2 11" xfId="5164" xr:uid="{00000000-0005-0000-0000-000007130000}"/>
    <cellStyle name="40% - akcent 1 2 2 11 10" xfId="5165" xr:uid="{00000000-0005-0000-0000-000008130000}"/>
    <cellStyle name="40% - akcent 1 2 2 11 11" xfId="5166" xr:uid="{00000000-0005-0000-0000-000009130000}"/>
    <cellStyle name="40% - akcent 1 2 2 11 2" xfId="5167" xr:uid="{00000000-0005-0000-0000-00000A130000}"/>
    <cellStyle name="40% - akcent 1 2 2 11 2 2" xfId="5168" xr:uid="{00000000-0005-0000-0000-00000B130000}"/>
    <cellStyle name="40% - akcent 1 2 2 11 2 2 2" xfId="5169" xr:uid="{00000000-0005-0000-0000-00000C130000}"/>
    <cellStyle name="40% - akcent 1 2 2 11 2 2 3" xfId="5170" xr:uid="{00000000-0005-0000-0000-00000D130000}"/>
    <cellStyle name="40% - akcent 1 2 2 11 2 2 4" xfId="5171" xr:uid="{00000000-0005-0000-0000-00000E130000}"/>
    <cellStyle name="40% - akcent 1 2 2 11 2 2 5" xfId="5172" xr:uid="{00000000-0005-0000-0000-00000F130000}"/>
    <cellStyle name="40% - akcent 1 2 2 11 2 2 6" xfId="5173" xr:uid="{00000000-0005-0000-0000-000010130000}"/>
    <cellStyle name="40% - akcent 1 2 2 11 2 3" xfId="5174" xr:uid="{00000000-0005-0000-0000-000011130000}"/>
    <cellStyle name="40% - akcent 1 2 2 11 2 4" xfId="5175" xr:uid="{00000000-0005-0000-0000-000012130000}"/>
    <cellStyle name="40% - akcent 1 2 2 11 2 5" xfId="5176" xr:uid="{00000000-0005-0000-0000-000013130000}"/>
    <cellStyle name="40% - akcent 1 2 2 11 2 6" xfId="5177" xr:uid="{00000000-0005-0000-0000-000014130000}"/>
    <cellStyle name="40% - akcent 1 2 2 11 2 7" xfId="5178" xr:uid="{00000000-0005-0000-0000-000015130000}"/>
    <cellStyle name="40% - akcent 1 2 2 11 3" xfId="5179" xr:uid="{00000000-0005-0000-0000-000016130000}"/>
    <cellStyle name="40% - akcent 1 2 2 11 4" xfId="5180" xr:uid="{00000000-0005-0000-0000-000017130000}"/>
    <cellStyle name="40% - akcent 1 2 2 11 5" xfId="5181" xr:uid="{00000000-0005-0000-0000-000018130000}"/>
    <cellStyle name="40% - akcent 1 2 2 11 6" xfId="5182" xr:uid="{00000000-0005-0000-0000-000019130000}"/>
    <cellStyle name="40% - akcent 1 2 2 11 7" xfId="5183" xr:uid="{00000000-0005-0000-0000-00001A130000}"/>
    <cellStyle name="40% - akcent 1 2 2 11 7 2" xfId="5184" xr:uid="{00000000-0005-0000-0000-00001B130000}"/>
    <cellStyle name="40% - akcent 1 2 2 11 7 3" xfId="5185" xr:uid="{00000000-0005-0000-0000-00001C130000}"/>
    <cellStyle name="40% - akcent 1 2 2 11 7 4" xfId="5186" xr:uid="{00000000-0005-0000-0000-00001D130000}"/>
    <cellStyle name="40% - akcent 1 2 2 11 7 5" xfId="5187" xr:uid="{00000000-0005-0000-0000-00001E130000}"/>
    <cellStyle name="40% - akcent 1 2 2 11 7 6" xfId="5188" xr:uid="{00000000-0005-0000-0000-00001F130000}"/>
    <cellStyle name="40% - akcent 1 2 2 11 8" xfId="5189" xr:uid="{00000000-0005-0000-0000-000020130000}"/>
    <cellStyle name="40% - akcent 1 2 2 11 9" xfId="5190" xr:uid="{00000000-0005-0000-0000-000021130000}"/>
    <cellStyle name="40% - akcent 1 2 2 12" xfId="5191" xr:uid="{00000000-0005-0000-0000-000022130000}"/>
    <cellStyle name="40% - akcent 1 2 2 12 2" xfId="5192" xr:uid="{00000000-0005-0000-0000-000023130000}"/>
    <cellStyle name="40% - akcent 1 2 2 12 2 2" xfId="5193" xr:uid="{00000000-0005-0000-0000-000024130000}"/>
    <cellStyle name="40% - akcent 1 2 2 12 2 3" xfId="5194" xr:uid="{00000000-0005-0000-0000-000025130000}"/>
    <cellStyle name="40% - akcent 1 2 2 12 2 4" xfId="5195" xr:uid="{00000000-0005-0000-0000-000026130000}"/>
    <cellStyle name="40% - akcent 1 2 2 12 2 5" xfId="5196" xr:uid="{00000000-0005-0000-0000-000027130000}"/>
    <cellStyle name="40% - akcent 1 2 2 12 2 6" xfId="5197" xr:uid="{00000000-0005-0000-0000-000028130000}"/>
    <cellStyle name="40% - akcent 1 2 2 12 3" xfId="5198" xr:uid="{00000000-0005-0000-0000-000029130000}"/>
    <cellStyle name="40% - akcent 1 2 2 12 4" xfId="5199" xr:uid="{00000000-0005-0000-0000-00002A130000}"/>
    <cellStyle name="40% - akcent 1 2 2 12 5" xfId="5200" xr:uid="{00000000-0005-0000-0000-00002B130000}"/>
    <cellStyle name="40% - akcent 1 2 2 12 6" xfId="5201" xr:uid="{00000000-0005-0000-0000-00002C130000}"/>
    <cellStyle name="40% - akcent 1 2 2 12 7" xfId="5202" xr:uid="{00000000-0005-0000-0000-00002D130000}"/>
    <cellStyle name="40% - akcent 1 2 2 13" xfId="5203" xr:uid="{00000000-0005-0000-0000-00002E130000}"/>
    <cellStyle name="40% - akcent 1 2 2 14" xfId="5204" xr:uid="{00000000-0005-0000-0000-00002F130000}"/>
    <cellStyle name="40% - akcent 1 2 2 15" xfId="5205" xr:uid="{00000000-0005-0000-0000-000030130000}"/>
    <cellStyle name="40% - akcent 1 2 2 16" xfId="5206" xr:uid="{00000000-0005-0000-0000-000031130000}"/>
    <cellStyle name="40% - akcent 1 2 2 17" xfId="5207" xr:uid="{00000000-0005-0000-0000-000032130000}"/>
    <cellStyle name="40% - akcent 1 2 2 18" xfId="5208" xr:uid="{00000000-0005-0000-0000-000033130000}"/>
    <cellStyle name="40% - akcent 1 2 2 18 2" xfId="5209" xr:uid="{00000000-0005-0000-0000-000034130000}"/>
    <cellStyle name="40% - akcent 1 2 2 18 3" xfId="5210" xr:uid="{00000000-0005-0000-0000-000035130000}"/>
    <cellStyle name="40% - akcent 1 2 2 18 4" xfId="5211" xr:uid="{00000000-0005-0000-0000-000036130000}"/>
    <cellStyle name="40% - akcent 1 2 2 18 5" xfId="5212" xr:uid="{00000000-0005-0000-0000-000037130000}"/>
    <cellStyle name="40% - akcent 1 2 2 18 6" xfId="5213" xr:uid="{00000000-0005-0000-0000-000038130000}"/>
    <cellStyle name="40% - akcent 1 2 2 19" xfId="5214" xr:uid="{00000000-0005-0000-0000-000039130000}"/>
    <cellStyle name="40% - akcent 1 2 2 2" xfId="5215" xr:uid="{00000000-0005-0000-0000-00003A130000}"/>
    <cellStyle name="40% - akcent 1 2 2 2 10" xfId="5216" xr:uid="{00000000-0005-0000-0000-00003B130000}"/>
    <cellStyle name="40% - akcent 1 2 2 2 11" xfId="5217" xr:uid="{00000000-0005-0000-0000-00003C130000}"/>
    <cellStyle name="40% - akcent 1 2 2 2 2" xfId="5218" xr:uid="{00000000-0005-0000-0000-00003D130000}"/>
    <cellStyle name="40% - akcent 1 2 2 2 2 10" xfId="5219" xr:uid="{00000000-0005-0000-0000-00003E130000}"/>
    <cellStyle name="40% - akcent 1 2 2 2 2 2" xfId="5220" xr:uid="{00000000-0005-0000-0000-00003F130000}"/>
    <cellStyle name="40% - akcent 1 2 2 2 2 2 2" xfId="5221" xr:uid="{00000000-0005-0000-0000-000040130000}"/>
    <cellStyle name="40% - akcent 1 2 2 2 2 2 2 2" xfId="5222" xr:uid="{00000000-0005-0000-0000-000041130000}"/>
    <cellStyle name="40% - akcent 1 2 2 2 2 2 2 2 2" xfId="5223" xr:uid="{00000000-0005-0000-0000-000042130000}"/>
    <cellStyle name="40% - akcent 1 2 2 2 2 2 2 2 2 2" xfId="5224" xr:uid="{00000000-0005-0000-0000-000043130000}"/>
    <cellStyle name="40% - akcent 1 2 2 2 2 2 2 2 2 3" xfId="5225" xr:uid="{00000000-0005-0000-0000-000044130000}"/>
    <cellStyle name="40% - akcent 1 2 2 2 2 2 2 2 2 4" xfId="5226" xr:uid="{00000000-0005-0000-0000-000045130000}"/>
    <cellStyle name="40% - akcent 1 2 2 2 2 2 2 2 3" xfId="5227" xr:uid="{00000000-0005-0000-0000-000046130000}"/>
    <cellStyle name="40% - akcent 1 2 2 2 2 2 2 2 4" xfId="5228" xr:uid="{00000000-0005-0000-0000-000047130000}"/>
    <cellStyle name="40% - akcent 1 2 2 2 2 2 2 2 5" xfId="5229" xr:uid="{00000000-0005-0000-0000-000048130000}"/>
    <cellStyle name="40% - akcent 1 2 2 2 2 2 2 3" xfId="5230" xr:uid="{00000000-0005-0000-0000-000049130000}"/>
    <cellStyle name="40% - akcent 1 2 2 2 2 2 2 4" xfId="5231" xr:uid="{00000000-0005-0000-0000-00004A130000}"/>
    <cellStyle name="40% - akcent 1 2 2 2 2 2 2 5" xfId="5232" xr:uid="{00000000-0005-0000-0000-00004B130000}"/>
    <cellStyle name="40% - akcent 1 2 2 2 2 2 2 6" xfId="5233" xr:uid="{00000000-0005-0000-0000-00004C130000}"/>
    <cellStyle name="40% - akcent 1 2 2 2 2 2 2 7" xfId="5234" xr:uid="{00000000-0005-0000-0000-00004D130000}"/>
    <cellStyle name="40% - akcent 1 2 2 2 2 2 2 7 2" xfId="5235" xr:uid="{00000000-0005-0000-0000-00004E130000}"/>
    <cellStyle name="40% - akcent 1 2 2 2 2 2 2 7 3" xfId="5236" xr:uid="{00000000-0005-0000-0000-00004F130000}"/>
    <cellStyle name="40% - akcent 1 2 2 2 2 2 2 7 4" xfId="5237" xr:uid="{00000000-0005-0000-0000-000050130000}"/>
    <cellStyle name="40% - akcent 1 2 2 2 2 2 2 7 5" xfId="5238" xr:uid="{00000000-0005-0000-0000-000051130000}"/>
    <cellStyle name="40% - akcent 1 2 2 2 2 2 2 7 6" xfId="5239" xr:uid="{00000000-0005-0000-0000-000052130000}"/>
    <cellStyle name="40% - akcent 1 2 2 2 2 2 2 8" xfId="5240" xr:uid="{00000000-0005-0000-0000-000053130000}"/>
    <cellStyle name="40% - akcent 1 2 2 2 2 2 2 9" xfId="5241" xr:uid="{00000000-0005-0000-0000-000054130000}"/>
    <cellStyle name="40% - akcent 1 2 2 2 2 2 3" xfId="5242" xr:uid="{00000000-0005-0000-0000-000055130000}"/>
    <cellStyle name="40% - akcent 1 2 2 2 2 2 3 2" xfId="5243" xr:uid="{00000000-0005-0000-0000-000056130000}"/>
    <cellStyle name="40% - akcent 1 2 2 2 2 2 3 2 2" xfId="5244" xr:uid="{00000000-0005-0000-0000-000057130000}"/>
    <cellStyle name="40% - akcent 1 2 2 2 2 2 3 2 3" xfId="5245" xr:uid="{00000000-0005-0000-0000-000058130000}"/>
    <cellStyle name="40% - akcent 1 2 2 2 2 2 3 2 4" xfId="5246" xr:uid="{00000000-0005-0000-0000-000059130000}"/>
    <cellStyle name="40% - akcent 1 2 2 2 2 2 3 2 5" xfId="5247" xr:uid="{00000000-0005-0000-0000-00005A130000}"/>
    <cellStyle name="40% - akcent 1 2 2 2 2 2 3 2 6" xfId="5248" xr:uid="{00000000-0005-0000-0000-00005B130000}"/>
    <cellStyle name="40% - akcent 1 2 2 2 2 2 3 3" xfId="5249" xr:uid="{00000000-0005-0000-0000-00005C130000}"/>
    <cellStyle name="40% - akcent 1 2 2 2 2 2 3 4" xfId="5250" xr:uid="{00000000-0005-0000-0000-00005D130000}"/>
    <cellStyle name="40% - akcent 1 2 2 2 2 2 3 5" xfId="5251" xr:uid="{00000000-0005-0000-0000-00005E130000}"/>
    <cellStyle name="40% - akcent 1 2 2 2 2 2 3 6" xfId="5252" xr:uid="{00000000-0005-0000-0000-00005F130000}"/>
    <cellStyle name="40% - akcent 1 2 2 2 2 2 3 7" xfId="5253" xr:uid="{00000000-0005-0000-0000-000060130000}"/>
    <cellStyle name="40% - akcent 1 2 2 2 2 2 4" xfId="5254" xr:uid="{00000000-0005-0000-0000-000061130000}"/>
    <cellStyle name="40% - akcent 1 2 2 2 2 2 5" xfId="5255" xr:uid="{00000000-0005-0000-0000-000062130000}"/>
    <cellStyle name="40% - akcent 1 2 2 2 2 2 6" xfId="5256" xr:uid="{00000000-0005-0000-0000-000063130000}"/>
    <cellStyle name="40% - akcent 1 2 2 2 2 2 7" xfId="5257" xr:uid="{00000000-0005-0000-0000-000064130000}"/>
    <cellStyle name="40% - akcent 1 2 2 2 2 2 7 2" xfId="5258" xr:uid="{00000000-0005-0000-0000-000065130000}"/>
    <cellStyle name="40% - akcent 1 2 2 2 2 2 7 3" xfId="5259" xr:uid="{00000000-0005-0000-0000-000066130000}"/>
    <cellStyle name="40% - akcent 1 2 2 2 2 2 7 4" xfId="5260" xr:uid="{00000000-0005-0000-0000-000067130000}"/>
    <cellStyle name="40% - akcent 1 2 2 2 2 2 7 5" xfId="5261" xr:uid="{00000000-0005-0000-0000-000068130000}"/>
    <cellStyle name="40% - akcent 1 2 2 2 2 2 7 6" xfId="5262" xr:uid="{00000000-0005-0000-0000-000069130000}"/>
    <cellStyle name="40% - akcent 1 2 2 2 2 2 8" xfId="5263" xr:uid="{00000000-0005-0000-0000-00006A130000}"/>
    <cellStyle name="40% - akcent 1 2 2 2 2 2 9" xfId="5264" xr:uid="{00000000-0005-0000-0000-00006B130000}"/>
    <cellStyle name="40% - akcent 1 2 2 2 2 3" xfId="5265" xr:uid="{00000000-0005-0000-0000-00006C130000}"/>
    <cellStyle name="40% - akcent 1 2 2 2 2 3 2" xfId="5266" xr:uid="{00000000-0005-0000-0000-00006D130000}"/>
    <cellStyle name="40% - akcent 1 2 2 2 2 3 2 2" xfId="5267" xr:uid="{00000000-0005-0000-0000-00006E130000}"/>
    <cellStyle name="40% - akcent 1 2 2 2 2 3 2 3" xfId="5268" xr:uid="{00000000-0005-0000-0000-00006F130000}"/>
    <cellStyle name="40% - akcent 1 2 2 2 2 3 2 4" xfId="5269" xr:uid="{00000000-0005-0000-0000-000070130000}"/>
    <cellStyle name="40% - akcent 1 2 2 2 2 3 2 5" xfId="5270" xr:uid="{00000000-0005-0000-0000-000071130000}"/>
    <cellStyle name="40% - akcent 1 2 2 2 2 3 2 6" xfId="5271" xr:uid="{00000000-0005-0000-0000-000072130000}"/>
    <cellStyle name="40% - akcent 1 2 2 2 2 3 3" xfId="5272" xr:uid="{00000000-0005-0000-0000-000073130000}"/>
    <cellStyle name="40% - akcent 1 2 2 2 2 3 4" xfId="5273" xr:uid="{00000000-0005-0000-0000-000074130000}"/>
    <cellStyle name="40% - akcent 1 2 2 2 2 3 5" xfId="5274" xr:uid="{00000000-0005-0000-0000-000075130000}"/>
    <cellStyle name="40% - akcent 1 2 2 2 2 3 6" xfId="5275" xr:uid="{00000000-0005-0000-0000-000076130000}"/>
    <cellStyle name="40% - akcent 1 2 2 2 2 3 7" xfId="5276" xr:uid="{00000000-0005-0000-0000-000077130000}"/>
    <cellStyle name="40% - akcent 1 2 2 2 2 4" xfId="5277" xr:uid="{00000000-0005-0000-0000-000078130000}"/>
    <cellStyle name="40% - akcent 1 2 2 2 2 5" xfId="5278" xr:uid="{00000000-0005-0000-0000-000079130000}"/>
    <cellStyle name="40% - akcent 1 2 2 2 2 6" xfId="5279" xr:uid="{00000000-0005-0000-0000-00007A130000}"/>
    <cellStyle name="40% - akcent 1 2 2 2 2 7" xfId="5280" xr:uid="{00000000-0005-0000-0000-00007B130000}"/>
    <cellStyle name="40% - akcent 1 2 2 2 2 8" xfId="5281" xr:uid="{00000000-0005-0000-0000-00007C130000}"/>
    <cellStyle name="40% - akcent 1 2 2 2 2 8 2" xfId="5282" xr:uid="{00000000-0005-0000-0000-00007D130000}"/>
    <cellStyle name="40% - akcent 1 2 2 2 2 8 3" xfId="5283" xr:uid="{00000000-0005-0000-0000-00007E130000}"/>
    <cellStyle name="40% - akcent 1 2 2 2 2 8 4" xfId="5284" xr:uid="{00000000-0005-0000-0000-00007F130000}"/>
    <cellStyle name="40% - akcent 1 2 2 2 2 8 5" xfId="5285" xr:uid="{00000000-0005-0000-0000-000080130000}"/>
    <cellStyle name="40% - akcent 1 2 2 2 2 8 6" xfId="5286" xr:uid="{00000000-0005-0000-0000-000081130000}"/>
    <cellStyle name="40% - akcent 1 2 2 2 2 9" xfId="5287" xr:uid="{00000000-0005-0000-0000-000082130000}"/>
    <cellStyle name="40% - akcent 1 2 2 2 3" xfId="5288" xr:uid="{00000000-0005-0000-0000-000083130000}"/>
    <cellStyle name="40% - akcent 1 2 2 2 4" xfId="5289" xr:uid="{00000000-0005-0000-0000-000084130000}"/>
    <cellStyle name="40% - akcent 1 2 2 2 4 10" xfId="5290" xr:uid="{00000000-0005-0000-0000-000085130000}"/>
    <cellStyle name="40% - akcent 1 2 2 2 4 11" xfId="5291" xr:uid="{00000000-0005-0000-0000-000086130000}"/>
    <cellStyle name="40% - akcent 1 2 2 2 4 2" xfId="5292" xr:uid="{00000000-0005-0000-0000-000087130000}"/>
    <cellStyle name="40% - akcent 1 2 2 2 4 2 2" xfId="5293" xr:uid="{00000000-0005-0000-0000-000088130000}"/>
    <cellStyle name="40% - akcent 1 2 2 2 4 2 2 2" xfId="5294" xr:uid="{00000000-0005-0000-0000-000089130000}"/>
    <cellStyle name="40% - akcent 1 2 2 2 4 2 2 3" xfId="5295" xr:uid="{00000000-0005-0000-0000-00008A130000}"/>
    <cellStyle name="40% - akcent 1 2 2 2 4 2 2 4" xfId="5296" xr:uid="{00000000-0005-0000-0000-00008B130000}"/>
    <cellStyle name="40% - akcent 1 2 2 2 4 2 2 5" xfId="5297" xr:uid="{00000000-0005-0000-0000-00008C130000}"/>
    <cellStyle name="40% - akcent 1 2 2 2 4 2 2 6" xfId="5298" xr:uid="{00000000-0005-0000-0000-00008D130000}"/>
    <cellStyle name="40% - akcent 1 2 2 2 4 2 3" xfId="5299" xr:uid="{00000000-0005-0000-0000-00008E130000}"/>
    <cellStyle name="40% - akcent 1 2 2 2 4 2 4" xfId="5300" xr:uid="{00000000-0005-0000-0000-00008F130000}"/>
    <cellStyle name="40% - akcent 1 2 2 2 4 2 5" xfId="5301" xr:uid="{00000000-0005-0000-0000-000090130000}"/>
    <cellStyle name="40% - akcent 1 2 2 2 4 2 6" xfId="5302" xr:uid="{00000000-0005-0000-0000-000091130000}"/>
    <cellStyle name="40% - akcent 1 2 2 2 4 2 7" xfId="5303" xr:uid="{00000000-0005-0000-0000-000092130000}"/>
    <cellStyle name="40% - akcent 1 2 2 2 4 3" xfId="5304" xr:uid="{00000000-0005-0000-0000-000093130000}"/>
    <cellStyle name="40% - akcent 1 2 2 2 4 4" xfId="5305" xr:uid="{00000000-0005-0000-0000-000094130000}"/>
    <cellStyle name="40% - akcent 1 2 2 2 4 5" xfId="5306" xr:uid="{00000000-0005-0000-0000-000095130000}"/>
    <cellStyle name="40% - akcent 1 2 2 2 4 6" xfId="5307" xr:uid="{00000000-0005-0000-0000-000096130000}"/>
    <cellStyle name="40% - akcent 1 2 2 2 4 7" xfId="5308" xr:uid="{00000000-0005-0000-0000-000097130000}"/>
    <cellStyle name="40% - akcent 1 2 2 2 4 7 2" xfId="5309" xr:uid="{00000000-0005-0000-0000-000098130000}"/>
    <cellStyle name="40% - akcent 1 2 2 2 4 7 3" xfId="5310" xr:uid="{00000000-0005-0000-0000-000099130000}"/>
    <cellStyle name="40% - akcent 1 2 2 2 4 7 4" xfId="5311" xr:uid="{00000000-0005-0000-0000-00009A130000}"/>
    <cellStyle name="40% - akcent 1 2 2 2 4 7 5" xfId="5312" xr:uid="{00000000-0005-0000-0000-00009B130000}"/>
    <cellStyle name="40% - akcent 1 2 2 2 4 7 6" xfId="5313" xr:uid="{00000000-0005-0000-0000-00009C130000}"/>
    <cellStyle name="40% - akcent 1 2 2 2 4 8" xfId="5314" xr:uid="{00000000-0005-0000-0000-00009D130000}"/>
    <cellStyle name="40% - akcent 1 2 2 2 4 9" xfId="5315" xr:uid="{00000000-0005-0000-0000-00009E130000}"/>
    <cellStyle name="40% - akcent 1 2 2 2 5" xfId="5316" xr:uid="{00000000-0005-0000-0000-00009F130000}"/>
    <cellStyle name="40% - akcent 1 2 2 2 5 2" xfId="5317" xr:uid="{00000000-0005-0000-0000-0000A0130000}"/>
    <cellStyle name="40% - akcent 1 2 2 2 5 2 2" xfId="5318" xr:uid="{00000000-0005-0000-0000-0000A1130000}"/>
    <cellStyle name="40% - akcent 1 2 2 2 5 2 3" xfId="5319" xr:uid="{00000000-0005-0000-0000-0000A2130000}"/>
    <cellStyle name="40% - akcent 1 2 2 2 5 2 4" xfId="5320" xr:uid="{00000000-0005-0000-0000-0000A3130000}"/>
    <cellStyle name="40% - akcent 1 2 2 2 5 2 5" xfId="5321" xr:uid="{00000000-0005-0000-0000-0000A4130000}"/>
    <cellStyle name="40% - akcent 1 2 2 2 5 2 6" xfId="5322" xr:uid="{00000000-0005-0000-0000-0000A5130000}"/>
    <cellStyle name="40% - akcent 1 2 2 2 5 3" xfId="5323" xr:uid="{00000000-0005-0000-0000-0000A6130000}"/>
    <cellStyle name="40% - akcent 1 2 2 2 5 4" xfId="5324" xr:uid="{00000000-0005-0000-0000-0000A7130000}"/>
    <cellStyle name="40% - akcent 1 2 2 2 5 5" xfId="5325" xr:uid="{00000000-0005-0000-0000-0000A8130000}"/>
    <cellStyle name="40% - akcent 1 2 2 2 5 6" xfId="5326" xr:uid="{00000000-0005-0000-0000-0000A9130000}"/>
    <cellStyle name="40% - akcent 1 2 2 2 5 7" xfId="5327" xr:uid="{00000000-0005-0000-0000-0000AA130000}"/>
    <cellStyle name="40% - akcent 1 2 2 2 6" xfId="5328" xr:uid="{00000000-0005-0000-0000-0000AB130000}"/>
    <cellStyle name="40% - akcent 1 2 2 2 7" xfId="5329" xr:uid="{00000000-0005-0000-0000-0000AC130000}"/>
    <cellStyle name="40% - akcent 1 2 2 2 8" xfId="5330" xr:uid="{00000000-0005-0000-0000-0000AD130000}"/>
    <cellStyle name="40% - akcent 1 2 2 2 9" xfId="5331" xr:uid="{00000000-0005-0000-0000-0000AE130000}"/>
    <cellStyle name="40% - akcent 1 2 2 2 9 2" xfId="5332" xr:uid="{00000000-0005-0000-0000-0000AF130000}"/>
    <cellStyle name="40% - akcent 1 2 2 2 9 3" xfId="5333" xr:uid="{00000000-0005-0000-0000-0000B0130000}"/>
    <cellStyle name="40% - akcent 1 2 2 2 9 4" xfId="5334" xr:uid="{00000000-0005-0000-0000-0000B1130000}"/>
    <cellStyle name="40% - akcent 1 2 2 2 9 5" xfId="5335" xr:uid="{00000000-0005-0000-0000-0000B2130000}"/>
    <cellStyle name="40% - akcent 1 2 2 2 9 6" xfId="5336" xr:uid="{00000000-0005-0000-0000-0000B3130000}"/>
    <cellStyle name="40% - akcent 1 2 2 20" xfId="5337" xr:uid="{00000000-0005-0000-0000-0000B4130000}"/>
    <cellStyle name="40% - akcent 1 2 2 21" xfId="5083" xr:uid="{00000000-0005-0000-0000-0000B5130000}"/>
    <cellStyle name="40% - akcent 1 2 2 3" xfId="5338" xr:uid="{00000000-0005-0000-0000-0000B6130000}"/>
    <cellStyle name="40% - akcent 1 2 2 4" xfId="5339" xr:uid="{00000000-0005-0000-0000-0000B7130000}"/>
    <cellStyle name="40% - akcent 1 2 2 5" xfId="5340" xr:uid="{00000000-0005-0000-0000-0000B8130000}"/>
    <cellStyle name="40% - akcent 1 2 2 6" xfId="5341" xr:uid="{00000000-0005-0000-0000-0000B9130000}"/>
    <cellStyle name="40% - akcent 1 2 2 7" xfId="5342" xr:uid="{00000000-0005-0000-0000-0000BA130000}"/>
    <cellStyle name="40% - akcent 1 2 2 8" xfId="5343" xr:uid="{00000000-0005-0000-0000-0000BB130000}"/>
    <cellStyle name="40% - akcent 1 2 2 9" xfId="5344" xr:uid="{00000000-0005-0000-0000-0000BC130000}"/>
    <cellStyle name="40% - akcent 1 2 20" xfId="5345" xr:uid="{00000000-0005-0000-0000-0000BD130000}"/>
    <cellStyle name="40% - akcent 1 2 21" xfId="5346" xr:uid="{00000000-0005-0000-0000-0000BE130000}"/>
    <cellStyle name="40% - akcent 1 2 21 2" xfId="5347" xr:uid="{00000000-0005-0000-0000-0000BF130000}"/>
    <cellStyle name="40% - akcent 1 2 21 3" xfId="5348" xr:uid="{00000000-0005-0000-0000-0000C0130000}"/>
    <cellStyle name="40% - akcent 1 2 21 4" xfId="5349" xr:uid="{00000000-0005-0000-0000-0000C1130000}"/>
    <cellStyle name="40% - akcent 1 2 21 5" xfId="5350" xr:uid="{00000000-0005-0000-0000-0000C2130000}"/>
    <cellStyle name="40% - akcent 1 2 21 6" xfId="5351" xr:uid="{00000000-0005-0000-0000-0000C3130000}"/>
    <cellStyle name="40% - akcent 1 2 22" xfId="5352" xr:uid="{00000000-0005-0000-0000-0000C4130000}"/>
    <cellStyle name="40% - akcent 1 2 23" xfId="5353" xr:uid="{00000000-0005-0000-0000-0000C5130000}"/>
    <cellStyle name="40% - akcent 1 2 24" xfId="5354" xr:uid="{00000000-0005-0000-0000-0000C6130000}"/>
    <cellStyle name="40% - akcent 1 2 25" xfId="5355" xr:uid="{00000000-0005-0000-0000-0000C7130000}"/>
    <cellStyle name="40% - akcent 1 2 26" xfId="5356" xr:uid="{00000000-0005-0000-0000-0000C8130000}"/>
    <cellStyle name="40% - akcent 1 2 27" xfId="5357" xr:uid="{00000000-0005-0000-0000-0000C9130000}"/>
    <cellStyle name="40% - akcent 1 2 28" xfId="5358" xr:uid="{00000000-0005-0000-0000-0000CA130000}"/>
    <cellStyle name="40% - akcent 1 2 29" xfId="5359" xr:uid="{00000000-0005-0000-0000-0000CB130000}"/>
    <cellStyle name="40% - akcent 1 2 3" xfId="5360" xr:uid="{00000000-0005-0000-0000-0000CC130000}"/>
    <cellStyle name="40% - akcent 1 2 30" xfId="5361" xr:uid="{00000000-0005-0000-0000-0000CD130000}"/>
    <cellStyle name="40% - akcent 1 2 31" xfId="5362" xr:uid="{00000000-0005-0000-0000-0000CE130000}"/>
    <cellStyle name="40% - akcent 1 2 32" xfId="4956" xr:uid="{00000000-0005-0000-0000-0000CF130000}"/>
    <cellStyle name="40% - akcent 1 2 33" xfId="37823" xr:uid="{00000000-0005-0000-0000-0000D0130000}"/>
    <cellStyle name="40% - akcent 1 2 4" xfId="5363" xr:uid="{00000000-0005-0000-0000-0000D1130000}"/>
    <cellStyle name="40% - akcent 1 2 5" xfId="5364" xr:uid="{00000000-0005-0000-0000-0000D2130000}"/>
    <cellStyle name="40% - akcent 1 2 6" xfId="5365" xr:uid="{00000000-0005-0000-0000-0000D3130000}"/>
    <cellStyle name="40% - akcent 1 2 6 10" xfId="5366" xr:uid="{00000000-0005-0000-0000-0000D4130000}"/>
    <cellStyle name="40% - akcent 1 2 6 11" xfId="5367" xr:uid="{00000000-0005-0000-0000-0000D5130000}"/>
    <cellStyle name="40% - akcent 1 2 6 12" xfId="5368" xr:uid="{00000000-0005-0000-0000-0000D6130000}"/>
    <cellStyle name="40% - akcent 1 2 6 13" xfId="5369" xr:uid="{00000000-0005-0000-0000-0000D7130000}"/>
    <cellStyle name="40% - akcent 1 2 6 2" xfId="5370" xr:uid="{00000000-0005-0000-0000-0000D8130000}"/>
    <cellStyle name="40% - akcent 1 2 6 2 10" xfId="5371" xr:uid="{00000000-0005-0000-0000-0000D9130000}"/>
    <cellStyle name="40% - akcent 1 2 6 2 11" xfId="5372" xr:uid="{00000000-0005-0000-0000-0000DA130000}"/>
    <cellStyle name="40% - akcent 1 2 6 2 12" xfId="5373" xr:uid="{00000000-0005-0000-0000-0000DB130000}"/>
    <cellStyle name="40% - akcent 1 2 6 2 13" xfId="5374" xr:uid="{00000000-0005-0000-0000-0000DC130000}"/>
    <cellStyle name="40% - akcent 1 2 6 2 2" xfId="5375" xr:uid="{00000000-0005-0000-0000-0000DD130000}"/>
    <cellStyle name="40% - akcent 1 2 6 2 2 10" xfId="5376" xr:uid="{00000000-0005-0000-0000-0000DE130000}"/>
    <cellStyle name="40% - akcent 1 2 6 2 2 11" xfId="5377" xr:uid="{00000000-0005-0000-0000-0000DF130000}"/>
    <cellStyle name="40% - akcent 1 2 6 2 2 12" xfId="5378" xr:uid="{00000000-0005-0000-0000-0000E0130000}"/>
    <cellStyle name="40% - akcent 1 2 6 2 2 2" xfId="5379" xr:uid="{00000000-0005-0000-0000-0000E1130000}"/>
    <cellStyle name="40% - akcent 1 2 6 2 2 2 10" xfId="5380" xr:uid="{00000000-0005-0000-0000-0000E2130000}"/>
    <cellStyle name="40% - akcent 1 2 6 2 2 2 11" xfId="5381" xr:uid="{00000000-0005-0000-0000-0000E3130000}"/>
    <cellStyle name="40% - akcent 1 2 6 2 2 2 2" xfId="5382" xr:uid="{00000000-0005-0000-0000-0000E4130000}"/>
    <cellStyle name="40% - akcent 1 2 6 2 2 2 2 10" xfId="5383" xr:uid="{00000000-0005-0000-0000-0000E5130000}"/>
    <cellStyle name="40% - akcent 1 2 6 2 2 2 2 11" xfId="5384" xr:uid="{00000000-0005-0000-0000-0000E6130000}"/>
    <cellStyle name="40% - akcent 1 2 6 2 2 2 2 2" xfId="5385" xr:uid="{00000000-0005-0000-0000-0000E7130000}"/>
    <cellStyle name="40% - akcent 1 2 6 2 2 2 2 2 2" xfId="5386" xr:uid="{00000000-0005-0000-0000-0000E8130000}"/>
    <cellStyle name="40% - akcent 1 2 6 2 2 2 2 2 2 2" xfId="5387" xr:uid="{00000000-0005-0000-0000-0000E9130000}"/>
    <cellStyle name="40% - akcent 1 2 6 2 2 2 2 2 2 3" xfId="5388" xr:uid="{00000000-0005-0000-0000-0000EA130000}"/>
    <cellStyle name="40% - akcent 1 2 6 2 2 2 2 2 2 4" xfId="5389" xr:uid="{00000000-0005-0000-0000-0000EB130000}"/>
    <cellStyle name="40% - akcent 1 2 6 2 2 2 2 2 2 5" xfId="5390" xr:uid="{00000000-0005-0000-0000-0000EC130000}"/>
    <cellStyle name="40% - akcent 1 2 6 2 2 2 2 2 2 6" xfId="5391" xr:uid="{00000000-0005-0000-0000-0000ED130000}"/>
    <cellStyle name="40% - akcent 1 2 6 2 2 2 2 2 3" xfId="5392" xr:uid="{00000000-0005-0000-0000-0000EE130000}"/>
    <cellStyle name="40% - akcent 1 2 6 2 2 2 2 2 4" xfId="5393" xr:uid="{00000000-0005-0000-0000-0000EF130000}"/>
    <cellStyle name="40% - akcent 1 2 6 2 2 2 2 2 5" xfId="5394" xr:uid="{00000000-0005-0000-0000-0000F0130000}"/>
    <cellStyle name="40% - akcent 1 2 6 2 2 2 2 2 6" xfId="5395" xr:uid="{00000000-0005-0000-0000-0000F1130000}"/>
    <cellStyle name="40% - akcent 1 2 6 2 2 2 2 2 7" xfId="5396" xr:uid="{00000000-0005-0000-0000-0000F2130000}"/>
    <cellStyle name="40% - akcent 1 2 6 2 2 2 2 3" xfId="5397" xr:uid="{00000000-0005-0000-0000-0000F3130000}"/>
    <cellStyle name="40% - akcent 1 2 6 2 2 2 2 4" xfId="5398" xr:uid="{00000000-0005-0000-0000-0000F4130000}"/>
    <cellStyle name="40% - akcent 1 2 6 2 2 2 2 5" xfId="5399" xr:uid="{00000000-0005-0000-0000-0000F5130000}"/>
    <cellStyle name="40% - akcent 1 2 6 2 2 2 2 6" xfId="5400" xr:uid="{00000000-0005-0000-0000-0000F6130000}"/>
    <cellStyle name="40% - akcent 1 2 6 2 2 2 2 7" xfId="5401" xr:uid="{00000000-0005-0000-0000-0000F7130000}"/>
    <cellStyle name="40% - akcent 1 2 6 2 2 2 2 7 2" xfId="5402" xr:uid="{00000000-0005-0000-0000-0000F8130000}"/>
    <cellStyle name="40% - akcent 1 2 6 2 2 2 2 7 3" xfId="5403" xr:uid="{00000000-0005-0000-0000-0000F9130000}"/>
    <cellStyle name="40% - akcent 1 2 6 2 2 2 2 7 4" xfId="5404" xr:uid="{00000000-0005-0000-0000-0000FA130000}"/>
    <cellStyle name="40% - akcent 1 2 6 2 2 2 2 7 5" xfId="5405" xr:uid="{00000000-0005-0000-0000-0000FB130000}"/>
    <cellStyle name="40% - akcent 1 2 6 2 2 2 2 7 6" xfId="5406" xr:uid="{00000000-0005-0000-0000-0000FC130000}"/>
    <cellStyle name="40% - akcent 1 2 6 2 2 2 2 8" xfId="5407" xr:uid="{00000000-0005-0000-0000-0000FD130000}"/>
    <cellStyle name="40% - akcent 1 2 6 2 2 2 2 9" xfId="5408" xr:uid="{00000000-0005-0000-0000-0000FE130000}"/>
    <cellStyle name="40% - akcent 1 2 6 2 2 2 3" xfId="5409" xr:uid="{00000000-0005-0000-0000-0000FF130000}"/>
    <cellStyle name="40% - akcent 1 2 6 2 2 2 3 2" xfId="5410" xr:uid="{00000000-0005-0000-0000-000000140000}"/>
    <cellStyle name="40% - akcent 1 2 6 2 2 2 3 2 2" xfId="5411" xr:uid="{00000000-0005-0000-0000-000001140000}"/>
    <cellStyle name="40% - akcent 1 2 6 2 2 2 3 2 3" xfId="5412" xr:uid="{00000000-0005-0000-0000-000002140000}"/>
    <cellStyle name="40% - akcent 1 2 6 2 2 2 3 2 4" xfId="5413" xr:uid="{00000000-0005-0000-0000-000003140000}"/>
    <cellStyle name="40% - akcent 1 2 6 2 2 2 3 2 5" xfId="5414" xr:uid="{00000000-0005-0000-0000-000004140000}"/>
    <cellStyle name="40% - akcent 1 2 6 2 2 2 3 2 6" xfId="5415" xr:uid="{00000000-0005-0000-0000-000005140000}"/>
    <cellStyle name="40% - akcent 1 2 6 2 2 2 3 3" xfId="5416" xr:uid="{00000000-0005-0000-0000-000006140000}"/>
    <cellStyle name="40% - akcent 1 2 6 2 2 2 3 4" xfId="5417" xr:uid="{00000000-0005-0000-0000-000007140000}"/>
    <cellStyle name="40% - akcent 1 2 6 2 2 2 3 5" xfId="5418" xr:uid="{00000000-0005-0000-0000-000008140000}"/>
    <cellStyle name="40% - akcent 1 2 6 2 2 2 3 6" xfId="5419" xr:uid="{00000000-0005-0000-0000-000009140000}"/>
    <cellStyle name="40% - akcent 1 2 6 2 2 2 3 7" xfId="5420" xr:uid="{00000000-0005-0000-0000-00000A140000}"/>
    <cellStyle name="40% - akcent 1 2 6 2 2 2 4" xfId="5421" xr:uid="{00000000-0005-0000-0000-00000B140000}"/>
    <cellStyle name="40% - akcent 1 2 6 2 2 2 5" xfId="5422" xr:uid="{00000000-0005-0000-0000-00000C140000}"/>
    <cellStyle name="40% - akcent 1 2 6 2 2 2 6" xfId="5423" xr:uid="{00000000-0005-0000-0000-00000D140000}"/>
    <cellStyle name="40% - akcent 1 2 6 2 2 2 7" xfId="5424" xr:uid="{00000000-0005-0000-0000-00000E140000}"/>
    <cellStyle name="40% - akcent 1 2 6 2 2 2 7 2" xfId="5425" xr:uid="{00000000-0005-0000-0000-00000F140000}"/>
    <cellStyle name="40% - akcent 1 2 6 2 2 2 7 3" xfId="5426" xr:uid="{00000000-0005-0000-0000-000010140000}"/>
    <cellStyle name="40% - akcent 1 2 6 2 2 2 7 4" xfId="5427" xr:uid="{00000000-0005-0000-0000-000011140000}"/>
    <cellStyle name="40% - akcent 1 2 6 2 2 2 7 5" xfId="5428" xr:uid="{00000000-0005-0000-0000-000012140000}"/>
    <cellStyle name="40% - akcent 1 2 6 2 2 2 7 6" xfId="5429" xr:uid="{00000000-0005-0000-0000-000013140000}"/>
    <cellStyle name="40% - akcent 1 2 6 2 2 2 8" xfId="5430" xr:uid="{00000000-0005-0000-0000-000014140000}"/>
    <cellStyle name="40% - akcent 1 2 6 2 2 2 9" xfId="5431" xr:uid="{00000000-0005-0000-0000-000015140000}"/>
    <cellStyle name="40% - akcent 1 2 6 2 2 3" xfId="5432" xr:uid="{00000000-0005-0000-0000-000016140000}"/>
    <cellStyle name="40% - akcent 1 2 6 2 2 3 2" xfId="5433" xr:uid="{00000000-0005-0000-0000-000017140000}"/>
    <cellStyle name="40% - akcent 1 2 6 2 2 3 2 2" xfId="5434" xr:uid="{00000000-0005-0000-0000-000018140000}"/>
    <cellStyle name="40% - akcent 1 2 6 2 2 3 2 3" xfId="5435" xr:uid="{00000000-0005-0000-0000-000019140000}"/>
    <cellStyle name="40% - akcent 1 2 6 2 2 3 2 4" xfId="5436" xr:uid="{00000000-0005-0000-0000-00001A140000}"/>
    <cellStyle name="40% - akcent 1 2 6 2 2 3 2 5" xfId="5437" xr:uid="{00000000-0005-0000-0000-00001B140000}"/>
    <cellStyle name="40% - akcent 1 2 6 2 2 3 2 6" xfId="5438" xr:uid="{00000000-0005-0000-0000-00001C140000}"/>
    <cellStyle name="40% - akcent 1 2 6 2 2 3 3" xfId="5439" xr:uid="{00000000-0005-0000-0000-00001D140000}"/>
    <cellStyle name="40% - akcent 1 2 6 2 2 3 4" xfId="5440" xr:uid="{00000000-0005-0000-0000-00001E140000}"/>
    <cellStyle name="40% - akcent 1 2 6 2 2 3 5" xfId="5441" xr:uid="{00000000-0005-0000-0000-00001F140000}"/>
    <cellStyle name="40% - akcent 1 2 6 2 2 3 6" xfId="5442" xr:uid="{00000000-0005-0000-0000-000020140000}"/>
    <cellStyle name="40% - akcent 1 2 6 2 2 3 7" xfId="5443" xr:uid="{00000000-0005-0000-0000-000021140000}"/>
    <cellStyle name="40% - akcent 1 2 6 2 2 4" xfId="5444" xr:uid="{00000000-0005-0000-0000-000022140000}"/>
    <cellStyle name="40% - akcent 1 2 6 2 2 5" xfId="5445" xr:uid="{00000000-0005-0000-0000-000023140000}"/>
    <cellStyle name="40% - akcent 1 2 6 2 2 6" xfId="5446" xr:uid="{00000000-0005-0000-0000-000024140000}"/>
    <cellStyle name="40% - akcent 1 2 6 2 2 7" xfId="5447" xr:uid="{00000000-0005-0000-0000-000025140000}"/>
    <cellStyle name="40% - akcent 1 2 6 2 2 8" xfId="5448" xr:uid="{00000000-0005-0000-0000-000026140000}"/>
    <cellStyle name="40% - akcent 1 2 6 2 2 8 2" xfId="5449" xr:uid="{00000000-0005-0000-0000-000027140000}"/>
    <cellStyle name="40% - akcent 1 2 6 2 2 8 3" xfId="5450" xr:uid="{00000000-0005-0000-0000-000028140000}"/>
    <cellStyle name="40% - akcent 1 2 6 2 2 8 4" xfId="5451" xr:uid="{00000000-0005-0000-0000-000029140000}"/>
    <cellStyle name="40% - akcent 1 2 6 2 2 8 5" xfId="5452" xr:uid="{00000000-0005-0000-0000-00002A140000}"/>
    <cellStyle name="40% - akcent 1 2 6 2 2 8 6" xfId="5453" xr:uid="{00000000-0005-0000-0000-00002B140000}"/>
    <cellStyle name="40% - akcent 1 2 6 2 2 9" xfId="5454" xr:uid="{00000000-0005-0000-0000-00002C140000}"/>
    <cellStyle name="40% - akcent 1 2 6 2 3" xfId="5455" xr:uid="{00000000-0005-0000-0000-00002D140000}"/>
    <cellStyle name="40% - akcent 1 2 6 2 4" xfId="5456" xr:uid="{00000000-0005-0000-0000-00002E140000}"/>
    <cellStyle name="40% - akcent 1 2 6 2 4 10" xfId="5457" xr:uid="{00000000-0005-0000-0000-00002F140000}"/>
    <cellStyle name="40% - akcent 1 2 6 2 4 11" xfId="5458" xr:uid="{00000000-0005-0000-0000-000030140000}"/>
    <cellStyle name="40% - akcent 1 2 6 2 4 2" xfId="5459" xr:uid="{00000000-0005-0000-0000-000031140000}"/>
    <cellStyle name="40% - akcent 1 2 6 2 4 2 2" xfId="5460" xr:uid="{00000000-0005-0000-0000-000032140000}"/>
    <cellStyle name="40% - akcent 1 2 6 2 4 2 2 2" xfId="5461" xr:uid="{00000000-0005-0000-0000-000033140000}"/>
    <cellStyle name="40% - akcent 1 2 6 2 4 2 2 3" xfId="5462" xr:uid="{00000000-0005-0000-0000-000034140000}"/>
    <cellStyle name="40% - akcent 1 2 6 2 4 2 2 4" xfId="5463" xr:uid="{00000000-0005-0000-0000-000035140000}"/>
    <cellStyle name="40% - akcent 1 2 6 2 4 2 2 5" xfId="5464" xr:uid="{00000000-0005-0000-0000-000036140000}"/>
    <cellStyle name="40% - akcent 1 2 6 2 4 2 2 6" xfId="5465" xr:uid="{00000000-0005-0000-0000-000037140000}"/>
    <cellStyle name="40% - akcent 1 2 6 2 4 2 3" xfId="5466" xr:uid="{00000000-0005-0000-0000-000038140000}"/>
    <cellStyle name="40% - akcent 1 2 6 2 4 2 4" xfId="5467" xr:uid="{00000000-0005-0000-0000-000039140000}"/>
    <cellStyle name="40% - akcent 1 2 6 2 4 2 5" xfId="5468" xr:uid="{00000000-0005-0000-0000-00003A140000}"/>
    <cellStyle name="40% - akcent 1 2 6 2 4 2 6" xfId="5469" xr:uid="{00000000-0005-0000-0000-00003B140000}"/>
    <cellStyle name="40% - akcent 1 2 6 2 4 2 7" xfId="5470" xr:uid="{00000000-0005-0000-0000-00003C140000}"/>
    <cellStyle name="40% - akcent 1 2 6 2 4 3" xfId="5471" xr:uid="{00000000-0005-0000-0000-00003D140000}"/>
    <cellStyle name="40% - akcent 1 2 6 2 4 4" xfId="5472" xr:uid="{00000000-0005-0000-0000-00003E140000}"/>
    <cellStyle name="40% - akcent 1 2 6 2 4 5" xfId="5473" xr:uid="{00000000-0005-0000-0000-00003F140000}"/>
    <cellStyle name="40% - akcent 1 2 6 2 4 6" xfId="5474" xr:uid="{00000000-0005-0000-0000-000040140000}"/>
    <cellStyle name="40% - akcent 1 2 6 2 4 7" xfId="5475" xr:uid="{00000000-0005-0000-0000-000041140000}"/>
    <cellStyle name="40% - akcent 1 2 6 2 4 7 2" xfId="5476" xr:uid="{00000000-0005-0000-0000-000042140000}"/>
    <cellStyle name="40% - akcent 1 2 6 2 4 7 3" xfId="5477" xr:uid="{00000000-0005-0000-0000-000043140000}"/>
    <cellStyle name="40% - akcent 1 2 6 2 4 7 4" xfId="5478" xr:uid="{00000000-0005-0000-0000-000044140000}"/>
    <cellStyle name="40% - akcent 1 2 6 2 4 7 5" xfId="5479" xr:uid="{00000000-0005-0000-0000-000045140000}"/>
    <cellStyle name="40% - akcent 1 2 6 2 4 7 6" xfId="5480" xr:uid="{00000000-0005-0000-0000-000046140000}"/>
    <cellStyle name="40% - akcent 1 2 6 2 4 8" xfId="5481" xr:uid="{00000000-0005-0000-0000-000047140000}"/>
    <cellStyle name="40% - akcent 1 2 6 2 4 9" xfId="5482" xr:uid="{00000000-0005-0000-0000-000048140000}"/>
    <cellStyle name="40% - akcent 1 2 6 2 5" xfId="5483" xr:uid="{00000000-0005-0000-0000-000049140000}"/>
    <cellStyle name="40% - akcent 1 2 6 2 5 2" xfId="5484" xr:uid="{00000000-0005-0000-0000-00004A140000}"/>
    <cellStyle name="40% - akcent 1 2 6 2 5 2 2" xfId="5485" xr:uid="{00000000-0005-0000-0000-00004B140000}"/>
    <cellStyle name="40% - akcent 1 2 6 2 5 2 3" xfId="5486" xr:uid="{00000000-0005-0000-0000-00004C140000}"/>
    <cellStyle name="40% - akcent 1 2 6 2 5 2 4" xfId="5487" xr:uid="{00000000-0005-0000-0000-00004D140000}"/>
    <cellStyle name="40% - akcent 1 2 6 2 5 2 5" xfId="5488" xr:uid="{00000000-0005-0000-0000-00004E140000}"/>
    <cellStyle name="40% - akcent 1 2 6 2 5 2 6" xfId="5489" xr:uid="{00000000-0005-0000-0000-00004F140000}"/>
    <cellStyle name="40% - akcent 1 2 6 2 5 3" xfId="5490" xr:uid="{00000000-0005-0000-0000-000050140000}"/>
    <cellStyle name="40% - akcent 1 2 6 2 5 4" xfId="5491" xr:uid="{00000000-0005-0000-0000-000051140000}"/>
    <cellStyle name="40% - akcent 1 2 6 2 5 5" xfId="5492" xr:uid="{00000000-0005-0000-0000-000052140000}"/>
    <cellStyle name="40% - akcent 1 2 6 2 5 6" xfId="5493" xr:uid="{00000000-0005-0000-0000-000053140000}"/>
    <cellStyle name="40% - akcent 1 2 6 2 5 7" xfId="5494" xr:uid="{00000000-0005-0000-0000-000054140000}"/>
    <cellStyle name="40% - akcent 1 2 6 2 6" xfId="5495" xr:uid="{00000000-0005-0000-0000-000055140000}"/>
    <cellStyle name="40% - akcent 1 2 6 2 7" xfId="5496" xr:uid="{00000000-0005-0000-0000-000056140000}"/>
    <cellStyle name="40% - akcent 1 2 6 2 8" xfId="5497" xr:uid="{00000000-0005-0000-0000-000057140000}"/>
    <cellStyle name="40% - akcent 1 2 6 2 9" xfId="5498" xr:uid="{00000000-0005-0000-0000-000058140000}"/>
    <cellStyle name="40% - akcent 1 2 6 2 9 2" xfId="5499" xr:uid="{00000000-0005-0000-0000-000059140000}"/>
    <cellStyle name="40% - akcent 1 2 6 2 9 3" xfId="5500" xr:uid="{00000000-0005-0000-0000-00005A140000}"/>
    <cellStyle name="40% - akcent 1 2 6 2 9 4" xfId="5501" xr:uid="{00000000-0005-0000-0000-00005B140000}"/>
    <cellStyle name="40% - akcent 1 2 6 2 9 5" xfId="5502" xr:uid="{00000000-0005-0000-0000-00005C140000}"/>
    <cellStyle name="40% - akcent 1 2 6 2 9 6" xfId="5503" xr:uid="{00000000-0005-0000-0000-00005D140000}"/>
    <cellStyle name="40% - akcent 1 2 6 3" xfId="5504" xr:uid="{00000000-0005-0000-0000-00005E140000}"/>
    <cellStyle name="40% - akcent 1 2 6 3 10" xfId="5505" xr:uid="{00000000-0005-0000-0000-00005F140000}"/>
    <cellStyle name="40% - akcent 1 2 6 3 11" xfId="5506" xr:uid="{00000000-0005-0000-0000-000060140000}"/>
    <cellStyle name="40% - akcent 1 2 6 3 12" xfId="5507" xr:uid="{00000000-0005-0000-0000-000061140000}"/>
    <cellStyle name="40% - akcent 1 2 6 3 2" xfId="5508" xr:uid="{00000000-0005-0000-0000-000062140000}"/>
    <cellStyle name="40% - akcent 1 2 6 3 2 10" xfId="5509" xr:uid="{00000000-0005-0000-0000-000063140000}"/>
    <cellStyle name="40% - akcent 1 2 6 3 2 11" xfId="5510" xr:uid="{00000000-0005-0000-0000-000064140000}"/>
    <cellStyle name="40% - akcent 1 2 6 3 2 2" xfId="5511" xr:uid="{00000000-0005-0000-0000-000065140000}"/>
    <cellStyle name="40% - akcent 1 2 6 3 2 2 10" xfId="5512" xr:uid="{00000000-0005-0000-0000-000066140000}"/>
    <cellStyle name="40% - akcent 1 2 6 3 2 2 11" xfId="5513" xr:uid="{00000000-0005-0000-0000-000067140000}"/>
    <cellStyle name="40% - akcent 1 2 6 3 2 2 2" xfId="5514" xr:uid="{00000000-0005-0000-0000-000068140000}"/>
    <cellStyle name="40% - akcent 1 2 6 3 2 2 2 2" xfId="5515" xr:uid="{00000000-0005-0000-0000-000069140000}"/>
    <cellStyle name="40% - akcent 1 2 6 3 2 2 2 2 2" xfId="5516" xr:uid="{00000000-0005-0000-0000-00006A140000}"/>
    <cellStyle name="40% - akcent 1 2 6 3 2 2 2 2 3" xfId="5517" xr:uid="{00000000-0005-0000-0000-00006B140000}"/>
    <cellStyle name="40% - akcent 1 2 6 3 2 2 2 2 4" xfId="5518" xr:uid="{00000000-0005-0000-0000-00006C140000}"/>
    <cellStyle name="40% - akcent 1 2 6 3 2 2 2 2 5" xfId="5519" xr:uid="{00000000-0005-0000-0000-00006D140000}"/>
    <cellStyle name="40% - akcent 1 2 6 3 2 2 2 2 6" xfId="5520" xr:uid="{00000000-0005-0000-0000-00006E140000}"/>
    <cellStyle name="40% - akcent 1 2 6 3 2 2 2 3" xfId="5521" xr:uid="{00000000-0005-0000-0000-00006F140000}"/>
    <cellStyle name="40% - akcent 1 2 6 3 2 2 2 4" xfId="5522" xr:uid="{00000000-0005-0000-0000-000070140000}"/>
    <cellStyle name="40% - akcent 1 2 6 3 2 2 2 5" xfId="5523" xr:uid="{00000000-0005-0000-0000-000071140000}"/>
    <cellStyle name="40% - akcent 1 2 6 3 2 2 2 6" xfId="5524" xr:uid="{00000000-0005-0000-0000-000072140000}"/>
    <cellStyle name="40% - akcent 1 2 6 3 2 2 2 7" xfId="5525" xr:uid="{00000000-0005-0000-0000-000073140000}"/>
    <cellStyle name="40% - akcent 1 2 6 3 2 2 3" xfId="5526" xr:uid="{00000000-0005-0000-0000-000074140000}"/>
    <cellStyle name="40% - akcent 1 2 6 3 2 2 4" xfId="5527" xr:uid="{00000000-0005-0000-0000-000075140000}"/>
    <cellStyle name="40% - akcent 1 2 6 3 2 2 5" xfId="5528" xr:uid="{00000000-0005-0000-0000-000076140000}"/>
    <cellStyle name="40% - akcent 1 2 6 3 2 2 6" xfId="5529" xr:uid="{00000000-0005-0000-0000-000077140000}"/>
    <cellStyle name="40% - akcent 1 2 6 3 2 2 7" xfId="5530" xr:uid="{00000000-0005-0000-0000-000078140000}"/>
    <cellStyle name="40% - akcent 1 2 6 3 2 2 7 2" xfId="5531" xr:uid="{00000000-0005-0000-0000-000079140000}"/>
    <cellStyle name="40% - akcent 1 2 6 3 2 2 7 3" xfId="5532" xr:uid="{00000000-0005-0000-0000-00007A140000}"/>
    <cellStyle name="40% - akcent 1 2 6 3 2 2 7 4" xfId="5533" xr:uid="{00000000-0005-0000-0000-00007B140000}"/>
    <cellStyle name="40% - akcent 1 2 6 3 2 2 7 5" xfId="5534" xr:uid="{00000000-0005-0000-0000-00007C140000}"/>
    <cellStyle name="40% - akcent 1 2 6 3 2 2 7 6" xfId="5535" xr:uid="{00000000-0005-0000-0000-00007D140000}"/>
    <cellStyle name="40% - akcent 1 2 6 3 2 2 8" xfId="5536" xr:uid="{00000000-0005-0000-0000-00007E140000}"/>
    <cellStyle name="40% - akcent 1 2 6 3 2 2 9" xfId="5537" xr:uid="{00000000-0005-0000-0000-00007F140000}"/>
    <cellStyle name="40% - akcent 1 2 6 3 2 3" xfId="5538" xr:uid="{00000000-0005-0000-0000-000080140000}"/>
    <cellStyle name="40% - akcent 1 2 6 3 2 3 2" xfId="5539" xr:uid="{00000000-0005-0000-0000-000081140000}"/>
    <cellStyle name="40% - akcent 1 2 6 3 2 3 2 2" xfId="5540" xr:uid="{00000000-0005-0000-0000-000082140000}"/>
    <cellStyle name="40% - akcent 1 2 6 3 2 3 2 3" xfId="5541" xr:uid="{00000000-0005-0000-0000-000083140000}"/>
    <cellStyle name="40% - akcent 1 2 6 3 2 3 2 4" xfId="5542" xr:uid="{00000000-0005-0000-0000-000084140000}"/>
    <cellStyle name="40% - akcent 1 2 6 3 2 3 2 5" xfId="5543" xr:uid="{00000000-0005-0000-0000-000085140000}"/>
    <cellStyle name="40% - akcent 1 2 6 3 2 3 2 6" xfId="5544" xr:uid="{00000000-0005-0000-0000-000086140000}"/>
    <cellStyle name="40% - akcent 1 2 6 3 2 3 3" xfId="5545" xr:uid="{00000000-0005-0000-0000-000087140000}"/>
    <cellStyle name="40% - akcent 1 2 6 3 2 3 4" xfId="5546" xr:uid="{00000000-0005-0000-0000-000088140000}"/>
    <cellStyle name="40% - akcent 1 2 6 3 2 3 5" xfId="5547" xr:uid="{00000000-0005-0000-0000-000089140000}"/>
    <cellStyle name="40% - akcent 1 2 6 3 2 3 6" xfId="5548" xr:uid="{00000000-0005-0000-0000-00008A140000}"/>
    <cellStyle name="40% - akcent 1 2 6 3 2 3 7" xfId="5549" xr:uid="{00000000-0005-0000-0000-00008B140000}"/>
    <cellStyle name="40% - akcent 1 2 6 3 2 4" xfId="5550" xr:uid="{00000000-0005-0000-0000-00008C140000}"/>
    <cellStyle name="40% - akcent 1 2 6 3 2 5" xfId="5551" xr:uid="{00000000-0005-0000-0000-00008D140000}"/>
    <cellStyle name="40% - akcent 1 2 6 3 2 6" xfId="5552" xr:uid="{00000000-0005-0000-0000-00008E140000}"/>
    <cellStyle name="40% - akcent 1 2 6 3 2 7" xfId="5553" xr:uid="{00000000-0005-0000-0000-00008F140000}"/>
    <cellStyle name="40% - akcent 1 2 6 3 2 7 2" xfId="5554" xr:uid="{00000000-0005-0000-0000-000090140000}"/>
    <cellStyle name="40% - akcent 1 2 6 3 2 7 3" xfId="5555" xr:uid="{00000000-0005-0000-0000-000091140000}"/>
    <cellStyle name="40% - akcent 1 2 6 3 2 7 4" xfId="5556" xr:uid="{00000000-0005-0000-0000-000092140000}"/>
    <cellStyle name="40% - akcent 1 2 6 3 2 7 5" xfId="5557" xr:uid="{00000000-0005-0000-0000-000093140000}"/>
    <cellStyle name="40% - akcent 1 2 6 3 2 7 6" xfId="5558" xr:uid="{00000000-0005-0000-0000-000094140000}"/>
    <cellStyle name="40% - akcent 1 2 6 3 2 8" xfId="5559" xr:uid="{00000000-0005-0000-0000-000095140000}"/>
    <cellStyle name="40% - akcent 1 2 6 3 2 9" xfId="5560" xr:uid="{00000000-0005-0000-0000-000096140000}"/>
    <cellStyle name="40% - akcent 1 2 6 3 3" xfId="5561" xr:uid="{00000000-0005-0000-0000-000097140000}"/>
    <cellStyle name="40% - akcent 1 2 6 3 3 2" xfId="5562" xr:uid="{00000000-0005-0000-0000-000098140000}"/>
    <cellStyle name="40% - akcent 1 2 6 3 3 2 2" xfId="5563" xr:uid="{00000000-0005-0000-0000-000099140000}"/>
    <cellStyle name="40% - akcent 1 2 6 3 3 2 3" xfId="5564" xr:uid="{00000000-0005-0000-0000-00009A140000}"/>
    <cellStyle name="40% - akcent 1 2 6 3 3 2 4" xfId="5565" xr:uid="{00000000-0005-0000-0000-00009B140000}"/>
    <cellStyle name="40% - akcent 1 2 6 3 3 2 5" xfId="5566" xr:uid="{00000000-0005-0000-0000-00009C140000}"/>
    <cellStyle name="40% - akcent 1 2 6 3 3 2 6" xfId="5567" xr:uid="{00000000-0005-0000-0000-00009D140000}"/>
    <cellStyle name="40% - akcent 1 2 6 3 3 3" xfId="5568" xr:uid="{00000000-0005-0000-0000-00009E140000}"/>
    <cellStyle name="40% - akcent 1 2 6 3 3 4" xfId="5569" xr:uid="{00000000-0005-0000-0000-00009F140000}"/>
    <cellStyle name="40% - akcent 1 2 6 3 3 5" xfId="5570" xr:uid="{00000000-0005-0000-0000-0000A0140000}"/>
    <cellStyle name="40% - akcent 1 2 6 3 3 6" xfId="5571" xr:uid="{00000000-0005-0000-0000-0000A1140000}"/>
    <cellStyle name="40% - akcent 1 2 6 3 3 7" xfId="5572" xr:uid="{00000000-0005-0000-0000-0000A2140000}"/>
    <cellStyle name="40% - akcent 1 2 6 3 4" xfId="5573" xr:uid="{00000000-0005-0000-0000-0000A3140000}"/>
    <cellStyle name="40% - akcent 1 2 6 3 5" xfId="5574" xr:uid="{00000000-0005-0000-0000-0000A4140000}"/>
    <cellStyle name="40% - akcent 1 2 6 3 6" xfId="5575" xr:uid="{00000000-0005-0000-0000-0000A5140000}"/>
    <cellStyle name="40% - akcent 1 2 6 3 7" xfId="5576" xr:uid="{00000000-0005-0000-0000-0000A6140000}"/>
    <cellStyle name="40% - akcent 1 2 6 3 8" xfId="5577" xr:uid="{00000000-0005-0000-0000-0000A7140000}"/>
    <cellStyle name="40% - akcent 1 2 6 3 8 2" xfId="5578" xr:uid="{00000000-0005-0000-0000-0000A8140000}"/>
    <cellStyle name="40% - akcent 1 2 6 3 8 3" xfId="5579" xr:uid="{00000000-0005-0000-0000-0000A9140000}"/>
    <cellStyle name="40% - akcent 1 2 6 3 8 4" xfId="5580" xr:uid="{00000000-0005-0000-0000-0000AA140000}"/>
    <cellStyle name="40% - akcent 1 2 6 3 8 5" xfId="5581" xr:uid="{00000000-0005-0000-0000-0000AB140000}"/>
    <cellStyle name="40% - akcent 1 2 6 3 8 6" xfId="5582" xr:uid="{00000000-0005-0000-0000-0000AC140000}"/>
    <cellStyle name="40% - akcent 1 2 6 3 9" xfId="5583" xr:uid="{00000000-0005-0000-0000-0000AD140000}"/>
    <cellStyle name="40% - akcent 1 2 6 4" xfId="5584" xr:uid="{00000000-0005-0000-0000-0000AE140000}"/>
    <cellStyle name="40% - akcent 1 2 6 4 10" xfId="5585" xr:uid="{00000000-0005-0000-0000-0000AF140000}"/>
    <cellStyle name="40% - akcent 1 2 6 4 11" xfId="5586" xr:uid="{00000000-0005-0000-0000-0000B0140000}"/>
    <cellStyle name="40% - akcent 1 2 6 4 2" xfId="5587" xr:uid="{00000000-0005-0000-0000-0000B1140000}"/>
    <cellStyle name="40% - akcent 1 2 6 4 2 2" xfId="5588" xr:uid="{00000000-0005-0000-0000-0000B2140000}"/>
    <cellStyle name="40% - akcent 1 2 6 4 2 2 2" xfId="5589" xr:uid="{00000000-0005-0000-0000-0000B3140000}"/>
    <cellStyle name="40% - akcent 1 2 6 4 2 2 3" xfId="5590" xr:uid="{00000000-0005-0000-0000-0000B4140000}"/>
    <cellStyle name="40% - akcent 1 2 6 4 2 2 4" xfId="5591" xr:uid="{00000000-0005-0000-0000-0000B5140000}"/>
    <cellStyle name="40% - akcent 1 2 6 4 2 2 5" xfId="5592" xr:uid="{00000000-0005-0000-0000-0000B6140000}"/>
    <cellStyle name="40% - akcent 1 2 6 4 2 2 6" xfId="5593" xr:uid="{00000000-0005-0000-0000-0000B7140000}"/>
    <cellStyle name="40% - akcent 1 2 6 4 2 3" xfId="5594" xr:uid="{00000000-0005-0000-0000-0000B8140000}"/>
    <cellStyle name="40% - akcent 1 2 6 4 2 4" xfId="5595" xr:uid="{00000000-0005-0000-0000-0000B9140000}"/>
    <cellStyle name="40% - akcent 1 2 6 4 2 5" xfId="5596" xr:uid="{00000000-0005-0000-0000-0000BA140000}"/>
    <cellStyle name="40% - akcent 1 2 6 4 2 6" xfId="5597" xr:uid="{00000000-0005-0000-0000-0000BB140000}"/>
    <cellStyle name="40% - akcent 1 2 6 4 2 7" xfId="5598" xr:uid="{00000000-0005-0000-0000-0000BC140000}"/>
    <cellStyle name="40% - akcent 1 2 6 4 3" xfId="5599" xr:uid="{00000000-0005-0000-0000-0000BD140000}"/>
    <cellStyle name="40% - akcent 1 2 6 4 4" xfId="5600" xr:uid="{00000000-0005-0000-0000-0000BE140000}"/>
    <cellStyle name="40% - akcent 1 2 6 4 5" xfId="5601" xr:uid="{00000000-0005-0000-0000-0000BF140000}"/>
    <cellStyle name="40% - akcent 1 2 6 4 6" xfId="5602" xr:uid="{00000000-0005-0000-0000-0000C0140000}"/>
    <cellStyle name="40% - akcent 1 2 6 4 7" xfId="5603" xr:uid="{00000000-0005-0000-0000-0000C1140000}"/>
    <cellStyle name="40% - akcent 1 2 6 4 7 2" xfId="5604" xr:uid="{00000000-0005-0000-0000-0000C2140000}"/>
    <cellStyle name="40% - akcent 1 2 6 4 7 3" xfId="5605" xr:uid="{00000000-0005-0000-0000-0000C3140000}"/>
    <cellStyle name="40% - akcent 1 2 6 4 7 4" xfId="5606" xr:uid="{00000000-0005-0000-0000-0000C4140000}"/>
    <cellStyle name="40% - akcent 1 2 6 4 7 5" xfId="5607" xr:uid="{00000000-0005-0000-0000-0000C5140000}"/>
    <cellStyle name="40% - akcent 1 2 6 4 7 6" xfId="5608" xr:uid="{00000000-0005-0000-0000-0000C6140000}"/>
    <cellStyle name="40% - akcent 1 2 6 4 8" xfId="5609" xr:uid="{00000000-0005-0000-0000-0000C7140000}"/>
    <cellStyle name="40% - akcent 1 2 6 4 9" xfId="5610" xr:uid="{00000000-0005-0000-0000-0000C8140000}"/>
    <cellStyle name="40% - akcent 1 2 6 5" xfId="5611" xr:uid="{00000000-0005-0000-0000-0000C9140000}"/>
    <cellStyle name="40% - akcent 1 2 6 5 2" xfId="5612" xr:uid="{00000000-0005-0000-0000-0000CA140000}"/>
    <cellStyle name="40% - akcent 1 2 6 5 2 2" xfId="5613" xr:uid="{00000000-0005-0000-0000-0000CB140000}"/>
    <cellStyle name="40% - akcent 1 2 6 5 2 3" xfId="5614" xr:uid="{00000000-0005-0000-0000-0000CC140000}"/>
    <cellStyle name="40% - akcent 1 2 6 5 2 4" xfId="5615" xr:uid="{00000000-0005-0000-0000-0000CD140000}"/>
    <cellStyle name="40% - akcent 1 2 6 5 2 5" xfId="5616" xr:uid="{00000000-0005-0000-0000-0000CE140000}"/>
    <cellStyle name="40% - akcent 1 2 6 5 2 6" xfId="5617" xr:uid="{00000000-0005-0000-0000-0000CF140000}"/>
    <cellStyle name="40% - akcent 1 2 6 5 3" xfId="5618" xr:uid="{00000000-0005-0000-0000-0000D0140000}"/>
    <cellStyle name="40% - akcent 1 2 6 5 4" xfId="5619" xr:uid="{00000000-0005-0000-0000-0000D1140000}"/>
    <cellStyle name="40% - akcent 1 2 6 5 5" xfId="5620" xr:uid="{00000000-0005-0000-0000-0000D2140000}"/>
    <cellStyle name="40% - akcent 1 2 6 5 6" xfId="5621" xr:uid="{00000000-0005-0000-0000-0000D3140000}"/>
    <cellStyle name="40% - akcent 1 2 6 5 7" xfId="5622" xr:uid="{00000000-0005-0000-0000-0000D4140000}"/>
    <cellStyle name="40% - akcent 1 2 6 6" xfId="5623" xr:uid="{00000000-0005-0000-0000-0000D5140000}"/>
    <cellStyle name="40% - akcent 1 2 6 7" xfId="5624" xr:uid="{00000000-0005-0000-0000-0000D6140000}"/>
    <cellStyle name="40% - akcent 1 2 6 8" xfId="5625" xr:uid="{00000000-0005-0000-0000-0000D7140000}"/>
    <cellStyle name="40% - akcent 1 2 6 9" xfId="5626" xr:uid="{00000000-0005-0000-0000-0000D8140000}"/>
    <cellStyle name="40% - akcent 1 2 6 9 2" xfId="5627" xr:uid="{00000000-0005-0000-0000-0000D9140000}"/>
    <cellStyle name="40% - akcent 1 2 6 9 3" xfId="5628" xr:uid="{00000000-0005-0000-0000-0000DA140000}"/>
    <cellStyle name="40% - akcent 1 2 6 9 4" xfId="5629" xr:uid="{00000000-0005-0000-0000-0000DB140000}"/>
    <cellStyle name="40% - akcent 1 2 6 9 5" xfId="5630" xr:uid="{00000000-0005-0000-0000-0000DC140000}"/>
    <cellStyle name="40% - akcent 1 2 6 9 6" xfId="5631" xr:uid="{00000000-0005-0000-0000-0000DD140000}"/>
    <cellStyle name="40% - akcent 1 2 7" xfId="5632" xr:uid="{00000000-0005-0000-0000-0000DE140000}"/>
    <cellStyle name="40% - akcent 1 2 8" xfId="5633" xr:uid="{00000000-0005-0000-0000-0000DF140000}"/>
    <cellStyle name="40% - akcent 1 2 8 10" xfId="5634" xr:uid="{00000000-0005-0000-0000-0000E0140000}"/>
    <cellStyle name="40% - akcent 1 2 8 11" xfId="5635" xr:uid="{00000000-0005-0000-0000-0000E1140000}"/>
    <cellStyle name="40% - akcent 1 2 8 12" xfId="5636" xr:uid="{00000000-0005-0000-0000-0000E2140000}"/>
    <cellStyle name="40% - akcent 1 2 8 13" xfId="5637" xr:uid="{00000000-0005-0000-0000-0000E3140000}"/>
    <cellStyle name="40% - akcent 1 2 8 2" xfId="5638" xr:uid="{00000000-0005-0000-0000-0000E4140000}"/>
    <cellStyle name="40% - akcent 1 2 8 2 10" xfId="5639" xr:uid="{00000000-0005-0000-0000-0000E5140000}"/>
    <cellStyle name="40% - akcent 1 2 8 2 11" xfId="5640" xr:uid="{00000000-0005-0000-0000-0000E6140000}"/>
    <cellStyle name="40% - akcent 1 2 8 2 12" xfId="5641" xr:uid="{00000000-0005-0000-0000-0000E7140000}"/>
    <cellStyle name="40% - akcent 1 2 8 2 2" xfId="5642" xr:uid="{00000000-0005-0000-0000-0000E8140000}"/>
    <cellStyle name="40% - akcent 1 2 8 2 2 10" xfId="5643" xr:uid="{00000000-0005-0000-0000-0000E9140000}"/>
    <cellStyle name="40% - akcent 1 2 8 2 2 11" xfId="5644" xr:uid="{00000000-0005-0000-0000-0000EA140000}"/>
    <cellStyle name="40% - akcent 1 2 8 2 2 2" xfId="5645" xr:uid="{00000000-0005-0000-0000-0000EB140000}"/>
    <cellStyle name="40% - akcent 1 2 8 2 2 2 10" xfId="5646" xr:uid="{00000000-0005-0000-0000-0000EC140000}"/>
    <cellStyle name="40% - akcent 1 2 8 2 2 2 11" xfId="5647" xr:uid="{00000000-0005-0000-0000-0000ED140000}"/>
    <cellStyle name="40% - akcent 1 2 8 2 2 2 2" xfId="5648" xr:uid="{00000000-0005-0000-0000-0000EE140000}"/>
    <cellStyle name="40% - akcent 1 2 8 2 2 2 2 2" xfId="5649" xr:uid="{00000000-0005-0000-0000-0000EF140000}"/>
    <cellStyle name="40% - akcent 1 2 8 2 2 2 2 2 2" xfId="5650" xr:uid="{00000000-0005-0000-0000-0000F0140000}"/>
    <cellStyle name="40% - akcent 1 2 8 2 2 2 2 2 3" xfId="5651" xr:uid="{00000000-0005-0000-0000-0000F1140000}"/>
    <cellStyle name="40% - akcent 1 2 8 2 2 2 2 2 4" xfId="5652" xr:uid="{00000000-0005-0000-0000-0000F2140000}"/>
    <cellStyle name="40% - akcent 1 2 8 2 2 2 2 2 5" xfId="5653" xr:uid="{00000000-0005-0000-0000-0000F3140000}"/>
    <cellStyle name="40% - akcent 1 2 8 2 2 2 2 2 6" xfId="5654" xr:uid="{00000000-0005-0000-0000-0000F4140000}"/>
    <cellStyle name="40% - akcent 1 2 8 2 2 2 2 3" xfId="5655" xr:uid="{00000000-0005-0000-0000-0000F5140000}"/>
    <cellStyle name="40% - akcent 1 2 8 2 2 2 2 4" xfId="5656" xr:uid="{00000000-0005-0000-0000-0000F6140000}"/>
    <cellStyle name="40% - akcent 1 2 8 2 2 2 2 5" xfId="5657" xr:uid="{00000000-0005-0000-0000-0000F7140000}"/>
    <cellStyle name="40% - akcent 1 2 8 2 2 2 2 6" xfId="5658" xr:uid="{00000000-0005-0000-0000-0000F8140000}"/>
    <cellStyle name="40% - akcent 1 2 8 2 2 2 2 7" xfId="5659" xr:uid="{00000000-0005-0000-0000-0000F9140000}"/>
    <cellStyle name="40% - akcent 1 2 8 2 2 2 3" xfId="5660" xr:uid="{00000000-0005-0000-0000-0000FA140000}"/>
    <cellStyle name="40% - akcent 1 2 8 2 2 2 4" xfId="5661" xr:uid="{00000000-0005-0000-0000-0000FB140000}"/>
    <cellStyle name="40% - akcent 1 2 8 2 2 2 5" xfId="5662" xr:uid="{00000000-0005-0000-0000-0000FC140000}"/>
    <cellStyle name="40% - akcent 1 2 8 2 2 2 6" xfId="5663" xr:uid="{00000000-0005-0000-0000-0000FD140000}"/>
    <cellStyle name="40% - akcent 1 2 8 2 2 2 7" xfId="5664" xr:uid="{00000000-0005-0000-0000-0000FE140000}"/>
    <cellStyle name="40% - akcent 1 2 8 2 2 2 7 2" xfId="5665" xr:uid="{00000000-0005-0000-0000-0000FF140000}"/>
    <cellStyle name="40% - akcent 1 2 8 2 2 2 7 3" xfId="5666" xr:uid="{00000000-0005-0000-0000-000000150000}"/>
    <cellStyle name="40% - akcent 1 2 8 2 2 2 7 4" xfId="5667" xr:uid="{00000000-0005-0000-0000-000001150000}"/>
    <cellStyle name="40% - akcent 1 2 8 2 2 2 7 5" xfId="5668" xr:uid="{00000000-0005-0000-0000-000002150000}"/>
    <cellStyle name="40% - akcent 1 2 8 2 2 2 7 6" xfId="5669" xr:uid="{00000000-0005-0000-0000-000003150000}"/>
    <cellStyle name="40% - akcent 1 2 8 2 2 2 8" xfId="5670" xr:uid="{00000000-0005-0000-0000-000004150000}"/>
    <cellStyle name="40% - akcent 1 2 8 2 2 2 9" xfId="5671" xr:uid="{00000000-0005-0000-0000-000005150000}"/>
    <cellStyle name="40% - akcent 1 2 8 2 2 3" xfId="5672" xr:uid="{00000000-0005-0000-0000-000006150000}"/>
    <cellStyle name="40% - akcent 1 2 8 2 2 3 2" xfId="5673" xr:uid="{00000000-0005-0000-0000-000007150000}"/>
    <cellStyle name="40% - akcent 1 2 8 2 2 3 2 2" xfId="5674" xr:uid="{00000000-0005-0000-0000-000008150000}"/>
    <cellStyle name="40% - akcent 1 2 8 2 2 3 2 3" xfId="5675" xr:uid="{00000000-0005-0000-0000-000009150000}"/>
    <cellStyle name="40% - akcent 1 2 8 2 2 3 2 4" xfId="5676" xr:uid="{00000000-0005-0000-0000-00000A150000}"/>
    <cellStyle name="40% - akcent 1 2 8 2 2 3 2 5" xfId="5677" xr:uid="{00000000-0005-0000-0000-00000B150000}"/>
    <cellStyle name="40% - akcent 1 2 8 2 2 3 2 6" xfId="5678" xr:uid="{00000000-0005-0000-0000-00000C150000}"/>
    <cellStyle name="40% - akcent 1 2 8 2 2 3 3" xfId="5679" xr:uid="{00000000-0005-0000-0000-00000D150000}"/>
    <cellStyle name="40% - akcent 1 2 8 2 2 3 4" xfId="5680" xr:uid="{00000000-0005-0000-0000-00000E150000}"/>
    <cellStyle name="40% - akcent 1 2 8 2 2 3 5" xfId="5681" xr:uid="{00000000-0005-0000-0000-00000F150000}"/>
    <cellStyle name="40% - akcent 1 2 8 2 2 3 6" xfId="5682" xr:uid="{00000000-0005-0000-0000-000010150000}"/>
    <cellStyle name="40% - akcent 1 2 8 2 2 3 7" xfId="5683" xr:uid="{00000000-0005-0000-0000-000011150000}"/>
    <cellStyle name="40% - akcent 1 2 8 2 2 4" xfId="5684" xr:uid="{00000000-0005-0000-0000-000012150000}"/>
    <cellStyle name="40% - akcent 1 2 8 2 2 5" xfId="5685" xr:uid="{00000000-0005-0000-0000-000013150000}"/>
    <cellStyle name="40% - akcent 1 2 8 2 2 6" xfId="5686" xr:uid="{00000000-0005-0000-0000-000014150000}"/>
    <cellStyle name="40% - akcent 1 2 8 2 2 7" xfId="5687" xr:uid="{00000000-0005-0000-0000-000015150000}"/>
    <cellStyle name="40% - akcent 1 2 8 2 2 7 2" xfId="5688" xr:uid="{00000000-0005-0000-0000-000016150000}"/>
    <cellStyle name="40% - akcent 1 2 8 2 2 7 3" xfId="5689" xr:uid="{00000000-0005-0000-0000-000017150000}"/>
    <cellStyle name="40% - akcent 1 2 8 2 2 7 4" xfId="5690" xr:uid="{00000000-0005-0000-0000-000018150000}"/>
    <cellStyle name="40% - akcent 1 2 8 2 2 7 5" xfId="5691" xr:uid="{00000000-0005-0000-0000-000019150000}"/>
    <cellStyle name="40% - akcent 1 2 8 2 2 7 6" xfId="5692" xr:uid="{00000000-0005-0000-0000-00001A150000}"/>
    <cellStyle name="40% - akcent 1 2 8 2 2 8" xfId="5693" xr:uid="{00000000-0005-0000-0000-00001B150000}"/>
    <cellStyle name="40% - akcent 1 2 8 2 2 9" xfId="5694" xr:uid="{00000000-0005-0000-0000-00001C150000}"/>
    <cellStyle name="40% - akcent 1 2 8 2 3" xfId="5695" xr:uid="{00000000-0005-0000-0000-00001D150000}"/>
    <cellStyle name="40% - akcent 1 2 8 2 3 2" xfId="5696" xr:uid="{00000000-0005-0000-0000-00001E150000}"/>
    <cellStyle name="40% - akcent 1 2 8 2 3 2 2" xfId="5697" xr:uid="{00000000-0005-0000-0000-00001F150000}"/>
    <cellStyle name="40% - akcent 1 2 8 2 3 2 3" xfId="5698" xr:uid="{00000000-0005-0000-0000-000020150000}"/>
    <cellStyle name="40% - akcent 1 2 8 2 3 2 4" xfId="5699" xr:uid="{00000000-0005-0000-0000-000021150000}"/>
    <cellStyle name="40% - akcent 1 2 8 2 3 2 5" xfId="5700" xr:uid="{00000000-0005-0000-0000-000022150000}"/>
    <cellStyle name="40% - akcent 1 2 8 2 3 2 6" xfId="5701" xr:uid="{00000000-0005-0000-0000-000023150000}"/>
    <cellStyle name="40% - akcent 1 2 8 2 3 3" xfId="5702" xr:uid="{00000000-0005-0000-0000-000024150000}"/>
    <cellStyle name="40% - akcent 1 2 8 2 3 4" xfId="5703" xr:uid="{00000000-0005-0000-0000-000025150000}"/>
    <cellStyle name="40% - akcent 1 2 8 2 3 5" xfId="5704" xr:uid="{00000000-0005-0000-0000-000026150000}"/>
    <cellStyle name="40% - akcent 1 2 8 2 3 6" xfId="5705" xr:uid="{00000000-0005-0000-0000-000027150000}"/>
    <cellStyle name="40% - akcent 1 2 8 2 3 7" xfId="5706" xr:uid="{00000000-0005-0000-0000-000028150000}"/>
    <cellStyle name="40% - akcent 1 2 8 2 4" xfId="5707" xr:uid="{00000000-0005-0000-0000-000029150000}"/>
    <cellStyle name="40% - akcent 1 2 8 2 5" xfId="5708" xr:uid="{00000000-0005-0000-0000-00002A150000}"/>
    <cellStyle name="40% - akcent 1 2 8 2 6" xfId="5709" xr:uid="{00000000-0005-0000-0000-00002B150000}"/>
    <cellStyle name="40% - akcent 1 2 8 2 7" xfId="5710" xr:uid="{00000000-0005-0000-0000-00002C150000}"/>
    <cellStyle name="40% - akcent 1 2 8 2 8" xfId="5711" xr:uid="{00000000-0005-0000-0000-00002D150000}"/>
    <cellStyle name="40% - akcent 1 2 8 2 8 2" xfId="5712" xr:uid="{00000000-0005-0000-0000-00002E150000}"/>
    <cellStyle name="40% - akcent 1 2 8 2 8 3" xfId="5713" xr:uid="{00000000-0005-0000-0000-00002F150000}"/>
    <cellStyle name="40% - akcent 1 2 8 2 8 4" xfId="5714" xr:uid="{00000000-0005-0000-0000-000030150000}"/>
    <cellStyle name="40% - akcent 1 2 8 2 8 5" xfId="5715" xr:uid="{00000000-0005-0000-0000-000031150000}"/>
    <cellStyle name="40% - akcent 1 2 8 2 8 6" xfId="5716" xr:uid="{00000000-0005-0000-0000-000032150000}"/>
    <cellStyle name="40% - akcent 1 2 8 2 9" xfId="5717" xr:uid="{00000000-0005-0000-0000-000033150000}"/>
    <cellStyle name="40% - akcent 1 2 8 3" xfId="5718" xr:uid="{00000000-0005-0000-0000-000034150000}"/>
    <cellStyle name="40% - akcent 1 2 8 4" xfId="5719" xr:uid="{00000000-0005-0000-0000-000035150000}"/>
    <cellStyle name="40% - akcent 1 2 8 4 10" xfId="5720" xr:uid="{00000000-0005-0000-0000-000036150000}"/>
    <cellStyle name="40% - akcent 1 2 8 4 11" xfId="5721" xr:uid="{00000000-0005-0000-0000-000037150000}"/>
    <cellStyle name="40% - akcent 1 2 8 4 2" xfId="5722" xr:uid="{00000000-0005-0000-0000-000038150000}"/>
    <cellStyle name="40% - akcent 1 2 8 4 2 2" xfId="5723" xr:uid="{00000000-0005-0000-0000-000039150000}"/>
    <cellStyle name="40% - akcent 1 2 8 4 2 2 2" xfId="5724" xr:uid="{00000000-0005-0000-0000-00003A150000}"/>
    <cellStyle name="40% - akcent 1 2 8 4 2 2 3" xfId="5725" xr:uid="{00000000-0005-0000-0000-00003B150000}"/>
    <cellStyle name="40% - akcent 1 2 8 4 2 2 4" xfId="5726" xr:uid="{00000000-0005-0000-0000-00003C150000}"/>
    <cellStyle name="40% - akcent 1 2 8 4 2 2 5" xfId="5727" xr:uid="{00000000-0005-0000-0000-00003D150000}"/>
    <cellStyle name="40% - akcent 1 2 8 4 2 2 6" xfId="5728" xr:uid="{00000000-0005-0000-0000-00003E150000}"/>
    <cellStyle name="40% - akcent 1 2 8 4 2 3" xfId="5729" xr:uid="{00000000-0005-0000-0000-00003F150000}"/>
    <cellStyle name="40% - akcent 1 2 8 4 2 4" xfId="5730" xr:uid="{00000000-0005-0000-0000-000040150000}"/>
    <cellStyle name="40% - akcent 1 2 8 4 2 5" xfId="5731" xr:uid="{00000000-0005-0000-0000-000041150000}"/>
    <cellStyle name="40% - akcent 1 2 8 4 2 6" xfId="5732" xr:uid="{00000000-0005-0000-0000-000042150000}"/>
    <cellStyle name="40% - akcent 1 2 8 4 2 7" xfId="5733" xr:uid="{00000000-0005-0000-0000-000043150000}"/>
    <cellStyle name="40% - akcent 1 2 8 4 3" xfId="5734" xr:uid="{00000000-0005-0000-0000-000044150000}"/>
    <cellStyle name="40% - akcent 1 2 8 4 4" xfId="5735" xr:uid="{00000000-0005-0000-0000-000045150000}"/>
    <cellStyle name="40% - akcent 1 2 8 4 5" xfId="5736" xr:uid="{00000000-0005-0000-0000-000046150000}"/>
    <cellStyle name="40% - akcent 1 2 8 4 6" xfId="5737" xr:uid="{00000000-0005-0000-0000-000047150000}"/>
    <cellStyle name="40% - akcent 1 2 8 4 7" xfId="5738" xr:uid="{00000000-0005-0000-0000-000048150000}"/>
    <cellStyle name="40% - akcent 1 2 8 4 7 2" xfId="5739" xr:uid="{00000000-0005-0000-0000-000049150000}"/>
    <cellStyle name="40% - akcent 1 2 8 4 7 3" xfId="5740" xr:uid="{00000000-0005-0000-0000-00004A150000}"/>
    <cellStyle name="40% - akcent 1 2 8 4 7 4" xfId="5741" xr:uid="{00000000-0005-0000-0000-00004B150000}"/>
    <cellStyle name="40% - akcent 1 2 8 4 7 5" xfId="5742" xr:uid="{00000000-0005-0000-0000-00004C150000}"/>
    <cellStyle name="40% - akcent 1 2 8 4 7 6" xfId="5743" xr:uid="{00000000-0005-0000-0000-00004D150000}"/>
    <cellStyle name="40% - akcent 1 2 8 4 8" xfId="5744" xr:uid="{00000000-0005-0000-0000-00004E150000}"/>
    <cellStyle name="40% - akcent 1 2 8 4 9" xfId="5745" xr:uid="{00000000-0005-0000-0000-00004F150000}"/>
    <cellStyle name="40% - akcent 1 2 8 5" xfId="5746" xr:uid="{00000000-0005-0000-0000-000050150000}"/>
    <cellStyle name="40% - akcent 1 2 8 5 2" xfId="5747" xr:uid="{00000000-0005-0000-0000-000051150000}"/>
    <cellStyle name="40% - akcent 1 2 8 5 2 2" xfId="5748" xr:uid="{00000000-0005-0000-0000-000052150000}"/>
    <cellStyle name="40% - akcent 1 2 8 5 2 3" xfId="5749" xr:uid="{00000000-0005-0000-0000-000053150000}"/>
    <cellStyle name="40% - akcent 1 2 8 5 2 4" xfId="5750" xr:uid="{00000000-0005-0000-0000-000054150000}"/>
    <cellStyle name="40% - akcent 1 2 8 5 2 5" xfId="5751" xr:uid="{00000000-0005-0000-0000-000055150000}"/>
    <cellStyle name="40% - akcent 1 2 8 5 2 6" xfId="5752" xr:uid="{00000000-0005-0000-0000-000056150000}"/>
    <cellStyle name="40% - akcent 1 2 8 5 3" xfId="5753" xr:uid="{00000000-0005-0000-0000-000057150000}"/>
    <cellStyle name="40% - akcent 1 2 8 5 4" xfId="5754" xr:uid="{00000000-0005-0000-0000-000058150000}"/>
    <cellStyle name="40% - akcent 1 2 8 5 5" xfId="5755" xr:uid="{00000000-0005-0000-0000-000059150000}"/>
    <cellStyle name="40% - akcent 1 2 8 5 6" xfId="5756" xr:uid="{00000000-0005-0000-0000-00005A150000}"/>
    <cellStyle name="40% - akcent 1 2 8 5 7" xfId="5757" xr:uid="{00000000-0005-0000-0000-00005B150000}"/>
    <cellStyle name="40% - akcent 1 2 8 6" xfId="5758" xr:uid="{00000000-0005-0000-0000-00005C150000}"/>
    <cellStyle name="40% - akcent 1 2 8 7" xfId="5759" xr:uid="{00000000-0005-0000-0000-00005D150000}"/>
    <cellStyle name="40% - akcent 1 2 8 8" xfId="5760" xr:uid="{00000000-0005-0000-0000-00005E150000}"/>
    <cellStyle name="40% - akcent 1 2 8 9" xfId="5761" xr:uid="{00000000-0005-0000-0000-00005F150000}"/>
    <cellStyle name="40% - akcent 1 2 8 9 2" xfId="5762" xr:uid="{00000000-0005-0000-0000-000060150000}"/>
    <cellStyle name="40% - akcent 1 2 8 9 3" xfId="5763" xr:uid="{00000000-0005-0000-0000-000061150000}"/>
    <cellStyle name="40% - akcent 1 2 8 9 4" xfId="5764" xr:uid="{00000000-0005-0000-0000-000062150000}"/>
    <cellStyle name="40% - akcent 1 2 8 9 5" xfId="5765" xr:uid="{00000000-0005-0000-0000-000063150000}"/>
    <cellStyle name="40% - akcent 1 2 8 9 6" xfId="5766" xr:uid="{00000000-0005-0000-0000-000064150000}"/>
    <cellStyle name="40% - akcent 1 2 9" xfId="5767" xr:uid="{00000000-0005-0000-0000-000065150000}"/>
    <cellStyle name="40% - akcent 1 2_archeolagia" xfId="5768" xr:uid="{00000000-0005-0000-0000-000066150000}"/>
    <cellStyle name="40% - akcent 1 3" xfId="89" xr:uid="{00000000-0005-0000-0000-000067150000}"/>
    <cellStyle name="40% - akcent 1 3 2" xfId="90" xr:uid="{00000000-0005-0000-0000-000068150000}"/>
    <cellStyle name="40% - akcent 1 3 2 2" xfId="5770" xr:uid="{00000000-0005-0000-0000-000069150000}"/>
    <cellStyle name="40% - akcent 1 3 3" xfId="5771" xr:uid="{00000000-0005-0000-0000-00006A150000}"/>
    <cellStyle name="40% - akcent 1 3 4" xfId="5772" xr:uid="{00000000-0005-0000-0000-00006B150000}"/>
    <cellStyle name="40% - akcent 1 3 5" xfId="5773" xr:uid="{00000000-0005-0000-0000-00006C150000}"/>
    <cellStyle name="40% - akcent 1 3 6" xfId="5769" xr:uid="{00000000-0005-0000-0000-00006D150000}"/>
    <cellStyle name="40% - akcent 1 4" xfId="91" xr:uid="{00000000-0005-0000-0000-00006E150000}"/>
    <cellStyle name="40% - akcent 1 4 2" xfId="92" xr:uid="{00000000-0005-0000-0000-00006F150000}"/>
    <cellStyle name="40% - akcent 1 4 2 2" xfId="5775" xr:uid="{00000000-0005-0000-0000-000070150000}"/>
    <cellStyle name="40% - akcent 1 4 3" xfId="5776" xr:uid="{00000000-0005-0000-0000-000071150000}"/>
    <cellStyle name="40% - akcent 1 4 4" xfId="5777" xr:uid="{00000000-0005-0000-0000-000072150000}"/>
    <cellStyle name="40% - akcent 1 4 5" xfId="5778" xr:uid="{00000000-0005-0000-0000-000073150000}"/>
    <cellStyle name="40% - akcent 1 4 6" xfId="5774" xr:uid="{00000000-0005-0000-0000-000074150000}"/>
    <cellStyle name="40% - akcent 1 5" xfId="93" xr:uid="{00000000-0005-0000-0000-000075150000}"/>
    <cellStyle name="40% - akcent 1 5 2" xfId="94" xr:uid="{00000000-0005-0000-0000-000076150000}"/>
    <cellStyle name="40% - akcent 1 5 2 2" xfId="5780" xr:uid="{00000000-0005-0000-0000-000077150000}"/>
    <cellStyle name="40% - akcent 1 5 3" xfId="5781" xr:uid="{00000000-0005-0000-0000-000078150000}"/>
    <cellStyle name="40% - akcent 1 5 4" xfId="5782" xr:uid="{00000000-0005-0000-0000-000079150000}"/>
    <cellStyle name="40% - akcent 1 5 5" xfId="5783" xr:uid="{00000000-0005-0000-0000-00007A150000}"/>
    <cellStyle name="40% - akcent 1 5 6" xfId="5779" xr:uid="{00000000-0005-0000-0000-00007B150000}"/>
    <cellStyle name="40% - akcent 1 6" xfId="95" xr:uid="{00000000-0005-0000-0000-00007C150000}"/>
    <cellStyle name="40% - akcent 1 6 2" xfId="96" xr:uid="{00000000-0005-0000-0000-00007D150000}"/>
    <cellStyle name="40% - akcent 1 6 2 2" xfId="5785" xr:uid="{00000000-0005-0000-0000-00007E150000}"/>
    <cellStyle name="40% - akcent 1 6 3" xfId="5786" xr:uid="{00000000-0005-0000-0000-00007F150000}"/>
    <cellStyle name="40% - akcent 1 6 4" xfId="5787" xr:uid="{00000000-0005-0000-0000-000080150000}"/>
    <cellStyle name="40% - akcent 1 6 5" xfId="5788" xr:uid="{00000000-0005-0000-0000-000081150000}"/>
    <cellStyle name="40% - akcent 1 6 6" xfId="5784" xr:uid="{00000000-0005-0000-0000-000082150000}"/>
    <cellStyle name="40% - akcent 1 7" xfId="97" xr:uid="{00000000-0005-0000-0000-000083150000}"/>
    <cellStyle name="40% - akcent 1 7 2" xfId="98" xr:uid="{00000000-0005-0000-0000-000084150000}"/>
    <cellStyle name="40% - akcent 1 7 2 2" xfId="5790" xr:uid="{00000000-0005-0000-0000-000085150000}"/>
    <cellStyle name="40% - akcent 1 7 3" xfId="5791" xr:uid="{00000000-0005-0000-0000-000086150000}"/>
    <cellStyle name="40% - akcent 1 7 4" xfId="5792" xr:uid="{00000000-0005-0000-0000-000087150000}"/>
    <cellStyle name="40% - akcent 1 7 5" xfId="5793" xr:uid="{00000000-0005-0000-0000-000088150000}"/>
    <cellStyle name="40% - akcent 1 7 6" xfId="5789" xr:uid="{00000000-0005-0000-0000-000089150000}"/>
    <cellStyle name="40% - akcent 1 8" xfId="5794" xr:uid="{00000000-0005-0000-0000-00008A150000}"/>
    <cellStyle name="40% - akcent 1 8 2" xfId="5795" xr:uid="{00000000-0005-0000-0000-00008B150000}"/>
    <cellStyle name="40% - akcent 1 8 3" xfId="5796" xr:uid="{00000000-0005-0000-0000-00008C150000}"/>
    <cellStyle name="40% - akcent 1 8 4" xfId="5797" xr:uid="{00000000-0005-0000-0000-00008D150000}"/>
    <cellStyle name="40% - akcent 1 9" xfId="5798" xr:uid="{00000000-0005-0000-0000-00008E150000}"/>
    <cellStyle name="40% - akcent 2 1" xfId="5799" xr:uid="{00000000-0005-0000-0000-00008F150000}"/>
    <cellStyle name="40% - akcent 2 10" xfId="5800" xr:uid="{00000000-0005-0000-0000-000090150000}"/>
    <cellStyle name="40% - akcent 2 11" xfId="5801" xr:uid="{00000000-0005-0000-0000-000091150000}"/>
    <cellStyle name="40% - akcent 2 12" xfId="5802" xr:uid="{00000000-0005-0000-0000-000092150000}"/>
    <cellStyle name="40% - akcent 2 13" xfId="5803" xr:uid="{00000000-0005-0000-0000-000093150000}"/>
    <cellStyle name="40% - akcent 2 14" xfId="5804" xr:uid="{00000000-0005-0000-0000-000094150000}"/>
    <cellStyle name="40% - akcent 2 15" xfId="5805" xr:uid="{00000000-0005-0000-0000-000095150000}"/>
    <cellStyle name="40% - akcent 2 16" xfId="5806" xr:uid="{00000000-0005-0000-0000-000096150000}"/>
    <cellStyle name="40% - akcent 2 17" xfId="5807" xr:uid="{00000000-0005-0000-0000-000097150000}"/>
    <cellStyle name="40% - akcent 2 18" xfId="5808" xr:uid="{00000000-0005-0000-0000-000098150000}"/>
    <cellStyle name="40% - akcent 2 19" xfId="5809" xr:uid="{00000000-0005-0000-0000-000099150000}"/>
    <cellStyle name="40% - akcent 2 2" xfId="99" xr:uid="{00000000-0005-0000-0000-00009A150000}"/>
    <cellStyle name="40% - akcent 2 2 10" xfId="5811" xr:uid="{00000000-0005-0000-0000-00009B150000}"/>
    <cellStyle name="40% - akcent 2 2 11" xfId="5812" xr:uid="{00000000-0005-0000-0000-00009C150000}"/>
    <cellStyle name="40% - akcent 2 2 12" xfId="5813" xr:uid="{00000000-0005-0000-0000-00009D150000}"/>
    <cellStyle name="40% - akcent 2 2 13" xfId="5814" xr:uid="{00000000-0005-0000-0000-00009E150000}"/>
    <cellStyle name="40% - akcent 2 2 13 10" xfId="5815" xr:uid="{00000000-0005-0000-0000-00009F150000}"/>
    <cellStyle name="40% - akcent 2 2 13 11" xfId="5816" xr:uid="{00000000-0005-0000-0000-0000A0150000}"/>
    <cellStyle name="40% - akcent 2 2 13 12" xfId="5817" xr:uid="{00000000-0005-0000-0000-0000A1150000}"/>
    <cellStyle name="40% - akcent 2 2 13 2" xfId="5818" xr:uid="{00000000-0005-0000-0000-0000A2150000}"/>
    <cellStyle name="40% - akcent 2 2 13 2 10" xfId="5819" xr:uid="{00000000-0005-0000-0000-0000A3150000}"/>
    <cellStyle name="40% - akcent 2 2 13 2 11" xfId="5820" xr:uid="{00000000-0005-0000-0000-0000A4150000}"/>
    <cellStyle name="40% - akcent 2 2 13 2 2" xfId="5821" xr:uid="{00000000-0005-0000-0000-0000A5150000}"/>
    <cellStyle name="40% - akcent 2 2 13 2 2 10" xfId="5822" xr:uid="{00000000-0005-0000-0000-0000A6150000}"/>
    <cellStyle name="40% - akcent 2 2 13 2 2 11" xfId="5823" xr:uid="{00000000-0005-0000-0000-0000A7150000}"/>
    <cellStyle name="40% - akcent 2 2 13 2 2 2" xfId="5824" xr:uid="{00000000-0005-0000-0000-0000A8150000}"/>
    <cellStyle name="40% - akcent 2 2 13 2 2 2 2" xfId="5825" xr:uid="{00000000-0005-0000-0000-0000A9150000}"/>
    <cellStyle name="40% - akcent 2 2 13 2 2 2 2 2" xfId="5826" xr:uid="{00000000-0005-0000-0000-0000AA150000}"/>
    <cellStyle name="40% - akcent 2 2 13 2 2 2 2 3" xfId="5827" xr:uid="{00000000-0005-0000-0000-0000AB150000}"/>
    <cellStyle name="40% - akcent 2 2 13 2 2 2 2 4" xfId="5828" xr:uid="{00000000-0005-0000-0000-0000AC150000}"/>
    <cellStyle name="40% - akcent 2 2 13 2 2 2 2 5" xfId="5829" xr:uid="{00000000-0005-0000-0000-0000AD150000}"/>
    <cellStyle name="40% - akcent 2 2 13 2 2 2 2 6" xfId="5830" xr:uid="{00000000-0005-0000-0000-0000AE150000}"/>
    <cellStyle name="40% - akcent 2 2 13 2 2 2 3" xfId="5831" xr:uid="{00000000-0005-0000-0000-0000AF150000}"/>
    <cellStyle name="40% - akcent 2 2 13 2 2 2 4" xfId="5832" xr:uid="{00000000-0005-0000-0000-0000B0150000}"/>
    <cellStyle name="40% - akcent 2 2 13 2 2 2 5" xfId="5833" xr:uid="{00000000-0005-0000-0000-0000B1150000}"/>
    <cellStyle name="40% - akcent 2 2 13 2 2 2 6" xfId="5834" xr:uid="{00000000-0005-0000-0000-0000B2150000}"/>
    <cellStyle name="40% - akcent 2 2 13 2 2 2 7" xfId="5835" xr:uid="{00000000-0005-0000-0000-0000B3150000}"/>
    <cellStyle name="40% - akcent 2 2 13 2 2 3" xfId="5836" xr:uid="{00000000-0005-0000-0000-0000B4150000}"/>
    <cellStyle name="40% - akcent 2 2 13 2 2 4" xfId="5837" xr:uid="{00000000-0005-0000-0000-0000B5150000}"/>
    <cellStyle name="40% - akcent 2 2 13 2 2 5" xfId="5838" xr:uid="{00000000-0005-0000-0000-0000B6150000}"/>
    <cellStyle name="40% - akcent 2 2 13 2 2 6" xfId="5839" xr:uid="{00000000-0005-0000-0000-0000B7150000}"/>
    <cellStyle name="40% - akcent 2 2 13 2 2 7" xfId="5840" xr:uid="{00000000-0005-0000-0000-0000B8150000}"/>
    <cellStyle name="40% - akcent 2 2 13 2 2 7 2" xfId="5841" xr:uid="{00000000-0005-0000-0000-0000B9150000}"/>
    <cellStyle name="40% - akcent 2 2 13 2 2 7 3" xfId="5842" xr:uid="{00000000-0005-0000-0000-0000BA150000}"/>
    <cellStyle name="40% - akcent 2 2 13 2 2 7 4" xfId="5843" xr:uid="{00000000-0005-0000-0000-0000BB150000}"/>
    <cellStyle name="40% - akcent 2 2 13 2 2 7 5" xfId="5844" xr:uid="{00000000-0005-0000-0000-0000BC150000}"/>
    <cellStyle name="40% - akcent 2 2 13 2 2 7 6" xfId="5845" xr:uid="{00000000-0005-0000-0000-0000BD150000}"/>
    <cellStyle name="40% - akcent 2 2 13 2 2 8" xfId="5846" xr:uid="{00000000-0005-0000-0000-0000BE150000}"/>
    <cellStyle name="40% - akcent 2 2 13 2 2 9" xfId="5847" xr:uid="{00000000-0005-0000-0000-0000BF150000}"/>
    <cellStyle name="40% - akcent 2 2 13 2 3" xfId="5848" xr:uid="{00000000-0005-0000-0000-0000C0150000}"/>
    <cellStyle name="40% - akcent 2 2 13 2 3 2" xfId="5849" xr:uid="{00000000-0005-0000-0000-0000C1150000}"/>
    <cellStyle name="40% - akcent 2 2 13 2 3 2 2" xfId="5850" xr:uid="{00000000-0005-0000-0000-0000C2150000}"/>
    <cellStyle name="40% - akcent 2 2 13 2 3 2 3" xfId="5851" xr:uid="{00000000-0005-0000-0000-0000C3150000}"/>
    <cellStyle name="40% - akcent 2 2 13 2 3 2 4" xfId="5852" xr:uid="{00000000-0005-0000-0000-0000C4150000}"/>
    <cellStyle name="40% - akcent 2 2 13 2 3 2 5" xfId="5853" xr:uid="{00000000-0005-0000-0000-0000C5150000}"/>
    <cellStyle name="40% - akcent 2 2 13 2 3 2 6" xfId="5854" xr:uid="{00000000-0005-0000-0000-0000C6150000}"/>
    <cellStyle name="40% - akcent 2 2 13 2 3 3" xfId="5855" xr:uid="{00000000-0005-0000-0000-0000C7150000}"/>
    <cellStyle name="40% - akcent 2 2 13 2 3 4" xfId="5856" xr:uid="{00000000-0005-0000-0000-0000C8150000}"/>
    <cellStyle name="40% - akcent 2 2 13 2 3 5" xfId="5857" xr:uid="{00000000-0005-0000-0000-0000C9150000}"/>
    <cellStyle name="40% - akcent 2 2 13 2 3 6" xfId="5858" xr:uid="{00000000-0005-0000-0000-0000CA150000}"/>
    <cellStyle name="40% - akcent 2 2 13 2 3 7" xfId="5859" xr:uid="{00000000-0005-0000-0000-0000CB150000}"/>
    <cellStyle name="40% - akcent 2 2 13 2 4" xfId="5860" xr:uid="{00000000-0005-0000-0000-0000CC150000}"/>
    <cellStyle name="40% - akcent 2 2 13 2 5" xfId="5861" xr:uid="{00000000-0005-0000-0000-0000CD150000}"/>
    <cellStyle name="40% - akcent 2 2 13 2 6" xfId="5862" xr:uid="{00000000-0005-0000-0000-0000CE150000}"/>
    <cellStyle name="40% - akcent 2 2 13 2 7" xfId="5863" xr:uid="{00000000-0005-0000-0000-0000CF150000}"/>
    <cellStyle name="40% - akcent 2 2 13 2 7 2" xfId="5864" xr:uid="{00000000-0005-0000-0000-0000D0150000}"/>
    <cellStyle name="40% - akcent 2 2 13 2 7 3" xfId="5865" xr:uid="{00000000-0005-0000-0000-0000D1150000}"/>
    <cellStyle name="40% - akcent 2 2 13 2 7 4" xfId="5866" xr:uid="{00000000-0005-0000-0000-0000D2150000}"/>
    <cellStyle name="40% - akcent 2 2 13 2 7 5" xfId="5867" xr:uid="{00000000-0005-0000-0000-0000D3150000}"/>
    <cellStyle name="40% - akcent 2 2 13 2 7 6" xfId="5868" xr:uid="{00000000-0005-0000-0000-0000D4150000}"/>
    <cellStyle name="40% - akcent 2 2 13 2 8" xfId="5869" xr:uid="{00000000-0005-0000-0000-0000D5150000}"/>
    <cellStyle name="40% - akcent 2 2 13 2 9" xfId="5870" xr:uid="{00000000-0005-0000-0000-0000D6150000}"/>
    <cellStyle name="40% - akcent 2 2 13 3" xfId="5871" xr:uid="{00000000-0005-0000-0000-0000D7150000}"/>
    <cellStyle name="40% - akcent 2 2 13 3 2" xfId="5872" xr:uid="{00000000-0005-0000-0000-0000D8150000}"/>
    <cellStyle name="40% - akcent 2 2 13 3 2 2" xfId="5873" xr:uid="{00000000-0005-0000-0000-0000D9150000}"/>
    <cellStyle name="40% - akcent 2 2 13 3 2 3" xfId="5874" xr:uid="{00000000-0005-0000-0000-0000DA150000}"/>
    <cellStyle name="40% - akcent 2 2 13 3 2 4" xfId="5875" xr:uid="{00000000-0005-0000-0000-0000DB150000}"/>
    <cellStyle name="40% - akcent 2 2 13 3 2 5" xfId="5876" xr:uid="{00000000-0005-0000-0000-0000DC150000}"/>
    <cellStyle name="40% - akcent 2 2 13 3 2 6" xfId="5877" xr:uid="{00000000-0005-0000-0000-0000DD150000}"/>
    <cellStyle name="40% - akcent 2 2 13 3 3" xfId="5878" xr:uid="{00000000-0005-0000-0000-0000DE150000}"/>
    <cellStyle name="40% - akcent 2 2 13 3 4" xfId="5879" xr:uid="{00000000-0005-0000-0000-0000DF150000}"/>
    <cellStyle name="40% - akcent 2 2 13 3 5" xfId="5880" xr:uid="{00000000-0005-0000-0000-0000E0150000}"/>
    <cellStyle name="40% - akcent 2 2 13 3 6" xfId="5881" xr:uid="{00000000-0005-0000-0000-0000E1150000}"/>
    <cellStyle name="40% - akcent 2 2 13 3 7" xfId="5882" xr:uid="{00000000-0005-0000-0000-0000E2150000}"/>
    <cellStyle name="40% - akcent 2 2 13 4" xfId="5883" xr:uid="{00000000-0005-0000-0000-0000E3150000}"/>
    <cellStyle name="40% - akcent 2 2 13 5" xfId="5884" xr:uid="{00000000-0005-0000-0000-0000E4150000}"/>
    <cellStyle name="40% - akcent 2 2 13 6" xfId="5885" xr:uid="{00000000-0005-0000-0000-0000E5150000}"/>
    <cellStyle name="40% - akcent 2 2 13 7" xfId="5886" xr:uid="{00000000-0005-0000-0000-0000E6150000}"/>
    <cellStyle name="40% - akcent 2 2 13 8" xfId="5887" xr:uid="{00000000-0005-0000-0000-0000E7150000}"/>
    <cellStyle name="40% - akcent 2 2 13 8 2" xfId="5888" xr:uid="{00000000-0005-0000-0000-0000E8150000}"/>
    <cellStyle name="40% - akcent 2 2 13 8 3" xfId="5889" xr:uid="{00000000-0005-0000-0000-0000E9150000}"/>
    <cellStyle name="40% - akcent 2 2 13 8 4" xfId="5890" xr:uid="{00000000-0005-0000-0000-0000EA150000}"/>
    <cellStyle name="40% - akcent 2 2 13 8 5" xfId="5891" xr:uid="{00000000-0005-0000-0000-0000EB150000}"/>
    <cellStyle name="40% - akcent 2 2 13 8 6" xfId="5892" xr:uid="{00000000-0005-0000-0000-0000EC150000}"/>
    <cellStyle name="40% - akcent 2 2 13 9" xfId="5893" xr:uid="{00000000-0005-0000-0000-0000ED150000}"/>
    <cellStyle name="40% - akcent 2 2 14" xfId="5894" xr:uid="{00000000-0005-0000-0000-0000EE150000}"/>
    <cellStyle name="40% - akcent 2 2 14 10" xfId="5895" xr:uid="{00000000-0005-0000-0000-0000EF150000}"/>
    <cellStyle name="40% - akcent 2 2 14 11" xfId="5896" xr:uid="{00000000-0005-0000-0000-0000F0150000}"/>
    <cellStyle name="40% - akcent 2 2 14 2" xfId="5897" xr:uid="{00000000-0005-0000-0000-0000F1150000}"/>
    <cellStyle name="40% - akcent 2 2 14 2 2" xfId="5898" xr:uid="{00000000-0005-0000-0000-0000F2150000}"/>
    <cellStyle name="40% - akcent 2 2 14 2 2 2" xfId="5899" xr:uid="{00000000-0005-0000-0000-0000F3150000}"/>
    <cellStyle name="40% - akcent 2 2 14 2 2 3" xfId="5900" xr:uid="{00000000-0005-0000-0000-0000F4150000}"/>
    <cellStyle name="40% - akcent 2 2 14 2 2 4" xfId="5901" xr:uid="{00000000-0005-0000-0000-0000F5150000}"/>
    <cellStyle name="40% - akcent 2 2 14 2 2 5" xfId="5902" xr:uid="{00000000-0005-0000-0000-0000F6150000}"/>
    <cellStyle name="40% - akcent 2 2 14 2 2 6" xfId="5903" xr:uid="{00000000-0005-0000-0000-0000F7150000}"/>
    <cellStyle name="40% - akcent 2 2 14 2 3" xfId="5904" xr:uid="{00000000-0005-0000-0000-0000F8150000}"/>
    <cellStyle name="40% - akcent 2 2 14 2 4" xfId="5905" xr:uid="{00000000-0005-0000-0000-0000F9150000}"/>
    <cellStyle name="40% - akcent 2 2 14 2 5" xfId="5906" xr:uid="{00000000-0005-0000-0000-0000FA150000}"/>
    <cellStyle name="40% - akcent 2 2 14 2 6" xfId="5907" xr:uid="{00000000-0005-0000-0000-0000FB150000}"/>
    <cellStyle name="40% - akcent 2 2 14 2 7" xfId="5908" xr:uid="{00000000-0005-0000-0000-0000FC150000}"/>
    <cellStyle name="40% - akcent 2 2 14 3" xfId="5909" xr:uid="{00000000-0005-0000-0000-0000FD150000}"/>
    <cellStyle name="40% - akcent 2 2 14 4" xfId="5910" xr:uid="{00000000-0005-0000-0000-0000FE150000}"/>
    <cellStyle name="40% - akcent 2 2 14 5" xfId="5911" xr:uid="{00000000-0005-0000-0000-0000FF150000}"/>
    <cellStyle name="40% - akcent 2 2 14 6" xfId="5912" xr:uid="{00000000-0005-0000-0000-000000160000}"/>
    <cellStyle name="40% - akcent 2 2 14 7" xfId="5913" xr:uid="{00000000-0005-0000-0000-000001160000}"/>
    <cellStyle name="40% - akcent 2 2 14 7 2" xfId="5914" xr:uid="{00000000-0005-0000-0000-000002160000}"/>
    <cellStyle name="40% - akcent 2 2 14 7 3" xfId="5915" xr:uid="{00000000-0005-0000-0000-000003160000}"/>
    <cellStyle name="40% - akcent 2 2 14 7 4" xfId="5916" xr:uid="{00000000-0005-0000-0000-000004160000}"/>
    <cellStyle name="40% - akcent 2 2 14 7 5" xfId="5917" xr:uid="{00000000-0005-0000-0000-000005160000}"/>
    <cellStyle name="40% - akcent 2 2 14 7 6" xfId="5918" xr:uid="{00000000-0005-0000-0000-000006160000}"/>
    <cellStyle name="40% - akcent 2 2 14 8" xfId="5919" xr:uid="{00000000-0005-0000-0000-000007160000}"/>
    <cellStyle name="40% - akcent 2 2 14 9" xfId="5920" xr:uid="{00000000-0005-0000-0000-000008160000}"/>
    <cellStyle name="40% - akcent 2 2 15" xfId="5921" xr:uid="{00000000-0005-0000-0000-000009160000}"/>
    <cellStyle name="40% - akcent 2 2 15 2" xfId="5922" xr:uid="{00000000-0005-0000-0000-00000A160000}"/>
    <cellStyle name="40% - akcent 2 2 15 2 2" xfId="5923" xr:uid="{00000000-0005-0000-0000-00000B160000}"/>
    <cellStyle name="40% - akcent 2 2 15 2 3" xfId="5924" xr:uid="{00000000-0005-0000-0000-00000C160000}"/>
    <cellStyle name="40% - akcent 2 2 15 2 4" xfId="5925" xr:uid="{00000000-0005-0000-0000-00000D160000}"/>
    <cellStyle name="40% - akcent 2 2 15 2 5" xfId="5926" xr:uid="{00000000-0005-0000-0000-00000E160000}"/>
    <cellStyle name="40% - akcent 2 2 15 2 6" xfId="5927" xr:uid="{00000000-0005-0000-0000-00000F160000}"/>
    <cellStyle name="40% - akcent 2 2 15 3" xfId="5928" xr:uid="{00000000-0005-0000-0000-000010160000}"/>
    <cellStyle name="40% - akcent 2 2 15 4" xfId="5929" xr:uid="{00000000-0005-0000-0000-000011160000}"/>
    <cellStyle name="40% - akcent 2 2 15 5" xfId="5930" xr:uid="{00000000-0005-0000-0000-000012160000}"/>
    <cellStyle name="40% - akcent 2 2 15 6" xfId="5931" xr:uid="{00000000-0005-0000-0000-000013160000}"/>
    <cellStyle name="40% - akcent 2 2 15 7" xfId="5932" xr:uid="{00000000-0005-0000-0000-000014160000}"/>
    <cellStyle name="40% - akcent 2 2 16" xfId="5933" xr:uid="{00000000-0005-0000-0000-000015160000}"/>
    <cellStyle name="40% - akcent 2 2 17" xfId="5934" xr:uid="{00000000-0005-0000-0000-000016160000}"/>
    <cellStyle name="40% - akcent 2 2 18" xfId="5935" xr:uid="{00000000-0005-0000-0000-000017160000}"/>
    <cellStyle name="40% - akcent 2 2 19" xfId="5936" xr:uid="{00000000-0005-0000-0000-000018160000}"/>
    <cellStyle name="40% - akcent 2 2 2" xfId="100" xr:uid="{00000000-0005-0000-0000-000019160000}"/>
    <cellStyle name="40% - akcent 2 2 2 2" xfId="5937" xr:uid="{00000000-0005-0000-0000-00001A160000}"/>
    <cellStyle name="40% - akcent 2 2 20" xfId="5938" xr:uid="{00000000-0005-0000-0000-00001B160000}"/>
    <cellStyle name="40% - akcent 2 2 21" xfId="5939" xr:uid="{00000000-0005-0000-0000-00001C160000}"/>
    <cellStyle name="40% - akcent 2 2 21 2" xfId="5940" xr:uid="{00000000-0005-0000-0000-00001D160000}"/>
    <cellStyle name="40% - akcent 2 2 21 3" xfId="5941" xr:uid="{00000000-0005-0000-0000-00001E160000}"/>
    <cellStyle name="40% - akcent 2 2 21 4" xfId="5942" xr:uid="{00000000-0005-0000-0000-00001F160000}"/>
    <cellStyle name="40% - akcent 2 2 21 5" xfId="5943" xr:uid="{00000000-0005-0000-0000-000020160000}"/>
    <cellStyle name="40% - akcent 2 2 21 6" xfId="5944" xr:uid="{00000000-0005-0000-0000-000021160000}"/>
    <cellStyle name="40% - akcent 2 2 22" xfId="5945" xr:uid="{00000000-0005-0000-0000-000022160000}"/>
    <cellStyle name="40% - akcent 2 2 23" xfId="5946" xr:uid="{00000000-0005-0000-0000-000023160000}"/>
    <cellStyle name="40% - akcent 2 2 24" xfId="5947" xr:uid="{00000000-0005-0000-0000-000024160000}"/>
    <cellStyle name="40% - akcent 2 2 25" xfId="5948" xr:uid="{00000000-0005-0000-0000-000025160000}"/>
    <cellStyle name="40% - akcent 2 2 26" xfId="5949" xr:uid="{00000000-0005-0000-0000-000026160000}"/>
    <cellStyle name="40% - akcent 2 2 27" xfId="5950" xr:uid="{00000000-0005-0000-0000-000027160000}"/>
    <cellStyle name="40% - akcent 2 2 28" xfId="5951" xr:uid="{00000000-0005-0000-0000-000028160000}"/>
    <cellStyle name="40% - akcent 2 2 29" xfId="5952" xr:uid="{00000000-0005-0000-0000-000029160000}"/>
    <cellStyle name="40% - akcent 2 2 3" xfId="5953" xr:uid="{00000000-0005-0000-0000-00002A160000}"/>
    <cellStyle name="40% - akcent 2 2 30" xfId="5954" xr:uid="{00000000-0005-0000-0000-00002B160000}"/>
    <cellStyle name="40% - akcent 2 2 31" xfId="5955" xr:uid="{00000000-0005-0000-0000-00002C160000}"/>
    <cellStyle name="40% - akcent 2 2 32" xfId="5810" xr:uid="{00000000-0005-0000-0000-00002D160000}"/>
    <cellStyle name="40% - akcent 2 2 33" xfId="37824" xr:uid="{00000000-0005-0000-0000-00002E160000}"/>
    <cellStyle name="40% - akcent 2 2 4" xfId="5956" xr:uid="{00000000-0005-0000-0000-00002F160000}"/>
    <cellStyle name="40% - akcent 2 2 5" xfId="5957" xr:uid="{00000000-0005-0000-0000-000030160000}"/>
    <cellStyle name="40% - akcent 2 2 6" xfId="5958" xr:uid="{00000000-0005-0000-0000-000031160000}"/>
    <cellStyle name="40% - akcent 2 2 6 10" xfId="5959" xr:uid="{00000000-0005-0000-0000-000032160000}"/>
    <cellStyle name="40% - akcent 2 2 6 11" xfId="5960" xr:uid="{00000000-0005-0000-0000-000033160000}"/>
    <cellStyle name="40% - akcent 2 2 6 12" xfId="5961" xr:uid="{00000000-0005-0000-0000-000034160000}"/>
    <cellStyle name="40% - akcent 2 2 6 13" xfId="5962" xr:uid="{00000000-0005-0000-0000-000035160000}"/>
    <cellStyle name="40% - akcent 2 2 6 2" xfId="5963" xr:uid="{00000000-0005-0000-0000-000036160000}"/>
    <cellStyle name="40% - akcent 2 2 6 2 10" xfId="5964" xr:uid="{00000000-0005-0000-0000-000037160000}"/>
    <cellStyle name="40% - akcent 2 2 6 2 11" xfId="5965" xr:uid="{00000000-0005-0000-0000-000038160000}"/>
    <cellStyle name="40% - akcent 2 2 6 2 12" xfId="5966" xr:uid="{00000000-0005-0000-0000-000039160000}"/>
    <cellStyle name="40% - akcent 2 2 6 2 2" xfId="5967" xr:uid="{00000000-0005-0000-0000-00003A160000}"/>
    <cellStyle name="40% - akcent 2 2 6 2 2 10" xfId="5968" xr:uid="{00000000-0005-0000-0000-00003B160000}"/>
    <cellStyle name="40% - akcent 2 2 6 2 2 11" xfId="5969" xr:uid="{00000000-0005-0000-0000-00003C160000}"/>
    <cellStyle name="40% - akcent 2 2 6 2 2 2" xfId="5970" xr:uid="{00000000-0005-0000-0000-00003D160000}"/>
    <cellStyle name="40% - akcent 2 2 6 2 2 2 10" xfId="5971" xr:uid="{00000000-0005-0000-0000-00003E160000}"/>
    <cellStyle name="40% - akcent 2 2 6 2 2 2 11" xfId="5972" xr:uid="{00000000-0005-0000-0000-00003F160000}"/>
    <cellStyle name="40% - akcent 2 2 6 2 2 2 2" xfId="5973" xr:uid="{00000000-0005-0000-0000-000040160000}"/>
    <cellStyle name="40% - akcent 2 2 6 2 2 2 2 2" xfId="5974" xr:uid="{00000000-0005-0000-0000-000041160000}"/>
    <cellStyle name="40% - akcent 2 2 6 2 2 2 2 2 2" xfId="5975" xr:uid="{00000000-0005-0000-0000-000042160000}"/>
    <cellStyle name="40% - akcent 2 2 6 2 2 2 2 2 3" xfId="5976" xr:uid="{00000000-0005-0000-0000-000043160000}"/>
    <cellStyle name="40% - akcent 2 2 6 2 2 2 2 2 4" xfId="5977" xr:uid="{00000000-0005-0000-0000-000044160000}"/>
    <cellStyle name="40% - akcent 2 2 6 2 2 2 2 2 5" xfId="5978" xr:uid="{00000000-0005-0000-0000-000045160000}"/>
    <cellStyle name="40% - akcent 2 2 6 2 2 2 2 2 6" xfId="5979" xr:uid="{00000000-0005-0000-0000-000046160000}"/>
    <cellStyle name="40% - akcent 2 2 6 2 2 2 2 3" xfId="5980" xr:uid="{00000000-0005-0000-0000-000047160000}"/>
    <cellStyle name="40% - akcent 2 2 6 2 2 2 2 4" xfId="5981" xr:uid="{00000000-0005-0000-0000-000048160000}"/>
    <cellStyle name="40% - akcent 2 2 6 2 2 2 2 5" xfId="5982" xr:uid="{00000000-0005-0000-0000-000049160000}"/>
    <cellStyle name="40% - akcent 2 2 6 2 2 2 2 6" xfId="5983" xr:uid="{00000000-0005-0000-0000-00004A160000}"/>
    <cellStyle name="40% - akcent 2 2 6 2 2 2 2 7" xfId="5984" xr:uid="{00000000-0005-0000-0000-00004B160000}"/>
    <cellStyle name="40% - akcent 2 2 6 2 2 2 3" xfId="5985" xr:uid="{00000000-0005-0000-0000-00004C160000}"/>
    <cellStyle name="40% - akcent 2 2 6 2 2 2 4" xfId="5986" xr:uid="{00000000-0005-0000-0000-00004D160000}"/>
    <cellStyle name="40% - akcent 2 2 6 2 2 2 5" xfId="5987" xr:uid="{00000000-0005-0000-0000-00004E160000}"/>
    <cellStyle name="40% - akcent 2 2 6 2 2 2 6" xfId="5988" xr:uid="{00000000-0005-0000-0000-00004F160000}"/>
    <cellStyle name="40% - akcent 2 2 6 2 2 2 7" xfId="5989" xr:uid="{00000000-0005-0000-0000-000050160000}"/>
    <cellStyle name="40% - akcent 2 2 6 2 2 2 7 2" xfId="5990" xr:uid="{00000000-0005-0000-0000-000051160000}"/>
    <cellStyle name="40% - akcent 2 2 6 2 2 2 7 3" xfId="5991" xr:uid="{00000000-0005-0000-0000-000052160000}"/>
    <cellStyle name="40% - akcent 2 2 6 2 2 2 7 4" xfId="5992" xr:uid="{00000000-0005-0000-0000-000053160000}"/>
    <cellStyle name="40% - akcent 2 2 6 2 2 2 7 5" xfId="5993" xr:uid="{00000000-0005-0000-0000-000054160000}"/>
    <cellStyle name="40% - akcent 2 2 6 2 2 2 7 6" xfId="5994" xr:uid="{00000000-0005-0000-0000-000055160000}"/>
    <cellStyle name="40% - akcent 2 2 6 2 2 2 8" xfId="5995" xr:uid="{00000000-0005-0000-0000-000056160000}"/>
    <cellStyle name="40% - akcent 2 2 6 2 2 2 9" xfId="5996" xr:uid="{00000000-0005-0000-0000-000057160000}"/>
    <cellStyle name="40% - akcent 2 2 6 2 2 3" xfId="5997" xr:uid="{00000000-0005-0000-0000-000058160000}"/>
    <cellStyle name="40% - akcent 2 2 6 2 2 3 2" xfId="5998" xr:uid="{00000000-0005-0000-0000-000059160000}"/>
    <cellStyle name="40% - akcent 2 2 6 2 2 3 2 2" xfId="5999" xr:uid="{00000000-0005-0000-0000-00005A160000}"/>
    <cellStyle name="40% - akcent 2 2 6 2 2 3 2 3" xfId="6000" xr:uid="{00000000-0005-0000-0000-00005B160000}"/>
    <cellStyle name="40% - akcent 2 2 6 2 2 3 2 4" xfId="6001" xr:uid="{00000000-0005-0000-0000-00005C160000}"/>
    <cellStyle name="40% - akcent 2 2 6 2 2 3 2 5" xfId="6002" xr:uid="{00000000-0005-0000-0000-00005D160000}"/>
    <cellStyle name="40% - akcent 2 2 6 2 2 3 2 6" xfId="6003" xr:uid="{00000000-0005-0000-0000-00005E160000}"/>
    <cellStyle name="40% - akcent 2 2 6 2 2 3 3" xfId="6004" xr:uid="{00000000-0005-0000-0000-00005F160000}"/>
    <cellStyle name="40% - akcent 2 2 6 2 2 3 4" xfId="6005" xr:uid="{00000000-0005-0000-0000-000060160000}"/>
    <cellStyle name="40% - akcent 2 2 6 2 2 3 5" xfId="6006" xr:uid="{00000000-0005-0000-0000-000061160000}"/>
    <cellStyle name="40% - akcent 2 2 6 2 2 3 6" xfId="6007" xr:uid="{00000000-0005-0000-0000-000062160000}"/>
    <cellStyle name="40% - akcent 2 2 6 2 2 3 7" xfId="6008" xr:uid="{00000000-0005-0000-0000-000063160000}"/>
    <cellStyle name="40% - akcent 2 2 6 2 2 4" xfId="6009" xr:uid="{00000000-0005-0000-0000-000064160000}"/>
    <cellStyle name="40% - akcent 2 2 6 2 2 5" xfId="6010" xr:uid="{00000000-0005-0000-0000-000065160000}"/>
    <cellStyle name="40% - akcent 2 2 6 2 2 6" xfId="6011" xr:uid="{00000000-0005-0000-0000-000066160000}"/>
    <cellStyle name="40% - akcent 2 2 6 2 2 7" xfId="6012" xr:uid="{00000000-0005-0000-0000-000067160000}"/>
    <cellStyle name="40% - akcent 2 2 6 2 2 7 2" xfId="6013" xr:uid="{00000000-0005-0000-0000-000068160000}"/>
    <cellStyle name="40% - akcent 2 2 6 2 2 7 3" xfId="6014" xr:uid="{00000000-0005-0000-0000-000069160000}"/>
    <cellStyle name="40% - akcent 2 2 6 2 2 7 4" xfId="6015" xr:uid="{00000000-0005-0000-0000-00006A160000}"/>
    <cellStyle name="40% - akcent 2 2 6 2 2 7 5" xfId="6016" xr:uid="{00000000-0005-0000-0000-00006B160000}"/>
    <cellStyle name="40% - akcent 2 2 6 2 2 7 6" xfId="6017" xr:uid="{00000000-0005-0000-0000-00006C160000}"/>
    <cellStyle name="40% - akcent 2 2 6 2 2 8" xfId="6018" xr:uid="{00000000-0005-0000-0000-00006D160000}"/>
    <cellStyle name="40% - akcent 2 2 6 2 2 9" xfId="6019" xr:uid="{00000000-0005-0000-0000-00006E160000}"/>
    <cellStyle name="40% - akcent 2 2 6 2 3" xfId="6020" xr:uid="{00000000-0005-0000-0000-00006F160000}"/>
    <cellStyle name="40% - akcent 2 2 6 2 3 2" xfId="6021" xr:uid="{00000000-0005-0000-0000-000070160000}"/>
    <cellStyle name="40% - akcent 2 2 6 2 3 2 2" xfId="6022" xr:uid="{00000000-0005-0000-0000-000071160000}"/>
    <cellStyle name="40% - akcent 2 2 6 2 3 2 3" xfId="6023" xr:uid="{00000000-0005-0000-0000-000072160000}"/>
    <cellStyle name="40% - akcent 2 2 6 2 3 2 4" xfId="6024" xr:uid="{00000000-0005-0000-0000-000073160000}"/>
    <cellStyle name="40% - akcent 2 2 6 2 3 2 5" xfId="6025" xr:uid="{00000000-0005-0000-0000-000074160000}"/>
    <cellStyle name="40% - akcent 2 2 6 2 3 2 6" xfId="6026" xr:uid="{00000000-0005-0000-0000-000075160000}"/>
    <cellStyle name="40% - akcent 2 2 6 2 3 3" xfId="6027" xr:uid="{00000000-0005-0000-0000-000076160000}"/>
    <cellStyle name="40% - akcent 2 2 6 2 3 4" xfId="6028" xr:uid="{00000000-0005-0000-0000-000077160000}"/>
    <cellStyle name="40% - akcent 2 2 6 2 3 5" xfId="6029" xr:uid="{00000000-0005-0000-0000-000078160000}"/>
    <cellStyle name="40% - akcent 2 2 6 2 3 6" xfId="6030" xr:uid="{00000000-0005-0000-0000-000079160000}"/>
    <cellStyle name="40% - akcent 2 2 6 2 3 7" xfId="6031" xr:uid="{00000000-0005-0000-0000-00007A160000}"/>
    <cellStyle name="40% - akcent 2 2 6 2 4" xfId="6032" xr:uid="{00000000-0005-0000-0000-00007B160000}"/>
    <cellStyle name="40% - akcent 2 2 6 2 5" xfId="6033" xr:uid="{00000000-0005-0000-0000-00007C160000}"/>
    <cellStyle name="40% - akcent 2 2 6 2 6" xfId="6034" xr:uid="{00000000-0005-0000-0000-00007D160000}"/>
    <cellStyle name="40% - akcent 2 2 6 2 7" xfId="6035" xr:uid="{00000000-0005-0000-0000-00007E160000}"/>
    <cellStyle name="40% - akcent 2 2 6 2 8" xfId="6036" xr:uid="{00000000-0005-0000-0000-00007F160000}"/>
    <cellStyle name="40% - akcent 2 2 6 2 8 2" xfId="6037" xr:uid="{00000000-0005-0000-0000-000080160000}"/>
    <cellStyle name="40% - akcent 2 2 6 2 8 3" xfId="6038" xr:uid="{00000000-0005-0000-0000-000081160000}"/>
    <cellStyle name="40% - akcent 2 2 6 2 8 4" xfId="6039" xr:uid="{00000000-0005-0000-0000-000082160000}"/>
    <cellStyle name="40% - akcent 2 2 6 2 8 5" xfId="6040" xr:uid="{00000000-0005-0000-0000-000083160000}"/>
    <cellStyle name="40% - akcent 2 2 6 2 8 6" xfId="6041" xr:uid="{00000000-0005-0000-0000-000084160000}"/>
    <cellStyle name="40% - akcent 2 2 6 2 9" xfId="6042" xr:uid="{00000000-0005-0000-0000-000085160000}"/>
    <cellStyle name="40% - akcent 2 2 6 3" xfId="6043" xr:uid="{00000000-0005-0000-0000-000086160000}"/>
    <cellStyle name="40% - akcent 2 2 6 4" xfId="6044" xr:uid="{00000000-0005-0000-0000-000087160000}"/>
    <cellStyle name="40% - akcent 2 2 6 4 10" xfId="6045" xr:uid="{00000000-0005-0000-0000-000088160000}"/>
    <cellStyle name="40% - akcent 2 2 6 4 11" xfId="6046" xr:uid="{00000000-0005-0000-0000-000089160000}"/>
    <cellStyle name="40% - akcent 2 2 6 4 2" xfId="6047" xr:uid="{00000000-0005-0000-0000-00008A160000}"/>
    <cellStyle name="40% - akcent 2 2 6 4 2 2" xfId="6048" xr:uid="{00000000-0005-0000-0000-00008B160000}"/>
    <cellStyle name="40% - akcent 2 2 6 4 2 2 2" xfId="6049" xr:uid="{00000000-0005-0000-0000-00008C160000}"/>
    <cellStyle name="40% - akcent 2 2 6 4 2 2 3" xfId="6050" xr:uid="{00000000-0005-0000-0000-00008D160000}"/>
    <cellStyle name="40% - akcent 2 2 6 4 2 2 4" xfId="6051" xr:uid="{00000000-0005-0000-0000-00008E160000}"/>
    <cellStyle name="40% - akcent 2 2 6 4 2 2 5" xfId="6052" xr:uid="{00000000-0005-0000-0000-00008F160000}"/>
    <cellStyle name="40% - akcent 2 2 6 4 2 2 6" xfId="6053" xr:uid="{00000000-0005-0000-0000-000090160000}"/>
    <cellStyle name="40% - akcent 2 2 6 4 2 3" xfId="6054" xr:uid="{00000000-0005-0000-0000-000091160000}"/>
    <cellStyle name="40% - akcent 2 2 6 4 2 4" xfId="6055" xr:uid="{00000000-0005-0000-0000-000092160000}"/>
    <cellStyle name="40% - akcent 2 2 6 4 2 5" xfId="6056" xr:uid="{00000000-0005-0000-0000-000093160000}"/>
    <cellStyle name="40% - akcent 2 2 6 4 2 6" xfId="6057" xr:uid="{00000000-0005-0000-0000-000094160000}"/>
    <cellStyle name="40% - akcent 2 2 6 4 2 7" xfId="6058" xr:uid="{00000000-0005-0000-0000-000095160000}"/>
    <cellStyle name="40% - akcent 2 2 6 4 3" xfId="6059" xr:uid="{00000000-0005-0000-0000-000096160000}"/>
    <cellStyle name="40% - akcent 2 2 6 4 4" xfId="6060" xr:uid="{00000000-0005-0000-0000-000097160000}"/>
    <cellStyle name="40% - akcent 2 2 6 4 5" xfId="6061" xr:uid="{00000000-0005-0000-0000-000098160000}"/>
    <cellStyle name="40% - akcent 2 2 6 4 6" xfId="6062" xr:uid="{00000000-0005-0000-0000-000099160000}"/>
    <cellStyle name="40% - akcent 2 2 6 4 7" xfId="6063" xr:uid="{00000000-0005-0000-0000-00009A160000}"/>
    <cellStyle name="40% - akcent 2 2 6 4 7 2" xfId="6064" xr:uid="{00000000-0005-0000-0000-00009B160000}"/>
    <cellStyle name="40% - akcent 2 2 6 4 7 3" xfId="6065" xr:uid="{00000000-0005-0000-0000-00009C160000}"/>
    <cellStyle name="40% - akcent 2 2 6 4 7 4" xfId="6066" xr:uid="{00000000-0005-0000-0000-00009D160000}"/>
    <cellStyle name="40% - akcent 2 2 6 4 7 5" xfId="6067" xr:uid="{00000000-0005-0000-0000-00009E160000}"/>
    <cellStyle name="40% - akcent 2 2 6 4 7 6" xfId="6068" xr:uid="{00000000-0005-0000-0000-00009F160000}"/>
    <cellStyle name="40% - akcent 2 2 6 4 8" xfId="6069" xr:uid="{00000000-0005-0000-0000-0000A0160000}"/>
    <cellStyle name="40% - akcent 2 2 6 4 9" xfId="6070" xr:uid="{00000000-0005-0000-0000-0000A1160000}"/>
    <cellStyle name="40% - akcent 2 2 6 5" xfId="6071" xr:uid="{00000000-0005-0000-0000-0000A2160000}"/>
    <cellStyle name="40% - akcent 2 2 6 5 2" xfId="6072" xr:uid="{00000000-0005-0000-0000-0000A3160000}"/>
    <cellStyle name="40% - akcent 2 2 6 5 2 2" xfId="6073" xr:uid="{00000000-0005-0000-0000-0000A4160000}"/>
    <cellStyle name="40% - akcent 2 2 6 5 2 3" xfId="6074" xr:uid="{00000000-0005-0000-0000-0000A5160000}"/>
    <cellStyle name="40% - akcent 2 2 6 5 2 4" xfId="6075" xr:uid="{00000000-0005-0000-0000-0000A6160000}"/>
    <cellStyle name="40% - akcent 2 2 6 5 2 5" xfId="6076" xr:uid="{00000000-0005-0000-0000-0000A7160000}"/>
    <cellStyle name="40% - akcent 2 2 6 5 2 6" xfId="6077" xr:uid="{00000000-0005-0000-0000-0000A8160000}"/>
    <cellStyle name="40% - akcent 2 2 6 5 3" xfId="6078" xr:uid="{00000000-0005-0000-0000-0000A9160000}"/>
    <cellStyle name="40% - akcent 2 2 6 5 4" xfId="6079" xr:uid="{00000000-0005-0000-0000-0000AA160000}"/>
    <cellStyle name="40% - akcent 2 2 6 5 5" xfId="6080" xr:uid="{00000000-0005-0000-0000-0000AB160000}"/>
    <cellStyle name="40% - akcent 2 2 6 5 6" xfId="6081" xr:uid="{00000000-0005-0000-0000-0000AC160000}"/>
    <cellStyle name="40% - akcent 2 2 6 5 7" xfId="6082" xr:uid="{00000000-0005-0000-0000-0000AD160000}"/>
    <cellStyle name="40% - akcent 2 2 6 6" xfId="6083" xr:uid="{00000000-0005-0000-0000-0000AE160000}"/>
    <cellStyle name="40% - akcent 2 2 6 7" xfId="6084" xr:uid="{00000000-0005-0000-0000-0000AF160000}"/>
    <cellStyle name="40% - akcent 2 2 6 8" xfId="6085" xr:uid="{00000000-0005-0000-0000-0000B0160000}"/>
    <cellStyle name="40% - akcent 2 2 6 9" xfId="6086" xr:uid="{00000000-0005-0000-0000-0000B1160000}"/>
    <cellStyle name="40% - akcent 2 2 6 9 2" xfId="6087" xr:uid="{00000000-0005-0000-0000-0000B2160000}"/>
    <cellStyle name="40% - akcent 2 2 6 9 3" xfId="6088" xr:uid="{00000000-0005-0000-0000-0000B3160000}"/>
    <cellStyle name="40% - akcent 2 2 6 9 4" xfId="6089" xr:uid="{00000000-0005-0000-0000-0000B4160000}"/>
    <cellStyle name="40% - akcent 2 2 6 9 5" xfId="6090" xr:uid="{00000000-0005-0000-0000-0000B5160000}"/>
    <cellStyle name="40% - akcent 2 2 6 9 6" xfId="6091" xr:uid="{00000000-0005-0000-0000-0000B6160000}"/>
    <cellStyle name="40% - akcent 2 2 7" xfId="6092" xr:uid="{00000000-0005-0000-0000-0000B7160000}"/>
    <cellStyle name="40% - akcent 2 2 8" xfId="6093" xr:uid="{00000000-0005-0000-0000-0000B8160000}"/>
    <cellStyle name="40% - akcent 2 2 9" xfId="6094" xr:uid="{00000000-0005-0000-0000-0000B9160000}"/>
    <cellStyle name="40% - akcent 2 2_archeolagia" xfId="6095" xr:uid="{00000000-0005-0000-0000-0000BA160000}"/>
    <cellStyle name="40% - akcent 2 3" xfId="101" xr:uid="{00000000-0005-0000-0000-0000BB160000}"/>
    <cellStyle name="40% - akcent 2 3 2" xfId="102" xr:uid="{00000000-0005-0000-0000-0000BC160000}"/>
    <cellStyle name="40% - akcent 2 3 2 2" xfId="6097" xr:uid="{00000000-0005-0000-0000-0000BD160000}"/>
    <cellStyle name="40% - akcent 2 3 3" xfId="6098" xr:uid="{00000000-0005-0000-0000-0000BE160000}"/>
    <cellStyle name="40% - akcent 2 3 4" xfId="6099" xr:uid="{00000000-0005-0000-0000-0000BF160000}"/>
    <cellStyle name="40% - akcent 2 3 5" xfId="6096" xr:uid="{00000000-0005-0000-0000-0000C0160000}"/>
    <cellStyle name="40% - akcent 2 4" xfId="103" xr:uid="{00000000-0005-0000-0000-0000C1160000}"/>
    <cellStyle name="40% - akcent 2 4 2" xfId="104" xr:uid="{00000000-0005-0000-0000-0000C2160000}"/>
    <cellStyle name="40% - akcent 2 4 2 2" xfId="6101" xr:uid="{00000000-0005-0000-0000-0000C3160000}"/>
    <cellStyle name="40% - akcent 2 4 3" xfId="6102" xr:uid="{00000000-0005-0000-0000-0000C4160000}"/>
    <cellStyle name="40% - akcent 2 4 4" xfId="6103" xr:uid="{00000000-0005-0000-0000-0000C5160000}"/>
    <cellStyle name="40% - akcent 2 4 5" xfId="6100" xr:uid="{00000000-0005-0000-0000-0000C6160000}"/>
    <cellStyle name="40% - akcent 2 5" xfId="105" xr:uid="{00000000-0005-0000-0000-0000C7160000}"/>
    <cellStyle name="40% - akcent 2 5 2" xfId="106" xr:uid="{00000000-0005-0000-0000-0000C8160000}"/>
    <cellStyle name="40% - akcent 2 5 2 2" xfId="6105" xr:uid="{00000000-0005-0000-0000-0000C9160000}"/>
    <cellStyle name="40% - akcent 2 5 3" xfId="6106" xr:uid="{00000000-0005-0000-0000-0000CA160000}"/>
    <cellStyle name="40% - akcent 2 5 4" xfId="6107" xr:uid="{00000000-0005-0000-0000-0000CB160000}"/>
    <cellStyle name="40% - akcent 2 5 5" xfId="6104" xr:uid="{00000000-0005-0000-0000-0000CC160000}"/>
    <cellStyle name="40% - akcent 2 6" xfId="107" xr:uid="{00000000-0005-0000-0000-0000CD160000}"/>
    <cellStyle name="40% - akcent 2 6 2" xfId="108" xr:uid="{00000000-0005-0000-0000-0000CE160000}"/>
    <cellStyle name="40% - akcent 2 6 2 2" xfId="6109" xr:uid="{00000000-0005-0000-0000-0000CF160000}"/>
    <cellStyle name="40% - akcent 2 6 3" xfId="6110" xr:uid="{00000000-0005-0000-0000-0000D0160000}"/>
    <cellStyle name="40% - akcent 2 6 4" xfId="6111" xr:uid="{00000000-0005-0000-0000-0000D1160000}"/>
    <cellStyle name="40% - akcent 2 6 5" xfId="6108" xr:uid="{00000000-0005-0000-0000-0000D2160000}"/>
    <cellStyle name="40% - akcent 2 7" xfId="109" xr:uid="{00000000-0005-0000-0000-0000D3160000}"/>
    <cellStyle name="40% - akcent 2 7 2" xfId="110" xr:uid="{00000000-0005-0000-0000-0000D4160000}"/>
    <cellStyle name="40% - akcent 2 7 2 2" xfId="6113" xr:uid="{00000000-0005-0000-0000-0000D5160000}"/>
    <cellStyle name="40% - akcent 2 7 3" xfId="6114" xr:uid="{00000000-0005-0000-0000-0000D6160000}"/>
    <cellStyle name="40% - akcent 2 7 4" xfId="6115" xr:uid="{00000000-0005-0000-0000-0000D7160000}"/>
    <cellStyle name="40% - akcent 2 7 5" xfId="6112" xr:uid="{00000000-0005-0000-0000-0000D8160000}"/>
    <cellStyle name="40% - akcent 2 8" xfId="6116" xr:uid="{00000000-0005-0000-0000-0000D9160000}"/>
    <cellStyle name="40% - akcent 2 8 2" xfId="6117" xr:uid="{00000000-0005-0000-0000-0000DA160000}"/>
    <cellStyle name="40% - akcent 2 8 3" xfId="6118" xr:uid="{00000000-0005-0000-0000-0000DB160000}"/>
    <cellStyle name="40% - akcent 2 8 4" xfId="6119" xr:uid="{00000000-0005-0000-0000-0000DC160000}"/>
    <cellStyle name="40% - akcent 2 9" xfId="6120" xr:uid="{00000000-0005-0000-0000-0000DD160000}"/>
    <cellStyle name="40% - akcent 3 1" xfId="6121" xr:uid="{00000000-0005-0000-0000-0000DE160000}"/>
    <cellStyle name="40% - akcent 3 10" xfId="6122" xr:uid="{00000000-0005-0000-0000-0000DF160000}"/>
    <cellStyle name="40% - akcent 3 11" xfId="6123" xr:uid="{00000000-0005-0000-0000-0000E0160000}"/>
    <cellStyle name="40% - akcent 3 12" xfId="6124" xr:uid="{00000000-0005-0000-0000-0000E1160000}"/>
    <cellStyle name="40% - akcent 3 13" xfId="6125" xr:uid="{00000000-0005-0000-0000-0000E2160000}"/>
    <cellStyle name="40% - akcent 3 14" xfId="6126" xr:uid="{00000000-0005-0000-0000-0000E3160000}"/>
    <cellStyle name="40% - akcent 3 15" xfId="6127" xr:uid="{00000000-0005-0000-0000-0000E4160000}"/>
    <cellStyle name="40% - akcent 3 16" xfId="6128" xr:uid="{00000000-0005-0000-0000-0000E5160000}"/>
    <cellStyle name="40% - akcent 3 17" xfId="6129" xr:uid="{00000000-0005-0000-0000-0000E6160000}"/>
    <cellStyle name="40% - akcent 3 18" xfId="6130" xr:uid="{00000000-0005-0000-0000-0000E7160000}"/>
    <cellStyle name="40% - akcent 3 19" xfId="6131" xr:uid="{00000000-0005-0000-0000-0000E8160000}"/>
    <cellStyle name="40% - akcent 3 2" xfId="111" xr:uid="{00000000-0005-0000-0000-0000E9160000}"/>
    <cellStyle name="40% - akcent 3 2 10" xfId="6133" xr:uid="{00000000-0005-0000-0000-0000EA160000}"/>
    <cellStyle name="40% - akcent 3 2 11" xfId="6134" xr:uid="{00000000-0005-0000-0000-0000EB160000}"/>
    <cellStyle name="40% - akcent 3 2 12" xfId="6135" xr:uid="{00000000-0005-0000-0000-0000EC160000}"/>
    <cellStyle name="40% - akcent 3 2 13" xfId="6136" xr:uid="{00000000-0005-0000-0000-0000ED160000}"/>
    <cellStyle name="40% - akcent 3 2 13 10" xfId="6137" xr:uid="{00000000-0005-0000-0000-0000EE160000}"/>
    <cellStyle name="40% - akcent 3 2 13 11" xfId="6138" xr:uid="{00000000-0005-0000-0000-0000EF160000}"/>
    <cellStyle name="40% - akcent 3 2 13 12" xfId="6139" xr:uid="{00000000-0005-0000-0000-0000F0160000}"/>
    <cellStyle name="40% - akcent 3 2 13 2" xfId="6140" xr:uid="{00000000-0005-0000-0000-0000F1160000}"/>
    <cellStyle name="40% - akcent 3 2 13 2 10" xfId="6141" xr:uid="{00000000-0005-0000-0000-0000F2160000}"/>
    <cellStyle name="40% - akcent 3 2 13 2 11" xfId="6142" xr:uid="{00000000-0005-0000-0000-0000F3160000}"/>
    <cellStyle name="40% - akcent 3 2 13 2 2" xfId="6143" xr:uid="{00000000-0005-0000-0000-0000F4160000}"/>
    <cellStyle name="40% - akcent 3 2 13 2 2 10" xfId="6144" xr:uid="{00000000-0005-0000-0000-0000F5160000}"/>
    <cellStyle name="40% - akcent 3 2 13 2 2 11" xfId="6145" xr:uid="{00000000-0005-0000-0000-0000F6160000}"/>
    <cellStyle name="40% - akcent 3 2 13 2 2 2" xfId="6146" xr:uid="{00000000-0005-0000-0000-0000F7160000}"/>
    <cellStyle name="40% - akcent 3 2 13 2 2 2 2" xfId="6147" xr:uid="{00000000-0005-0000-0000-0000F8160000}"/>
    <cellStyle name="40% - akcent 3 2 13 2 2 2 2 2" xfId="6148" xr:uid="{00000000-0005-0000-0000-0000F9160000}"/>
    <cellStyle name="40% - akcent 3 2 13 2 2 2 2 3" xfId="6149" xr:uid="{00000000-0005-0000-0000-0000FA160000}"/>
    <cellStyle name="40% - akcent 3 2 13 2 2 2 2 4" xfId="6150" xr:uid="{00000000-0005-0000-0000-0000FB160000}"/>
    <cellStyle name="40% - akcent 3 2 13 2 2 2 2 5" xfId="6151" xr:uid="{00000000-0005-0000-0000-0000FC160000}"/>
    <cellStyle name="40% - akcent 3 2 13 2 2 2 2 6" xfId="6152" xr:uid="{00000000-0005-0000-0000-0000FD160000}"/>
    <cellStyle name="40% - akcent 3 2 13 2 2 2 3" xfId="6153" xr:uid="{00000000-0005-0000-0000-0000FE160000}"/>
    <cellStyle name="40% - akcent 3 2 13 2 2 2 4" xfId="6154" xr:uid="{00000000-0005-0000-0000-0000FF160000}"/>
    <cellStyle name="40% - akcent 3 2 13 2 2 2 5" xfId="6155" xr:uid="{00000000-0005-0000-0000-000000170000}"/>
    <cellStyle name="40% - akcent 3 2 13 2 2 2 6" xfId="6156" xr:uid="{00000000-0005-0000-0000-000001170000}"/>
    <cellStyle name="40% - akcent 3 2 13 2 2 2 7" xfId="6157" xr:uid="{00000000-0005-0000-0000-000002170000}"/>
    <cellStyle name="40% - akcent 3 2 13 2 2 3" xfId="6158" xr:uid="{00000000-0005-0000-0000-000003170000}"/>
    <cellStyle name="40% - akcent 3 2 13 2 2 4" xfId="6159" xr:uid="{00000000-0005-0000-0000-000004170000}"/>
    <cellStyle name="40% - akcent 3 2 13 2 2 5" xfId="6160" xr:uid="{00000000-0005-0000-0000-000005170000}"/>
    <cellStyle name="40% - akcent 3 2 13 2 2 6" xfId="6161" xr:uid="{00000000-0005-0000-0000-000006170000}"/>
    <cellStyle name="40% - akcent 3 2 13 2 2 7" xfId="6162" xr:uid="{00000000-0005-0000-0000-000007170000}"/>
    <cellStyle name="40% - akcent 3 2 13 2 2 7 2" xfId="6163" xr:uid="{00000000-0005-0000-0000-000008170000}"/>
    <cellStyle name="40% - akcent 3 2 13 2 2 7 3" xfId="6164" xr:uid="{00000000-0005-0000-0000-000009170000}"/>
    <cellStyle name="40% - akcent 3 2 13 2 2 7 4" xfId="6165" xr:uid="{00000000-0005-0000-0000-00000A170000}"/>
    <cellStyle name="40% - akcent 3 2 13 2 2 7 5" xfId="6166" xr:uid="{00000000-0005-0000-0000-00000B170000}"/>
    <cellStyle name="40% - akcent 3 2 13 2 2 7 6" xfId="6167" xr:uid="{00000000-0005-0000-0000-00000C170000}"/>
    <cellStyle name="40% - akcent 3 2 13 2 2 8" xfId="6168" xr:uid="{00000000-0005-0000-0000-00000D170000}"/>
    <cellStyle name="40% - akcent 3 2 13 2 2 9" xfId="6169" xr:uid="{00000000-0005-0000-0000-00000E170000}"/>
    <cellStyle name="40% - akcent 3 2 13 2 3" xfId="6170" xr:uid="{00000000-0005-0000-0000-00000F170000}"/>
    <cellStyle name="40% - akcent 3 2 13 2 3 2" xfId="6171" xr:uid="{00000000-0005-0000-0000-000010170000}"/>
    <cellStyle name="40% - akcent 3 2 13 2 3 2 2" xfId="6172" xr:uid="{00000000-0005-0000-0000-000011170000}"/>
    <cellStyle name="40% - akcent 3 2 13 2 3 2 3" xfId="6173" xr:uid="{00000000-0005-0000-0000-000012170000}"/>
    <cellStyle name="40% - akcent 3 2 13 2 3 2 4" xfId="6174" xr:uid="{00000000-0005-0000-0000-000013170000}"/>
    <cellStyle name="40% - akcent 3 2 13 2 3 2 5" xfId="6175" xr:uid="{00000000-0005-0000-0000-000014170000}"/>
    <cellStyle name="40% - akcent 3 2 13 2 3 2 6" xfId="6176" xr:uid="{00000000-0005-0000-0000-000015170000}"/>
    <cellStyle name="40% - akcent 3 2 13 2 3 3" xfId="6177" xr:uid="{00000000-0005-0000-0000-000016170000}"/>
    <cellStyle name="40% - akcent 3 2 13 2 3 4" xfId="6178" xr:uid="{00000000-0005-0000-0000-000017170000}"/>
    <cellStyle name="40% - akcent 3 2 13 2 3 5" xfId="6179" xr:uid="{00000000-0005-0000-0000-000018170000}"/>
    <cellStyle name="40% - akcent 3 2 13 2 3 6" xfId="6180" xr:uid="{00000000-0005-0000-0000-000019170000}"/>
    <cellStyle name="40% - akcent 3 2 13 2 3 7" xfId="6181" xr:uid="{00000000-0005-0000-0000-00001A170000}"/>
    <cellStyle name="40% - akcent 3 2 13 2 4" xfId="6182" xr:uid="{00000000-0005-0000-0000-00001B170000}"/>
    <cellStyle name="40% - akcent 3 2 13 2 5" xfId="6183" xr:uid="{00000000-0005-0000-0000-00001C170000}"/>
    <cellStyle name="40% - akcent 3 2 13 2 6" xfId="6184" xr:uid="{00000000-0005-0000-0000-00001D170000}"/>
    <cellStyle name="40% - akcent 3 2 13 2 7" xfId="6185" xr:uid="{00000000-0005-0000-0000-00001E170000}"/>
    <cellStyle name="40% - akcent 3 2 13 2 7 2" xfId="6186" xr:uid="{00000000-0005-0000-0000-00001F170000}"/>
    <cellStyle name="40% - akcent 3 2 13 2 7 3" xfId="6187" xr:uid="{00000000-0005-0000-0000-000020170000}"/>
    <cellStyle name="40% - akcent 3 2 13 2 7 4" xfId="6188" xr:uid="{00000000-0005-0000-0000-000021170000}"/>
    <cellStyle name="40% - akcent 3 2 13 2 7 5" xfId="6189" xr:uid="{00000000-0005-0000-0000-000022170000}"/>
    <cellStyle name="40% - akcent 3 2 13 2 7 6" xfId="6190" xr:uid="{00000000-0005-0000-0000-000023170000}"/>
    <cellStyle name="40% - akcent 3 2 13 2 8" xfId="6191" xr:uid="{00000000-0005-0000-0000-000024170000}"/>
    <cellStyle name="40% - akcent 3 2 13 2 9" xfId="6192" xr:uid="{00000000-0005-0000-0000-000025170000}"/>
    <cellStyle name="40% - akcent 3 2 13 3" xfId="6193" xr:uid="{00000000-0005-0000-0000-000026170000}"/>
    <cellStyle name="40% - akcent 3 2 13 3 2" xfId="6194" xr:uid="{00000000-0005-0000-0000-000027170000}"/>
    <cellStyle name="40% - akcent 3 2 13 3 2 2" xfId="6195" xr:uid="{00000000-0005-0000-0000-000028170000}"/>
    <cellStyle name="40% - akcent 3 2 13 3 2 3" xfId="6196" xr:uid="{00000000-0005-0000-0000-000029170000}"/>
    <cellStyle name="40% - akcent 3 2 13 3 2 4" xfId="6197" xr:uid="{00000000-0005-0000-0000-00002A170000}"/>
    <cellStyle name="40% - akcent 3 2 13 3 2 5" xfId="6198" xr:uid="{00000000-0005-0000-0000-00002B170000}"/>
    <cellStyle name="40% - akcent 3 2 13 3 2 6" xfId="6199" xr:uid="{00000000-0005-0000-0000-00002C170000}"/>
    <cellStyle name="40% - akcent 3 2 13 3 3" xfId="6200" xr:uid="{00000000-0005-0000-0000-00002D170000}"/>
    <cellStyle name="40% - akcent 3 2 13 3 4" xfId="6201" xr:uid="{00000000-0005-0000-0000-00002E170000}"/>
    <cellStyle name="40% - akcent 3 2 13 3 5" xfId="6202" xr:uid="{00000000-0005-0000-0000-00002F170000}"/>
    <cellStyle name="40% - akcent 3 2 13 3 6" xfId="6203" xr:uid="{00000000-0005-0000-0000-000030170000}"/>
    <cellStyle name="40% - akcent 3 2 13 3 7" xfId="6204" xr:uid="{00000000-0005-0000-0000-000031170000}"/>
    <cellStyle name="40% - akcent 3 2 13 4" xfId="6205" xr:uid="{00000000-0005-0000-0000-000032170000}"/>
    <cellStyle name="40% - akcent 3 2 13 5" xfId="6206" xr:uid="{00000000-0005-0000-0000-000033170000}"/>
    <cellStyle name="40% - akcent 3 2 13 6" xfId="6207" xr:uid="{00000000-0005-0000-0000-000034170000}"/>
    <cellStyle name="40% - akcent 3 2 13 7" xfId="6208" xr:uid="{00000000-0005-0000-0000-000035170000}"/>
    <cellStyle name="40% - akcent 3 2 13 8" xfId="6209" xr:uid="{00000000-0005-0000-0000-000036170000}"/>
    <cellStyle name="40% - akcent 3 2 13 8 2" xfId="6210" xr:uid="{00000000-0005-0000-0000-000037170000}"/>
    <cellStyle name="40% - akcent 3 2 13 8 3" xfId="6211" xr:uid="{00000000-0005-0000-0000-000038170000}"/>
    <cellStyle name="40% - akcent 3 2 13 8 4" xfId="6212" xr:uid="{00000000-0005-0000-0000-000039170000}"/>
    <cellStyle name="40% - akcent 3 2 13 8 5" xfId="6213" xr:uid="{00000000-0005-0000-0000-00003A170000}"/>
    <cellStyle name="40% - akcent 3 2 13 8 6" xfId="6214" xr:uid="{00000000-0005-0000-0000-00003B170000}"/>
    <cellStyle name="40% - akcent 3 2 13 9" xfId="6215" xr:uid="{00000000-0005-0000-0000-00003C170000}"/>
    <cellStyle name="40% - akcent 3 2 14" xfId="6216" xr:uid="{00000000-0005-0000-0000-00003D170000}"/>
    <cellStyle name="40% - akcent 3 2 14 10" xfId="6217" xr:uid="{00000000-0005-0000-0000-00003E170000}"/>
    <cellStyle name="40% - akcent 3 2 14 11" xfId="6218" xr:uid="{00000000-0005-0000-0000-00003F170000}"/>
    <cellStyle name="40% - akcent 3 2 14 2" xfId="6219" xr:uid="{00000000-0005-0000-0000-000040170000}"/>
    <cellStyle name="40% - akcent 3 2 14 2 2" xfId="6220" xr:uid="{00000000-0005-0000-0000-000041170000}"/>
    <cellStyle name="40% - akcent 3 2 14 2 2 2" xfId="6221" xr:uid="{00000000-0005-0000-0000-000042170000}"/>
    <cellStyle name="40% - akcent 3 2 14 2 2 3" xfId="6222" xr:uid="{00000000-0005-0000-0000-000043170000}"/>
    <cellStyle name="40% - akcent 3 2 14 2 2 4" xfId="6223" xr:uid="{00000000-0005-0000-0000-000044170000}"/>
    <cellStyle name="40% - akcent 3 2 14 2 2 5" xfId="6224" xr:uid="{00000000-0005-0000-0000-000045170000}"/>
    <cellStyle name="40% - akcent 3 2 14 2 2 6" xfId="6225" xr:uid="{00000000-0005-0000-0000-000046170000}"/>
    <cellStyle name="40% - akcent 3 2 14 2 3" xfId="6226" xr:uid="{00000000-0005-0000-0000-000047170000}"/>
    <cellStyle name="40% - akcent 3 2 14 2 4" xfId="6227" xr:uid="{00000000-0005-0000-0000-000048170000}"/>
    <cellStyle name="40% - akcent 3 2 14 2 5" xfId="6228" xr:uid="{00000000-0005-0000-0000-000049170000}"/>
    <cellStyle name="40% - akcent 3 2 14 2 6" xfId="6229" xr:uid="{00000000-0005-0000-0000-00004A170000}"/>
    <cellStyle name="40% - akcent 3 2 14 2 7" xfId="6230" xr:uid="{00000000-0005-0000-0000-00004B170000}"/>
    <cellStyle name="40% - akcent 3 2 14 3" xfId="6231" xr:uid="{00000000-0005-0000-0000-00004C170000}"/>
    <cellStyle name="40% - akcent 3 2 14 4" xfId="6232" xr:uid="{00000000-0005-0000-0000-00004D170000}"/>
    <cellStyle name="40% - akcent 3 2 14 5" xfId="6233" xr:uid="{00000000-0005-0000-0000-00004E170000}"/>
    <cellStyle name="40% - akcent 3 2 14 6" xfId="6234" xr:uid="{00000000-0005-0000-0000-00004F170000}"/>
    <cellStyle name="40% - akcent 3 2 14 7" xfId="6235" xr:uid="{00000000-0005-0000-0000-000050170000}"/>
    <cellStyle name="40% - akcent 3 2 14 7 2" xfId="6236" xr:uid="{00000000-0005-0000-0000-000051170000}"/>
    <cellStyle name="40% - akcent 3 2 14 7 3" xfId="6237" xr:uid="{00000000-0005-0000-0000-000052170000}"/>
    <cellStyle name="40% - akcent 3 2 14 7 4" xfId="6238" xr:uid="{00000000-0005-0000-0000-000053170000}"/>
    <cellStyle name="40% - akcent 3 2 14 7 5" xfId="6239" xr:uid="{00000000-0005-0000-0000-000054170000}"/>
    <cellStyle name="40% - akcent 3 2 14 7 6" xfId="6240" xr:uid="{00000000-0005-0000-0000-000055170000}"/>
    <cellStyle name="40% - akcent 3 2 14 8" xfId="6241" xr:uid="{00000000-0005-0000-0000-000056170000}"/>
    <cellStyle name="40% - akcent 3 2 14 9" xfId="6242" xr:uid="{00000000-0005-0000-0000-000057170000}"/>
    <cellStyle name="40% - akcent 3 2 15" xfId="6243" xr:uid="{00000000-0005-0000-0000-000058170000}"/>
    <cellStyle name="40% - akcent 3 2 15 2" xfId="6244" xr:uid="{00000000-0005-0000-0000-000059170000}"/>
    <cellStyle name="40% - akcent 3 2 15 2 2" xfId="6245" xr:uid="{00000000-0005-0000-0000-00005A170000}"/>
    <cellStyle name="40% - akcent 3 2 15 2 3" xfId="6246" xr:uid="{00000000-0005-0000-0000-00005B170000}"/>
    <cellStyle name="40% - akcent 3 2 15 2 4" xfId="6247" xr:uid="{00000000-0005-0000-0000-00005C170000}"/>
    <cellStyle name="40% - akcent 3 2 15 2 5" xfId="6248" xr:uid="{00000000-0005-0000-0000-00005D170000}"/>
    <cellStyle name="40% - akcent 3 2 15 2 6" xfId="6249" xr:uid="{00000000-0005-0000-0000-00005E170000}"/>
    <cellStyle name="40% - akcent 3 2 15 3" xfId="6250" xr:uid="{00000000-0005-0000-0000-00005F170000}"/>
    <cellStyle name="40% - akcent 3 2 15 4" xfId="6251" xr:uid="{00000000-0005-0000-0000-000060170000}"/>
    <cellStyle name="40% - akcent 3 2 15 5" xfId="6252" xr:uid="{00000000-0005-0000-0000-000061170000}"/>
    <cellStyle name="40% - akcent 3 2 15 6" xfId="6253" xr:uid="{00000000-0005-0000-0000-000062170000}"/>
    <cellStyle name="40% - akcent 3 2 15 7" xfId="6254" xr:uid="{00000000-0005-0000-0000-000063170000}"/>
    <cellStyle name="40% - akcent 3 2 16" xfId="6255" xr:uid="{00000000-0005-0000-0000-000064170000}"/>
    <cellStyle name="40% - akcent 3 2 17" xfId="6256" xr:uid="{00000000-0005-0000-0000-000065170000}"/>
    <cellStyle name="40% - akcent 3 2 18" xfId="6257" xr:uid="{00000000-0005-0000-0000-000066170000}"/>
    <cellStyle name="40% - akcent 3 2 19" xfId="6258" xr:uid="{00000000-0005-0000-0000-000067170000}"/>
    <cellStyle name="40% - akcent 3 2 2" xfId="112" xr:uid="{00000000-0005-0000-0000-000068170000}"/>
    <cellStyle name="40% - akcent 3 2 2 10" xfId="6260" xr:uid="{00000000-0005-0000-0000-000069170000}"/>
    <cellStyle name="40% - akcent 3 2 2 10 10" xfId="6261" xr:uid="{00000000-0005-0000-0000-00006A170000}"/>
    <cellStyle name="40% - akcent 3 2 2 10 11" xfId="6262" xr:uid="{00000000-0005-0000-0000-00006B170000}"/>
    <cellStyle name="40% - akcent 3 2 2 10 12" xfId="6263" xr:uid="{00000000-0005-0000-0000-00006C170000}"/>
    <cellStyle name="40% - akcent 3 2 2 10 2" xfId="6264" xr:uid="{00000000-0005-0000-0000-00006D170000}"/>
    <cellStyle name="40% - akcent 3 2 2 10 2 10" xfId="6265" xr:uid="{00000000-0005-0000-0000-00006E170000}"/>
    <cellStyle name="40% - akcent 3 2 2 10 2 11" xfId="6266" xr:uid="{00000000-0005-0000-0000-00006F170000}"/>
    <cellStyle name="40% - akcent 3 2 2 10 2 2" xfId="6267" xr:uid="{00000000-0005-0000-0000-000070170000}"/>
    <cellStyle name="40% - akcent 3 2 2 10 2 2 10" xfId="6268" xr:uid="{00000000-0005-0000-0000-000071170000}"/>
    <cellStyle name="40% - akcent 3 2 2 10 2 2 11" xfId="6269" xr:uid="{00000000-0005-0000-0000-000072170000}"/>
    <cellStyle name="40% - akcent 3 2 2 10 2 2 2" xfId="6270" xr:uid="{00000000-0005-0000-0000-000073170000}"/>
    <cellStyle name="40% - akcent 3 2 2 10 2 2 2 2" xfId="6271" xr:uid="{00000000-0005-0000-0000-000074170000}"/>
    <cellStyle name="40% - akcent 3 2 2 10 2 2 2 2 2" xfId="6272" xr:uid="{00000000-0005-0000-0000-000075170000}"/>
    <cellStyle name="40% - akcent 3 2 2 10 2 2 2 2 3" xfId="6273" xr:uid="{00000000-0005-0000-0000-000076170000}"/>
    <cellStyle name="40% - akcent 3 2 2 10 2 2 2 2 4" xfId="6274" xr:uid="{00000000-0005-0000-0000-000077170000}"/>
    <cellStyle name="40% - akcent 3 2 2 10 2 2 2 2 5" xfId="6275" xr:uid="{00000000-0005-0000-0000-000078170000}"/>
    <cellStyle name="40% - akcent 3 2 2 10 2 2 2 2 6" xfId="6276" xr:uid="{00000000-0005-0000-0000-000079170000}"/>
    <cellStyle name="40% - akcent 3 2 2 10 2 2 2 3" xfId="6277" xr:uid="{00000000-0005-0000-0000-00007A170000}"/>
    <cellStyle name="40% - akcent 3 2 2 10 2 2 2 4" xfId="6278" xr:uid="{00000000-0005-0000-0000-00007B170000}"/>
    <cellStyle name="40% - akcent 3 2 2 10 2 2 2 5" xfId="6279" xr:uid="{00000000-0005-0000-0000-00007C170000}"/>
    <cellStyle name="40% - akcent 3 2 2 10 2 2 2 6" xfId="6280" xr:uid="{00000000-0005-0000-0000-00007D170000}"/>
    <cellStyle name="40% - akcent 3 2 2 10 2 2 2 7" xfId="6281" xr:uid="{00000000-0005-0000-0000-00007E170000}"/>
    <cellStyle name="40% - akcent 3 2 2 10 2 2 3" xfId="6282" xr:uid="{00000000-0005-0000-0000-00007F170000}"/>
    <cellStyle name="40% - akcent 3 2 2 10 2 2 4" xfId="6283" xr:uid="{00000000-0005-0000-0000-000080170000}"/>
    <cellStyle name="40% - akcent 3 2 2 10 2 2 5" xfId="6284" xr:uid="{00000000-0005-0000-0000-000081170000}"/>
    <cellStyle name="40% - akcent 3 2 2 10 2 2 6" xfId="6285" xr:uid="{00000000-0005-0000-0000-000082170000}"/>
    <cellStyle name="40% - akcent 3 2 2 10 2 2 7" xfId="6286" xr:uid="{00000000-0005-0000-0000-000083170000}"/>
    <cellStyle name="40% - akcent 3 2 2 10 2 2 7 2" xfId="6287" xr:uid="{00000000-0005-0000-0000-000084170000}"/>
    <cellStyle name="40% - akcent 3 2 2 10 2 2 7 3" xfId="6288" xr:uid="{00000000-0005-0000-0000-000085170000}"/>
    <cellStyle name="40% - akcent 3 2 2 10 2 2 7 4" xfId="6289" xr:uid="{00000000-0005-0000-0000-000086170000}"/>
    <cellStyle name="40% - akcent 3 2 2 10 2 2 7 5" xfId="6290" xr:uid="{00000000-0005-0000-0000-000087170000}"/>
    <cellStyle name="40% - akcent 3 2 2 10 2 2 7 6" xfId="6291" xr:uid="{00000000-0005-0000-0000-000088170000}"/>
    <cellStyle name="40% - akcent 3 2 2 10 2 2 8" xfId="6292" xr:uid="{00000000-0005-0000-0000-000089170000}"/>
    <cellStyle name="40% - akcent 3 2 2 10 2 2 9" xfId="6293" xr:uid="{00000000-0005-0000-0000-00008A170000}"/>
    <cellStyle name="40% - akcent 3 2 2 10 2 3" xfId="6294" xr:uid="{00000000-0005-0000-0000-00008B170000}"/>
    <cellStyle name="40% - akcent 3 2 2 10 2 3 2" xfId="6295" xr:uid="{00000000-0005-0000-0000-00008C170000}"/>
    <cellStyle name="40% - akcent 3 2 2 10 2 3 2 2" xfId="6296" xr:uid="{00000000-0005-0000-0000-00008D170000}"/>
    <cellStyle name="40% - akcent 3 2 2 10 2 3 2 3" xfId="6297" xr:uid="{00000000-0005-0000-0000-00008E170000}"/>
    <cellStyle name="40% - akcent 3 2 2 10 2 3 2 4" xfId="6298" xr:uid="{00000000-0005-0000-0000-00008F170000}"/>
    <cellStyle name="40% - akcent 3 2 2 10 2 3 2 5" xfId="6299" xr:uid="{00000000-0005-0000-0000-000090170000}"/>
    <cellStyle name="40% - akcent 3 2 2 10 2 3 2 6" xfId="6300" xr:uid="{00000000-0005-0000-0000-000091170000}"/>
    <cellStyle name="40% - akcent 3 2 2 10 2 3 3" xfId="6301" xr:uid="{00000000-0005-0000-0000-000092170000}"/>
    <cellStyle name="40% - akcent 3 2 2 10 2 3 4" xfId="6302" xr:uid="{00000000-0005-0000-0000-000093170000}"/>
    <cellStyle name="40% - akcent 3 2 2 10 2 3 5" xfId="6303" xr:uid="{00000000-0005-0000-0000-000094170000}"/>
    <cellStyle name="40% - akcent 3 2 2 10 2 3 6" xfId="6304" xr:uid="{00000000-0005-0000-0000-000095170000}"/>
    <cellStyle name="40% - akcent 3 2 2 10 2 3 7" xfId="6305" xr:uid="{00000000-0005-0000-0000-000096170000}"/>
    <cellStyle name="40% - akcent 3 2 2 10 2 4" xfId="6306" xr:uid="{00000000-0005-0000-0000-000097170000}"/>
    <cellStyle name="40% - akcent 3 2 2 10 2 5" xfId="6307" xr:uid="{00000000-0005-0000-0000-000098170000}"/>
    <cellStyle name="40% - akcent 3 2 2 10 2 6" xfId="6308" xr:uid="{00000000-0005-0000-0000-000099170000}"/>
    <cellStyle name="40% - akcent 3 2 2 10 2 7" xfId="6309" xr:uid="{00000000-0005-0000-0000-00009A170000}"/>
    <cellStyle name="40% - akcent 3 2 2 10 2 7 2" xfId="6310" xr:uid="{00000000-0005-0000-0000-00009B170000}"/>
    <cellStyle name="40% - akcent 3 2 2 10 2 7 3" xfId="6311" xr:uid="{00000000-0005-0000-0000-00009C170000}"/>
    <cellStyle name="40% - akcent 3 2 2 10 2 7 4" xfId="6312" xr:uid="{00000000-0005-0000-0000-00009D170000}"/>
    <cellStyle name="40% - akcent 3 2 2 10 2 7 5" xfId="6313" xr:uid="{00000000-0005-0000-0000-00009E170000}"/>
    <cellStyle name="40% - akcent 3 2 2 10 2 7 6" xfId="6314" xr:uid="{00000000-0005-0000-0000-00009F170000}"/>
    <cellStyle name="40% - akcent 3 2 2 10 2 8" xfId="6315" xr:uid="{00000000-0005-0000-0000-0000A0170000}"/>
    <cellStyle name="40% - akcent 3 2 2 10 2 9" xfId="6316" xr:uid="{00000000-0005-0000-0000-0000A1170000}"/>
    <cellStyle name="40% - akcent 3 2 2 10 3" xfId="6317" xr:uid="{00000000-0005-0000-0000-0000A2170000}"/>
    <cellStyle name="40% - akcent 3 2 2 10 3 2" xfId="6318" xr:uid="{00000000-0005-0000-0000-0000A3170000}"/>
    <cellStyle name="40% - akcent 3 2 2 10 3 2 2" xfId="6319" xr:uid="{00000000-0005-0000-0000-0000A4170000}"/>
    <cellStyle name="40% - akcent 3 2 2 10 3 2 3" xfId="6320" xr:uid="{00000000-0005-0000-0000-0000A5170000}"/>
    <cellStyle name="40% - akcent 3 2 2 10 3 2 4" xfId="6321" xr:uid="{00000000-0005-0000-0000-0000A6170000}"/>
    <cellStyle name="40% - akcent 3 2 2 10 3 2 5" xfId="6322" xr:uid="{00000000-0005-0000-0000-0000A7170000}"/>
    <cellStyle name="40% - akcent 3 2 2 10 3 2 6" xfId="6323" xr:uid="{00000000-0005-0000-0000-0000A8170000}"/>
    <cellStyle name="40% - akcent 3 2 2 10 3 3" xfId="6324" xr:uid="{00000000-0005-0000-0000-0000A9170000}"/>
    <cellStyle name="40% - akcent 3 2 2 10 3 4" xfId="6325" xr:uid="{00000000-0005-0000-0000-0000AA170000}"/>
    <cellStyle name="40% - akcent 3 2 2 10 3 5" xfId="6326" xr:uid="{00000000-0005-0000-0000-0000AB170000}"/>
    <cellStyle name="40% - akcent 3 2 2 10 3 6" xfId="6327" xr:uid="{00000000-0005-0000-0000-0000AC170000}"/>
    <cellStyle name="40% - akcent 3 2 2 10 3 7" xfId="6328" xr:uid="{00000000-0005-0000-0000-0000AD170000}"/>
    <cellStyle name="40% - akcent 3 2 2 10 4" xfId="6329" xr:uid="{00000000-0005-0000-0000-0000AE170000}"/>
    <cellStyle name="40% - akcent 3 2 2 10 5" xfId="6330" xr:uid="{00000000-0005-0000-0000-0000AF170000}"/>
    <cellStyle name="40% - akcent 3 2 2 10 6" xfId="6331" xr:uid="{00000000-0005-0000-0000-0000B0170000}"/>
    <cellStyle name="40% - akcent 3 2 2 10 7" xfId="6332" xr:uid="{00000000-0005-0000-0000-0000B1170000}"/>
    <cellStyle name="40% - akcent 3 2 2 10 8" xfId="6333" xr:uid="{00000000-0005-0000-0000-0000B2170000}"/>
    <cellStyle name="40% - akcent 3 2 2 10 8 2" xfId="6334" xr:uid="{00000000-0005-0000-0000-0000B3170000}"/>
    <cellStyle name="40% - akcent 3 2 2 10 8 3" xfId="6335" xr:uid="{00000000-0005-0000-0000-0000B4170000}"/>
    <cellStyle name="40% - akcent 3 2 2 10 8 4" xfId="6336" xr:uid="{00000000-0005-0000-0000-0000B5170000}"/>
    <cellStyle name="40% - akcent 3 2 2 10 8 5" xfId="6337" xr:uid="{00000000-0005-0000-0000-0000B6170000}"/>
    <cellStyle name="40% - akcent 3 2 2 10 8 6" xfId="6338" xr:uid="{00000000-0005-0000-0000-0000B7170000}"/>
    <cellStyle name="40% - akcent 3 2 2 10 9" xfId="6339" xr:uid="{00000000-0005-0000-0000-0000B8170000}"/>
    <cellStyle name="40% - akcent 3 2 2 11" xfId="6340" xr:uid="{00000000-0005-0000-0000-0000B9170000}"/>
    <cellStyle name="40% - akcent 3 2 2 11 10" xfId="6341" xr:uid="{00000000-0005-0000-0000-0000BA170000}"/>
    <cellStyle name="40% - akcent 3 2 2 11 11" xfId="6342" xr:uid="{00000000-0005-0000-0000-0000BB170000}"/>
    <cellStyle name="40% - akcent 3 2 2 11 2" xfId="6343" xr:uid="{00000000-0005-0000-0000-0000BC170000}"/>
    <cellStyle name="40% - akcent 3 2 2 11 2 2" xfId="6344" xr:uid="{00000000-0005-0000-0000-0000BD170000}"/>
    <cellStyle name="40% - akcent 3 2 2 11 2 2 2" xfId="6345" xr:uid="{00000000-0005-0000-0000-0000BE170000}"/>
    <cellStyle name="40% - akcent 3 2 2 11 2 2 3" xfId="6346" xr:uid="{00000000-0005-0000-0000-0000BF170000}"/>
    <cellStyle name="40% - akcent 3 2 2 11 2 2 4" xfId="6347" xr:uid="{00000000-0005-0000-0000-0000C0170000}"/>
    <cellStyle name="40% - akcent 3 2 2 11 2 2 5" xfId="6348" xr:uid="{00000000-0005-0000-0000-0000C1170000}"/>
    <cellStyle name="40% - akcent 3 2 2 11 2 2 6" xfId="6349" xr:uid="{00000000-0005-0000-0000-0000C2170000}"/>
    <cellStyle name="40% - akcent 3 2 2 11 2 3" xfId="6350" xr:uid="{00000000-0005-0000-0000-0000C3170000}"/>
    <cellStyle name="40% - akcent 3 2 2 11 2 4" xfId="6351" xr:uid="{00000000-0005-0000-0000-0000C4170000}"/>
    <cellStyle name="40% - akcent 3 2 2 11 2 5" xfId="6352" xr:uid="{00000000-0005-0000-0000-0000C5170000}"/>
    <cellStyle name="40% - akcent 3 2 2 11 2 6" xfId="6353" xr:uid="{00000000-0005-0000-0000-0000C6170000}"/>
    <cellStyle name="40% - akcent 3 2 2 11 2 7" xfId="6354" xr:uid="{00000000-0005-0000-0000-0000C7170000}"/>
    <cellStyle name="40% - akcent 3 2 2 11 3" xfId="6355" xr:uid="{00000000-0005-0000-0000-0000C8170000}"/>
    <cellStyle name="40% - akcent 3 2 2 11 4" xfId="6356" xr:uid="{00000000-0005-0000-0000-0000C9170000}"/>
    <cellStyle name="40% - akcent 3 2 2 11 5" xfId="6357" xr:uid="{00000000-0005-0000-0000-0000CA170000}"/>
    <cellStyle name="40% - akcent 3 2 2 11 6" xfId="6358" xr:uid="{00000000-0005-0000-0000-0000CB170000}"/>
    <cellStyle name="40% - akcent 3 2 2 11 7" xfId="6359" xr:uid="{00000000-0005-0000-0000-0000CC170000}"/>
    <cellStyle name="40% - akcent 3 2 2 11 7 2" xfId="6360" xr:uid="{00000000-0005-0000-0000-0000CD170000}"/>
    <cellStyle name="40% - akcent 3 2 2 11 7 3" xfId="6361" xr:uid="{00000000-0005-0000-0000-0000CE170000}"/>
    <cellStyle name="40% - akcent 3 2 2 11 7 4" xfId="6362" xr:uid="{00000000-0005-0000-0000-0000CF170000}"/>
    <cellStyle name="40% - akcent 3 2 2 11 7 5" xfId="6363" xr:uid="{00000000-0005-0000-0000-0000D0170000}"/>
    <cellStyle name="40% - akcent 3 2 2 11 7 6" xfId="6364" xr:uid="{00000000-0005-0000-0000-0000D1170000}"/>
    <cellStyle name="40% - akcent 3 2 2 11 8" xfId="6365" xr:uid="{00000000-0005-0000-0000-0000D2170000}"/>
    <cellStyle name="40% - akcent 3 2 2 11 9" xfId="6366" xr:uid="{00000000-0005-0000-0000-0000D3170000}"/>
    <cellStyle name="40% - akcent 3 2 2 12" xfId="6367" xr:uid="{00000000-0005-0000-0000-0000D4170000}"/>
    <cellStyle name="40% - akcent 3 2 2 12 2" xfId="6368" xr:uid="{00000000-0005-0000-0000-0000D5170000}"/>
    <cellStyle name="40% - akcent 3 2 2 12 2 2" xfId="6369" xr:uid="{00000000-0005-0000-0000-0000D6170000}"/>
    <cellStyle name="40% - akcent 3 2 2 12 2 3" xfId="6370" xr:uid="{00000000-0005-0000-0000-0000D7170000}"/>
    <cellStyle name="40% - akcent 3 2 2 12 2 4" xfId="6371" xr:uid="{00000000-0005-0000-0000-0000D8170000}"/>
    <cellStyle name="40% - akcent 3 2 2 12 2 5" xfId="6372" xr:uid="{00000000-0005-0000-0000-0000D9170000}"/>
    <cellStyle name="40% - akcent 3 2 2 12 2 6" xfId="6373" xr:uid="{00000000-0005-0000-0000-0000DA170000}"/>
    <cellStyle name="40% - akcent 3 2 2 12 3" xfId="6374" xr:uid="{00000000-0005-0000-0000-0000DB170000}"/>
    <cellStyle name="40% - akcent 3 2 2 12 4" xfId="6375" xr:uid="{00000000-0005-0000-0000-0000DC170000}"/>
    <cellStyle name="40% - akcent 3 2 2 12 5" xfId="6376" xr:uid="{00000000-0005-0000-0000-0000DD170000}"/>
    <cellStyle name="40% - akcent 3 2 2 12 6" xfId="6377" xr:uid="{00000000-0005-0000-0000-0000DE170000}"/>
    <cellStyle name="40% - akcent 3 2 2 12 7" xfId="6378" xr:uid="{00000000-0005-0000-0000-0000DF170000}"/>
    <cellStyle name="40% - akcent 3 2 2 13" xfId="6379" xr:uid="{00000000-0005-0000-0000-0000E0170000}"/>
    <cellStyle name="40% - akcent 3 2 2 14" xfId="6380" xr:uid="{00000000-0005-0000-0000-0000E1170000}"/>
    <cellStyle name="40% - akcent 3 2 2 15" xfId="6381" xr:uid="{00000000-0005-0000-0000-0000E2170000}"/>
    <cellStyle name="40% - akcent 3 2 2 16" xfId="6382" xr:uid="{00000000-0005-0000-0000-0000E3170000}"/>
    <cellStyle name="40% - akcent 3 2 2 17" xfId="6383" xr:uid="{00000000-0005-0000-0000-0000E4170000}"/>
    <cellStyle name="40% - akcent 3 2 2 18" xfId="6384" xr:uid="{00000000-0005-0000-0000-0000E5170000}"/>
    <cellStyle name="40% - akcent 3 2 2 18 2" xfId="6385" xr:uid="{00000000-0005-0000-0000-0000E6170000}"/>
    <cellStyle name="40% - akcent 3 2 2 18 3" xfId="6386" xr:uid="{00000000-0005-0000-0000-0000E7170000}"/>
    <cellStyle name="40% - akcent 3 2 2 18 4" xfId="6387" xr:uid="{00000000-0005-0000-0000-0000E8170000}"/>
    <cellStyle name="40% - akcent 3 2 2 18 5" xfId="6388" xr:uid="{00000000-0005-0000-0000-0000E9170000}"/>
    <cellStyle name="40% - akcent 3 2 2 18 6" xfId="6389" xr:uid="{00000000-0005-0000-0000-0000EA170000}"/>
    <cellStyle name="40% - akcent 3 2 2 19" xfId="6390" xr:uid="{00000000-0005-0000-0000-0000EB170000}"/>
    <cellStyle name="40% - akcent 3 2 2 2" xfId="6391" xr:uid="{00000000-0005-0000-0000-0000EC170000}"/>
    <cellStyle name="40% - akcent 3 2 2 2 10" xfId="6392" xr:uid="{00000000-0005-0000-0000-0000ED170000}"/>
    <cellStyle name="40% - akcent 3 2 2 2 11" xfId="6393" xr:uid="{00000000-0005-0000-0000-0000EE170000}"/>
    <cellStyle name="40% - akcent 3 2 2 2 2" xfId="6394" xr:uid="{00000000-0005-0000-0000-0000EF170000}"/>
    <cellStyle name="40% - akcent 3 2 2 2 2 10" xfId="6395" xr:uid="{00000000-0005-0000-0000-0000F0170000}"/>
    <cellStyle name="40% - akcent 3 2 2 2 2 2" xfId="6396" xr:uid="{00000000-0005-0000-0000-0000F1170000}"/>
    <cellStyle name="40% - akcent 3 2 2 2 2 2 2" xfId="6397" xr:uid="{00000000-0005-0000-0000-0000F2170000}"/>
    <cellStyle name="40% - akcent 3 2 2 2 2 2 2 2" xfId="6398" xr:uid="{00000000-0005-0000-0000-0000F3170000}"/>
    <cellStyle name="40% - akcent 3 2 2 2 2 2 2 2 2" xfId="6399" xr:uid="{00000000-0005-0000-0000-0000F4170000}"/>
    <cellStyle name="40% - akcent 3 2 2 2 2 2 2 2 2 2" xfId="6400" xr:uid="{00000000-0005-0000-0000-0000F5170000}"/>
    <cellStyle name="40% - akcent 3 2 2 2 2 2 2 2 2 3" xfId="6401" xr:uid="{00000000-0005-0000-0000-0000F6170000}"/>
    <cellStyle name="40% - akcent 3 2 2 2 2 2 2 2 2 4" xfId="6402" xr:uid="{00000000-0005-0000-0000-0000F7170000}"/>
    <cellStyle name="40% - akcent 3 2 2 2 2 2 2 2 3" xfId="6403" xr:uid="{00000000-0005-0000-0000-0000F8170000}"/>
    <cellStyle name="40% - akcent 3 2 2 2 2 2 2 2 4" xfId="6404" xr:uid="{00000000-0005-0000-0000-0000F9170000}"/>
    <cellStyle name="40% - akcent 3 2 2 2 2 2 2 2 5" xfId="6405" xr:uid="{00000000-0005-0000-0000-0000FA170000}"/>
    <cellStyle name="40% - akcent 3 2 2 2 2 2 2 3" xfId="6406" xr:uid="{00000000-0005-0000-0000-0000FB170000}"/>
    <cellStyle name="40% - akcent 3 2 2 2 2 2 2 4" xfId="6407" xr:uid="{00000000-0005-0000-0000-0000FC170000}"/>
    <cellStyle name="40% - akcent 3 2 2 2 2 2 2 5" xfId="6408" xr:uid="{00000000-0005-0000-0000-0000FD170000}"/>
    <cellStyle name="40% - akcent 3 2 2 2 2 2 2 6" xfId="6409" xr:uid="{00000000-0005-0000-0000-0000FE170000}"/>
    <cellStyle name="40% - akcent 3 2 2 2 2 2 2 7" xfId="6410" xr:uid="{00000000-0005-0000-0000-0000FF170000}"/>
    <cellStyle name="40% - akcent 3 2 2 2 2 2 2 7 2" xfId="6411" xr:uid="{00000000-0005-0000-0000-000000180000}"/>
    <cellStyle name="40% - akcent 3 2 2 2 2 2 2 7 3" xfId="6412" xr:uid="{00000000-0005-0000-0000-000001180000}"/>
    <cellStyle name="40% - akcent 3 2 2 2 2 2 2 7 4" xfId="6413" xr:uid="{00000000-0005-0000-0000-000002180000}"/>
    <cellStyle name="40% - akcent 3 2 2 2 2 2 2 7 5" xfId="6414" xr:uid="{00000000-0005-0000-0000-000003180000}"/>
    <cellStyle name="40% - akcent 3 2 2 2 2 2 2 7 6" xfId="6415" xr:uid="{00000000-0005-0000-0000-000004180000}"/>
    <cellStyle name="40% - akcent 3 2 2 2 2 2 2 8" xfId="6416" xr:uid="{00000000-0005-0000-0000-000005180000}"/>
    <cellStyle name="40% - akcent 3 2 2 2 2 2 2 9" xfId="6417" xr:uid="{00000000-0005-0000-0000-000006180000}"/>
    <cellStyle name="40% - akcent 3 2 2 2 2 2 3" xfId="6418" xr:uid="{00000000-0005-0000-0000-000007180000}"/>
    <cellStyle name="40% - akcent 3 2 2 2 2 2 3 2" xfId="6419" xr:uid="{00000000-0005-0000-0000-000008180000}"/>
    <cellStyle name="40% - akcent 3 2 2 2 2 2 3 2 2" xfId="6420" xr:uid="{00000000-0005-0000-0000-000009180000}"/>
    <cellStyle name="40% - akcent 3 2 2 2 2 2 3 2 3" xfId="6421" xr:uid="{00000000-0005-0000-0000-00000A180000}"/>
    <cellStyle name="40% - akcent 3 2 2 2 2 2 3 2 4" xfId="6422" xr:uid="{00000000-0005-0000-0000-00000B180000}"/>
    <cellStyle name="40% - akcent 3 2 2 2 2 2 3 2 5" xfId="6423" xr:uid="{00000000-0005-0000-0000-00000C180000}"/>
    <cellStyle name="40% - akcent 3 2 2 2 2 2 3 2 6" xfId="6424" xr:uid="{00000000-0005-0000-0000-00000D180000}"/>
    <cellStyle name="40% - akcent 3 2 2 2 2 2 3 3" xfId="6425" xr:uid="{00000000-0005-0000-0000-00000E180000}"/>
    <cellStyle name="40% - akcent 3 2 2 2 2 2 3 4" xfId="6426" xr:uid="{00000000-0005-0000-0000-00000F180000}"/>
    <cellStyle name="40% - akcent 3 2 2 2 2 2 3 5" xfId="6427" xr:uid="{00000000-0005-0000-0000-000010180000}"/>
    <cellStyle name="40% - akcent 3 2 2 2 2 2 3 6" xfId="6428" xr:uid="{00000000-0005-0000-0000-000011180000}"/>
    <cellStyle name="40% - akcent 3 2 2 2 2 2 3 7" xfId="6429" xr:uid="{00000000-0005-0000-0000-000012180000}"/>
    <cellStyle name="40% - akcent 3 2 2 2 2 2 4" xfId="6430" xr:uid="{00000000-0005-0000-0000-000013180000}"/>
    <cellStyle name="40% - akcent 3 2 2 2 2 2 5" xfId="6431" xr:uid="{00000000-0005-0000-0000-000014180000}"/>
    <cellStyle name="40% - akcent 3 2 2 2 2 2 6" xfId="6432" xr:uid="{00000000-0005-0000-0000-000015180000}"/>
    <cellStyle name="40% - akcent 3 2 2 2 2 2 7" xfId="6433" xr:uid="{00000000-0005-0000-0000-000016180000}"/>
    <cellStyle name="40% - akcent 3 2 2 2 2 2 7 2" xfId="6434" xr:uid="{00000000-0005-0000-0000-000017180000}"/>
    <cellStyle name="40% - akcent 3 2 2 2 2 2 7 3" xfId="6435" xr:uid="{00000000-0005-0000-0000-000018180000}"/>
    <cellStyle name="40% - akcent 3 2 2 2 2 2 7 4" xfId="6436" xr:uid="{00000000-0005-0000-0000-000019180000}"/>
    <cellStyle name="40% - akcent 3 2 2 2 2 2 7 5" xfId="6437" xr:uid="{00000000-0005-0000-0000-00001A180000}"/>
    <cellStyle name="40% - akcent 3 2 2 2 2 2 7 6" xfId="6438" xr:uid="{00000000-0005-0000-0000-00001B180000}"/>
    <cellStyle name="40% - akcent 3 2 2 2 2 2 8" xfId="6439" xr:uid="{00000000-0005-0000-0000-00001C180000}"/>
    <cellStyle name="40% - akcent 3 2 2 2 2 2 9" xfId="6440" xr:uid="{00000000-0005-0000-0000-00001D180000}"/>
    <cellStyle name="40% - akcent 3 2 2 2 2 3" xfId="6441" xr:uid="{00000000-0005-0000-0000-00001E180000}"/>
    <cellStyle name="40% - akcent 3 2 2 2 2 3 2" xfId="6442" xr:uid="{00000000-0005-0000-0000-00001F180000}"/>
    <cellStyle name="40% - akcent 3 2 2 2 2 3 2 2" xfId="6443" xr:uid="{00000000-0005-0000-0000-000020180000}"/>
    <cellStyle name="40% - akcent 3 2 2 2 2 3 2 3" xfId="6444" xr:uid="{00000000-0005-0000-0000-000021180000}"/>
    <cellStyle name="40% - akcent 3 2 2 2 2 3 2 4" xfId="6445" xr:uid="{00000000-0005-0000-0000-000022180000}"/>
    <cellStyle name="40% - akcent 3 2 2 2 2 3 2 5" xfId="6446" xr:uid="{00000000-0005-0000-0000-000023180000}"/>
    <cellStyle name="40% - akcent 3 2 2 2 2 3 2 6" xfId="6447" xr:uid="{00000000-0005-0000-0000-000024180000}"/>
    <cellStyle name="40% - akcent 3 2 2 2 2 3 3" xfId="6448" xr:uid="{00000000-0005-0000-0000-000025180000}"/>
    <cellStyle name="40% - akcent 3 2 2 2 2 3 4" xfId="6449" xr:uid="{00000000-0005-0000-0000-000026180000}"/>
    <cellStyle name="40% - akcent 3 2 2 2 2 3 5" xfId="6450" xr:uid="{00000000-0005-0000-0000-000027180000}"/>
    <cellStyle name="40% - akcent 3 2 2 2 2 3 6" xfId="6451" xr:uid="{00000000-0005-0000-0000-000028180000}"/>
    <cellStyle name="40% - akcent 3 2 2 2 2 3 7" xfId="6452" xr:uid="{00000000-0005-0000-0000-000029180000}"/>
    <cellStyle name="40% - akcent 3 2 2 2 2 4" xfId="6453" xr:uid="{00000000-0005-0000-0000-00002A180000}"/>
    <cellStyle name="40% - akcent 3 2 2 2 2 5" xfId="6454" xr:uid="{00000000-0005-0000-0000-00002B180000}"/>
    <cellStyle name="40% - akcent 3 2 2 2 2 6" xfId="6455" xr:uid="{00000000-0005-0000-0000-00002C180000}"/>
    <cellStyle name="40% - akcent 3 2 2 2 2 7" xfId="6456" xr:uid="{00000000-0005-0000-0000-00002D180000}"/>
    <cellStyle name="40% - akcent 3 2 2 2 2 8" xfId="6457" xr:uid="{00000000-0005-0000-0000-00002E180000}"/>
    <cellStyle name="40% - akcent 3 2 2 2 2 8 2" xfId="6458" xr:uid="{00000000-0005-0000-0000-00002F180000}"/>
    <cellStyle name="40% - akcent 3 2 2 2 2 8 3" xfId="6459" xr:uid="{00000000-0005-0000-0000-000030180000}"/>
    <cellStyle name="40% - akcent 3 2 2 2 2 8 4" xfId="6460" xr:uid="{00000000-0005-0000-0000-000031180000}"/>
    <cellStyle name="40% - akcent 3 2 2 2 2 8 5" xfId="6461" xr:uid="{00000000-0005-0000-0000-000032180000}"/>
    <cellStyle name="40% - akcent 3 2 2 2 2 8 6" xfId="6462" xr:uid="{00000000-0005-0000-0000-000033180000}"/>
    <cellStyle name="40% - akcent 3 2 2 2 2 9" xfId="6463" xr:uid="{00000000-0005-0000-0000-000034180000}"/>
    <cellStyle name="40% - akcent 3 2 2 2 3" xfId="6464" xr:uid="{00000000-0005-0000-0000-000035180000}"/>
    <cellStyle name="40% - akcent 3 2 2 2 4" xfId="6465" xr:uid="{00000000-0005-0000-0000-000036180000}"/>
    <cellStyle name="40% - akcent 3 2 2 2 4 10" xfId="6466" xr:uid="{00000000-0005-0000-0000-000037180000}"/>
    <cellStyle name="40% - akcent 3 2 2 2 4 11" xfId="6467" xr:uid="{00000000-0005-0000-0000-000038180000}"/>
    <cellStyle name="40% - akcent 3 2 2 2 4 2" xfId="6468" xr:uid="{00000000-0005-0000-0000-000039180000}"/>
    <cellStyle name="40% - akcent 3 2 2 2 4 2 2" xfId="6469" xr:uid="{00000000-0005-0000-0000-00003A180000}"/>
    <cellStyle name="40% - akcent 3 2 2 2 4 2 2 2" xfId="6470" xr:uid="{00000000-0005-0000-0000-00003B180000}"/>
    <cellStyle name="40% - akcent 3 2 2 2 4 2 2 3" xfId="6471" xr:uid="{00000000-0005-0000-0000-00003C180000}"/>
    <cellStyle name="40% - akcent 3 2 2 2 4 2 2 4" xfId="6472" xr:uid="{00000000-0005-0000-0000-00003D180000}"/>
    <cellStyle name="40% - akcent 3 2 2 2 4 2 2 5" xfId="6473" xr:uid="{00000000-0005-0000-0000-00003E180000}"/>
    <cellStyle name="40% - akcent 3 2 2 2 4 2 2 6" xfId="6474" xr:uid="{00000000-0005-0000-0000-00003F180000}"/>
    <cellStyle name="40% - akcent 3 2 2 2 4 2 3" xfId="6475" xr:uid="{00000000-0005-0000-0000-000040180000}"/>
    <cellStyle name="40% - akcent 3 2 2 2 4 2 4" xfId="6476" xr:uid="{00000000-0005-0000-0000-000041180000}"/>
    <cellStyle name="40% - akcent 3 2 2 2 4 2 5" xfId="6477" xr:uid="{00000000-0005-0000-0000-000042180000}"/>
    <cellStyle name="40% - akcent 3 2 2 2 4 2 6" xfId="6478" xr:uid="{00000000-0005-0000-0000-000043180000}"/>
    <cellStyle name="40% - akcent 3 2 2 2 4 2 7" xfId="6479" xr:uid="{00000000-0005-0000-0000-000044180000}"/>
    <cellStyle name="40% - akcent 3 2 2 2 4 3" xfId="6480" xr:uid="{00000000-0005-0000-0000-000045180000}"/>
    <cellStyle name="40% - akcent 3 2 2 2 4 4" xfId="6481" xr:uid="{00000000-0005-0000-0000-000046180000}"/>
    <cellStyle name="40% - akcent 3 2 2 2 4 5" xfId="6482" xr:uid="{00000000-0005-0000-0000-000047180000}"/>
    <cellStyle name="40% - akcent 3 2 2 2 4 6" xfId="6483" xr:uid="{00000000-0005-0000-0000-000048180000}"/>
    <cellStyle name="40% - akcent 3 2 2 2 4 7" xfId="6484" xr:uid="{00000000-0005-0000-0000-000049180000}"/>
    <cellStyle name="40% - akcent 3 2 2 2 4 7 2" xfId="6485" xr:uid="{00000000-0005-0000-0000-00004A180000}"/>
    <cellStyle name="40% - akcent 3 2 2 2 4 7 3" xfId="6486" xr:uid="{00000000-0005-0000-0000-00004B180000}"/>
    <cellStyle name="40% - akcent 3 2 2 2 4 7 4" xfId="6487" xr:uid="{00000000-0005-0000-0000-00004C180000}"/>
    <cellStyle name="40% - akcent 3 2 2 2 4 7 5" xfId="6488" xr:uid="{00000000-0005-0000-0000-00004D180000}"/>
    <cellStyle name="40% - akcent 3 2 2 2 4 7 6" xfId="6489" xr:uid="{00000000-0005-0000-0000-00004E180000}"/>
    <cellStyle name="40% - akcent 3 2 2 2 4 8" xfId="6490" xr:uid="{00000000-0005-0000-0000-00004F180000}"/>
    <cellStyle name="40% - akcent 3 2 2 2 4 9" xfId="6491" xr:uid="{00000000-0005-0000-0000-000050180000}"/>
    <cellStyle name="40% - akcent 3 2 2 2 5" xfId="6492" xr:uid="{00000000-0005-0000-0000-000051180000}"/>
    <cellStyle name="40% - akcent 3 2 2 2 5 2" xfId="6493" xr:uid="{00000000-0005-0000-0000-000052180000}"/>
    <cellStyle name="40% - akcent 3 2 2 2 5 2 2" xfId="6494" xr:uid="{00000000-0005-0000-0000-000053180000}"/>
    <cellStyle name="40% - akcent 3 2 2 2 5 2 3" xfId="6495" xr:uid="{00000000-0005-0000-0000-000054180000}"/>
    <cellStyle name="40% - akcent 3 2 2 2 5 2 4" xfId="6496" xr:uid="{00000000-0005-0000-0000-000055180000}"/>
    <cellStyle name="40% - akcent 3 2 2 2 5 2 5" xfId="6497" xr:uid="{00000000-0005-0000-0000-000056180000}"/>
    <cellStyle name="40% - akcent 3 2 2 2 5 2 6" xfId="6498" xr:uid="{00000000-0005-0000-0000-000057180000}"/>
    <cellStyle name="40% - akcent 3 2 2 2 5 3" xfId="6499" xr:uid="{00000000-0005-0000-0000-000058180000}"/>
    <cellStyle name="40% - akcent 3 2 2 2 5 4" xfId="6500" xr:uid="{00000000-0005-0000-0000-000059180000}"/>
    <cellStyle name="40% - akcent 3 2 2 2 5 5" xfId="6501" xr:uid="{00000000-0005-0000-0000-00005A180000}"/>
    <cellStyle name="40% - akcent 3 2 2 2 5 6" xfId="6502" xr:uid="{00000000-0005-0000-0000-00005B180000}"/>
    <cellStyle name="40% - akcent 3 2 2 2 5 7" xfId="6503" xr:uid="{00000000-0005-0000-0000-00005C180000}"/>
    <cellStyle name="40% - akcent 3 2 2 2 6" xfId="6504" xr:uid="{00000000-0005-0000-0000-00005D180000}"/>
    <cellStyle name="40% - akcent 3 2 2 2 7" xfId="6505" xr:uid="{00000000-0005-0000-0000-00005E180000}"/>
    <cellStyle name="40% - akcent 3 2 2 2 8" xfId="6506" xr:uid="{00000000-0005-0000-0000-00005F180000}"/>
    <cellStyle name="40% - akcent 3 2 2 2 9" xfId="6507" xr:uid="{00000000-0005-0000-0000-000060180000}"/>
    <cellStyle name="40% - akcent 3 2 2 2 9 2" xfId="6508" xr:uid="{00000000-0005-0000-0000-000061180000}"/>
    <cellStyle name="40% - akcent 3 2 2 2 9 3" xfId="6509" xr:uid="{00000000-0005-0000-0000-000062180000}"/>
    <cellStyle name="40% - akcent 3 2 2 2 9 4" xfId="6510" xr:uid="{00000000-0005-0000-0000-000063180000}"/>
    <cellStyle name="40% - akcent 3 2 2 2 9 5" xfId="6511" xr:uid="{00000000-0005-0000-0000-000064180000}"/>
    <cellStyle name="40% - akcent 3 2 2 2 9 6" xfId="6512" xr:uid="{00000000-0005-0000-0000-000065180000}"/>
    <cellStyle name="40% - akcent 3 2 2 20" xfId="6513" xr:uid="{00000000-0005-0000-0000-000066180000}"/>
    <cellStyle name="40% - akcent 3 2 2 21" xfId="6259" xr:uid="{00000000-0005-0000-0000-000067180000}"/>
    <cellStyle name="40% - akcent 3 2 2 3" xfId="6514" xr:uid="{00000000-0005-0000-0000-000068180000}"/>
    <cellStyle name="40% - akcent 3 2 2 4" xfId="6515" xr:uid="{00000000-0005-0000-0000-000069180000}"/>
    <cellStyle name="40% - akcent 3 2 2 5" xfId="6516" xr:uid="{00000000-0005-0000-0000-00006A180000}"/>
    <cellStyle name="40% - akcent 3 2 2 6" xfId="6517" xr:uid="{00000000-0005-0000-0000-00006B180000}"/>
    <cellStyle name="40% - akcent 3 2 2 7" xfId="6518" xr:uid="{00000000-0005-0000-0000-00006C180000}"/>
    <cellStyle name="40% - akcent 3 2 2 8" xfId="6519" xr:uid="{00000000-0005-0000-0000-00006D180000}"/>
    <cellStyle name="40% - akcent 3 2 2 9" xfId="6520" xr:uid="{00000000-0005-0000-0000-00006E180000}"/>
    <cellStyle name="40% - akcent 3 2 20" xfId="6521" xr:uid="{00000000-0005-0000-0000-00006F180000}"/>
    <cellStyle name="40% - akcent 3 2 21" xfId="6522" xr:uid="{00000000-0005-0000-0000-000070180000}"/>
    <cellStyle name="40% - akcent 3 2 21 2" xfId="6523" xr:uid="{00000000-0005-0000-0000-000071180000}"/>
    <cellStyle name="40% - akcent 3 2 21 3" xfId="6524" xr:uid="{00000000-0005-0000-0000-000072180000}"/>
    <cellStyle name="40% - akcent 3 2 21 4" xfId="6525" xr:uid="{00000000-0005-0000-0000-000073180000}"/>
    <cellStyle name="40% - akcent 3 2 21 5" xfId="6526" xr:uid="{00000000-0005-0000-0000-000074180000}"/>
    <cellStyle name="40% - akcent 3 2 21 6" xfId="6527" xr:uid="{00000000-0005-0000-0000-000075180000}"/>
    <cellStyle name="40% - akcent 3 2 22" xfId="6528" xr:uid="{00000000-0005-0000-0000-000076180000}"/>
    <cellStyle name="40% - akcent 3 2 23" xfId="6529" xr:uid="{00000000-0005-0000-0000-000077180000}"/>
    <cellStyle name="40% - akcent 3 2 24" xfId="6530" xr:uid="{00000000-0005-0000-0000-000078180000}"/>
    <cellStyle name="40% - akcent 3 2 25" xfId="6531" xr:uid="{00000000-0005-0000-0000-000079180000}"/>
    <cellStyle name="40% - akcent 3 2 26" xfId="6532" xr:uid="{00000000-0005-0000-0000-00007A180000}"/>
    <cellStyle name="40% - akcent 3 2 27" xfId="6533" xr:uid="{00000000-0005-0000-0000-00007B180000}"/>
    <cellStyle name="40% - akcent 3 2 28" xfId="6534" xr:uid="{00000000-0005-0000-0000-00007C180000}"/>
    <cellStyle name="40% - akcent 3 2 29" xfId="6535" xr:uid="{00000000-0005-0000-0000-00007D180000}"/>
    <cellStyle name="40% - akcent 3 2 3" xfId="6536" xr:uid="{00000000-0005-0000-0000-00007E180000}"/>
    <cellStyle name="40% - akcent 3 2 30" xfId="6537" xr:uid="{00000000-0005-0000-0000-00007F180000}"/>
    <cellStyle name="40% - akcent 3 2 31" xfId="6538" xr:uid="{00000000-0005-0000-0000-000080180000}"/>
    <cellStyle name="40% - akcent 3 2 32" xfId="6132" xr:uid="{00000000-0005-0000-0000-000081180000}"/>
    <cellStyle name="40% - akcent 3 2 33" xfId="37825" xr:uid="{00000000-0005-0000-0000-000082180000}"/>
    <cellStyle name="40% - akcent 3 2 4" xfId="6539" xr:uid="{00000000-0005-0000-0000-000083180000}"/>
    <cellStyle name="40% - akcent 3 2 5" xfId="6540" xr:uid="{00000000-0005-0000-0000-000084180000}"/>
    <cellStyle name="40% - akcent 3 2 6" xfId="6541" xr:uid="{00000000-0005-0000-0000-000085180000}"/>
    <cellStyle name="40% - akcent 3 2 6 10" xfId="6542" xr:uid="{00000000-0005-0000-0000-000086180000}"/>
    <cellStyle name="40% - akcent 3 2 6 11" xfId="6543" xr:uid="{00000000-0005-0000-0000-000087180000}"/>
    <cellStyle name="40% - akcent 3 2 6 12" xfId="6544" xr:uid="{00000000-0005-0000-0000-000088180000}"/>
    <cellStyle name="40% - akcent 3 2 6 13" xfId="6545" xr:uid="{00000000-0005-0000-0000-000089180000}"/>
    <cellStyle name="40% - akcent 3 2 6 2" xfId="6546" xr:uid="{00000000-0005-0000-0000-00008A180000}"/>
    <cellStyle name="40% - akcent 3 2 6 2 10" xfId="6547" xr:uid="{00000000-0005-0000-0000-00008B180000}"/>
    <cellStyle name="40% - akcent 3 2 6 2 11" xfId="6548" xr:uid="{00000000-0005-0000-0000-00008C180000}"/>
    <cellStyle name="40% - akcent 3 2 6 2 12" xfId="6549" xr:uid="{00000000-0005-0000-0000-00008D180000}"/>
    <cellStyle name="40% - akcent 3 2 6 2 13" xfId="6550" xr:uid="{00000000-0005-0000-0000-00008E180000}"/>
    <cellStyle name="40% - akcent 3 2 6 2 2" xfId="6551" xr:uid="{00000000-0005-0000-0000-00008F180000}"/>
    <cellStyle name="40% - akcent 3 2 6 2 2 10" xfId="6552" xr:uid="{00000000-0005-0000-0000-000090180000}"/>
    <cellStyle name="40% - akcent 3 2 6 2 2 11" xfId="6553" xr:uid="{00000000-0005-0000-0000-000091180000}"/>
    <cellStyle name="40% - akcent 3 2 6 2 2 12" xfId="6554" xr:uid="{00000000-0005-0000-0000-000092180000}"/>
    <cellStyle name="40% - akcent 3 2 6 2 2 2" xfId="6555" xr:uid="{00000000-0005-0000-0000-000093180000}"/>
    <cellStyle name="40% - akcent 3 2 6 2 2 2 10" xfId="6556" xr:uid="{00000000-0005-0000-0000-000094180000}"/>
    <cellStyle name="40% - akcent 3 2 6 2 2 2 11" xfId="6557" xr:uid="{00000000-0005-0000-0000-000095180000}"/>
    <cellStyle name="40% - akcent 3 2 6 2 2 2 2" xfId="6558" xr:uid="{00000000-0005-0000-0000-000096180000}"/>
    <cellStyle name="40% - akcent 3 2 6 2 2 2 2 10" xfId="6559" xr:uid="{00000000-0005-0000-0000-000097180000}"/>
    <cellStyle name="40% - akcent 3 2 6 2 2 2 2 11" xfId="6560" xr:uid="{00000000-0005-0000-0000-000098180000}"/>
    <cellStyle name="40% - akcent 3 2 6 2 2 2 2 2" xfId="6561" xr:uid="{00000000-0005-0000-0000-000099180000}"/>
    <cellStyle name="40% - akcent 3 2 6 2 2 2 2 2 2" xfId="6562" xr:uid="{00000000-0005-0000-0000-00009A180000}"/>
    <cellStyle name="40% - akcent 3 2 6 2 2 2 2 2 2 2" xfId="6563" xr:uid="{00000000-0005-0000-0000-00009B180000}"/>
    <cellStyle name="40% - akcent 3 2 6 2 2 2 2 2 2 3" xfId="6564" xr:uid="{00000000-0005-0000-0000-00009C180000}"/>
    <cellStyle name="40% - akcent 3 2 6 2 2 2 2 2 2 4" xfId="6565" xr:uid="{00000000-0005-0000-0000-00009D180000}"/>
    <cellStyle name="40% - akcent 3 2 6 2 2 2 2 2 2 5" xfId="6566" xr:uid="{00000000-0005-0000-0000-00009E180000}"/>
    <cellStyle name="40% - akcent 3 2 6 2 2 2 2 2 2 6" xfId="6567" xr:uid="{00000000-0005-0000-0000-00009F180000}"/>
    <cellStyle name="40% - akcent 3 2 6 2 2 2 2 2 3" xfId="6568" xr:uid="{00000000-0005-0000-0000-0000A0180000}"/>
    <cellStyle name="40% - akcent 3 2 6 2 2 2 2 2 4" xfId="6569" xr:uid="{00000000-0005-0000-0000-0000A1180000}"/>
    <cellStyle name="40% - akcent 3 2 6 2 2 2 2 2 5" xfId="6570" xr:uid="{00000000-0005-0000-0000-0000A2180000}"/>
    <cellStyle name="40% - akcent 3 2 6 2 2 2 2 2 6" xfId="6571" xr:uid="{00000000-0005-0000-0000-0000A3180000}"/>
    <cellStyle name="40% - akcent 3 2 6 2 2 2 2 2 7" xfId="6572" xr:uid="{00000000-0005-0000-0000-0000A4180000}"/>
    <cellStyle name="40% - akcent 3 2 6 2 2 2 2 3" xfId="6573" xr:uid="{00000000-0005-0000-0000-0000A5180000}"/>
    <cellStyle name="40% - akcent 3 2 6 2 2 2 2 4" xfId="6574" xr:uid="{00000000-0005-0000-0000-0000A6180000}"/>
    <cellStyle name="40% - akcent 3 2 6 2 2 2 2 5" xfId="6575" xr:uid="{00000000-0005-0000-0000-0000A7180000}"/>
    <cellStyle name="40% - akcent 3 2 6 2 2 2 2 6" xfId="6576" xr:uid="{00000000-0005-0000-0000-0000A8180000}"/>
    <cellStyle name="40% - akcent 3 2 6 2 2 2 2 7" xfId="6577" xr:uid="{00000000-0005-0000-0000-0000A9180000}"/>
    <cellStyle name="40% - akcent 3 2 6 2 2 2 2 7 2" xfId="6578" xr:uid="{00000000-0005-0000-0000-0000AA180000}"/>
    <cellStyle name="40% - akcent 3 2 6 2 2 2 2 7 3" xfId="6579" xr:uid="{00000000-0005-0000-0000-0000AB180000}"/>
    <cellStyle name="40% - akcent 3 2 6 2 2 2 2 7 4" xfId="6580" xr:uid="{00000000-0005-0000-0000-0000AC180000}"/>
    <cellStyle name="40% - akcent 3 2 6 2 2 2 2 7 5" xfId="6581" xr:uid="{00000000-0005-0000-0000-0000AD180000}"/>
    <cellStyle name="40% - akcent 3 2 6 2 2 2 2 7 6" xfId="6582" xr:uid="{00000000-0005-0000-0000-0000AE180000}"/>
    <cellStyle name="40% - akcent 3 2 6 2 2 2 2 8" xfId="6583" xr:uid="{00000000-0005-0000-0000-0000AF180000}"/>
    <cellStyle name="40% - akcent 3 2 6 2 2 2 2 9" xfId="6584" xr:uid="{00000000-0005-0000-0000-0000B0180000}"/>
    <cellStyle name="40% - akcent 3 2 6 2 2 2 3" xfId="6585" xr:uid="{00000000-0005-0000-0000-0000B1180000}"/>
    <cellStyle name="40% - akcent 3 2 6 2 2 2 3 2" xfId="6586" xr:uid="{00000000-0005-0000-0000-0000B2180000}"/>
    <cellStyle name="40% - akcent 3 2 6 2 2 2 3 2 2" xfId="6587" xr:uid="{00000000-0005-0000-0000-0000B3180000}"/>
    <cellStyle name="40% - akcent 3 2 6 2 2 2 3 2 3" xfId="6588" xr:uid="{00000000-0005-0000-0000-0000B4180000}"/>
    <cellStyle name="40% - akcent 3 2 6 2 2 2 3 2 4" xfId="6589" xr:uid="{00000000-0005-0000-0000-0000B5180000}"/>
    <cellStyle name="40% - akcent 3 2 6 2 2 2 3 2 5" xfId="6590" xr:uid="{00000000-0005-0000-0000-0000B6180000}"/>
    <cellStyle name="40% - akcent 3 2 6 2 2 2 3 2 6" xfId="6591" xr:uid="{00000000-0005-0000-0000-0000B7180000}"/>
    <cellStyle name="40% - akcent 3 2 6 2 2 2 3 3" xfId="6592" xr:uid="{00000000-0005-0000-0000-0000B8180000}"/>
    <cellStyle name="40% - akcent 3 2 6 2 2 2 3 4" xfId="6593" xr:uid="{00000000-0005-0000-0000-0000B9180000}"/>
    <cellStyle name="40% - akcent 3 2 6 2 2 2 3 5" xfId="6594" xr:uid="{00000000-0005-0000-0000-0000BA180000}"/>
    <cellStyle name="40% - akcent 3 2 6 2 2 2 3 6" xfId="6595" xr:uid="{00000000-0005-0000-0000-0000BB180000}"/>
    <cellStyle name="40% - akcent 3 2 6 2 2 2 3 7" xfId="6596" xr:uid="{00000000-0005-0000-0000-0000BC180000}"/>
    <cellStyle name="40% - akcent 3 2 6 2 2 2 4" xfId="6597" xr:uid="{00000000-0005-0000-0000-0000BD180000}"/>
    <cellStyle name="40% - akcent 3 2 6 2 2 2 5" xfId="6598" xr:uid="{00000000-0005-0000-0000-0000BE180000}"/>
    <cellStyle name="40% - akcent 3 2 6 2 2 2 6" xfId="6599" xr:uid="{00000000-0005-0000-0000-0000BF180000}"/>
    <cellStyle name="40% - akcent 3 2 6 2 2 2 7" xfId="6600" xr:uid="{00000000-0005-0000-0000-0000C0180000}"/>
    <cellStyle name="40% - akcent 3 2 6 2 2 2 7 2" xfId="6601" xr:uid="{00000000-0005-0000-0000-0000C1180000}"/>
    <cellStyle name="40% - akcent 3 2 6 2 2 2 7 3" xfId="6602" xr:uid="{00000000-0005-0000-0000-0000C2180000}"/>
    <cellStyle name="40% - akcent 3 2 6 2 2 2 7 4" xfId="6603" xr:uid="{00000000-0005-0000-0000-0000C3180000}"/>
    <cellStyle name="40% - akcent 3 2 6 2 2 2 7 5" xfId="6604" xr:uid="{00000000-0005-0000-0000-0000C4180000}"/>
    <cellStyle name="40% - akcent 3 2 6 2 2 2 7 6" xfId="6605" xr:uid="{00000000-0005-0000-0000-0000C5180000}"/>
    <cellStyle name="40% - akcent 3 2 6 2 2 2 8" xfId="6606" xr:uid="{00000000-0005-0000-0000-0000C6180000}"/>
    <cellStyle name="40% - akcent 3 2 6 2 2 2 9" xfId="6607" xr:uid="{00000000-0005-0000-0000-0000C7180000}"/>
    <cellStyle name="40% - akcent 3 2 6 2 2 3" xfId="6608" xr:uid="{00000000-0005-0000-0000-0000C8180000}"/>
    <cellStyle name="40% - akcent 3 2 6 2 2 3 2" xfId="6609" xr:uid="{00000000-0005-0000-0000-0000C9180000}"/>
    <cellStyle name="40% - akcent 3 2 6 2 2 3 2 2" xfId="6610" xr:uid="{00000000-0005-0000-0000-0000CA180000}"/>
    <cellStyle name="40% - akcent 3 2 6 2 2 3 2 3" xfId="6611" xr:uid="{00000000-0005-0000-0000-0000CB180000}"/>
    <cellStyle name="40% - akcent 3 2 6 2 2 3 2 4" xfId="6612" xr:uid="{00000000-0005-0000-0000-0000CC180000}"/>
    <cellStyle name="40% - akcent 3 2 6 2 2 3 2 5" xfId="6613" xr:uid="{00000000-0005-0000-0000-0000CD180000}"/>
    <cellStyle name="40% - akcent 3 2 6 2 2 3 2 6" xfId="6614" xr:uid="{00000000-0005-0000-0000-0000CE180000}"/>
    <cellStyle name="40% - akcent 3 2 6 2 2 3 3" xfId="6615" xr:uid="{00000000-0005-0000-0000-0000CF180000}"/>
    <cellStyle name="40% - akcent 3 2 6 2 2 3 4" xfId="6616" xr:uid="{00000000-0005-0000-0000-0000D0180000}"/>
    <cellStyle name="40% - akcent 3 2 6 2 2 3 5" xfId="6617" xr:uid="{00000000-0005-0000-0000-0000D1180000}"/>
    <cellStyle name="40% - akcent 3 2 6 2 2 3 6" xfId="6618" xr:uid="{00000000-0005-0000-0000-0000D2180000}"/>
    <cellStyle name="40% - akcent 3 2 6 2 2 3 7" xfId="6619" xr:uid="{00000000-0005-0000-0000-0000D3180000}"/>
    <cellStyle name="40% - akcent 3 2 6 2 2 4" xfId="6620" xr:uid="{00000000-0005-0000-0000-0000D4180000}"/>
    <cellStyle name="40% - akcent 3 2 6 2 2 5" xfId="6621" xr:uid="{00000000-0005-0000-0000-0000D5180000}"/>
    <cellStyle name="40% - akcent 3 2 6 2 2 6" xfId="6622" xr:uid="{00000000-0005-0000-0000-0000D6180000}"/>
    <cellStyle name="40% - akcent 3 2 6 2 2 7" xfId="6623" xr:uid="{00000000-0005-0000-0000-0000D7180000}"/>
    <cellStyle name="40% - akcent 3 2 6 2 2 8" xfId="6624" xr:uid="{00000000-0005-0000-0000-0000D8180000}"/>
    <cellStyle name="40% - akcent 3 2 6 2 2 8 2" xfId="6625" xr:uid="{00000000-0005-0000-0000-0000D9180000}"/>
    <cellStyle name="40% - akcent 3 2 6 2 2 8 3" xfId="6626" xr:uid="{00000000-0005-0000-0000-0000DA180000}"/>
    <cellStyle name="40% - akcent 3 2 6 2 2 8 4" xfId="6627" xr:uid="{00000000-0005-0000-0000-0000DB180000}"/>
    <cellStyle name="40% - akcent 3 2 6 2 2 8 5" xfId="6628" xr:uid="{00000000-0005-0000-0000-0000DC180000}"/>
    <cellStyle name="40% - akcent 3 2 6 2 2 8 6" xfId="6629" xr:uid="{00000000-0005-0000-0000-0000DD180000}"/>
    <cellStyle name="40% - akcent 3 2 6 2 2 9" xfId="6630" xr:uid="{00000000-0005-0000-0000-0000DE180000}"/>
    <cellStyle name="40% - akcent 3 2 6 2 3" xfId="6631" xr:uid="{00000000-0005-0000-0000-0000DF180000}"/>
    <cellStyle name="40% - akcent 3 2 6 2 4" xfId="6632" xr:uid="{00000000-0005-0000-0000-0000E0180000}"/>
    <cellStyle name="40% - akcent 3 2 6 2 4 10" xfId="6633" xr:uid="{00000000-0005-0000-0000-0000E1180000}"/>
    <cellStyle name="40% - akcent 3 2 6 2 4 11" xfId="6634" xr:uid="{00000000-0005-0000-0000-0000E2180000}"/>
    <cellStyle name="40% - akcent 3 2 6 2 4 2" xfId="6635" xr:uid="{00000000-0005-0000-0000-0000E3180000}"/>
    <cellStyle name="40% - akcent 3 2 6 2 4 2 2" xfId="6636" xr:uid="{00000000-0005-0000-0000-0000E4180000}"/>
    <cellStyle name="40% - akcent 3 2 6 2 4 2 2 2" xfId="6637" xr:uid="{00000000-0005-0000-0000-0000E5180000}"/>
    <cellStyle name="40% - akcent 3 2 6 2 4 2 2 3" xfId="6638" xr:uid="{00000000-0005-0000-0000-0000E6180000}"/>
    <cellStyle name="40% - akcent 3 2 6 2 4 2 2 4" xfId="6639" xr:uid="{00000000-0005-0000-0000-0000E7180000}"/>
    <cellStyle name="40% - akcent 3 2 6 2 4 2 2 5" xfId="6640" xr:uid="{00000000-0005-0000-0000-0000E8180000}"/>
    <cellStyle name="40% - akcent 3 2 6 2 4 2 2 6" xfId="6641" xr:uid="{00000000-0005-0000-0000-0000E9180000}"/>
    <cellStyle name="40% - akcent 3 2 6 2 4 2 3" xfId="6642" xr:uid="{00000000-0005-0000-0000-0000EA180000}"/>
    <cellStyle name="40% - akcent 3 2 6 2 4 2 4" xfId="6643" xr:uid="{00000000-0005-0000-0000-0000EB180000}"/>
    <cellStyle name="40% - akcent 3 2 6 2 4 2 5" xfId="6644" xr:uid="{00000000-0005-0000-0000-0000EC180000}"/>
    <cellStyle name="40% - akcent 3 2 6 2 4 2 6" xfId="6645" xr:uid="{00000000-0005-0000-0000-0000ED180000}"/>
    <cellStyle name="40% - akcent 3 2 6 2 4 2 7" xfId="6646" xr:uid="{00000000-0005-0000-0000-0000EE180000}"/>
    <cellStyle name="40% - akcent 3 2 6 2 4 3" xfId="6647" xr:uid="{00000000-0005-0000-0000-0000EF180000}"/>
    <cellStyle name="40% - akcent 3 2 6 2 4 4" xfId="6648" xr:uid="{00000000-0005-0000-0000-0000F0180000}"/>
    <cellStyle name="40% - akcent 3 2 6 2 4 5" xfId="6649" xr:uid="{00000000-0005-0000-0000-0000F1180000}"/>
    <cellStyle name="40% - akcent 3 2 6 2 4 6" xfId="6650" xr:uid="{00000000-0005-0000-0000-0000F2180000}"/>
    <cellStyle name="40% - akcent 3 2 6 2 4 7" xfId="6651" xr:uid="{00000000-0005-0000-0000-0000F3180000}"/>
    <cellStyle name="40% - akcent 3 2 6 2 4 7 2" xfId="6652" xr:uid="{00000000-0005-0000-0000-0000F4180000}"/>
    <cellStyle name="40% - akcent 3 2 6 2 4 7 3" xfId="6653" xr:uid="{00000000-0005-0000-0000-0000F5180000}"/>
    <cellStyle name="40% - akcent 3 2 6 2 4 7 4" xfId="6654" xr:uid="{00000000-0005-0000-0000-0000F6180000}"/>
    <cellStyle name="40% - akcent 3 2 6 2 4 7 5" xfId="6655" xr:uid="{00000000-0005-0000-0000-0000F7180000}"/>
    <cellStyle name="40% - akcent 3 2 6 2 4 7 6" xfId="6656" xr:uid="{00000000-0005-0000-0000-0000F8180000}"/>
    <cellStyle name="40% - akcent 3 2 6 2 4 8" xfId="6657" xr:uid="{00000000-0005-0000-0000-0000F9180000}"/>
    <cellStyle name="40% - akcent 3 2 6 2 4 9" xfId="6658" xr:uid="{00000000-0005-0000-0000-0000FA180000}"/>
    <cellStyle name="40% - akcent 3 2 6 2 5" xfId="6659" xr:uid="{00000000-0005-0000-0000-0000FB180000}"/>
    <cellStyle name="40% - akcent 3 2 6 2 5 2" xfId="6660" xr:uid="{00000000-0005-0000-0000-0000FC180000}"/>
    <cellStyle name="40% - akcent 3 2 6 2 5 2 2" xfId="6661" xr:uid="{00000000-0005-0000-0000-0000FD180000}"/>
    <cellStyle name="40% - akcent 3 2 6 2 5 2 3" xfId="6662" xr:uid="{00000000-0005-0000-0000-0000FE180000}"/>
    <cellStyle name="40% - akcent 3 2 6 2 5 2 4" xfId="6663" xr:uid="{00000000-0005-0000-0000-0000FF180000}"/>
    <cellStyle name="40% - akcent 3 2 6 2 5 2 5" xfId="6664" xr:uid="{00000000-0005-0000-0000-000000190000}"/>
    <cellStyle name="40% - akcent 3 2 6 2 5 2 6" xfId="6665" xr:uid="{00000000-0005-0000-0000-000001190000}"/>
    <cellStyle name="40% - akcent 3 2 6 2 5 3" xfId="6666" xr:uid="{00000000-0005-0000-0000-000002190000}"/>
    <cellStyle name="40% - akcent 3 2 6 2 5 4" xfId="6667" xr:uid="{00000000-0005-0000-0000-000003190000}"/>
    <cellStyle name="40% - akcent 3 2 6 2 5 5" xfId="6668" xr:uid="{00000000-0005-0000-0000-000004190000}"/>
    <cellStyle name="40% - akcent 3 2 6 2 5 6" xfId="6669" xr:uid="{00000000-0005-0000-0000-000005190000}"/>
    <cellStyle name="40% - akcent 3 2 6 2 5 7" xfId="6670" xr:uid="{00000000-0005-0000-0000-000006190000}"/>
    <cellStyle name="40% - akcent 3 2 6 2 6" xfId="6671" xr:uid="{00000000-0005-0000-0000-000007190000}"/>
    <cellStyle name="40% - akcent 3 2 6 2 7" xfId="6672" xr:uid="{00000000-0005-0000-0000-000008190000}"/>
    <cellStyle name="40% - akcent 3 2 6 2 8" xfId="6673" xr:uid="{00000000-0005-0000-0000-000009190000}"/>
    <cellStyle name="40% - akcent 3 2 6 2 9" xfId="6674" xr:uid="{00000000-0005-0000-0000-00000A190000}"/>
    <cellStyle name="40% - akcent 3 2 6 2 9 2" xfId="6675" xr:uid="{00000000-0005-0000-0000-00000B190000}"/>
    <cellStyle name="40% - akcent 3 2 6 2 9 3" xfId="6676" xr:uid="{00000000-0005-0000-0000-00000C190000}"/>
    <cellStyle name="40% - akcent 3 2 6 2 9 4" xfId="6677" xr:uid="{00000000-0005-0000-0000-00000D190000}"/>
    <cellStyle name="40% - akcent 3 2 6 2 9 5" xfId="6678" xr:uid="{00000000-0005-0000-0000-00000E190000}"/>
    <cellStyle name="40% - akcent 3 2 6 2 9 6" xfId="6679" xr:uid="{00000000-0005-0000-0000-00000F190000}"/>
    <cellStyle name="40% - akcent 3 2 6 3" xfId="6680" xr:uid="{00000000-0005-0000-0000-000010190000}"/>
    <cellStyle name="40% - akcent 3 2 6 3 10" xfId="6681" xr:uid="{00000000-0005-0000-0000-000011190000}"/>
    <cellStyle name="40% - akcent 3 2 6 3 11" xfId="6682" xr:uid="{00000000-0005-0000-0000-000012190000}"/>
    <cellStyle name="40% - akcent 3 2 6 3 12" xfId="6683" xr:uid="{00000000-0005-0000-0000-000013190000}"/>
    <cellStyle name="40% - akcent 3 2 6 3 2" xfId="6684" xr:uid="{00000000-0005-0000-0000-000014190000}"/>
    <cellStyle name="40% - akcent 3 2 6 3 2 10" xfId="6685" xr:uid="{00000000-0005-0000-0000-000015190000}"/>
    <cellStyle name="40% - akcent 3 2 6 3 2 11" xfId="6686" xr:uid="{00000000-0005-0000-0000-000016190000}"/>
    <cellStyle name="40% - akcent 3 2 6 3 2 2" xfId="6687" xr:uid="{00000000-0005-0000-0000-000017190000}"/>
    <cellStyle name="40% - akcent 3 2 6 3 2 2 10" xfId="6688" xr:uid="{00000000-0005-0000-0000-000018190000}"/>
    <cellStyle name="40% - akcent 3 2 6 3 2 2 11" xfId="6689" xr:uid="{00000000-0005-0000-0000-000019190000}"/>
    <cellStyle name="40% - akcent 3 2 6 3 2 2 2" xfId="6690" xr:uid="{00000000-0005-0000-0000-00001A190000}"/>
    <cellStyle name="40% - akcent 3 2 6 3 2 2 2 2" xfId="6691" xr:uid="{00000000-0005-0000-0000-00001B190000}"/>
    <cellStyle name="40% - akcent 3 2 6 3 2 2 2 2 2" xfId="6692" xr:uid="{00000000-0005-0000-0000-00001C190000}"/>
    <cellStyle name="40% - akcent 3 2 6 3 2 2 2 2 3" xfId="6693" xr:uid="{00000000-0005-0000-0000-00001D190000}"/>
    <cellStyle name="40% - akcent 3 2 6 3 2 2 2 2 4" xfId="6694" xr:uid="{00000000-0005-0000-0000-00001E190000}"/>
    <cellStyle name="40% - akcent 3 2 6 3 2 2 2 2 5" xfId="6695" xr:uid="{00000000-0005-0000-0000-00001F190000}"/>
    <cellStyle name="40% - akcent 3 2 6 3 2 2 2 2 6" xfId="6696" xr:uid="{00000000-0005-0000-0000-000020190000}"/>
    <cellStyle name="40% - akcent 3 2 6 3 2 2 2 3" xfId="6697" xr:uid="{00000000-0005-0000-0000-000021190000}"/>
    <cellStyle name="40% - akcent 3 2 6 3 2 2 2 4" xfId="6698" xr:uid="{00000000-0005-0000-0000-000022190000}"/>
    <cellStyle name="40% - akcent 3 2 6 3 2 2 2 5" xfId="6699" xr:uid="{00000000-0005-0000-0000-000023190000}"/>
    <cellStyle name="40% - akcent 3 2 6 3 2 2 2 6" xfId="6700" xr:uid="{00000000-0005-0000-0000-000024190000}"/>
    <cellStyle name="40% - akcent 3 2 6 3 2 2 2 7" xfId="6701" xr:uid="{00000000-0005-0000-0000-000025190000}"/>
    <cellStyle name="40% - akcent 3 2 6 3 2 2 3" xfId="6702" xr:uid="{00000000-0005-0000-0000-000026190000}"/>
    <cellStyle name="40% - akcent 3 2 6 3 2 2 4" xfId="6703" xr:uid="{00000000-0005-0000-0000-000027190000}"/>
    <cellStyle name="40% - akcent 3 2 6 3 2 2 5" xfId="6704" xr:uid="{00000000-0005-0000-0000-000028190000}"/>
    <cellStyle name="40% - akcent 3 2 6 3 2 2 6" xfId="6705" xr:uid="{00000000-0005-0000-0000-000029190000}"/>
    <cellStyle name="40% - akcent 3 2 6 3 2 2 7" xfId="6706" xr:uid="{00000000-0005-0000-0000-00002A190000}"/>
    <cellStyle name="40% - akcent 3 2 6 3 2 2 7 2" xfId="6707" xr:uid="{00000000-0005-0000-0000-00002B190000}"/>
    <cellStyle name="40% - akcent 3 2 6 3 2 2 7 3" xfId="6708" xr:uid="{00000000-0005-0000-0000-00002C190000}"/>
    <cellStyle name="40% - akcent 3 2 6 3 2 2 7 4" xfId="6709" xr:uid="{00000000-0005-0000-0000-00002D190000}"/>
    <cellStyle name="40% - akcent 3 2 6 3 2 2 7 5" xfId="6710" xr:uid="{00000000-0005-0000-0000-00002E190000}"/>
    <cellStyle name="40% - akcent 3 2 6 3 2 2 7 6" xfId="6711" xr:uid="{00000000-0005-0000-0000-00002F190000}"/>
    <cellStyle name="40% - akcent 3 2 6 3 2 2 8" xfId="6712" xr:uid="{00000000-0005-0000-0000-000030190000}"/>
    <cellStyle name="40% - akcent 3 2 6 3 2 2 9" xfId="6713" xr:uid="{00000000-0005-0000-0000-000031190000}"/>
    <cellStyle name="40% - akcent 3 2 6 3 2 3" xfId="6714" xr:uid="{00000000-0005-0000-0000-000032190000}"/>
    <cellStyle name="40% - akcent 3 2 6 3 2 3 2" xfId="6715" xr:uid="{00000000-0005-0000-0000-000033190000}"/>
    <cellStyle name="40% - akcent 3 2 6 3 2 3 2 2" xfId="6716" xr:uid="{00000000-0005-0000-0000-000034190000}"/>
    <cellStyle name="40% - akcent 3 2 6 3 2 3 2 3" xfId="6717" xr:uid="{00000000-0005-0000-0000-000035190000}"/>
    <cellStyle name="40% - akcent 3 2 6 3 2 3 2 4" xfId="6718" xr:uid="{00000000-0005-0000-0000-000036190000}"/>
    <cellStyle name="40% - akcent 3 2 6 3 2 3 2 5" xfId="6719" xr:uid="{00000000-0005-0000-0000-000037190000}"/>
    <cellStyle name="40% - akcent 3 2 6 3 2 3 2 6" xfId="6720" xr:uid="{00000000-0005-0000-0000-000038190000}"/>
    <cellStyle name="40% - akcent 3 2 6 3 2 3 3" xfId="6721" xr:uid="{00000000-0005-0000-0000-000039190000}"/>
    <cellStyle name="40% - akcent 3 2 6 3 2 3 4" xfId="6722" xr:uid="{00000000-0005-0000-0000-00003A190000}"/>
    <cellStyle name="40% - akcent 3 2 6 3 2 3 5" xfId="6723" xr:uid="{00000000-0005-0000-0000-00003B190000}"/>
    <cellStyle name="40% - akcent 3 2 6 3 2 3 6" xfId="6724" xr:uid="{00000000-0005-0000-0000-00003C190000}"/>
    <cellStyle name="40% - akcent 3 2 6 3 2 3 7" xfId="6725" xr:uid="{00000000-0005-0000-0000-00003D190000}"/>
    <cellStyle name="40% - akcent 3 2 6 3 2 4" xfId="6726" xr:uid="{00000000-0005-0000-0000-00003E190000}"/>
    <cellStyle name="40% - akcent 3 2 6 3 2 5" xfId="6727" xr:uid="{00000000-0005-0000-0000-00003F190000}"/>
    <cellStyle name="40% - akcent 3 2 6 3 2 6" xfId="6728" xr:uid="{00000000-0005-0000-0000-000040190000}"/>
    <cellStyle name="40% - akcent 3 2 6 3 2 7" xfId="6729" xr:uid="{00000000-0005-0000-0000-000041190000}"/>
    <cellStyle name="40% - akcent 3 2 6 3 2 7 2" xfId="6730" xr:uid="{00000000-0005-0000-0000-000042190000}"/>
    <cellStyle name="40% - akcent 3 2 6 3 2 7 3" xfId="6731" xr:uid="{00000000-0005-0000-0000-000043190000}"/>
    <cellStyle name="40% - akcent 3 2 6 3 2 7 4" xfId="6732" xr:uid="{00000000-0005-0000-0000-000044190000}"/>
    <cellStyle name="40% - akcent 3 2 6 3 2 7 5" xfId="6733" xr:uid="{00000000-0005-0000-0000-000045190000}"/>
    <cellStyle name="40% - akcent 3 2 6 3 2 7 6" xfId="6734" xr:uid="{00000000-0005-0000-0000-000046190000}"/>
    <cellStyle name="40% - akcent 3 2 6 3 2 8" xfId="6735" xr:uid="{00000000-0005-0000-0000-000047190000}"/>
    <cellStyle name="40% - akcent 3 2 6 3 2 9" xfId="6736" xr:uid="{00000000-0005-0000-0000-000048190000}"/>
    <cellStyle name="40% - akcent 3 2 6 3 3" xfId="6737" xr:uid="{00000000-0005-0000-0000-000049190000}"/>
    <cellStyle name="40% - akcent 3 2 6 3 3 2" xfId="6738" xr:uid="{00000000-0005-0000-0000-00004A190000}"/>
    <cellStyle name="40% - akcent 3 2 6 3 3 2 2" xfId="6739" xr:uid="{00000000-0005-0000-0000-00004B190000}"/>
    <cellStyle name="40% - akcent 3 2 6 3 3 2 3" xfId="6740" xr:uid="{00000000-0005-0000-0000-00004C190000}"/>
    <cellStyle name="40% - akcent 3 2 6 3 3 2 4" xfId="6741" xr:uid="{00000000-0005-0000-0000-00004D190000}"/>
    <cellStyle name="40% - akcent 3 2 6 3 3 2 5" xfId="6742" xr:uid="{00000000-0005-0000-0000-00004E190000}"/>
    <cellStyle name="40% - akcent 3 2 6 3 3 2 6" xfId="6743" xr:uid="{00000000-0005-0000-0000-00004F190000}"/>
    <cellStyle name="40% - akcent 3 2 6 3 3 3" xfId="6744" xr:uid="{00000000-0005-0000-0000-000050190000}"/>
    <cellStyle name="40% - akcent 3 2 6 3 3 4" xfId="6745" xr:uid="{00000000-0005-0000-0000-000051190000}"/>
    <cellStyle name="40% - akcent 3 2 6 3 3 5" xfId="6746" xr:uid="{00000000-0005-0000-0000-000052190000}"/>
    <cellStyle name="40% - akcent 3 2 6 3 3 6" xfId="6747" xr:uid="{00000000-0005-0000-0000-000053190000}"/>
    <cellStyle name="40% - akcent 3 2 6 3 3 7" xfId="6748" xr:uid="{00000000-0005-0000-0000-000054190000}"/>
    <cellStyle name="40% - akcent 3 2 6 3 4" xfId="6749" xr:uid="{00000000-0005-0000-0000-000055190000}"/>
    <cellStyle name="40% - akcent 3 2 6 3 5" xfId="6750" xr:uid="{00000000-0005-0000-0000-000056190000}"/>
    <cellStyle name="40% - akcent 3 2 6 3 6" xfId="6751" xr:uid="{00000000-0005-0000-0000-000057190000}"/>
    <cellStyle name="40% - akcent 3 2 6 3 7" xfId="6752" xr:uid="{00000000-0005-0000-0000-000058190000}"/>
    <cellStyle name="40% - akcent 3 2 6 3 8" xfId="6753" xr:uid="{00000000-0005-0000-0000-000059190000}"/>
    <cellStyle name="40% - akcent 3 2 6 3 8 2" xfId="6754" xr:uid="{00000000-0005-0000-0000-00005A190000}"/>
    <cellStyle name="40% - akcent 3 2 6 3 8 3" xfId="6755" xr:uid="{00000000-0005-0000-0000-00005B190000}"/>
    <cellStyle name="40% - akcent 3 2 6 3 8 4" xfId="6756" xr:uid="{00000000-0005-0000-0000-00005C190000}"/>
    <cellStyle name="40% - akcent 3 2 6 3 8 5" xfId="6757" xr:uid="{00000000-0005-0000-0000-00005D190000}"/>
    <cellStyle name="40% - akcent 3 2 6 3 8 6" xfId="6758" xr:uid="{00000000-0005-0000-0000-00005E190000}"/>
    <cellStyle name="40% - akcent 3 2 6 3 9" xfId="6759" xr:uid="{00000000-0005-0000-0000-00005F190000}"/>
    <cellStyle name="40% - akcent 3 2 6 4" xfId="6760" xr:uid="{00000000-0005-0000-0000-000060190000}"/>
    <cellStyle name="40% - akcent 3 2 6 4 10" xfId="6761" xr:uid="{00000000-0005-0000-0000-000061190000}"/>
    <cellStyle name="40% - akcent 3 2 6 4 11" xfId="6762" xr:uid="{00000000-0005-0000-0000-000062190000}"/>
    <cellStyle name="40% - akcent 3 2 6 4 2" xfId="6763" xr:uid="{00000000-0005-0000-0000-000063190000}"/>
    <cellStyle name="40% - akcent 3 2 6 4 2 2" xfId="6764" xr:uid="{00000000-0005-0000-0000-000064190000}"/>
    <cellStyle name="40% - akcent 3 2 6 4 2 2 2" xfId="6765" xr:uid="{00000000-0005-0000-0000-000065190000}"/>
    <cellStyle name="40% - akcent 3 2 6 4 2 2 3" xfId="6766" xr:uid="{00000000-0005-0000-0000-000066190000}"/>
    <cellStyle name="40% - akcent 3 2 6 4 2 2 4" xfId="6767" xr:uid="{00000000-0005-0000-0000-000067190000}"/>
    <cellStyle name="40% - akcent 3 2 6 4 2 2 5" xfId="6768" xr:uid="{00000000-0005-0000-0000-000068190000}"/>
    <cellStyle name="40% - akcent 3 2 6 4 2 2 6" xfId="6769" xr:uid="{00000000-0005-0000-0000-000069190000}"/>
    <cellStyle name="40% - akcent 3 2 6 4 2 3" xfId="6770" xr:uid="{00000000-0005-0000-0000-00006A190000}"/>
    <cellStyle name="40% - akcent 3 2 6 4 2 4" xfId="6771" xr:uid="{00000000-0005-0000-0000-00006B190000}"/>
    <cellStyle name="40% - akcent 3 2 6 4 2 5" xfId="6772" xr:uid="{00000000-0005-0000-0000-00006C190000}"/>
    <cellStyle name="40% - akcent 3 2 6 4 2 6" xfId="6773" xr:uid="{00000000-0005-0000-0000-00006D190000}"/>
    <cellStyle name="40% - akcent 3 2 6 4 2 7" xfId="6774" xr:uid="{00000000-0005-0000-0000-00006E190000}"/>
    <cellStyle name="40% - akcent 3 2 6 4 3" xfId="6775" xr:uid="{00000000-0005-0000-0000-00006F190000}"/>
    <cellStyle name="40% - akcent 3 2 6 4 4" xfId="6776" xr:uid="{00000000-0005-0000-0000-000070190000}"/>
    <cellStyle name="40% - akcent 3 2 6 4 5" xfId="6777" xr:uid="{00000000-0005-0000-0000-000071190000}"/>
    <cellStyle name="40% - akcent 3 2 6 4 6" xfId="6778" xr:uid="{00000000-0005-0000-0000-000072190000}"/>
    <cellStyle name="40% - akcent 3 2 6 4 7" xfId="6779" xr:uid="{00000000-0005-0000-0000-000073190000}"/>
    <cellStyle name="40% - akcent 3 2 6 4 7 2" xfId="6780" xr:uid="{00000000-0005-0000-0000-000074190000}"/>
    <cellStyle name="40% - akcent 3 2 6 4 7 3" xfId="6781" xr:uid="{00000000-0005-0000-0000-000075190000}"/>
    <cellStyle name="40% - akcent 3 2 6 4 7 4" xfId="6782" xr:uid="{00000000-0005-0000-0000-000076190000}"/>
    <cellStyle name="40% - akcent 3 2 6 4 7 5" xfId="6783" xr:uid="{00000000-0005-0000-0000-000077190000}"/>
    <cellStyle name="40% - akcent 3 2 6 4 7 6" xfId="6784" xr:uid="{00000000-0005-0000-0000-000078190000}"/>
    <cellStyle name="40% - akcent 3 2 6 4 8" xfId="6785" xr:uid="{00000000-0005-0000-0000-000079190000}"/>
    <cellStyle name="40% - akcent 3 2 6 4 9" xfId="6786" xr:uid="{00000000-0005-0000-0000-00007A190000}"/>
    <cellStyle name="40% - akcent 3 2 6 5" xfId="6787" xr:uid="{00000000-0005-0000-0000-00007B190000}"/>
    <cellStyle name="40% - akcent 3 2 6 5 2" xfId="6788" xr:uid="{00000000-0005-0000-0000-00007C190000}"/>
    <cellStyle name="40% - akcent 3 2 6 5 2 2" xfId="6789" xr:uid="{00000000-0005-0000-0000-00007D190000}"/>
    <cellStyle name="40% - akcent 3 2 6 5 2 3" xfId="6790" xr:uid="{00000000-0005-0000-0000-00007E190000}"/>
    <cellStyle name="40% - akcent 3 2 6 5 2 4" xfId="6791" xr:uid="{00000000-0005-0000-0000-00007F190000}"/>
    <cellStyle name="40% - akcent 3 2 6 5 2 5" xfId="6792" xr:uid="{00000000-0005-0000-0000-000080190000}"/>
    <cellStyle name="40% - akcent 3 2 6 5 2 6" xfId="6793" xr:uid="{00000000-0005-0000-0000-000081190000}"/>
    <cellStyle name="40% - akcent 3 2 6 5 3" xfId="6794" xr:uid="{00000000-0005-0000-0000-000082190000}"/>
    <cellStyle name="40% - akcent 3 2 6 5 4" xfId="6795" xr:uid="{00000000-0005-0000-0000-000083190000}"/>
    <cellStyle name="40% - akcent 3 2 6 5 5" xfId="6796" xr:uid="{00000000-0005-0000-0000-000084190000}"/>
    <cellStyle name="40% - akcent 3 2 6 5 6" xfId="6797" xr:uid="{00000000-0005-0000-0000-000085190000}"/>
    <cellStyle name="40% - akcent 3 2 6 5 7" xfId="6798" xr:uid="{00000000-0005-0000-0000-000086190000}"/>
    <cellStyle name="40% - akcent 3 2 6 6" xfId="6799" xr:uid="{00000000-0005-0000-0000-000087190000}"/>
    <cellStyle name="40% - akcent 3 2 6 7" xfId="6800" xr:uid="{00000000-0005-0000-0000-000088190000}"/>
    <cellStyle name="40% - akcent 3 2 6 8" xfId="6801" xr:uid="{00000000-0005-0000-0000-000089190000}"/>
    <cellStyle name="40% - akcent 3 2 6 9" xfId="6802" xr:uid="{00000000-0005-0000-0000-00008A190000}"/>
    <cellStyle name="40% - akcent 3 2 6 9 2" xfId="6803" xr:uid="{00000000-0005-0000-0000-00008B190000}"/>
    <cellStyle name="40% - akcent 3 2 6 9 3" xfId="6804" xr:uid="{00000000-0005-0000-0000-00008C190000}"/>
    <cellStyle name="40% - akcent 3 2 6 9 4" xfId="6805" xr:uid="{00000000-0005-0000-0000-00008D190000}"/>
    <cellStyle name="40% - akcent 3 2 6 9 5" xfId="6806" xr:uid="{00000000-0005-0000-0000-00008E190000}"/>
    <cellStyle name="40% - akcent 3 2 6 9 6" xfId="6807" xr:uid="{00000000-0005-0000-0000-00008F190000}"/>
    <cellStyle name="40% - akcent 3 2 7" xfId="6808" xr:uid="{00000000-0005-0000-0000-000090190000}"/>
    <cellStyle name="40% - akcent 3 2 8" xfId="6809" xr:uid="{00000000-0005-0000-0000-000091190000}"/>
    <cellStyle name="40% - akcent 3 2 8 10" xfId="6810" xr:uid="{00000000-0005-0000-0000-000092190000}"/>
    <cellStyle name="40% - akcent 3 2 8 11" xfId="6811" xr:uid="{00000000-0005-0000-0000-000093190000}"/>
    <cellStyle name="40% - akcent 3 2 8 12" xfId="6812" xr:uid="{00000000-0005-0000-0000-000094190000}"/>
    <cellStyle name="40% - akcent 3 2 8 13" xfId="6813" xr:uid="{00000000-0005-0000-0000-000095190000}"/>
    <cellStyle name="40% - akcent 3 2 8 2" xfId="6814" xr:uid="{00000000-0005-0000-0000-000096190000}"/>
    <cellStyle name="40% - akcent 3 2 8 2 10" xfId="6815" xr:uid="{00000000-0005-0000-0000-000097190000}"/>
    <cellStyle name="40% - akcent 3 2 8 2 11" xfId="6816" xr:uid="{00000000-0005-0000-0000-000098190000}"/>
    <cellStyle name="40% - akcent 3 2 8 2 12" xfId="6817" xr:uid="{00000000-0005-0000-0000-000099190000}"/>
    <cellStyle name="40% - akcent 3 2 8 2 2" xfId="6818" xr:uid="{00000000-0005-0000-0000-00009A190000}"/>
    <cellStyle name="40% - akcent 3 2 8 2 2 10" xfId="6819" xr:uid="{00000000-0005-0000-0000-00009B190000}"/>
    <cellStyle name="40% - akcent 3 2 8 2 2 11" xfId="6820" xr:uid="{00000000-0005-0000-0000-00009C190000}"/>
    <cellStyle name="40% - akcent 3 2 8 2 2 2" xfId="6821" xr:uid="{00000000-0005-0000-0000-00009D190000}"/>
    <cellStyle name="40% - akcent 3 2 8 2 2 2 10" xfId="6822" xr:uid="{00000000-0005-0000-0000-00009E190000}"/>
    <cellStyle name="40% - akcent 3 2 8 2 2 2 11" xfId="6823" xr:uid="{00000000-0005-0000-0000-00009F190000}"/>
    <cellStyle name="40% - akcent 3 2 8 2 2 2 2" xfId="6824" xr:uid="{00000000-0005-0000-0000-0000A0190000}"/>
    <cellStyle name="40% - akcent 3 2 8 2 2 2 2 2" xfId="6825" xr:uid="{00000000-0005-0000-0000-0000A1190000}"/>
    <cellStyle name="40% - akcent 3 2 8 2 2 2 2 2 2" xfId="6826" xr:uid="{00000000-0005-0000-0000-0000A2190000}"/>
    <cellStyle name="40% - akcent 3 2 8 2 2 2 2 2 3" xfId="6827" xr:uid="{00000000-0005-0000-0000-0000A3190000}"/>
    <cellStyle name="40% - akcent 3 2 8 2 2 2 2 2 4" xfId="6828" xr:uid="{00000000-0005-0000-0000-0000A4190000}"/>
    <cellStyle name="40% - akcent 3 2 8 2 2 2 2 2 5" xfId="6829" xr:uid="{00000000-0005-0000-0000-0000A5190000}"/>
    <cellStyle name="40% - akcent 3 2 8 2 2 2 2 2 6" xfId="6830" xr:uid="{00000000-0005-0000-0000-0000A6190000}"/>
    <cellStyle name="40% - akcent 3 2 8 2 2 2 2 3" xfId="6831" xr:uid="{00000000-0005-0000-0000-0000A7190000}"/>
    <cellStyle name="40% - akcent 3 2 8 2 2 2 2 4" xfId="6832" xr:uid="{00000000-0005-0000-0000-0000A8190000}"/>
    <cellStyle name="40% - akcent 3 2 8 2 2 2 2 5" xfId="6833" xr:uid="{00000000-0005-0000-0000-0000A9190000}"/>
    <cellStyle name="40% - akcent 3 2 8 2 2 2 2 6" xfId="6834" xr:uid="{00000000-0005-0000-0000-0000AA190000}"/>
    <cellStyle name="40% - akcent 3 2 8 2 2 2 2 7" xfId="6835" xr:uid="{00000000-0005-0000-0000-0000AB190000}"/>
    <cellStyle name="40% - akcent 3 2 8 2 2 2 3" xfId="6836" xr:uid="{00000000-0005-0000-0000-0000AC190000}"/>
    <cellStyle name="40% - akcent 3 2 8 2 2 2 4" xfId="6837" xr:uid="{00000000-0005-0000-0000-0000AD190000}"/>
    <cellStyle name="40% - akcent 3 2 8 2 2 2 5" xfId="6838" xr:uid="{00000000-0005-0000-0000-0000AE190000}"/>
    <cellStyle name="40% - akcent 3 2 8 2 2 2 6" xfId="6839" xr:uid="{00000000-0005-0000-0000-0000AF190000}"/>
    <cellStyle name="40% - akcent 3 2 8 2 2 2 7" xfId="6840" xr:uid="{00000000-0005-0000-0000-0000B0190000}"/>
    <cellStyle name="40% - akcent 3 2 8 2 2 2 7 2" xfId="6841" xr:uid="{00000000-0005-0000-0000-0000B1190000}"/>
    <cellStyle name="40% - akcent 3 2 8 2 2 2 7 3" xfId="6842" xr:uid="{00000000-0005-0000-0000-0000B2190000}"/>
    <cellStyle name="40% - akcent 3 2 8 2 2 2 7 4" xfId="6843" xr:uid="{00000000-0005-0000-0000-0000B3190000}"/>
    <cellStyle name="40% - akcent 3 2 8 2 2 2 7 5" xfId="6844" xr:uid="{00000000-0005-0000-0000-0000B4190000}"/>
    <cellStyle name="40% - akcent 3 2 8 2 2 2 7 6" xfId="6845" xr:uid="{00000000-0005-0000-0000-0000B5190000}"/>
    <cellStyle name="40% - akcent 3 2 8 2 2 2 8" xfId="6846" xr:uid="{00000000-0005-0000-0000-0000B6190000}"/>
    <cellStyle name="40% - akcent 3 2 8 2 2 2 9" xfId="6847" xr:uid="{00000000-0005-0000-0000-0000B7190000}"/>
    <cellStyle name="40% - akcent 3 2 8 2 2 3" xfId="6848" xr:uid="{00000000-0005-0000-0000-0000B8190000}"/>
    <cellStyle name="40% - akcent 3 2 8 2 2 3 2" xfId="6849" xr:uid="{00000000-0005-0000-0000-0000B9190000}"/>
    <cellStyle name="40% - akcent 3 2 8 2 2 3 2 2" xfId="6850" xr:uid="{00000000-0005-0000-0000-0000BA190000}"/>
    <cellStyle name="40% - akcent 3 2 8 2 2 3 2 3" xfId="6851" xr:uid="{00000000-0005-0000-0000-0000BB190000}"/>
    <cellStyle name="40% - akcent 3 2 8 2 2 3 2 4" xfId="6852" xr:uid="{00000000-0005-0000-0000-0000BC190000}"/>
    <cellStyle name="40% - akcent 3 2 8 2 2 3 2 5" xfId="6853" xr:uid="{00000000-0005-0000-0000-0000BD190000}"/>
    <cellStyle name="40% - akcent 3 2 8 2 2 3 2 6" xfId="6854" xr:uid="{00000000-0005-0000-0000-0000BE190000}"/>
    <cellStyle name="40% - akcent 3 2 8 2 2 3 3" xfId="6855" xr:uid="{00000000-0005-0000-0000-0000BF190000}"/>
    <cellStyle name="40% - akcent 3 2 8 2 2 3 4" xfId="6856" xr:uid="{00000000-0005-0000-0000-0000C0190000}"/>
    <cellStyle name="40% - akcent 3 2 8 2 2 3 5" xfId="6857" xr:uid="{00000000-0005-0000-0000-0000C1190000}"/>
    <cellStyle name="40% - akcent 3 2 8 2 2 3 6" xfId="6858" xr:uid="{00000000-0005-0000-0000-0000C2190000}"/>
    <cellStyle name="40% - akcent 3 2 8 2 2 3 7" xfId="6859" xr:uid="{00000000-0005-0000-0000-0000C3190000}"/>
    <cellStyle name="40% - akcent 3 2 8 2 2 4" xfId="6860" xr:uid="{00000000-0005-0000-0000-0000C4190000}"/>
    <cellStyle name="40% - akcent 3 2 8 2 2 5" xfId="6861" xr:uid="{00000000-0005-0000-0000-0000C5190000}"/>
    <cellStyle name="40% - akcent 3 2 8 2 2 6" xfId="6862" xr:uid="{00000000-0005-0000-0000-0000C6190000}"/>
    <cellStyle name="40% - akcent 3 2 8 2 2 7" xfId="6863" xr:uid="{00000000-0005-0000-0000-0000C7190000}"/>
    <cellStyle name="40% - akcent 3 2 8 2 2 7 2" xfId="6864" xr:uid="{00000000-0005-0000-0000-0000C8190000}"/>
    <cellStyle name="40% - akcent 3 2 8 2 2 7 3" xfId="6865" xr:uid="{00000000-0005-0000-0000-0000C9190000}"/>
    <cellStyle name="40% - akcent 3 2 8 2 2 7 4" xfId="6866" xr:uid="{00000000-0005-0000-0000-0000CA190000}"/>
    <cellStyle name="40% - akcent 3 2 8 2 2 7 5" xfId="6867" xr:uid="{00000000-0005-0000-0000-0000CB190000}"/>
    <cellStyle name="40% - akcent 3 2 8 2 2 7 6" xfId="6868" xr:uid="{00000000-0005-0000-0000-0000CC190000}"/>
    <cellStyle name="40% - akcent 3 2 8 2 2 8" xfId="6869" xr:uid="{00000000-0005-0000-0000-0000CD190000}"/>
    <cellStyle name="40% - akcent 3 2 8 2 2 9" xfId="6870" xr:uid="{00000000-0005-0000-0000-0000CE190000}"/>
    <cellStyle name="40% - akcent 3 2 8 2 3" xfId="6871" xr:uid="{00000000-0005-0000-0000-0000CF190000}"/>
    <cellStyle name="40% - akcent 3 2 8 2 3 2" xfId="6872" xr:uid="{00000000-0005-0000-0000-0000D0190000}"/>
    <cellStyle name="40% - akcent 3 2 8 2 3 2 2" xfId="6873" xr:uid="{00000000-0005-0000-0000-0000D1190000}"/>
    <cellStyle name="40% - akcent 3 2 8 2 3 2 3" xfId="6874" xr:uid="{00000000-0005-0000-0000-0000D2190000}"/>
    <cellStyle name="40% - akcent 3 2 8 2 3 2 4" xfId="6875" xr:uid="{00000000-0005-0000-0000-0000D3190000}"/>
    <cellStyle name="40% - akcent 3 2 8 2 3 2 5" xfId="6876" xr:uid="{00000000-0005-0000-0000-0000D4190000}"/>
    <cellStyle name="40% - akcent 3 2 8 2 3 2 6" xfId="6877" xr:uid="{00000000-0005-0000-0000-0000D5190000}"/>
    <cellStyle name="40% - akcent 3 2 8 2 3 3" xfId="6878" xr:uid="{00000000-0005-0000-0000-0000D6190000}"/>
    <cellStyle name="40% - akcent 3 2 8 2 3 4" xfId="6879" xr:uid="{00000000-0005-0000-0000-0000D7190000}"/>
    <cellStyle name="40% - akcent 3 2 8 2 3 5" xfId="6880" xr:uid="{00000000-0005-0000-0000-0000D8190000}"/>
    <cellStyle name="40% - akcent 3 2 8 2 3 6" xfId="6881" xr:uid="{00000000-0005-0000-0000-0000D9190000}"/>
    <cellStyle name="40% - akcent 3 2 8 2 3 7" xfId="6882" xr:uid="{00000000-0005-0000-0000-0000DA190000}"/>
    <cellStyle name="40% - akcent 3 2 8 2 4" xfId="6883" xr:uid="{00000000-0005-0000-0000-0000DB190000}"/>
    <cellStyle name="40% - akcent 3 2 8 2 5" xfId="6884" xr:uid="{00000000-0005-0000-0000-0000DC190000}"/>
    <cellStyle name="40% - akcent 3 2 8 2 6" xfId="6885" xr:uid="{00000000-0005-0000-0000-0000DD190000}"/>
    <cellStyle name="40% - akcent 3 2 8 2 7" xfId="6886" xr:uid="{00000000-0005-0000-0000-0000DE190000}"/>
    <cellStyle name="40% - akcent 3 2 8 2 8" xfId="6887" xr:uid="{00000000-0005-0000-0000-0000DF190000}"/>
    <cellStyle name="40% - akcent 3 2 8 2 8 2" xfId="6888" xr:uid="{00000000-0005-0000-0000-0000E0190000}"/>
    <cellStyle name="40% - akcent 3 2 8 2 8 3" xfId="6889" xr:uid="{00000000-0005-0000-0000-0000E1190000}"/>
    <cellStyle name="40% - akcent 3 2 8 2 8 4" xfId="6890" xr:uid="{00000000-0005-0000-0000-0000E2190000}"/>
    <cellStyle name="40% - akcent 3 2 8 2 8 5" xfId="6891" xr:uid="{00000000-0005-0000-0000-0000E3190000}"/>
    <cellStyle name="40% - akcent 3 2 8 2 8 6" xfId="6892" xr:uid="{00000000-0005-0000-0000-0000E4190000}"/>
    <cellStyle name="40% - akcent 3 2 8 2 9" xfId="6893" xr:uid="{00000000-0005-0000-0000-0000E5190000}"/>
    <cellStyle name="40% - akcent 3 2 8 3" xfId="6894" xr:uid="{00000000-0005-0000-0000-0000E6190000}"/>
    <cellStyle name="40% - akcent 3 2 8 4" xfId="6895" xr:uid="{00000000-0005-0000-0000-0000E7190000}"/>
    <cellStyle name="40% - akcent 3 2 8 4 10" xfId="6896" xr:uid="{00000000-0005-0000-0000-0000E8190000}"/>
    <cellStyle name="40% - akcent 3 2 8 4 11" xfId="6897" xr:uid="{00000000-0005-0000-0000-0000E9190000}"/>
    <cellStyle name="40% - akcent 3 2 8 4 2" xfId="6898" xr:uid="{00000000-0005-0000-0000-0000EA190000}"/>
    <cellStyle name="40% - akcent 3 2 8 4 2 2" xfId="6899" xr:uid="{00000000-0005-0000-0000-0000EB190000}"/>
    <cellStyle name="40% - akcent 3 2 8 4 2 2 2" xfId="6900" xr:uid="{00000000-0005-0000-0000-0000EC190000}"/>
    <cellStyle name="40% - akcent 3 2 8 4 2 2 3" xfId="6901" xr:uid="{00000000-0005-0000-0000-0000ED190000}"/>
    <cellStyle name="40% - akcent 3 2 8 4 2 2 4" xfId="6902" xr:uid="{00000000-0005-0000-0000-0000EE190000}"/>
    <cellStyle name="40% - akcent 3 2 8 4 2 2 5" xfId="6903" xr:uid="{00000000-0005-0000-0000-0000EF190000}"/>
    <cellStyle name="40% - akcent 3 2 8 4 2 2 6" xfId="6904" xr:uid="{00000000-0005-0000-0000-0000F0190000}"/>
    <cellStyle name="40% - akcent 3 2 8 4 2 3" xfId="6905" xr:uid="{00000000-0005-0000-0000-0000F1190000}"/>
    <cellStyle name="40% - akcent 3 2 8 4 2 4" xfId="6906" xr:uid="{00000000-0005-0000-0000-0000F2190000}"/>
    <cellStyle name="40% - akcent 3 2 8 4 2 5" xfId="6907" xr:uid="{00000000-0005-0000-0000-0000F3190000}"/>
    <cellStyle name="40% - akcent 3 2 8 4 2 6" xfId="6908" xr:uid="{00000000-0005-0000-0000-0000F4190000}"/>
    <cellStyle name="40% - akcent 3 2 8 4 2 7" xfId="6909" xr:uid="{00000000-0005-0000-0000-0000F5190000}"/>
    <cellStyle name="40% - akcent 3 2 8 4 3" xfId="6910" xr:uid="{00000000-0005-0000-0000-0000F6190000}"/>
    <cellStyle name="40% - akcent 3 2 8 4 4" xfId="6911" xr:uid="{00000000-0005-0000-0000-0000F7190000}"/>
    <cellStyle name="40% - akcent 3 2 8 4 5" xfId="6912" xr:uid="{00000000-0005-0000-0000-0000F8190000}"/>
    <cellStyle name="40% - akcent 3 2 8 4 6" xfId="6913" xr:uid="{00000000-0005-0000-0000-0000F9190000}"/>
    <cellStyle name="40% - akcent 3 2 8 4 7" xfId="6914" xr:uid="{00000000-0005-0000-0000-0000FA190000}"/>
    <cellStyle name="40% - akcent 3 2 8 4 7 2" xfId="6915" xr:uid="{00000000-0005-0000-0000-0000FB190000}"/>
    <cellStyle name="40% - akcent 3 2 8 4 7 3" xfId="6916" xr:uid="{00000000-0005-0000-0000-0000FC190000}"/>
    <cellStyle name="40% - akcent 3 2 8 4 7 4" xfId="6917" xr:uid="{00000000-0005-0000-0000-0000FD190000}"/>
    <cellStyle name="40% - akcent 3 2 8 4 7 5" xfId="6918" xr:uid="{00000000-0005-0000-0000-0000FE190000}"/>
    <cellStyle name="40% - akcent 3 2 8 4 7 6" xfId="6919" xr:uid="{00000000-0005-0000-0000-0000FF190000}"/>
    <cellStyle name="40% - akcent 3 2 8 4 8" xfId="6920" xr:uid="{00000000-0005-0000-0000-0000001A0000}"/>
    <cellStyle name="40% - akcent 3 2 8 4 9" xfId="6921" xr:uid="{00000000-0005-0000-0000-0000011A0000}"/>
    <cellStyle name="40% - akcent 3 2 8 5" xfId="6922" xr:uid="{00000000-0005-0000-0000-0000021A0000}"/>
    <cellStyle name="40% - akcent 3 2 8 5 2" xfId="6923" xr:uid="{00000000-0005-0000-0000-0000031A0000}"/>
    <cellStyle name="40% - akcent 3 2 8 5 2 2" xfId="6924" xr:uid="{00000000-0005-0000-0000-0000041A0000}"/>
    <cellStyle name="40% - akcent 3 2 8 5 2 3" xfId="6925" xr:uid="{00000000-0005-0000-0000-0000051A0000}"/>
    <cellStyle name="40% - akcent 3 2 8 5 2 4" xfId="6926" xr:uid="{00000000-0005-0000-0000-0000061A0000}"/>
    <cellStyle name="40% - akcent 3 2 8 5 2 5" xfId="6927" xr:uid="{00000000-0005-0000-0000-0000071A0000}"/>
    <cellStyle name="40% - akcent 3 2 8 5 2 6" xfId="6928" xr:uid="{00000000-0005-0000-0000-0000081A0000}"/>
    <cellStyle name="40% - akcent 3 2 8 5 3" xfId="6929" xr:uid="{00000000-0005-0000-0000-0000091A0000}"/>
    <cellStyle name="40% - akcent 3 2 8 5 4" xfId="6930" xr:uid="{00000000-0005-0000-0000-00000A1A0000}"/>
    <cellStyle name="40% - akcent 3 2 8 5 5" xfId="6931" xr:uid="{00000000-0005-0000-0000-00000B1A0000}"/>
    <cellStyle name="40% - akcent 3 2 8 5 6" xfId="6932" xr:uid="{00000000-0005-0000-0000-00000C1A0000}"/>
    <cellStyle name="40% - akcent 3 2 8 5 7" xfId="6933" xr:uid="{00000000-0005-0000-0000-00000D1A0000}"/>
    <cellStyle name="40% - akcent 3 2 8 6" xfId="6934" xr:uid="{00000000-0005-0000-0000-00000E1A0000}"/>
    <cellStyle name="40% - akcent 3 2 8 7" xfId="6935" xr:uid="{00000000-0005-0000-0000-00000F1A0000}"/>
    <cellStyle name="40% - akcent 3 2 8 8" xfId="6936" xr:uid="{00000000-0005-0000-0000-0000101A0000}"/>
    <cellStyle name="40% - akcent 3 2 8 9" xfId="6937" xr:uid="{00000000-0005-0000-0000-0000111A0000}"/>
    <cellStyle name="40% - akcent 3 2 8 9 2" xfId="6938" xr:uid="{00000000-0005-0000-0000-0000121A0000}"/>
    <cellStyle name="40% - akcent 3 2 8 9 3" xfId="6939" xr:uid="{00000000-0005-0000-0000-0000131A0000}"/>
    <cellStyle name="40% - akcent 3 2 8 9 4" xfId="6940" xr:uid="{00000000-0005-0000-0000-0000141A0000}"/>
    <cellStyle name="40% - akcent 3 2 8 9 5" xfId="6941" xr:uid="{00000000-0005-0000-0000-0000151A0000}"/>
    <cellStyle name="40% - akcent 3 2 8 9 6" xfId="6942" xr:uid="{00000000-0005-0000-0000-0000161A0000}"/>
    <cellStyle name="40% - akcent 3 2 9" xfId="6943" xr:uid="{00000000-0005-0000-0000-0000171A0000}"/>
    <cellStyle name="40% - akcent 3 2_archeolagia" xfId="6944" xr:uid="{00000000-0005-0000-0000-0000181A0000}"/>
    <cellStyle name="40% - akcent 3 3" xfId="113" xr:uid="{00000000-0005-0000-0000-0000191A0000}"/>
    <cellStyle name="40% - akcent 3 3 2" xfId="114" xr:uid="{00000000-0005-0000-0000-00001A1A0000}"/>
    <cellStyle name="40% - akcent 3 3 2 2" xfId="6946" xr:uid="{00000000-0005-0000-0000-00001B1A0000}"/>
    <cellStyle name="40% - akcent 3 3 3" xfId="6947" xr:uid="{00000000-0005-0000-0000-00001C1A0000}"/>
    <cellStyle name="40% - akcent 3 3 4" xfId="6948" xr:uid="{00000000-0005-0000-0000-00001D1A0000}"/>
    <cellStyle name="40% - akcent 3 3 5" xfId="6949" xr:uid="{00000000-0005-0000-0000-00001E1A0000}"/>
    <cellStyle name="40% - akcent 3 3 6" xfId="6945" xr:uid="{00000000-0005-0000-0000-00001F1A0000}"/>
    <cellStyle name="40% - akcent 3 4" xfId="115" xr:uid="{00000000-0005-0000-0000-0000201A0000}"/>
    <cellStyle name="40% - akcent 3 4 2" xfId="116" xr:uid="{00000000-0005-0000-0000-0000211A0000}"/>
    <cellStyle name="40% - akcent 3 4 2 2" xfId="6951" xr:uid="{00000000-0005-0000-0000-0000221A0000}"/>
    <cellStyle name="40% - akcent 3 4 3" xfId="6952" xr:uid="{00000000-0005-0000-0000-0000231A0000}"/>
    <cellStyle name="40% - akcent 3 4 4" xfId="6953" xr:uid="{00000000-0005-0000-0000-0000241A0000}"/>
    <cellStyle name="40% - akcent 3 4 5" xfId="6954" xr:uid="{00000000-0005-0000-0000-0000251A0000}"/>
    <cellStyle name="40% - akcent 3 4 6" xfId="6950" xr:uid="{00000000-0005-0000-0000-0000261A0000}"/>
    <cellStyle name="40% - akcent 3 5" xfId="117" xr:uid="{00000000-0005-0000-0000-0000271A0000}"/>
    <cellStyle name="40% - akcent 3 5 2" xfId="118" xr:uid="{00000000-0005-0000-0000-0000281A0000}"/>
    <cellStyle name="40% - akcent 3 5 2 2" xfId="6956" xr:uid="{00000000-0005-0000-0000-0000291A0000}"/>
    <cellStyle name="40% - akcent 3 5 3" xfId="6957" xr:uid="{00000000-0005-0000-0000-00002A1A0000}"/>
    <cellStyle name="40% - akcent 3 5 4" xfId="6958" xr:uid="{00000000-0005-0000-0000-00002B1A0000}"/>
    <cellStyle name="40% - akcent 3 5 5" xfId="6959" xr:uid="{00000000-0005-0000-0000-00002C1A0000}"/>
    <cellStyle name="40% - akcent 3 5 6" xfId="6955" xr:uid="{00000000-0005-0000-0000-00002D1A0000}"/>
    <cellStyle name="40% - akcent 3 6" xfId="119" xr:uid="{00000000-0005-0000-0000-00002E1A0000}"/>
    <cellStyle name="40% - akcent 3 6 2" xfId="120" xr:uid="{00000000-0005-0000-0000-00002F1A0000}"/>
    <cellStyle name="40% - akcent 3 6 2 2" xfId="6961" xr:uid="{00000000-0005-0000-0000-0000301A0000}"/>
    <cellStyle name="40% - akcent 3 6 3" xfId="6962" xr:uid="{00000000-0005-0000-0000-0000311A0000}"/>
    <cellStyle name="40% - akcent 3 6 4" xfId="6963" xr:uid="{00000000-0005-0000-0000-0000321A0000}"/>
    <cellStyle name="40% - akcent 3 6 5" xfId="6964" xr:uid="{00000000-0005-0000-0000-0000331A0000}"/>
    <cellStyle name="40% - akcent 3 6 6" xfId="6960" xr:uid="{00000000-0005-0000-0000-0000341A0000}"/>
    <cellStyle name="40% - akcent 3 7" xfId="121" xr:uid="{00000000-0005-0000-0000-0000351A0000}"/>
    <cellStyle name="40% - akcent 3 7 2" xfId="122" xr:uid="{00000000-0005-0000-0000-0000361A0000}"/>
    <cellStyle name="40% - akcent 3 7 2 2" xfId="6966" xr:uid="{00000000-0005-0000-0000-0000371A0000}"/>
    <cellStyle name="40% - akcent 3 7 3" xfId="6967" xr:uid="{00000000-0005-0000-0000-0000381A0000}"/>
    <cellStyle name="40% - akcent 3 7 4" xfId="6968" xr:uid="{00000000-0005-0000-0000-0000391A0000}"/>
    <cellStyle name="40% - akcent 3 7 5" xfId="6969" xr:uid="{00000000-0005-0000-0000-00003A1A0000}"/>
    <cellStyle name="40% - akcent 3 7 6" xfId="6965" xr:uid="{00000000-0005-0000-0000-00003B1A0000}"/>
    <cellStyle name="40% - akcent 3 8" xfId="6970" xr:uid="{00000000-0005-0000-0000-00003C1A0000}"/>
    <cellStyle name="40% - akcent 3 8 2" xfId="6971" xr:uid="{00000000-0005-0000-0000-00003D1A0000}"/>
    <cellStyle name="40% - akcent 3 8 3" xfId="6972" xr:uid="{00000000-0005-0000-0000-00003E1A0000}"/>
    <cellStyle name="40% - akcent 3 8 4" xfId="6973" xr:uid="{00000000-0005-0000-0000-00003F1A0000}"/>
    <cellStyle name="40% - akcent 3 9" xfId="6974" xr:uid="{00000000-0005-0000-0000-0000401A0000}"/>
    <cellStyle name="40% - akcent 4 1" xfId="6975" xr:uid="{00000000-0005-0000-0000-0000411A0000}"/>
    <cellStyle name="40% - akcent 4 10" xfId="6976" xr:uid="{00000000-0005-0000-0000-0000421A0000}"/>
    <cellStyle name="40% - akcent 4 11" xfId="6977" xr:uid="{00000000-0005-0000-0000-0000431A0000}"/>
    <cellStyle name="40% - akcent 4 12" xfId="6978" xr:uid="{00000000-0005-0000-0000-0000441A0000}"/>
    <cellStyle name="40% - akcent 4 13" xfId="6979" xr:uid="{00000000-0005-0000-0000-0000451A0000}"/>
    <cellStyle name="40% - akcent 4 14" xfId="6980" xr:uid="{00000000-0005-0000-0000-0000461A0000}"/>
    <cellStyle name="40% - akcent 4 15" xfId="6981" xr:uid="{00000000-0005-0000-0000-0000471A0000}"/>
    <cellStyle name="40% - akcent 4 16" xfId="6982" xr:uid="{00000000-0005-0000-0000-0000481A0000}"/>
    <cellStyle name="40% - akcent 4 17" xfId="6983" xr:uid="{00000000-0005-0000-0000-0000491A0000}"/>
    <cellStyle name="40% - akcent 4 18" xfId="6984" xr:uid="{00000000-0005-0000-0000-00004A1A0000}"/>
    <cellStyle name="40% - akcent 4 19" xfId="6985" xr:uid="{00000000-0005-0000-0000-00004B1A0000}"/>
    <cellStyle name="40% - akcent 4 2" xfId="123" xr:uid="{00000000-0005-0000-0000-00004C1A0000}"/>
    <cellStyle name="40% - akcent 4 2 10" xfId="6987" xr:uid="{00000000-0005-0000-0000-00004D1A0000}"/>
    <cellStyle name="40% - akcent 4 2 11" xfId="6988" xr:uid="{00000000-0005-0000-0000-00004E1A0000}"/>
    <cellStyle name="40% - akcent 4 2 12" xfId="6989" xr:uid="{00000000-0005-0000-0000-00004F1A0000}"/>
    <cellStyle name="40% - akcent 4 2 13" xfId="6990" xr:uid="{00000000-0005-0000-0000-0000501A0000}"/>
    <cellStyle name="40% - akcent 4 2 13 10" xfId="6991" xr:uid="{00000000-0005-0000-0000-0000511A0000}"/>
    <cellStyle name="40% - akcent 4 2 13 11" xfId="6992" xr:uid="{00000000-0005-0000-0000-0000521A0000}"/>
    <cellStyle name="40% - akcent 4 2 13 12" xfId="6993" xr:uid="{00000000-0005-0000-0000-0000531A0000}"/>
    <cellStyle name="40% - akcent 4 2 13 2" xfId="6994" xr:uid="{00000000-0005-0000-0000-0000541A0000}"/>
    <cellStyle name="40% - akcent 4 2 13 2 10" xfId="6995" xr:uid="{00000000-0005-0000-0000-0000551A0000}"/>
    <cellStyle name="40% - akcent 4 2 13 2 11" xfId="6996" xr:uid="{00000000-0005-0000-0000-0000561A0000}"/>
    <cellStyle name="40% - akcent 4 2 13 2 2" xfId="6997" xr:uid="{00000000-0005-0000-0000-0000571A0000}"/>
    <cellStyle name="40% - akcent 4 2 13 2 2 10" xfId="6998" xr:uid="{00000000-0005-0000-0000-0000581A0000}"/>
    <cellStyle name="40% - akcent 4 2 13 2 2 11" xfId="6999" xr:uid="{00000000-0005-0000-0000-0000591A0000}"/>
    <cellStyle name="40% - akcent 4 2 13 2 2 2" xfId="7000" xr:uid="{00000000-0005-0000-0000-00005A1A0000}"/>
    <cellStyle name="40% - akcent 4 2 13 2 2 2 2" xfId="7001" xr:uid="{00000000-0005-0000-0000-00005B1A0000}"/>
    <cellStyle name="40% - akcent 4 2 13 2 2 2 2 2" xfId="7002" xr:uid="{00000000-0005-0000-0000-00005C1A0000}"/>
    <cellStyle name="40% - akcent 4 2 13 2 2 2 2 3" xfId="7003" xr:uid="{00000000-0005-0000-0000-00005D1A0000}"/>
    <cellStyle name="40% - akcent 4 2 13 2 2 2 2 4" xfId="7004" xr:uid="{00000000-0005-0000-0000-00005E1A0000}"/>
    <cellStyle name="40% - akcent 4 2 13 2 2 2 2 5" xfId="7005" xr:uid="{00000000-0005-0000-0000-00005F1A0000}"/>
    <cellStyle name="40% - akcent 4 2 13 2 2 2 2 6" xfId="7006" xr:uid="{00000000-0005-0000-0000-0000601A0000}"/>
    <cellStyle name="40% - akcent 4 2 13 2 2 2 3" xfId="7007" xr:uid="{00000000-0005-0000-0000-0000611A0000}"/>
    <cellStyle name="40% - akcent 4 2 13 2 2 2 4" xfId="7008" xr:uid="{00000000-0005-0000-0000-0000621A0000}"/>
    <cellStyle name="40% - akcent 4 2 13 2 2 2 5" xfId="7009" xr:uid="{00000000-0005-0000-0000-0000631A0000}"/>
    <cellStyle name="40% - akcent 4 2 13 2 2 2 6" xfId="7010" xr:uid="{00000000-0005-0000-0000-0000641A0000}"/>
    <cellStyle name="40% - akcent 4 2 13 2 2 2 7" xfId="7011" xr:uid="{00000000-0005-0000-0000-0000651A0000}"/>
    <cellStyle name="40% - akcent 4 2 13 2 2 3" xfId="7012" xr:uid="{00000000-0005-0000-0000-0000661A0000}"/>
    <cellStyle name="40% - akcent 4 2 13 2 2 4" xfId="7013" xr:uid="{00000000-0005-0000-0000-0000671A0000}"/>
    <cellStyle name="40% - akcent 4 2 13 2 2 5" xfId="7014" xr:uid="{00000000-0005-0000-0000-0000681A0000}"/>
    <cellStyle name="40% - akcent 4 2 13 2 2 6" xfId="7015" xr:uid="{00000000-0005-0000-0000-0000691A0000}"/>
    <cellStyle name="40% - akcent 4 2 13 2 2 7" xfId="7016" xr:uid="{00000000-0005-0000-0000-00006A1A0000}"/>
    <cellStyle name="40% - akcent 4 2 13 2 2 7 2" xfId="7017" xr:uid="{00000000-0005-0000-0000-00006B1A0000}"/>
    <cellStyle name="40% - akcent 4 2 13 2 2 7 3" xfId="7018" xr:uid="{00000000-0005-0000-0000-00006C1A0000}"/>
    <cellStyle name="40% - akcent 4 2 13 2 2 7 4" xfId="7019" xr:uid="{00000000-0005-0000-0000-00006D1A0000}"/>
    <cellStyle name="40% - akcent 4 2 13 2 2 7 5" xfId="7020" xr:uid="{00000000-0005-0000-0000-00006E1A0000}"/>
    <cellStyle name="40% - akcent 4 2 13 2 2 7 6" xfId="7021" xr:uid="{00000000-0005-0000-0000-00006F1A0000}"/>
    <cellStyle name="40% - akcent 4 2 13 2 2 8" xfId="7022" xr:uid="{00000000-0005-0000-0000-0000701A0000}"/>
    <cellStyle name="40% - akcent 4 2 13 2 2 9" xfId="7023" xr:uid="{00000000-0005-0000-0000-0000711A0000}"/>
    <cellStyle name="40% - akcent 4 2 13 2 3" xfId="7024" xr:uid="{00000000-0005-0000-0000-0000721A0000}"/>
    <cellStyle name="40% - akcent 4 2 13 2 3 2" xfId="7025" xr:uid="{00000000-0005-0000-0000-0000731A0000}"/>
    <cellStyle name="40% - akcent 4 2 13 2 3 2 2" xfId="7026" xr:uid="{00000000-0005-0000-0000-0000741A0000}"/>
    <cellStyle name="40% - akcent 4 2 13 2 3 2 3" xfId="7027" xr:uid="{00000000-0005-0000-0000-0000751A0000}"/>
    <cellStyle name="40% - akcent 4 2 13 2 3 2 4" xfId="7028" xr:uid="{00000000-0005-0000-0000-0000761A0000}"/>
    <cellStyle name="40% - akcent 4 2 13 2 3 2 5" xfId="7029" xr:uid="{00000000-0005-0000-0000-0000771A0000}"/>
    <cellStyle name="40% - akcent 4 2 13 2 3 2 6" xfId="7030" xr:uid="{00000000-0005-0000-0000-0000781A0000}"/>
    <cellStyle name="40% - akcent 4 2 13 2 3 3" xfId="7031" xr:uid="{00000000-0005-0000-0000-0000791A0000}"/>
    <cellStyle name="40% - akcent 4 2 13 2 3 4" xfId="7032" xr:uid="{00000000-0005-0000-0000-00007A1A0000}"/>
    <cellStyle name="40% - akcent 4 2 13 2 3 5" xfId="7033" xr:uid="{00000000-0005-0000-0000-00007B1A0000}"/>
    <cellStyle name="40% - akcent 4 2 13 2 3 6" xfId="7034" xr:uid="{00000000-0005-0000-0000-00007C1A0000}"/>
    <cellStyle name="40% - akcent 4 2 13 2 3 7" xfId="7035" xr:uid="{00000000-0005-0000-0000-00007D1A0000}"/>
    <cellStyle name="40% - akcent 4 2 13 2 4" xfId="7036" xr:uid="{00000000-0005-0000-0000-00007E1A0000}"/>
    <cellStyle name="40% - akcent 4 2 13 2 5" xfId="7037" xr:uid="{00000000-0005-0000-0000-00007F1A0000}"/>
    <cellStyle name="40% - akcent 4 2 13 2 6" xfId="7038" xr:uid="{00000000-0005-0000-0000-0000801A0000}"/>
    <cellStyle name="40% - akcent 4 2 13 2 7" xfId="7039" xr:uid="{00000000-0005-0000-0000-0000811A0000}"/>
    <cellStyle name="40% - akcent 4 2 13 2 7 2" xfId="7040" xr:uid="{00000000-0005-0000-0000-0000821A0000}"/>
    <cellStyle name="40% - akcent 4 2 13 2 7 3" xfId="7041" xr:uid="{00000000-0005-0000-0000-0000831A0000}"/>
    <cellStyle name="40% - akcent 4 2 13 2 7 4" xfId="7042" xr:uid="{00000000-0005-0000-0000-0000841A0000}"/>
    <cellStyle name="40% - akcent 4 2 13 2 7 5" xfId="7043" xr:uid="{00000000-0005-0000-0000-0000851A0000}"/>
    <cellStyle name="40% - akcent 4 2 13 2 7 6" xfId="7044" xr:uid="{00000000-0005-0000-0000-0000861A0000}"/>
    <cellStyle name="40% - akcent 4 2 13 2 8" xfId="7045" xr:uid="{00000000-0005-0000-0000-0000871A0000}"/>
    <cellStyle name="40% - akcent 4 2 13 2 9" xfId="7046" xr:uid="{00000000-0005-0000-0000-0000881A0000}"/>
    <cellStyle name="40% - akcent 4 2 13 3" xfId="7047" xr:uid="{00000000-0005-0000-0000-0000891A0000}"/>
    <cellStyle name="40% - akcent 4 2 13 3 2" xfId="7048" xr:uid="{00000000-0005-0000-0000-00008A1A0000}"/>
    <cellStyle name="40% - akcent 4 2 13 3 2 2" xfId="7049" xr:uid="{00000000-0005-0000-0000-00008B1A0000}"/>
    <cellStyle name="40% - akcent 4 2 13 3 2 3" xfId="7050" xr:uid="{00000000-0005-0000-0000-00008C1A0000}"/>
    <cellStyle name="40% - akcent 4 2 13 3 2 4" xfId="7051" xr:uid="{00000000-0005-0000-0000-00008D1A0000}"/>
    <cellStyle name="40% - akcent 4 2 13 3 2 5" xfId="7052" xr:uid="{00000000-0005-0000-0000-00008E1A0000}"/>
    <cellStyle name="40% - akcent 4 2 13 3 2 6" xfId="7053" xr:uid="{00000000-0005-0000-0000-00008F1A0000}"/>
    <cellStyle name="40% - akcent 4 2 13 3 3" xfId="7054" xr:uid="{00000000-0005-0000-0000-0000901A0000}"/>
    <cellStyle name="40% - akcent 4 2 13 3 4" xfId="7055" xr:uid="{00000000-0005-0000-0000-0000911A0000}"/>
    <cellStyle name="40% - akcent 4 2 13 3 5" xfId="7056" xr:uid="{00000000-0005-0000-0000-0000921A0000}"/>
    <cellStyle name="40% - akcent 4 2 13 3 6" xfId="7057" xr:uid="{00000000-0005-0000-0000-0000931A0000}"/>
    <cellStyle name="40% - akcent 4 2 13 3 7" xfId="7058" xr:uid="{00000000-0005-0000-0000-0000941A0000}"/>
    <cellStyle name="40% - akcent 4 2 13 4" xfId="7059" xr:uid="{00000000-0005-0000-0000-0000951A0000}"/>
    <cellStyle name="40% - akcent 4 2 13 5" xfId="7060" xr:uid="{00000000-0005-0000-0000-0000961A0000}"/>
    <cellStyle name="40% - akcent 4 2 13 6" xfId="7061" xr:uid="{00000000-0005-0000-0000-0000971A0000}"/>
    <cellStyle name="40% - akcent 4 2 13 7" xfId="7062" xr:uid="{00000000-0005-0000-0000-0000981A0000}"/>
    <cellStyle name="40% - akcent 4 2 13 8" xfId="7063" xr:uid="{00000000-0005-0000-0000-0000991A0000}"/>
    <cellStyle name="40% - akcent 4 2 13 8 2" xfId="7064" xr:uid="{00000000-0005-0000-0000-00009A1A0000}"/>
    <cellStyle name="40% - akcent 4 2 13 8 3" xfId="7065" xr:uid="{00000000-0005-0000-0000-00009B1A0000}"/>
    <cellStyle name="40% - akcent 4 2 13 8 4" xfId="7066" xr:uid="{00000000-0005-0000-0000-00009C1A0000}"/>
    <cellStyle name="40% - akcent 4 2 13 8 5" xfId="7067" xr:uid="{00000000-0005-0000-0000-00009D1A0000}"/>
    <cellStyle name="40% - akcent 4 2 13 8 6" xfId="7068" xr:uid="{00000000-0005-0000-0000-00009E1A0000}"/>
    <cellStyle name="40% - akcent 4 2 13 9" xfId="7069" xr:uid="{00000000-0005-0000-0000-00009F1A0000}"/>
    <cellStyle name="40% - akcent 4 2 14" xfId="7070" xr:uid="{00000000-0005-0000-0000-0000A01A0000}"/>
    <cellStyle name="40% - akcent 4 2 14 10" xfId="7071" xr:uid="{00000000-0005-0000-0000-0000A11A0000}"/>
    <cellStyle name="40% - akcent 4 2 14 11" xfId="7072" xr:uid="{00000000-0005-0000-0000-0000A21A0000}"/>
    <cellStyle name="40% - akcent 4 2 14 2" xfId="7073" xr:uid="{00000000-0005-0000-0000-0000A31A0000}"/>
    <cellStyle name="40% - akcent 4 2 14 2 2" xfId="7074" xr:uid="{00000000-0005-0000-0000-0000A41A0000}"/>
    <cellStyle name="40% - akcent 4 2 14 2 2 2" xfId="7075" xr:uid="{00000000-0005-0000-0000-0000A51A0000}"/>
    <cellStyle name="40% - akcent 4 2 14 2 2 3" xfId="7076" xr:uid="{00000000-0005-0000-0000-0000A61A0000}"/>
    <cellStyle name="40% - akcent 4 2 14 2 2 4" xfId="7077" xr:uid="{00000000-0005-0000-0000-0000A71A0000}"/>
    <cellStyle name="40% - akcent 4 2 14 2 2 5" xfId="7078" xr:uid="{00000000-0005-0000-0000-0000A81A0000}"/>
    <cellStyle name="40% - akcent 4 2 14 2 2 6" xfId="7079" xr:uid="{00000000-0005-0000-0000-0000A91A0000}"/>
    <cellStyle name="40% - akcent 4 2 14 2 3" xfId="7080" xr:uid="{00000000-0005-0000-0000-0000AA1A0000}"/>
    <cellStyle name="40% - akcent 4 2 14 2 4" xfId="7081" xr:uid="{00000000-0005-0000-0000-0000AB1A0000}"/>
    <cellStyle name="40% - akcent 4 2 14 2 5" xfId="7082" xr:uid="{00000000-0005-0000-0000-0000AC1A0000}"/>
    <cellStyle name="40% - akcent 4 2 14 2 6" xfId="7083" xr:uid="{00000000-0005-0000-0000-0000AD1A0000}"/>
    <cellStyle name="40% - akcent 4 2 14 2 7" xfId="7084" xr:uid="{00000000-0005-0000-0000-0000AE1A0000}"/>
    <cellStyle name="40% - akcent 4 2 14 3" xfId="7085" xr:uid="{00000000-0005-0000-0000-0000AF1A0000}"/>
    <cellStyle name="40% - akcent 4 2 14 4" xfId="7086" xr:uid="{00000000-0005-0000-0000-0000B01A0000}"/>
    <cellStyle name="40% - akcent 4 2 14 5" xfId="7087" xr:uid="{00000000-0005-0000-0000-0000B11A0000}"/>
    <cellStyle name="40% - akcent 4 2 14 6" xfId="7088" xr:uid="{00000000-0005-0000-0000-0000B21A0000}"/>
    <cellStyle name="40% - akcent 4 2 14 7" xfId="7089" xr:uid="{00000000-0005-0000-0000-0000B31A0000}"/>
    <cellStyle name="40% - akcent 4 2 14 7 2" xfId="7090" xr:uid="{00000000-0005-0000-0000-0000B41A0000}"/>
    <cellStyle name="40% - akcent 4 2 14 7 3" xfId="7091" xr:uid="{00000000-0005-0000-0000-0000B51A0000}"/>
    <cellStyle name="40% - akcent 4 2 14 7 4" xfId="7092" xr:uid="{00000000-0005-0000-0000-0000B61A0000}"/>
    <cellStyle name="40% - akcent 4 2 14 7 5" xfId="7093" xr:uid="{00000000-0005-0000-0000-0000B71A0000}"/>
    <cellStyle name="40% - akcent 4 2 14 7 6" xfId="7094" xr:uid="{00000000-0005-0000-0000-0000B81A0000}"/>
    <cellStyle name="40% - akcent 4 2 14 8" xfId="7095" xr:uid="{00000000-0005-0000-0000-0000B91A0000}"/>
    <cellStyle name="40% - akcent 4 2 14 9" xfId="7096" xr:uid="{00000000-0005-0000-0000-0000BA1A0000}"/>
    <cellStyle name="40% - akcent 4 2 15" xfId="7097" xr:uid="{00000000-0005-0000-0000-0000BB1A0000}"/>
    <cellStyle name="40% - akcent 4 2 15 2" xfId="7098" xr:uid="{00000000-0005-0000-0000-0000BC1A0000}"/>
    <cellStyle name="40% - akcent 4 2 15 2 2" xfId="7099" xr:uid="{00000000-0005-0000-0000-0000BD1A0000}"/>
    <cellStyle name="40% - akcent 4 2 15 2 3" xfId="7100" xr:uid="{00000000-0005-0000-0000-0000BE1A0000}"/>
    <cellStyle name="40% - akcent 4 2 15 2 4" xfId="7101" xr:uid="{00000000-0005-0000-0000-0000BF1A0000}"/>
    <cellStyle name="40% - akcent 4 2 15 2 5" xfId="7102" xr:uid="{00000000-0005-0000-0000-0000C01A0000}"/>
    <cellStyle name="40% - akcent 4 2 15 2 6" xfId="7103" xr:uid="{00000000-0005-0000-0000-0000C11A0000}"/>
    <cellStyle name="40% - akcent 4 2 15 3" xfId="7104" xr:uid="{00000000-0005-0000-0000-0000C21A0000}"/>
    <cellStyle name="40% - akcent 4 2 15 4" xfId="7105" xr:uid="{00000000-0005-0000-0000-0000C31A0000}"/>
    <cellStyle name="40% - akcent 4 2 15 5" xfId="7106" xr:uid="{00000000-0005-0000-0000-0000C41A0000}"/>
    <cellStyle name="40% - akcent 4 2 15 6" xfId="7107" xr:uid="{00000000-0005-0000-0000-0000C51A0000}"/>
    <cellStyle name="40% - akcent 4 2 15 7" xfId="7108" xr:uid="{00000000-0005-0000-0000-0000C61A0000}"/>
    <cellStyle name="40% - akcent 4 2 16" xfId="7109" xr:uid="{00000000-0005-0000-0000-0000C71A0000}"/>
    <cellStyle name="40% - akcent 4 2 17" xfId="7110" xr:uid="{00000000-0005-0000-0000-0000C81A0000}"/>
    <cellStyle name="40% - akcent 4 2 18" xfId="7111" xr:uid="{00000000-0005-0000-0000-0000C91A0000}"/>
    <cellStyle name="40% - akcent 4 2 19" xfId="7112" xr:uid="{00000000-0005-0000-0000-0000CA1A0000}"/>
    <cellStyle name="40% - akcent 4 2 2" xfId="124" xr:uid="{00000000-0005-0000-0000-0000CB1A0000}"/>
    <cellStyle name="40% - akcent 4 2 2 10" xfId="7114" xr:uid="{00000000-0005-0000-0000-0000CC1A0000}"/>
    <cellStyle name="40% - akcent 4 2 2 10 10" xfId="7115" xr:uid="{00000000-0005-0000-0000-0000CD1A0000}"/>
    <cellStyle name="40% - akcent 4 2 2 10 11" xfId="7116" xr:uid="{00000000-0005-0000-0000-0000CE1A0000}"/>
    <cellStyle name="40% - akcent 4 2 2 10 12" xfId="7117" xr:uid="{00000000-0005-0000-0000-0000CF1A0000}"/>
    <cellStyle name="40% - akcent 4 2 2 10 2" xfId="7118" xr:uid="{00000000-0005-0000-0000-0000D01A0000}"/>
    <cellStyle name="40% - akcent 4 2 2 10 2 10" xfId="7119" xr:uid="{00000000-0005-0000-0000-0000D11A0000}"/>
    <cellStyle name="40% - akcent 4 2 2 10 2 11" xfId="7120" xr:uid="{00000000-0005-0000-0000-0000D21A0000}"/>
    <cellStyle name="40% - akcent 4 2 2 10 2 2" xfId="7121" xr:uid="{00000000-0005-0000-0000-0000D31A0000}"/>
    <cellStyle name="40% - akcent 4 2 2 10 2 2 10" xfId="7122" xr:uid="{00000000-0005-0000-0000-0000D41A0000}"/>
    <cellStyle name="40% - akcent 4 2 2 10 2 2 11" xfId="7123" xr:uid="{00000000-0005-0000-0000-0000D51A0000}"/>
    <cellStyle name="40% - akcent 4 2 2 10 2 2 2" xfId="7124" xr:uid="{00000000-0005-0000-0000-0000D61A0000}"/>
    <cellStyle name="40% - akcent 4 2 2 10 2 2 2 2" xfId="7125" xr:uid="{00000000-0005-0000-0000-0000D71A0000}"/>
    <cellStyle name="40% - akcent 4 2 2 10 2 2 2 2 2" xfId="7126" xr:uid="{00000000-0005-0000-0000-0000D81A0000}"/>
    <cellStyle name="40% - akcent 4 2 2 10 2 2 2 2 3" xfId="7127" xr:uid="{00000000-0005-0000-0000-0000D91A0000}"/>
    <cellStyle name="40% - akcent 4 2 2 10 2 2 2 2 4" xfId="7128" xr:uid="{00000000-0005-0000-0000-0000DA1A0000}"/>
    <cellStyle name="40% - akcent 4 2 2 10 2 2 2 2 5" xfId="7129" xr:uid="{00000000-0005-0000-0000-0000DB1A0000}"/>
    <cellStyle name="40% - akcent 4 2 2 10 2 2 2 2 6" xfId="7130" xr:uid="{00000000-0005-0000-0000-0000DC1A0000}"/>
    <cellStyle name="40% - akcent 4 2 2 10 2 2 2 3" xfId="7131" xr:uid="{00000000-0005-0000-0000-0000DD1A0000}"/>
    <cellStyle name="40% - akcent 4 2 2 10 2 2 2 4" xfId="7132" xr:uid="{00000000-0005-0000-0000-0000DE1A0000}"/>
    <cellStyle name="40% - akcent 4 2 2 10 2 2 2 5" xfId="7133" xr:uid="{00000000-0005-0000-0000-0000DF1A0000}"/>
    <cellStyle name="40% - akcent 4 2 2 10 2 2 2 6" xfId="7134" xr:uid="{00000000-0005-0000-0000-0000E01A0000}"/>
    <cellStyle name="40% - akcent 4 2 2 10 2 2 2 7" xfId="7135" xr:uid="{00000000-0005-0000-0000-0000E11A0000}"/>
    <cellStyle name="40% - akcent 4 2 2 10 2 2 3" xfId="7136" xr:uid="{00000000-0005-0000-0000-0000E21A0000}"/>
    <cellStyle name="40% - akcent 4 2 2 10 2 2 4" xfId="7137" xr:uid="{00000000-0005-0000-0000-0000E31A0000}"/>
    <cellStyle name="40% - akcent 4 2 2 10 2 2 5" xfId="7138" xr:uid="{00000000-0005-0000-0000-0000E41A0000}"/>
    <cellStyle name="40% - akcent 4 2 2 10 2 2 6" xfId="7139" xr:uid="{00000000-0005-0000-0000-0000E51A0000}"/>
    <cellStyle name="40% - akcent 4 2 2 10 2 2 7" xfId="7140" xr:uid="{00000000-0005-0000-0000-0000E61A0000}"/>
    <cellStyle name="40% - akcent 4 2 2 10 2 2 7 2" xfId="7141" xr:uid="{00000000-0005-0000-0000-0000E71A0000}"/>
    <cellStyle name="40% - akcent 4 2 2 10 2 2 7 3" xfId="7142" xr:uid="{00000000-0005-0000-0000-0000E81A0000}"/>
    <cellStyle name="40% - akcent 4 2 2 10 2 2 7 4" xfId="7143" xr:uid="{00000000-0005-0000-0000-0000E91A0000}"/>
    <cellStyle name="40% - akcent 4 2 2 10 2 2 7 5" xfId="7144" xr:uid="{00000000-0005-0000-0000-0000EA1A0000}"/>
    <cellStyle name="40% - akcent 4 2 2 10 2 2 7 6" xfId="7145" xr:uid="{00000000-0005-0000-0000-0000EB1A0000}"/>
    <cellStyle name="40% - akcent 4 2 2 10 2 2 8" xfId="7146" xr:uid="{00000000-0005-0000-0000-0000EC1A0000}"/>
    <cellStyle name="40% - akcent 4 2 2 10 2 2 9" xfId="7147" xr:uid="{00000000-0005-0000-0000-0000ED1A0000}"/>
    <cellStyle name="40% - akcent 4 2 2 10 2 3" xfId="7148" xr:uid="{00000000-0005-0000-0000-0000EE1A0000}"/>
    <cellStyle name="40% - akcent 4 2 2 10 2 3 2" xfId="7149" xr:uid="{00000000-0005-0000-0000-0000EF1A0000}"/>
    <cellStyle name="40% - akcent 4 2 2 10 2 3 2 2" xfId="7150" xr:uid="{00000000-0005-0000-0000-0000F01A0000}"/>
    <cellStyle name="40% - akcent 4 2 2 10 2 3 2 3" xfId="7151" xr:uid="{00000000-0005-0000-0000-0000F11A0000}"/>
    <cellStyle name="40% - akcent 4 2 2 10 2 3 2 4" xfId="7152" xr:uid="{00000000-0005-0000-0000-0000F21A0000}"/>
    <cellStyle name="40% - akcent 4 2 2 10 2 3 2 5" xfId="7153" xr:uid="{00000000-0005-0000-0000-0000F31A0000}"/>
    <cellStyle name="40% - akcent 4 2 2 10 2 3 2 6" xfId="7154" xr:uid="{00000000-0005-0000-0000-0000F41A0000}"/>
    <cellStyle name="40% - akcent 4 2 2 10 2 3 3" xfId="7155" xr:uid="{00000000-0005-0000-0000-0000F51A0000}"/>
    <cellStyle name="40% - akcent 4 2 2 10 2 3 4" xfId="7156" xr:uid="{00000000-0005-0000-0000-0000F61A0000}"/>
    <cellStyle name="40% - akcent 4 2 2 10 2 3 5" xfId="7157" xr:uid="{00000000-0005-0000-0000-0000F71A0000}"/>
    <cellStyle name="40% - akcent 4 2 2 10 2 3 6" xfId="7158" xr:uid="{00000000-0005-0000-0000-0000F81A0000}"/>
    <cellStyle name="40% - akcent 4 2 2 10 2 3 7" xfId="7159" xr:uid="{00000000-0005-0000-0000-0000F91A0000}"/>
    <cellStyle name="40% - akcent 4 2 2 10 2 4" xfId="7160" xr:uid="{00000000-0005-0000-0000-0000FA1A0000}"/>
    <cellStyle name="40% - akcent 4 2 2 10 2 5" xfId="7161" xr:uid="{00000000-0005-0000-0000-0000FB1A0000}"/>
    <cellStyle name="40% - akcent 4 2 2 10 2 6" xfId="7162" xr:uid="{00000000-0005-0000-0000-0000FC1A0000}"/>
    <cellStyle name="40% - akcent 4 2 2 10 2 7" xfId="7163" xr:uid="{00000000-0005-0000-0000-0000FD1A0000}"/>
    <cellStyle name="40% - akcent 4 2 2 10 2 7 2" xfId="7164" xr:uid="{00000000-0005-0000-0000-0000FE1A0000}"/>
    <cellStyle name="40% - akcent 4 2 2 10 2 7 3" xfId="7165" xr:uid="{00000000-0005-0000-0000-0000FF1A0000}"/>
    <cellStyle name="40% - akcent 4 2 2 10 2 7 4" xfId="7166" xr:uid="{00000000-0005-0000-0000-0000001B0000}"/>
    <cellStyle name="40% - akcent 4 2 2 10 2 7 5" xfId="7167" xr:uid="{00000000-0005-0000-0000-0000011B0000}"/>
    <cellStyle name="40% - akcent 4 2 2 10 2 7 6" xfId="7168" xr:uid="{00000000-0005-0000-0000-0000021B0000}"/>
    <cellStyle name="40% - akcent 4 2 2 10 2 8" xfId="7169" xr:uid="{00000000-0005-0000-0000-0000031B0000}"/>
    <cellStyle name="40% - akcent 4 2 2 10 2 9" xfId="7170" xr:uid="{00000000-0005-0000-0000-0000041B0000}"/>
    <cellStyle name="40% - akcent 4 2 2 10 3" xfId="7171" xr:uid="{00000000-0005-0000-0000-0000051B0000}"/>
    <cellStyle name="40% - akcent 4 2 2 10 3 2" xfId="7172" xr:uid="{00000000-0005-0000-0000-0000061B0000}"/>
    <cellStyle name="40% - akcent 4 2 2 10 3 2 2" xfId="7173" xr:uid="{00000000-0005-0000-0000-0000071B0000}"/>
    <cellStyle name="40% - akcent 4 2 2 10 3 2 3" xfId="7174" xr:uid="{00000000-0005-0000-0000-0000081B0000}"/>
    <cellStyle name="40% - akcent 4 2 2 10 3 2 4" xfId="7175" xr:uid="{00000000-0005-0000-0000-0000091B0000}"/>
    <cellStyle name="40% - akcent 4 2 2 10 3 2 5" xfId="7176" xr:uid="{00000000-0005-0000-0000-00000A1B0000}"/>
    <cellStyle name="40% - akcent 4 2 2 10 3 2 6" xfId="7177" xr:uid="{00000000-0005-0000-0000-00000B1B0000}"/>
    <cellStyle name="40% - akcent 4 2 2 10 3 3" xfId="7178" xr:uid="{00000000-0005-0000-0000-00000C1B0000}"/>
    <cellStyle name="40% - akcent 4 2 2 10 3 4" xfId="7179" xr:uid="{00000000-0005-0000-0000-00000D1B0000}"/>
    <cellStyle name="40% - akcent 4 2 2 10 3 5" xfId="7180" xr:uid="{00000000-0005-0000-0000-00000E1B0000}"/>
    <cellStyle name="40% - akcent 4 2 2 10 3 6" xfId="7181" xr:uid="{00000000-0005-0000-0000-00000F1B0000}"/>
    <cellStyle name="40% - akcent 4 2 2 10 3 7" xfId="7182" xr:uid="{00000000-0005-0000-0000-0000101B0000}"/>
    <cellStyle name="40% - akcent 4 2 2 10 4" xfId="7183" xr:uid="{00000000-0005-0000-0000-0000111B0000}"/>
    <cellStyle name="40% - akcent 4 2 2 10 5" xfId="7184" xr:uid="{00000000-0005-0000-0000-0000121B0000}"/>
    <cellStyle name="40% - akcent 4 2 2 10 6" xfId="7185" xr:uid="{00000000-0005-0000-0000-0000131B0000}"/>
    <cellStyle name="40% - akcent 4 2 2 10 7" xfId="7186" xr:uid="{00000000-0005-0000-0000-0000141B0000}"/>
    <cellStyle name="40% - akcent 4 2 2 10 8" xfId="7187" xr:uid="{00000000-0005-0000-0000-0000151B0000}"/>
    <cellStyle name="40% - akcent 4 2 2 10 8 2" xfId="7188" xr:uid="{00000000-0005-0000-0000-0000161B0000}"/>
    <cellStyle name="40% - akcent 4 2 2 10 8 3" xfId="7189" xr:uid="{00000000-0005-0000-0000-0000171B0000}"/>
    <cellStyle name="40% - akcent 4 2 2 10 8 4" xfId="7190" xr:uid="{00000000-0005-0000-0000-0000181B0000}"/>
    <cellStyle name="40% - akcent 4 2 2 10 8 5" xfId="7191" xr:uid="{00000000-0005-0000-0000-0000191B0000}"/>
    <cellStyle name="40% - akcent 4 2 2 10 8 6" xfId="7192" xr:uid="{00000000-0005-0000-0000-00001A1B0000}"/>
    <cellStyle name="40% - akcent 4 2 2 10 9" xfId="7193" xr:uid="{00000000-0005-0000-0000-00001B1B0000}"/>
    <cellStyle name="40% - akcent 4 2 2 11" xfId="7194" xr:uid="{00000000-0005-0000-0000-00001C1B0000}"/>
    <cellStyle name="40% - akcent 4 2 2 11 10" xfId="7195" xr:uid="{00000000-0005-0000-0000-00001D1B0000}"/>
    <cellStyle name="40% - akcent 4 2 2 11 11" xfId="7196" xr:uid="{00000000-0005-0000-0000-00001E1B0000}"/>
    <cellStyle name="40% - akcent 4 2 2 11 2" xfId="7197" xr:uid="{00000000-0005-0000-0000-00001F1B0000}"/>
    <cellStyle name="40% - akcent 4 2 2 11 2 2" xfId="7198" xr:uid="{00000000-0005-0000-0000-0000201B0000}"/>
    <cellStyle name="40% - akcent 4 2 2 11 2 2 2" xfId="7199" xr:uid="{00000000-0005-0000-0000-0000211B0000}"/>
    <cellStyle name="40% - akcent 4 2 2 11 2 2 3" xfId="7200" xr:uid="{00000000-0005-0000-0000-0000221B0000}"/>
    <cellStyle name="40% - akcent 4 2 2 11 2 2 4" xfId="7201" xr:uid="{00000000-0005-0000-0000-0000231B0000}"/>
    <cellStyle name="40% - akcent 4 2 2 11 2 2 5" xfId="7202" xr:uid="{00000000-0005-0000-0000-0000241B0000}"/>
    <cellStyle name="40% - akcent 4 2 2 11 2 2 6" xfId="7203" xr:uid="{00000000-0005-0000-0000-0000251B0000}"/>
    <cellStyle name="40% - akcent 4 2 2 11 2 3" xfId="7204" xr:uid="{00000000-0005-0000-0000-0000261B0000}"/>
    <cellStyle name="40% - akcent 4 2 2 11 2 4" xfId="7205" xr:uid="{00000000-0005-0000-0000-0000271B0000}"/>
    <cellStyle name="40% - akcent 4 2 2 11 2 5" xfId="7206" xr:uid="{00000000-0005-0000-0000-0000281B0000}"/>
    <cellStyle name="40% - akcent 4 2 2 11 2 6" xfId="7207" xr:uid="{00000000-0005-0000-0000-0000291B0000}"/>
    <cellStyle name="40% - akcent 4 2 2 11 2 7" xfId="7208" xr:uid="{00000000-0005-0000-0000-00002A1B0000}"/>
    <cellStyle name="40% - akcent 4 2 2 11 3" xfId="7209" xr:uid="{00000000-0005-0000-0000-00002B1B0000}"/>
    <cellStyle name="40% - akcent 4 2 2 11 4" xfId="7210" xr:uid="{00000000-0005-0000-0000-00002C1B0000}"/>
    <cellStyle name="40% - akcent 4 2 2 11 5" xfId="7211" xr:uid="{00000000-0005-0000-0000-00002D1B0000}"/>
    <cellStyle name="40% - akcent 4 2 2 11 6" xfId="7212" xr:uid="{00000000-0005-0000-0000-00002E1B0000}"/>
    <cellStyle name="40% - akcent 4 2 2 11 7" xfId="7213" xr:uid="{00000000-0005-0000-0000-00002F1B0000}"/>
    <cellStyle name="40% - akcent 4 2 2 11 7 2" xfId="7214" xr:uid="{00000000-0005-0000-0000-0000301B0000}"/>
    <cellStyle name="40% - akcent 4 2 2 11 7 3" xfId="7215" xr:uid="{00000000-0005-0000-0000-0000311B0000}"/>
    <cellStyle name="40% - akcent 4 2 2 11 7 4" xfId="7216" xr:uid="{00000000-0005-0000-0000-0000321B0000}"/>
    <cellStyle name="40% - akcent 4 2 2 11 7 5" xfId="7217" xr:uid="{00000000-0005-0000-0000-0000331B0000}"/>
    <cellStyle name="40% - akcent 4 2 2 11 7 6" xfId="7218" xr:uid="{00000000-0005-0000-0000-0000341B0000}"/>
    <cellStyle name="40% - akcent 4 2 2 11 8" xfId="7219" xr:uid="{00000000-0005-0000-0000-0000351B0000}"/>
    <cellStyle name="40% - akcent 4 2 2 11 9" xfId="7220" xr:uid="{00000000-0005-0000-0000-0000361B0000}"/>
    <cellStyle name="40% - akcent 4 2 2 12" xfId="7221" xr:uid="{00000000-0005-0000-0000-0000371B0000}"/>
    <cellStyle name="40% - akcent 4 2 2 12 2" xfId="7222" xr:uid="{00000000-0005-0000-0000-0000381B0000}"/>
    <cellStyle name="40% - akcent 4 2 2 12 2 2" xfId="7223" xr:uid="{00000000-0005-0000-0000-0000391B0000}"/>
    <cellStyle name="40% - akcent 4 2 2 12 2 3" xfId="7224" xr:uid="{00000000-0005-0000-0000-00003A1B0000}"/>
    <cellStyle name="40% - akcent 4 2 2 12 2 4" xfId="7225" xr:uid="{00000000-0005-0000-0000-00003B1B0000}"/>
    <cellStyle name="40% - akcent 4 2 2 12 2 5" xfId="7226" xr:uid="{00000000-0005-0000-0000-00003C1B0000}"/>
    <cellStyle name="40% - akcent 4 2 2 12 2 6" xfId="7227" xr:uid="{00000000-0005-0000-0000-00003D1B0000}"/>
    <cellStyle name="40% - akcent 4 2 2 12 3" xfId="7228" xr:uid="{00000000-0005-0000-0000-00003E1B0000}"/>
    <cellStyle name="40% - akcent 4 2 2 12 4" xfId="7229" xr:uid="{00000000-0005-0000-0000-00003F1B0000}"/>
    <cellStyle name="40% - akcent 4 2 2 12 5" xfId="7230" xr:uid="{00000000-0005-0000-0000-0000401B0000}"/>
    <cellStyle name="40% - akcent 4 2 2 12 6" xfId="7231" xr:uid="{00000000-0005-0000-0000-0000411B0000}"/>
    <cellStyle name="40% - akcent 4 2 2 12 7" xfId="7232" xr:uid="{00000000-0005-0000-0000-0000421B0000}"/>
    <cellStyle name="40% - akcent 4 2 2 13" xfId="7233" xr:uid="{00000000-0005-0000-0000-0000431B0000}"/>
    <cellStyle name="40% - akcent 4 2 2 14" xfId="7234" xr:uid="{00000000-0005-0000-0000-0000441B0000}"/>
    <cellStyle name="40% - akcent 4 2 2 15" xfId="7235" xr:uid="{00000000-0005-0000-0000-0000451B0000}"/>
    <cellStyle name="40% - akcent 4 2 2 16" xfId="7236" xr:uid="{00000000-0005-0000-0000-0000461B0000}"/>
    <cellStyle name="40% - akcent 4 2 2 17" xfId="7237" xr:uid="{00000000-0005-0000-0000-0000471B0000}"/>
    <cellStyle name="40% - akcent 4 2 2 18" xfId="7238" xr:uid="{00000000-0005-0000-0000-0000481B0000}"/>
    <cellStyle name="40% - akcent 4 2 2 18 2" xfId="7239" xr:uid="{00000000-0005-0000-0000-0000491B0000}"/>
    <cellStyle name="40% - akcent 4 2 2 18 3" xfId="7240" xr:uid="{00000000-0005-0000-0000-00004A1B0000}"/>
    <cellStyle name="40% - akcent 4 2 2 18 4" xfId="7241" xr:uid="{00000000-0005-0000-0000-00004B1B0000}"/>
    <cellStyle name="40% - akcent 4 2 2 18 5" xfId="7242" xr:uid="{00000000-0005-0000-0000-00004C1B0000}"/>
    <cellStyle name="40% - akcent 4 2 2 18 6" xfId="7243" xr:uid="{00000000-0005-0000-0000-00004D1B0000}"/>
    <cellStyle name="40% - akcent 4 2 2 19" xfId="7244" xr:uid="{00000000-0005-0000-0000-00004E1B0000}"/>
    <cellStyle name="40% - akcent 4 2 2 2" xfId="7245" xr:uid="{00000000-0005-0000-0000-00004F1B0000}"/>
    <cellStyle name="40% - akcent 4 2 2 2 10" xfId="7246" xr:uid="{00000000-0005-0000-0000-0000501B0000}"/>
    <cellStyle name="40% - akcent 4 2 2 2 11" xfId="7247" xr:uid="{00000000-0005-0000-0000-0000511B0000}"/>
    <cellStyle name="40% - akcent 4 2 2 2 2" xfId="7248" xr:uid="{00000000-0005-0000-0000-0000521B0000}"/>
    <cellStyle name="40% - akcent 4 2 2 2 2 10" xfId="7249" xr:uid="{00000000-0005-0000-0000-0000531B0000}"/>
    <cellStyle name="40% - akcent 4 2 2 2 2 2" xfId="7250" xr:uid="{00000000-0005-0000-0000-0000541B0000}"/>
    <cellStyle name="40% - akcent 4 2 2 2 2 2 2" xfId="7251" xr:uid="{00000000-0005-0000-0000-0000551B0000}"/>
    <cellStyle name="40% - akcent 4 2 2 2 2 2 2 2" xfId="7252" xr:uid="{00000000-0005-0000-0000-0000561B0000}"/>
    <cellStyle name="40% - akcent 4 2 2 2 2 2 2 2 2" xfId="7253" xr:uid="{00000000-0005-0000-0000-0000571B0000}"/>
    <cellStyle name="40% - akcent 4 2 2 2 2 2 2 2 2 2" xfId="7254" xr:uid="{00000000-0005-0000-0000-0000581B0000}"/>
    <cellStyle name="40% - akcent 4 2 2 2 2 2 2 2 2 3" xfId="7255" xr:uid="{00000000-0005-0000-0000-0000591B0000}"/>
    <cellStyle name="40% - akcent 4 2 2 2 2 2 2 2 2 4" xfId="7256" xr:uid="{00000000-0005-0000-0000-00005A1B0000}"/>
    <cellStyle name="40% - akcent 4 2 2 2 2 2 2 2 3" xfId="7257" xr:uid="{00000000-0005-0000-0000-00005B1B0000}"/>
    <cellStyle name="40% - akcent 4 2 2 2 2 2 2 2 4" xfId="7258" xr:uid="{00000000-0005-0000-0000-00005C1B0000}"/>
    <cellStyle name="40% - akcent 4 2 2 2 2 2 2 2 5" xfId="7259" xr:uid="{00000000-0005-0000-0000-00005D1B0000}"/>
    <cellStyle name="40% - akcent 4 2 2 2 2 2 2 3" xfId="7260" xr:uid="{00000000-0005-0000-0000-00005E1B0000}"/>
    <cellStyle name="40% - akcent 4 2 2 2 2 2 2 4" xfId="7261" xr:uid="{00000000-0005-0000-0000-00005F1B0000}"/>
    <cellStyle name="40% - akcent 4 2 2 2 2 2 2 5" xfId="7262" xr:uid="{00000000-0005-0000-0000-0000601B0000}"/>
    <cellStyle name="40% - akcent 4 2 2 2 2 2 2 6" xfId="7263" xr:uid="{00000000-0005-0000-0000-0000611B0000}"/>
    <cellStyle name="40% - akcent 4 2 2 2 2 2 2 7" xfId="7264" xr:uid="{00000000-0005-0000-0000-0000621B0000}"/>
    <cellStyle name="40% - akcent 4 2 2 2 2 2 2 7 2" xfId="7265" xr:uid="{00000000-0005-0000-0000-0000631B0000}"/>
    <cellStyle name="40% - akcent 4 2 2 2 2 2 2 7 3" xfId="7266" xr:uid="{00000000-0005-0000-0000-0000641B0000}"/>
    <cellStyle name="40% - akcent 4 2 2 2 2 2 2 7 4" xfId="7267" xr:uid="{00000000-0005-0000-0000-0000651B0000}"/>
    <cellStyle name="40% - akcent 4 2 2 2 2 2 2 7 5" xfId="7268" xr:uid="{00000000-0005-0000-0000-0000661B0000}"/>
    <cellStyle name="40% - akcent 4 2 2 2 2 2 2 7 6" xfId="7269" xr:uid="{00000000-0005-0000-0000-0000671B0000}"/>
    <cellStyle name="40% - akcent 4 2 2 2 2 2 2 8" xfId="7270" xr:uid="{00000000-0005-0000-0000-0000681B0000}"/>
    <cellStyle name="40% - akcent 4 2 2 2 2 2 2 9" xfId="7271" xr:uid="{00000000-0005-0000-0000-0000691B0000}"/>
    <cellStyle name="40% - akcent 4 2 2 2 2 2 3" xfId="7272" xr:uid="{00000000-0005-0000-0000-00006A1B0000}"/>
    <cellStyle name="40% - akcent 4 2 2 2 2 2 3 2" xfId="7273" xr:uid="{00000000-0005-0000-0000-00006B1B0000}"/>
    <cellStyle name="40% - akcent 4 2 2 2 2 2 3 2 2" xfId="7274" xr:uid="{00000000-0005-0000-0000-00006C1B0000}"/>
    <cellStyle name="40% - akcent 4 2 2 2 2 2 3 2 3" xfId="7275" xr:uid="{00000000-0005-0000-0000-00006D1B0000}"/>
    <cellStyle name="40% - akcent 4 2 2 2 2 2 3 2 4" xfId="7276" xr:uid="{00000000-0005-0000-0000-00006E1B0000}"/>
    <cellStyle name="40% - akcent 4 2 2 2 2 2 3 2 5" xfId="7277" xr:uid="{00000000-0005-0000-0000-00006F1B0000}"/>
    <cellStyle name="40% - akcent 4 2 2 2 2 2 3 2 6" xfId="7278" xr:uid="{00000000-0005-0000-0000-0000701B0000}"/>
    <cellStyle name="40% - akcent 4 2 2 2 2 2 3 3" xfId="7279" xr:uid="{00000000-0005-0000-0000-0000711B0000}"/>
    <cellStyle name="40% - akcent 4 2 2 2 2 2 3 4" xfId="7280" xr:uid="{00000000-0005-0000-0000-0000721B0000}"/>
    <cellStyle name="40% - akcent 4 2 2 2 2 2 3 5" xfId="7281" xr:uid="{00000000-0005-0000-0000-0000731B0000}"/>
    <cellStyle name="40% - akcent 4 2 2 2 2 2 3 6" xfId="7282" xr:uid="{00000000-0005-0000-0000-0000741B0000}"/>
    <cellStyle name="40% - akcent 4 2 2 2 2 2 3 7" xfId="7283" xr:uid="{00000000-0005-0000-0000-0000751B0000}"/>
    <cellStyle name="40% - akcent 4 2 2 2 2 2 4" xfId="7284" xr:uid="{00000000-0005-0000-0000-0000761B0000}"/>
    <cellStyle name="40% - akcent 4 2 2 2 2 2 5" xfId="7285" xr:uid="{00000000-0005-0000-0000-0000771B0000}"/>
    <cellStyle name="40% - akcent 4 2 2 2 2 2 6" xfId="7286" xr:uid="{00000000-0005-0000-0000-0000781B0000}"/>
    <cellStyle name="40% - akcent 4 2 2 2 2 2 7" xfId="7287" xr:uid="{00000000-0005-0000-0000-0000791B0000}"/>
    <cellStyle name="40% - akcent 4 2 2 2 2 2 7 2" xfId="7288" xr:uid="{00000000-0005-0000-0000-00007A1B0000}"/>
    <cellStyle name="40% - akcent 4 2 2 2 2 2 7 3" xfId="7289" xr:uid="{00000000-0005-0000-0000-00007B1B0000}"/>
    <cellStyle name="40% - akcent 4 2 2 2 2 2 7 4" xfId="7290" xr:uid="{00000000-0005-0000-0000-00007C1B0000}"/>
    <cellStyle name="40% - akcent 4 2 2 2 2 2 7 5" xfId="7291" xr:uid="{00000000-0005-0000-0000-00007D1B0000}"/>
    <cellStyle name="40% - akcent 4 2 2 2 2 2 7 6" xfId="7292" xr:uid="{00000000-0005-0000-0000-00007E1B0000}"/>
    <cellStyle name="40% - akcent 4 2 2 2 2 2 8" xfId="7293" xr:uid="{00000000-0005-0000-0000-00007F1B0000}"/>
    <cellStyle name="40% - akcent 4 2 2 2 2 2 9" xfId="7294" xr:uid="{00000000-0005-0000-0000-0000801B0000}"/>
    <cellStyle name="40% - akcent 4 2 2 2 2 3" xfId="7295" xr:uid="{00000000-0005-0000-0000-0000811B0000}"/>
    <cellStyle name="40% - akcent 4 2 2 2 2 3 2" xfId="7296" xr:uid="{00000000-0005-0000-0000-0000821B0000}"/>
    <cellStyle name="40% - akcent 4 2 2 2 2 3 2 2" xfId="7297" xr:uid="{00000000-0005-0000-0000-0000831B0000}"/>
    <cellStyle name="40% - akcent 4 2 2 2 2 3 2 3" xfId="7298" xr:uid="{00000000-0005-0000-0000-0000841B0000}"/>
    <cellStyle name="40% - akcent 4 2 2 2 2 3 2 4" xfId="7299" xr:uid="{00000000-0005-0000-0000-0000851B0000}"/>
    <cellStyle name="40% - akcent 4 2 2 2 2 3 2 5" xfId="7300" xr:uid="{00000000-0005-0000-0000-0000861B0000}"/>
    <cellStyle name="40% - akcent 4 2 2 2 2 3 2 6" xfId="7301" xr:uid="{00000000-0005-0000-0000-0000871B0000}"/>
    <cellStyle name="40% - akcent 4 2 2 2 2 3 3" xfId="7302" xr:uid="{00000000-0005-0000-0000-0000881B0000}"/>
    <cellStyle name="40% - akcent 4 2 2 2 2 3 4" xfId="7303" xr:uid="{00000000-0005-0000-0000-0000891B0000}"/>
    <cellStyle name="40% - akcent 4 2 2 2 2 3 5" xfId="7304" xr:uid="{00000000-0005-0000-0000-00008A1B0000}"/>
    <cellStyle name="40% - akcent 4 2 2 2 2 3 6" xfId="7305" xr:uid="{00000000-0005-0000-0000-00008B1B0000}"/>
    <cellStyle name="40% - akcent 4 2 2 2 2 3 7" xfId="7306" xr:uid="{00000000-0005-0000-0000-00008C1B0000}"/>
    <cellStyle name="40% - akcent 4 2 2 2 2 4" xfId="7307" xr:uid="{00000000-0005-0000-0000-00008D1B0000}"/>
    <cellStyle name="40% - akcent 4 2 2 2 2 5" xfId="7308" xr:uid="{00000000-0005-0000-0000-00008E1B0000}"/>
    <cellStyle name="40% - akcent 4 2 2 2 2 6" xfId="7309" xr:uid="{00000000-0005-0000-0000-00008F1B0000}"/>
    <cellStyle name="40% - akcent 4 2 2 2 2 7" xfId="7310" xr:uid="{00000000-0005-0000-0000-0000901B0000}"/>
    <cellStyle name="40% - akcent 4 2 2 2 2 8" xfId="7311" xr:uid="{00000000-0005-0000-0000-0000911B0000}"/>
    <cellStyle name="40% - akcent 4 2 2 2 2 8 2" xfId="7312" xr:uid="{00000000-0005-0000-0000-0000921B0000}"/>
    <cellStyle name="40% - akcent 4 2 2 2 2 8 3" xfId="7313" xr:uid="{00000000-0005-0000-0000-0000931B0000}"/>
    <cellStyle name="40% - akcent 4 2 2 2 2 8 4" xfId="7314" xr:uid="{00000000-0005-0000-0000-0000941B0000}"/>
    <cellStyle name="40% - akcent 4 2 2 2 2 8 5" xfId="7315" xr:uid="{00000000-0005-0000-0000-0000951B0000}"/>
    <cellStyle name="40% - akcent 4 2 2 2 2 8 6" xfId="7316" xr:uid="{00000000-0005-0000-0000-0000961B0000}"/>
    <cellStyle name="40% - akcent 4 2 2 2 2 9" xfId="7317" xr:uid="{00000000-0005-0000-0000-0000971B0000}"/>
    <cellStyle name="40% - akcent 4 2 2 2 3" xfId="7318" xr:uid="{00000000-0005-0000-0000-0000981B0000}"/>
    <cellStyle name="40% - akcent 4 2 2 2 4" xfId="7319" xr:uid="{00000000-0005-0000-0000-0000991B0000}"/>
    <cellStyle name="40% - akcent 4 2 2 2 4 10" xfId="7320" xr:uid="{00000000-0005-0000-0000-00009A1B0000}"/>
    <cellStyle name="40% - akcent 4 2 2 2 4 11" xfId="7321" xr:uid="{00000000-0005-0000-0000-00009B1B0000}"/>
    <cellStyle name="40% - akcent 4 2 2 2 4 2" xfId="7322" xr:uid="{00000000-0005-0000-0000-00009C1B0000}"/>
    <cellStyle name="40% - akcent 4 2 2 2 4 2 2" xfId="7323" xr:uid="{00000000-0005-0000-0000-00009D1B0000}"/>
    <cellStyle name="40% - akcent 4 2 2 2 4 2 2 2" xfId="7324" xr:uid="{00000000-0005-0000-0000-00009E1B0000}"/>
    <cellStyle name="40% - akcent 4 2 2 2 4 2 2 3" xfId="7325" xr:uid="{00000000-0005-0000-0000-00009F1B0000}"/>
    <cellStyle name="40% - akcent 4 2 2 2 4 2 2 4" xfId="7326" xr:uid="{00000000-0005-0000-0000-0000A01B0000}"/>
    <cellStyle name="40% - akcent 4 2 2 2 4 2 2 5" xfId="7327" xr:uid="{00000000-0005-0000-0000-0000A11B0000}"/>
    <cellStyle name="40% - akcent 4 2 2 2 4 2 2 6" xfId="7328" xr:uid="{00000000-0005-0000-0000-0000A21B0000}"/>
    <cellStyle name="40% - akcent 4 2 2 2 4 2 3" xfId="7329" xr:uid="{00000000-0005-0000-0000-0000A31B0000}"/>
    <cellStyle name="40% - akcent 4 2 2 2 4 2 4" xfId="7330" xr:uid="{00000000-0005-0000-0000-0000A41B0000}"/>
    <cellStyle name="40% - akcent 4 2 2 2 4 2 5" xfId="7331" xr:uid="{00000000-0005-0000-0000-0000A51B0000}"/>
    <cellStyle name="40% - akcent 4 2 2 2 4 2 6" xfId="7332" xr:uid="{00000000-0005-0000-0000-0000A61B0000}"/>
    <cellStyle name="40% - akcent 4 2 2 2 4 2 7" xfId="7333" xr:uid="{00000000-0005-0000-0000-0000A71B0000}"/>
    <cellStyle name="40% - akcent 4 2 2 2 4 3" xfId="7334" xr:uid="{00000000-0005-0000-0000-0000A81B0000}"/>
    <cellStyle name="40% - akcent 4 2 2 2 4 4" xfId="7335" xr:uid="{00000000-0005-0000-0000-0000A91B0000}"/>
    <cellStyle name="40% - akcent 4 2 2 2 4 5" xfId="7336" xr:uid="{00000000-0005-0000-0000-0000AA1B0000}"/>
    <cellStyle name="40% - akcent 4 2 2 2 4 6" xfId="7337" xr:uid="{00000000-0005-0000-0000-0000AB1B0000}"/>
    <cellStyle name="40% - akcent 4 2 2 2 4 7" xfId="7338" xr:uid="{00000000-0005-0000-0000-0000AC1B0000}"/>
    <cellStyle name="40% - akcent 4 2 2 2 4 7 2" xfId="7339" xr:uid="{00000000-0005-0000-0000-0000AD1B0000}"/>
    <cellStyle name="40% - akcent 4 2 2 2 4 7 3" xfId="7340" xr:uid="{00000000-0005-0000-0000-0000AE1B0000}"/>
    <cellStyle name="40% - akcent 4 2 2 2 4 7 4" xfId="7341" xr:uid="{00000000-0005-0000-0000-0000AF1B0000}"/>
    <cellStyle name="40% - akcent 4 2 2 2 4 7 5" xfId="7342" xr:uid="{00000000-0005-0000-0000-0000B01B0000}"/>
    <cellStyle name="40% - akcent 4 2 2 2 4 7 6" xfId="7343" xr:uid="{00000000-0005-0000-0000-0000B11B0000}"/>
    <cellStyle name="40% - akcent 4 2 2 2 4 8" xfId="7344" xr:uid="{00000000-0005-0000-0000-0000B21B0000}"/>
    <cellStyle name="40% - akcent 4 2 2 2 4 9" xfId="7345" xr:uid="{00000000-0005-0000-0000-0000B31B0000}"/>
    <cellStyle name="40% - akcent 4 2 2 2 5" xfId="7346" xr:uid="{00000000-0005-0000-0000-0000B41B0000}"/>
    <cellStyle name="40% - akcent 4 2 2 2 5 2" xfId="7347" xr:uid="{00000000-0005-0000-0000-0000B51B0000}"/>
    <cellStyle name="40% - akcent 4 2 2 2 5 2 2" xfId="7348" xr:uid="{00000000-0005-0000-0000-0000B61B0000}"/>
    <cellStyle name="40% - akcent 4 2 2 2 5 2 3" xfId="7349" xr:uid="{00000000-0005-0000-0000-0000B71B0000}"/>
    <cellStyle name="40% - akcent 4 2 2 2 5 2 4" xfId="7350" xr:uid="{00000000-0005-0000-0000-0000B81B0000}"/>
    <cellStyle name="40% - akcent 4 2 2 2 5 2 5" xfId="7351" xr:uid="{00000000-0005-0000-0000-0000B91B0000}"/>
    <cellStyle name="40% - akcent 4 2 2 2 5 2 6" xfId="7352" xr:uid="{00000000-0005-0000-0000-0000BA1B0000}"/>
    <cellStyle name="40% - akcent 4 2 2 2 5 3" xfId="7353" xr:uid="{00000000-0005-0000-0000-0000BB1B0000}"/>
    <cellStyle name="40% - akcent 4 2 2 2 5 4" xfId="7354" xr:uid="{00000000-0005-0000-0000-0000BC1B0000}"/>
    <cellStyle name="40% - akcent 4 2 2 2 5 5" xfId="7355" xr:uid="{00000000-0005-0000-0000-0000BD1B0000}"/>
    <cellStyle name="40% - akcent 4 2 2 2 5 6" xfId="7356" xr:uid="{00000000-0005-0000-0000-0000BE1B0000}"/>
    <cellStyle name="40% - akcent 4 2 2 2 5 7" xfId="7357" xr:uid="{00000000-0005-0000-0000-0000BF1B0000}"/>
    <cellStyle name="40% - akcent 4 2 2 2 6" xfId="7358" xr:uid="{00000000-0005-0000-0000-0000C01B0000}"/>
    <cellStyle name="40% - akcent 4 2 2 2 7" xfId="7359" xr:uid="{00000000-0005-0000-0000-0000C11B0000}"/>
    <cellStyle name="40% - akcent 4 2 2 2 8" xfId="7360" xr:uid="{00000000-0005-0000-0000-0000C21B0000}"/>
    <cellStyle name="40% - akcent 4 2 2 2 9" xfId="7361" xr:uid="{00000000-0005-0000-0000-0000C31B0000}"/>
    <cellStyle name="40% - akcent 4 2 2 2 9 2" xfId="7362" xr:uid="{00000000-0005-0000-0000-0000C41B0000}"/>
    <cellStyle name="40% - akcent 4 2 2 2 9 3" xfId="7363" xr:uid="{00000000-0005-0000-0000-0000C51B0000}"/>
    <cellStyle name="40% - akcent 4 2 2 2 9 4" xfId="7364" xr:uid="{00000000-0005-0000-0000-0000C61B0000}"/>
    <cellStyle name="40% - akcent 4 2 2 2 9 5" xfId="7365" xr:uid="{00000000-0005-0000-0000-0000C71B0000}"/>
    <cellStyle name="40% - akcent 4 2 2 2 9 6" xfId="7366" xr:uid="{00000000-0005-0000-0000-0000C81B0000}"/>
    <cellStyle name="40% - akcent 4 2 2 20" xfId="7367" xr:uid="{00000000-0005-0000-0000-0000C91B0000}"/>
    <cellStyle name="40% - akcent 4 2 2 21" xfId="7113" xr:uid="{00000000-0005-0000-0000-0000CA1B0000}"/>
    <cellStyle name="40% - akcent 4 2 2 3" xfId="7368" xr:uid="{00000000-0005-0000-0000-0000CB1B0000}"/>
    <cellStyle name="40% - akcent 4 2 2 4" xfId="7369" xr:uid="{00000000-0005-0000-0000-0000CC1B0000}"/>
    <cellStyle name="40% - akcent 4 2 2 5" xfId="7370" xr:uid="{00000000-0005-0000-0000-0000CD1B0000}"/>
    <cellStyle name="40% - akcent 4 2 2 6" xfId="7371" xr:uid="{00000000-0005-0000-0000-0000CE1B0000}"/>
    <cellStyle name="40% - akcent 4 2 2 7" xfId="7372" xr:uid="{00000000-0005-0000-0000-0000CF1B0000}"/>
    <cellStyle name="40% - akcent 4 2 2 8" xfId="7373" xr:uid="{00000000-0005-0000-0000-0000D01B0000}"/>
    <cellStyle name="40% - akcent 4 2 2 9" xfId="7374" xr:uid="{00000000-0005-0000-0000-0000D11B0000}"/>
    <cellStyle name="40% - akcent 4 2 20" xfId="7375" xr:uid="{00000000-0005-0000-0000-0000D21B0000}"/>
    <cellStyle name="40% - akcent 4 2 21" xfId="7376" xr:uid="{00000000-0005-0000-0000-0000D31B0000}"/>
    <cellStyle name="40% - akcent 4 2 21 2" xfId="7377" xr:uid="{00000000-0005-0000-0000-0000D41B0000}"/>
    <cellStyle name="40% - akcent 4 2 21 3" xfId="7378" xr:uid="{00000000-0005-0000-0000-0000D51B0000}"/>
    <cellStyle name="40% - akcent 4 2 21 4" xfId="7379" xr:uid="{00000000-0005-0000-0000-0000D61B0000}"/>
    <cellStyle name="40% - akcent 4 2 21 5" xfId="7380" xr:uid="{00000000-0005-0000-0000-0000D71B0000}"/>
    <cellStyle name="40% - akcent 4 2 21 6" xfId="7381" xr:uid="{00000000-0005-0000-0000-0000D81B0000}"/>
    <cellStyle name="40% - akcent 4 2 22" xfId="7382" xr:uid="{00000000-0005-0000-0000-0000D91B0000}"/>
    <cellStyle name="40% - akcent 4 2 23" xfId="7383" xr:uid="{00000000-0005-0000-0000-0000DA1B0000}"/>
    <cellStyle name="40% - akcent 4 2 24" xfId="7384" xr:uid="{00000000-0005-0000-0000-0000DB1B0000}"/>
    <cellStyle name="40% - akcent 4 2 25" xfId="7385" xr:uid="{00000000-0005-0000-0000-0000DC1B0000}"/>
    <cellStyle name="40% - akcent 4 2 26" xfId="7386" xr:uid="{00000000-0005-0000-0000-0000DD1B0000}"/>
    <cellStyle name="40% - akcent 4 2 27" xfId="7387" xr:uid="{00000000-0005-0000-0000-0000DE1B0000}"/>
    <cellStyle name="40% - akcent 4 2 28" xfId="7388" xr:uid="{00000000-0005-0000-0000-0000DF1B0000}"/>
    <cellStyle name="40% - akcent 4 2 29" xfId="7389" xr:uid="{00000000-0005-0000-0000-0000E01B0000}"/>
    <cellStyle name="40% - akcent 4 2 3" xfId="7390" xr:uid="{00000000-0005-0000-0000-0000E11B0000}"/>
    <cellStyle name="40% - akcent 4 2 30" xfId="7391" xr:uid="{00000000-0005-0000-0000-0000E21B0000}"/>
    <cellStyle name="40% - akcent 4 2 31" xfId="7392" xr:uid="{00000000-0005-0000-0000-0000E31B0000}"/>
    <cellStyle name="40% - akcent 4 2 32" xfId="6986" xr:uid="{00000000-0005-0000-0000-0000E41B0000}"/>
    <cellStyle name="40% - akcent 4 2 33" xfId="37826" xr:uid="{00000000-0005-0000-0000-0000E51B0000}"/>
    <cellStyle name="40% - akcent 4 2 4" xfId="7393" xr:uid="{00000000-0005-0000-0000-0000E61B0000}"/>
    <cellStyle name="40% - akcent 4 2 5" xfId="7394" xr:uid="{00000000-0005-0000-0000-0000E71B0000}"/>
    <cellStyle name="40% - akcent 4 2 6" xfId="7395" xr:uid="{00000000-0005-0000-0000-0000E81B0000}"/>
    <cellStyle name="40% - akcent 4 2 6 10" xfId="7396" xr:uid="{00000000-0005-0000-0000-0000E91B0000}"/>
    <cellStyle name="40% - akcent 4 2 6 11" xfId="7397" xr:uid="{00000000-0005-0000-0000-0000EA1B0000}"/>
    <cellStyle name="40% - akcent 4 2 6 12" xfId="7398" xr:uid="{00000000-0005-0000-0000-0000EB1B0000}"/>
    <cellStyle name="40% - akcent 4 2 6 13" xfId="7399" xr:uid="{00000000-0005-0000-0000-0000EC1B0000}"/>
    <cellStyle name="40% - akcent 4 2 6 2" xfId="7400" xr:uid="{00000000-0005-0000-0000-0000ED1B0000}"/>
    <cellStyle name="40% - akcent 4 2 6 2 10" xfId="7401" xr:uid="{00000000-0005-0000-0000-0000EE1B0000}"/>
    <cellStyle name="40% - akcent 4 2 6 2 11" xfId="7402" xr:uid="{00000000-0005-0000-0000-0000EF1B0000}"/>
    <cellStyle name="40% - akcent 4 2 6 2 12" xfId="7403" xr:uid="{00000000-0005-0000-0000-0000F01B0000}"/>
    <cellStyle name="40% - akcent 4 2 6 2 13" xfId="7404" xr:uid="{00000000-0005-0000-0000-0000F11B0000}"/>
    <cellStyle name="40% - akcent 4 2 6 2 2" xfId="7405" xr:uid="{00000000-0005-0000-0000-0000F21B0000}"/>
    <cellStyle name="40% - akcent 4 2 6 2 2 10" xfId="7406" xr:uid="{00000000-0005-0000-0000-0000F31B0000}"/>
    <cellStyle name="40% - akcent 4 2 6 2 2 11" xfId="7407" xr:uid="{00000000-0005-0000-0000-0000F41B0000}"/>
    <cellStyle name="40% - akcent 4 2 6 2 2 12" xfId="7408" xr:uid="{00000000-0005-0000-0000-0000F51B0000}"/>
    <cellStyle name="40% - akcent 4 2 6 2 2 2" xfId="7409" xr:uid="{00000000-0005-0000-0000-0000F61B0000}"/>
    <cellStyle name="40% - akcent 4 2 6 2 2 2 10" xfId="7410" xr:uid="{00000000-0005-0000-0000-0000F71B0000}"/>
    <cellStyle name="40% - akcent 4 2 6 2 2 2 11" xfId="7411" xr:uid="{00000000-0005-0000-0000-0000F81B0000}"/>
    <cellStyle name="40% - akcent 4 2 6 2 2 2 2" xfId="7412" xr:uid="{00000000-0005-0000-0000-0000F91B0000}"/>
    <cellStyle name="40% - akcent 4 2 6 2 2 2 2 10" xfId="7413" xr:uid="{00000000-0005-0000-0000-0000FA1B0000}"/>
    <cellStyle name="40% - akcent 4 2 6 2 2 2 2 11" xfId="7414" xr:uid="{00000000-0005-0000-0000-0000FB1B0000}"/>
    <cellStyle name="40% - akcent 4 2 6 2 2 2 2 2" xfId="7415" xr:uid="{00000000-0005-0000-0000-0000FC1B0000}"/>
    <cellStyle name="40% - akcent 4 2 6 2 2 2 2 2 2" xfId="7416" xr:uid="{00000000-0005-0000-0000-0000FD1B0000}"/>
    <cellStyle name="40% - akcent 4 2 6 2 2 2 2 2 2 2" xfId="7417" xr:uid="{00000000-0005-0000-0000-0000FE1B0000}"/>
    <cellStyle name="40% - akcent 4 2 6 2 2 2 2 2 2 3" xfId="7418" xr:uid="{00000000-0005-0000-0000-0000FF1B0000}"/>
    <cellStyle name="40% - akcent 4 2 6 2 2 2 2 2 2 4" xfId="7419" xr:uid="{00000000-0005-0000-0000-0000001C0000}"/>
    <cellStyle name="40% - akcent 4 2 6 2 2 2 2 2 2 5" xfId="7420" xr:uid="{00000000-0005-0000-0000-0000011C0000}"/>
    <cellStyle name="40% - akcent 4 2 6 2 2 2 2 2 2 6" xfId="7421" xr:uid="{00000000-0005-0000-0000-0000021C0000}"/>
    <cellStyle name="40% - akcent 4 2 6 2 2 2 2 2 3" xfId="7422" xr:uid="{00000000-0005-0000-0000-0000031C0000}"/>
    <cellStyle name="40% - akcent 4 2 6 2 2 2 2 2 4" xfId="7423" xr:uid="{00000000-0005-0000-0000-0000041C0000}"/>
    <cellStyle name="40% - akcent 4 2 6 2 2 2 2 2 5" xfId="7424" xr:uid="{00000000-0005-0000-0000-0000051C0000}"/>
    <cellStyle name="40% - akcent 4 2 6 2 2 2 2 2 6" xfId="7425" xr:uid="{00000000-0005-0000-0000-0000061C0000}"/>
    <cellStyle name="40% - akcent 4 2 6 2 2 2 2 2 7" xfId="7426" xr:uid="{00000000-0005-0000-0000-0000071C0000}"/>
    <cellStyle name="40% - akcent 4 2 6 2 2 2 2 3" xfId="7427" xr:uid="{00000000-0005-0000-0000-0000081C0000}"/>
    <cellStyle name="40% - akcent 4 2 6 2 2 2 2 4" xfId="7428" xr:uid="{00000000-0005-0000-0000-0000091C0000}"/>
    <cellStyle name="40% - akcent 4 2 6 2 2 2 2 5" xfId="7429" xr:uid="{00000000-0005-0000-0000-00000A1C0000}"/>
    <cellStyle name="40% - akcent 4 2 6 2 2 2 2 6" xfId="7430" xr:uid="{00000000-0005-0000-0000-00000B1C0000}"/>
    <cellStyle name="40% - akcent 4 2 6 2 2 2 2 7" xfId="7431" xr:uid="{00000000-0005-0000-0000-00000C1C0000}"/>
    <cellStyle name="40% - akcent 4 2 6 2 2 2 2 7 2" xfId="7432" xr:uid="{00000000-0005-0000-0000-00000D1C0000}"/>
    <cellStyle name="40% - akcent 4 2 6 2 2 2 2 7 3" xfId="7433" xr:uid="{00000000-0005-0000-0000-00000E1C0000}"/>
    <cellStyle name="40% - akcent 4 2 6 2 2 2 2 7 4" xfId="7434" xr:uid="{00000000-0005-0000-0000-00000F1C0000}"/>
    <cellStyle name="40% - akcent 4 2 6 2 2 2 2 7 5" xfId="7435" xr:uid="{00000000-0005-0000-0000-0000101C0000}"/>
    <cellStyle name="40% - akcent 4 2 6 2 2 2 2 7 6" xfId="7436" xr:uid="{00000000-0005-0000-0000-0000111C0000}"/>
    <cellStyle name="40% - akcent 4 2 6 2 2 2 2 8" xfId="7437" xr:uid="{00000000-0005-0000-0000-0000121C0000}"/>
    <cellStyle name="40% - akcent 4 2 6 2 2 2 2 9" xfId="7438" xr:uid="{00000000-0005-0000-0000-0000131C0000}"/>
    <cellStyle name="40% - akcent 4 2 6 2 2 2 3" xfId="7439" xr:uid="{00000000-0005-0000-0000-0000141C0000}"/>
    <cellStyle name="40% - akcent 4 2 6 2 2 2 3 2" xfId="7440" xr:uid="{00000000-0005-0000-0000-0000151C0000}"/>
    <cellStyle name="40% - akcent 4 2 6 2 2 2 3 2 2" xfId="7441" xr:uid="{00000000-0005-0000-0000-0000161C0000}"/>
    <cellStyle name="40% - akcent 4 2 6 2 2 2 3 2 3" xfId="7442" xr:uid="{00000000-0005-0000-0000-0000171C0000}"/>
    <cellStyle name="40% - akcent 4 2 6 2 2 2 3 2 4" xfId="7443" xr:uid="{00000000-0005-0000-0000-0000181C0000}"/>
    <cellStyle name="40% - akcent 4 2 6 2 2 2 3 2 5" xfId="7444" xr:uid="{00000000-0005-0000-0000-0000191C0000}"/>
    <cellStyle name="40% - akcent 4 2 6 2 2 2 3 2 6" xfId="7445" xr:uid="{00000000-0005-0000-0000-00001A1C0000}"/>
    <cellStyle name="40% - akcent 4 2 6 2 2 2 3 3" xfId="7446" xr:uid="{00000000-0005-0000-0000-00001B1C0000}"/>
    <cellStyle name="40% - akcent 4 2 6 2 2 2 3 4" xfId="7447" xr:uid="{00000000-0005-0000-0000-00001C1C0000}"/>
    <cellStyle name="40% - akcent 4 2 6 2 2 2 3 5" xfId="7448" xr:uid="{00000000-0005-0000-0000-00001D1C0000}"/>
    <cellStyle name="40% - akcent 4 2 6 2 2 2 3 6" xfId="7449" xr:uid="{00000000-0005-0000-0000-00001E1C0000}"/>
    <cellStyle name="40% - akcent 4 2 6 2 2 2 3 7" xfId="7450" xr:uid="{00000000-0005-0000-0000-00001F1C0000}"/>
    <cellStyle name="40% - akcent 4 2 6 2 2 2 4" xfId="7451" xr:uid="{00000000-0005-0000-0000-0000201C0000}"/>
    <cellStyle name="40% - akcent 4 2 6 2 2 2 5" xfId="7452" xr:uid="{00000000-0005-0000-0000-0000211C0000}"/>
    <cellStyle name="40% - akcent 4 2 6 2 2 2 6" xfId="7453" xr:uid="{00000000-0005-0000-0000-0000221C0000}"/>
    <cellStyle name="40% - akcent 4 2 6 2 2 2 7" xfId="7454" xr:uid="{00000000-0005-0000-0000-0000231C0000}"/>
    <cellStyle name="40% - akcent 4 2 6 2 2 2 7 2" xfId="7455" xr:uid="{00000000-0005-0000-0000-0000241C0000}"/>
    <cellStyle name="40% - akcent 4 2 6 2 2 2 7 3" xfId="7456" xr:uid="{00000000-0005-0000-0000-0000251C0000}"/>
    <cellStyle name="40% - akcent 4 2 6 2 2 2 7 4" xfId="7457" xr:uid="{00000000-0005-0000-0000-0000261C0000}"/>
    <cellStyle name="40% - akcent 4 2 6 2 2 2 7 5" xfId="7458" xr:uid="{00000000-0005-0000-0000-0000271C0000}"/>
    <cellStyle name="40% - akcent 4 2 6 2 2 2 7 6" xfId="7459" xr:uid="{00000000-0005-0000-0000-0000281C0000}"/>
    <cellStyle name="40% - akcent 4 2 6 2 2 2 8" xfId="7460" xr:uid="{00000000-0005-0000-0000-0000291C0000}"/>
    <cellStyle name="40% - akcent 4 2 6 2 2 2 9" xfId="7461" xr:uid="{00000000-0005-0000-0000-00002A1C0000}"/>
    <cellStyle name="40% - akcent 4 2 6 2 2 3" xfId="7462" xr:uid="{00000000-0005-0000-0000-00002B1C0000}"/>
    <cellStyle name="40% - akcent 4 2 6 2 2 3 2" xfId="7463" xr:uid="{00000000-0005-0000-0000-00002C1C0000}"/>
    <cellStyle name="40% - akcent 4 2 6 2 2 3 2 2" xfId="7464" xr:uid="{00000000-0005-0000-0000-00002D1C0000}"/>
    <cellStyle name="40% - akcent 4 2 6 2 2 3 2 3" xfId="7465" xr:uid="{00000000-0005-0000-0000-00002E1C0000}"/>
    <cellStyle name="40% - akcent 4 2 6 2 2 3 2 4" xfId="7466" xr:uid="{00000000-0005-0000-0000-00002F1C0000}"/>
    <cellStyle name="40% - akcent 4 2 6 2 2 3 2 5" xfId="7467" xr:uid="{00000000-0005-0000-0000-0000301C0000}"/>
    <cellStyle name="40% - akcent 4 2 6 2 2 3 2 6" xfId="7468" xr:uid="{00000000-0005-0000-0000-0000311C0000}"/>
    <cellStyle name="40% - akcent 4 2 6 2 2 3 3" xfId="7469" xr:uid="{00000000-0005-0000-0000-0000321C0000}"/>
    <cellStyle name="40% - akcent 4 2 6 2 2 3 4" xfId="7470" xr:uid="{00000000-0005-0000-0000-0000331C0000}"/>
    <cellStyle name="40% - akcent 4 2 6 2 2 3 5" xfId="7471" xr:uid="{00000000-0005-0000-0000-0000341C0000}"/>
    <cellStyle name="40% - akcent 4 2 6 2 2 3 6" xfId="7472" xr:uid="{00000000-0005-0000-0000-0000351C0000}"/>
    <cellStyle name="40% - akcent 4 2 6 2 2 3 7" xfId="7473" xr:uid="{00000000-0005-0000-0000-0000361C0000}"/>
    <cellStyle name="40% - akcent 4 2 6 2 2 4" xfId="7474" xr:uid="{00000000-0005-0000-0000-0000371C0000}"/>
    <cellStyle name="40% - akcent 4 2 6 2 2 5" xfId="7475" xr:uid="{00000000-0005-0000-0000-0000381C0000}"/>
    <cellStyle name="40% - akcent 4 2 6 2 2 6" xfId="7476" xr:uid="{00000000-0005-0000-0000-0000391C0000}"/>
    <cellStyle name="40% - akcent 4 2 6 2 2 7" xfId="7477" xr:uid="{00000000-0005-0000-0000-00003A1C0000}"/>
    <cellStyle name="40% - akcent 4 2 6 2 2 8" xfId="7478" xr:uid="{00000000-0005-0000-0000-00003B1C0000}"/>
    <cellStyle name="40% - akcent 4 2 6 2 2 8 2" xfId="7479" xr:uid="{00000000-0005-0000-0000-00003C1C0000}"/>
    <cellStyle name="40% - akcent 4 2 6 2 2 8 3" xfId="7480" xr:uid="{00000000-0005-0000-0000-00003D1C0000}"/>
    <cellStyle name="40% - akcent 4 2 6 2 2 8 4" xfId="7481" xr:uid="{00000000-0005-0000-0000-00003E1C0000}"/>
    <cellStyle name="40% - akcent 4 2 6 2 2 8 5" xfId="7482" xr:uid="{00000000-0005-0000-0000-00003F1C0000}"/>
    <cellStyle name="40% - akcent 4 2 6 2 2 8 6" xfId="7483" xr:uid="{00000000-0005-0000-0000-0000401C0000}"/>
    <cellStyle name="40% - akcent 4 2 6 2 2 9" xfId="7484" xr:uid="{00000000-0005-0000-0000-0000411C0000}"/>
    <cellStyle name="40% - akcent 4 2 6 2 3" xfId="7485" xr:uid="{00000000-0005-0000-0000-0000421C0000}"/>
    <cellStyle name="40% - akcent 4 2 6 2 4" xfId="7486" xr:uid="{00000000-0005-0000-0000-0000431C0000}"/>
    <cellStyle name="40% - akcent 4 2 6 2 4 10" xfId="7487" xr:uid="{00000000-0005-0000-0000-0000441C0000}"/>
    <cellStyle name="40% - akcent 4 2 6 2 4 11" xfId="7488" xr:uid="{00000000-0005-0000-0000-0000451C0000}"/>
    <cellStyle name="40% - akcent 4 2 6 2 4 2" xfId="7489" xr:uid="{00000000-0005-0000-0000-0000461C0000}"/>
    <cellStyle name="40% - akcent 4 2 6 2 4 2 2" xfId="7490" xr:uid="{00000000-0005-0000-0000-0000471C0000}"/>
    <cellStyle name="40% - akcent 4 2 6 2 4 2 2 2" xfId="7491" xr:uid="{00000000-0005-0000-0000-0000481C0000}"/>
    <cellStyle name="40% - akcent 4 2 6 2 4 2 2 3" xfId="7492" xr:uid="{00000000-0005-0000-0000-0000491C0000}"/>
    <cellStyle name="40% - akcent 4 2 6 2 4 2 2 4" xfId="7493" xr:uid="{00000000-0005-0000-0000-00004A1C0000}"/>
    <cellStyle name="40% - akcent 4 2 6 2 4 2 2 5" xfId="7494" xr:uid="{00000000-0005-0000-0000-00004B1C0000}"/>
    <cellStyle name="40% - akcent 4 2 6 2 4 2 2 6" xfId="7495" xr:uid="{00000000-0005-0000-0000-00004C1C0000}"/>
    <cellStyle name="40% - akcent 4 2 6 2 4 2 3" xfId="7496" xr:uid="{00000000-0005-0000-0000-00004D1C0000}"/>
    <cellStyle name="40% - akcent 4 2 6 2 4 2 4" xfId="7497" xr:uid="{00000000-0005-0000-0000-00004E1C0000}"/>
    <cellStyle name="40% - akcent 4 2 6 2 4 2 5" xfId="7498" xr:uid="{00000000-0005-0000-0000-00004F1C0000}"/>
    <cellStyle name="40% - akcent 4 2 6 2 4 2 6" xfId="7499" xr:uid="{00000000-0005-0000-0000-0000501C0000}"/>
    <cellStyle name="40% - akcent 4 2 6 2 4 2 7" xfId="7500" xr:uid="{00000000-0005-0000-0000-0000511C0000}"/>
    <cellStyle name="40% - akcent 4 2 6 2 4 3" xfId="7501" xr:uid="{00000000-0005-0000-0000-0000521C0000}"/>
    <cellStyle name="40% - akcent 4 2 6 2 4 4" xfId="7502" xr:uid="{00000000-0005-0000-0000-0000531C0000}"/>
    <cellStyle name="40% - akcent 4 2 6 2 4 5" xfId="7503" xr:uid="{00000000-0005-0000-0000-0000541C0000}"/>
    <cellStyle name="40% - akcent 4 2 6 2 4 6" xfId="7504" xr:uid="{00000000-0005-0000-0000-0000551C0000}"/>
    <cellStyle name="40% - akcent 4 2 6 2 4 7" xfId="7505" xr:uid="{00000000-0005-0000-0000-0000561C0000}"/>
    <cellStyle name="40% - akcent 4 2 6 2 4 7 2" xfId="7506" xr:uid="{00000000-0005-0000-0000-0000571C0000}"/>
    <cellStyle name="40% - akcent 4 2 6 2 4 7 3" xfId="7507" xr:uid="{00000000-0005-0000-0000-0000581C0000}"/>
    <cellStyle name="40% - akcent 4 2 6 2 4 7 4" xfId="7508" xr:uid="{00000000-0005-0000-0000-0000591C0000}"/>
    <cellStyle name="40% - akcent 4 2 6 2 4 7 5" xfId="7509" xr:uid="{00000000-0005-0000-0000-00005A1C0000}"/>
    <cellStyle name="40% - akcent 4 2 6 2 4 7 6" xfId="7510" xr:uid="{00000000-0005-0000-0000-00005B1C0000}"/>
    <cellStyle name="40% - akcent 4 2 6 2 4 8" xfId="7511" xr:uid="{00000000-0005-0000-0000-00005C1C0000}"/>
    <cellStyle name="40% - akcent 4 2 6 2 4 9" xfId="7512" xr:uid="{00000000-0005-0000-0000-00005D1C0000}"/>
    <cellStyle name="40% - akcent 4 2 6 2 5" xfId="7513" xr:uid="{00000000-0005-0000-0000-00005E1C0000}"/>
    <cellStyle name="40% - akcent 4 2 6 2 5 2" xfId="7514" xr:uid="{00000000-0005-0000-0000-00005F1C0000}"/>
    <cellStyle name="40% - akcent 4 2 6 2 5 2 2" xfId="7515" xr:uid="{00000000-0005-0000-0000-0000601C0000}"/>
    <cellStyle name="40% - akcent 4 2 6 2 5 2 3" xfId="7516" xr:uid="{00000000-0005-0000-0000-0000611C0000}"/>
    <cellStyle name="40% - akcent 4 2 6 2 5 2 4" xfId="7517" xr:uid="{00000000-0005-0000-0000-0000621C0000}"/>
    <cellStyle name="40% - akcent 4 2 6 2 5 2 5" xfId="7518" xr:uid="{00000000-0005-0000-0000-0000631C0000}"/>
    <cellStyle name="40% - akcent 4 2 6 2 5 2 6" xfId="7519" xr:uid="{00000000-0005-0000-0000-0000641C0000}"/>
    <cellStyle name="40% - akcent 4 2 6 2 5 3" xfId="7520" xr:uid="{00000000-0005-0000-0000-0000651C0000}"/>
    <cellStyle name="40% - akcent 4 2 6 2 5 4" xfId="7521" xr:uid="{00000000-0005-0000-0000-0000661C0000}"/>
    <cellStyle name="40% - akcent 4 2 6 2 5 5" xfId="7522" xr:uid="{00000000-0005-0000-0000-0000671C0000}"/>
    <cellStyle name="40% - akcent 4 2 6 2 5 6" xfId="7523" xr:uid="{00000000-0005-0000-0000-0000681C0000}"/>
    <cellStyle name="40% - akcent 4 2 6 2 5 7" xfId="7524" xr:uid="{00000000-0005-0000-0000-0000691C0000}"/>
    <cellStyle name="40% - akcent 4 2 6 2 6" xfId="7525" xr:uid="{00000000-0005-0000-0000-00006A1C0000}"/>
    <cellStyle name="40% - akcent 4 2 6 2 7" xfId="7526" xr:uid="{00000000-0005-0000-0000-00006B1C0000}"/>
    <cellStyle name="40% - akcent 4 2 6 2 8" xfId="7527" xr:uid="{00000000-0005-0000-0000-00006C1C0000}"/>
    <cellStyle name="40% - akcent 4 2 6 2 9" xfId="7528" xr:uid="{00000000-0005-0000-0000-00006D1C0000}"/>
    <cellStyle name="40% - akcent 4 2 6 2 9 2" xfId="7529" xr:uid="{00000000-0005-0000-0000-00006E1C0000}"/>
    <cellStyle name="40% - akcent 4 2 6 2 9 3" xfId="7530" xr:uid="{00000000-0005-0000-0000-00006F1C0000}"/>
    <cellStyle name="40% - akcent 4 2 6 2 9 4" xfId="7531" xr:uid="{00000000-0005-0000-0000-0000701C0000}"/>
    <cellStyle name="40% - akcent 4 2 6 2 9 5" xfId="7532" xr:uid="{00000000-0005-0000-0000-0000711C0000}"/>
    <cellStyle name="40% - akcent 4 2 6 2 9 6" xfId="7533" xr:uid="{00000000-0005-0000-0000-0000721C0000}"/>
    <cellStyle name="40% - akcent 4 2 6 3" xfId="7534" xr:uid="{00000000-0005-0000-0000-0000731C0000}"/>
    <cellStyle name="40% - akcent 4 2 6 3 10" xfId="7535" xr:uid="{00000000-0005-0000-0000-0000741C0000}"/>
    <cellStyle name="40% - akcent 4 2 6 3 11" xfId="7536" xr:uid="{00000000-0005-0000-0000-0000751C0000}"/>
    <cellStyle name="40% - akcent 4 2 6 3 12" xfId="7537" xr:uid="{00000000-0005-0000-0000-0000761C0000}"/>
    <cellStyle name="40% - akcent 4 2 6 3 2" xfId="7538" xr:uid="{00000000-0005-0000-0000-0000771C0000}"/>
    <cellStyle name="40% - akcent 4 2 6 3 2 10" xfId="7539" xr:uid="{00000000-0005-0000-0000-0000781C0000}"/>
    <cellStyle name="40% - akcent 4 2 6 3 2 11" xfId="7540" xr:uid="{00000000-0005-0000-0000-0000791C0000}"/>
    <cellStyle name="40% - akcent 4 2 6 3 2 2" xfId="7541" xr:uid="{00000000-0005-0000-0000-00007A1C0000}"/>
    <cellStyle name="40% - akcent 4 2 6 3 2 2 10" xfId="7542" xr:uid="{00000000-0005-0000-0000-00007B1C0000}"/>
    <cellStyle name="40% - akcent 4 2 6 3 2 2 11" xfId="7543" xr:uid="{00000000-0005-0000-0000-00007C1C0000}"/>
    <cellStyle name="40% - akcent 4 2 6 3 2 2 2" xfId="7544" xr:uid="{00000000-0005-0000-0000-00007D1C0000}"/>
    <cellStyle name="40% - akcent 4 2 6 3 2 2 2 2" xfId="7545" xr:uid="{00000000-0005-0000-0000-00007E1C0000}"/>
    <cellStyle name="40% - akcent 4 2 6 3 2 2 2 2 2" xfId="7546" xr:uid="{00000000-0005-0000-0000-00007F1C0000}"/>
    <cellStyle name="40% - akcent 4 2 6 3 2 2 2 2 3" xfId="7547" xr:uid="{00000000-0005-0000-0000-0000801C0000}"/>
    <cellStyle name="40% - akcent 4 2 6 3 2 2 2 2 4" xfId="7548" xr:uid="{00000000-0005-0000-0000-0000811C0000}"/>
    <cellStyle name="40% - akcent 4 2 6 3 2 2 2 2 5" xfId="7549" xr:uid="{00000000-0005-0000-0000-0000821C0000}"/>
    <cellStyle name="40% - akcent 4 2 6 3 2 2 2 2 6" xfId="7550" xr:uid="{00000000-0005-0000-0000-0000831C0000}"/>
    <cellStyle name="40% - akcent 4 2 6 3 2 2 2 3" xfId="7551" xr:uid="{00000000-0005-0000-0000-0000841C0000}"/>
    <cellStyle name="40% - akcent 4 2 6 3 2 2 2 4" xfId="7552" xr:uid="{00000000-0005-0000-0000-0000851C0000}"/>
    <cellStyle name="40% - akcent 4 2 6 3 2 2 2 5" xfId="7553" xr:uid="{00000000-0005-0000-0000-0000861C0000}"/>
    <cellStyle name="40% - akcent 4 2 6 3 2 2 2 6" xfId="7554" xr:uid="{00000000-0005-0000-0000-0000871C0000}"/>
    <cellStyle name="40% - akcent 4 2 6 3 2 2 2 7" xfId="7555" xr:uid="{00000000-0005-0000-0000-0000881C0000}"/>
    <cellStyle name="40% - akcent 4 2 6 3 2 2 3" xfId="7556" xr:uid="{00000000-0005-0000-0000-0000891C0000}"/>
    <cellStyle name="40% - akcent 4 2 6 3 2 2 4" xfId="7557" xr:uid="{00000000-0005-0000-0000-00008A1C0000}"/>
    <cellStyle name="40% - akcent 4 2 6 3 2 2 5" xfId="7558" xr:uid="{00000000-0005-0000-0000-00008B1C0000}"/>
    <cellStyle name="40% - akcent 4 2 6 3 2 2 6" xfId="7559" xr:uid="{00000000-0005-0000-0000-00008C1C0000}"/>
    <cellStyle name="40% - akcent 4 2 6 3 2 2 7" xfId="7560" xr:uid="{00000000-0005-0000-0000-00008D1C0000}"/>
    <cellStyle name="40% - akcent 4 2 6 3 2 2 7 2" xfId="7561" xr:uid="{00000000-0005-0000-0000-00008E1C0000}"/>
    <cellStyle name="40% - akcent 4 2 6 3 2 2 7 3" xfId="7562" xr:uid="{00000000-0005-0000-0000-00008F1C0000}"/>
    <cellStyle name="40% - akcent 4 2 6 3 2 2 7 4" xfId="7563" xr:uid="{00000000-0005-0000-0000-0000901C0000}"/>
    <cellStyle name="40% - akcent 4 2 6 3 2 2 7 5" xfId="7564" xr:uid="{00000000-0005-0000-0000-0000911C0000}"/>
    <cellStyle name="40% - akcent 4 2 6 3 2 2 7 6" xfId="7565" xr:uid="{00000000-0005-0000-0000-0000921C0000}"/>
    <cellStyle name="40% - akcent 4 2 6 3 2 2 8" xfId="7566" xr:uid="{00000000-0005-0000-0000-0000931C0000}"/>
    <cellStyle name="40% - akcent 4 2 6 3 2 2 9" xfId="7567" xr:uid="{00000000-0005-0000-0000-0000941C0000}"/>
    <cellStyle name="40% - akcent 4 2 6 3 2 3" xfId="7568" xr:uid="{00000000-0005-0000-0000-0000951C0000}"/>
    <cellStyle name="40% - akcent 4 2 6 3 2 3 2" xfId="7569" xr:uid="{00000000-0005-0000-0000-0000961C0000}"/>
    <cellStyle name="40% - akcent 4 2 6 3 2 3 2 2" xfId="7570" xr:uid="{00000000-0005-0000-0000-0000971C0000}"/>
    <cellStyle name="40% - akcent 4 2 6 3 2 3 2 3" xfId="7571" xr:uid="{00000000-0005-0000-0000-0000981C0000}"/>
    <cellStyle name="40% - akcent 4 2 6 3 2 3 2 4" xfId="7572" xr:uid="{00000000-0005-0000-0000-0000991C0000}"/>
    <cellStyle name="40% - akcent 4 2 6 3 2 3 2 5" xfId="7573" xr:uid="{00000000-0005-0000-0000-00009A1C0000}"/>
    <cellStyle name="40% - akcent 4 2 6 3 2 3 2 6" xfId="7574" xr:uid="{00000000-0005-0000-0000-00009B1C0000}"/>
    <cellStyle name="40% - akcent 4 2 6 3 2 3 3" xfId="7575" xr:uid="{00000000-0005-0000-0000-00009C1C0000}"/>
    <cellStyle name="40% - akcent 4 2 6 3 2 3 4" xfId="7576" xr:uid="{00000000-0005-0000-0000-00009D1C0000}"/>
    <cellStyle name="40% - akcent 4 2 6 3 2 3 5" xfId="7577" xr:uid="{00000000-0005-0000-0000-00009E1C0000}"/>
    <cellStyle name="40% - akcent 4 2 6 3 2 3 6" xfId="7578" xr:uid="{00000000-0005-0000-0000-00009F1C0000}"/>
    <cellStyle name="40% - akcent 4 2 6 3 2 3 7" xfId="7579" xr:uid="{00000000-0005-0000-0000-0000A01C0000}"/>
    <cellStyle name="40% - akcent 4 2 6 3 2 4" xfId="7580" xr:uid="{00000000-0005-0000-0000-0000A11C0000}"/>
    <cellStyle name="40% - akcent 4 2 6 3 2 5" xfId="7581" xr:uid="{00000000-0005-0000-0000-0000A21C0000}"/>
    <cellStyle name="40% - akcent 4 2 6 3 2 6" xfId="7582" xr:uid="{00000000-0005-0000-0000-0000A31C0000}"/>
    <cellStyle name="40% - akcent 4 2 6 3 2 7" xfId="7583" xr:uid="{00000000-0005-0000-0000-0000A41C0000}"/>
    <cellStyle name="40% - akcent 4 2 6 3 2 7 2" xfId="7584" xr:uid="{00000000-0005-0000-0000-0000A51C0000}"/>
    <cellStyle name="40% - akcent 4 2 6 3 2 7 3" xfId="7585" xr:uid="{00000000-0005-0000-0000-0000A61C0000}"/>
    <cellStyle name="40% - akcent 4 2 6 3 2 7 4" xfId="7586" xr:uid="{00000000-0005-0000-0000-0000A71C0000}"/>
    <cellStyle name="40% - akcent 4 2 6 3 2 7 5" xfId="7587" xr:uid="{00000000-0005-0000-0000-0000A81C0000}"/>
    <cellStyle name="40% - akcent 4 2 6 3 2 7 6" xfId="7588" xr:uid="{00000000-0005-0000-0000-0000A91C0000}"/>
    <cellStyle name="40% - akcent 4 2 6 3 2 8" xfId="7589" xr:uid="{00000000-0005-0000-0000-0000AA1C0000}"/>
    <cellStyle name="40% - akcent 4 2 6 3 2 9" xfId="7590" xr:uid="{00000000-0005-0000-0000-0000AB1C0000}"/>
    <cellStyle name="40% - akcent 4 2 6 3 3" xfId="7591" xr:uid="{00000000-0005-0000-0000-0000AC1C0000}"/>
    <cellStyle name="40% - akcent 4 2 6 3 3 2" xfId="7592" xr:uid="{00000000-0005-0000-0000-0000AD1C0000}"/>
    <cellStyle name="40% - akcent 4 2 6 3 3 2 2" xfId="7593" xr:uid="{00000000-0005-0000-0000-0000AE1C0000}"/>
    <cellStyle name="40% - akcent 4 2 6 3 3 2 3" xfId="7594" xr:uid="{00000000-0005-0000-0000-0000AF1C0000}"/>
    <cellStyle name="40% - akcent 4 2 6 3 3 2 4" xfId="7595" xr:uid="{00000000-0005-0000-0000-0000B01C0000}"/>
    <cellStyle name="40% - akcent 4 2 6 3 3 2 5" xfId="7596" xr:uid="{00000000-0005-0000-0000-0000B11C0000}"/>
    <cellStyle name="40% - akcent 4 2 6 3 3 2 6" xfId="7597" xr:uid="{00000000-0005-0000-0000-0000B21C0000}"/>
    <cellStyle name="40% - akcent 4 2 6 3 3 3" xfId="7598" xr:uid="{00000000-0005-0000-0000-0000B31C0000}"/>
    <cellStyle name="40% - akcent 4 2 6 3 3 4" xfId="7599" xr:uid="{00000000-0005-0000-0000-0000B41C0000}"/>
    <cellStyle name="40% - akcent 4 2 6 3 3 5" xfId="7600" xr:uid="{00000000-0005-0000-0000-0000B51C0000}"/>
    <cellStyle name="40% - akcent 4 2 6 3 3 6" xfId="7601" xr:uid="{00000000-0005-0000-0000-0000B61C0000}"/>
    <cellStyle name="40% - akcent 4 2 6 3 3 7" xfId="7602" xr:uid="{00000000-0005-0000-0000-0000B71C0000}"/>
    <cellStyle name="40% - akcent 4 2 6 3 4" xfId="7603" xr:uid="{00000000-0005-0000-0000-0000B81C0000}"/>
    <cellStyle name="40% - akcent 4 2 6 3 5" xfId="7604" xr:uid="{00000000-0005-0000-0000-0000B91C0000}"/>
    <cellStyle name="40% - akcent 4 2 6 3 6" xfId="7605" xr:uid="{00000000-0005-0000-0000-0000BA1C0000}"/>
    <cellStyle name="40% - akcent 4 2 6 3 7" xfId="7606" xr:uid="{00000000-0005-0000-0000-0000BB1C0000}"/>
    <cellStyle name="40% - akcent 4 2 6 3 8" xfId="7607" xr:uid="{00000000-0005-0000-0000-0000BC1C0000}"/>
    <cellStyle name="40% - akcent 4 2 6 3 8 2" xfId="7608" xr:uid="{00000000-0005-0000-0000-0000BD1C0000}"/>
    <cellStyle name="40% - akcent 4 2 6 3 8 3" xfId="7609" xr:uid="{00000000-0005-0000-0000-0000BE1C0000}"/>
    <cellStyle name="40% - akcent 4 2 6 3 8 4" xfId="7610" xr:uid="{00000000-0005-0000-0000-0000BF1C0000}"/>
    <cellStyle name="40% - akcent 4 2 6 3 8 5" xfId="7611" xr:uid="{00000000-0005-0000-0000-0000C01C0000}"/>
    <cellStyle name="40% - akcent 4 2 6 3 8 6" xfId="7612" xr:uid="{00000000-0005-0000-0000-0000C11C0000}"/>
    <cellStyle name="40% - akcent 4 2 6 3 9" xfId="7613" xr:uid="{00000000-0005-0000-0000-0000C21C0000}"/>
    <cellStyle name="40% - akcent 4 2 6 4" xfId="7614" xr:uid="{00000000-0005-0000-0000-0000C31C0000}"/>
    <cellStyle name="40% - akcent 4 2 6 4 10" xfId="7615" xr:uid="{00000000-0005-0000-0000-0000C41C0000}"/>
    <cellStyle name="40% - akcent 4 2 6 4 11" xfId="7616" xr:uid="{00000000-0005-0000-0000-0000C51C0000}"/>
    <cellStyle name="40% - akcent 4 2 6 4 2" xfId="7617" xr:uid="{00000000-0005-0000-0000-0000C61C0000}"/>
    <cellStyle name="40% - akcent 4 2 6 4 2 2" xfId="7618" xr:uid="{00000000-0005-0000-0000-0000C71C0000}"/>
    <cellStyle name="40% - akcent 4 2 6 4 2 2 2" xfId="7619" xr:uid="{00000000-0005-0000-0000-0000C81C0000}"/>
    <cellStyle name="40% - akcent 4 2 6 4 2 2 3" xfId="7620" xr:uid="{00000000-0005-0000-0000-0000C91C0000}"/>
    <cellStyle name="40% - akcent 4 2 6 4 2 2 4" xfId="7621" xr:uid="{00000000-0005-0000-0000-0000CA1C0000}"/>
    <cellStyle name="40% - akcent 4 2 6 4 2 2 5" xfId="7622" xr:uid="{00000000-0005-0000-0000-0000CB1C0000}"/>
    <cellStyle name="40% - akcent 4 2 6 4 2 2 6" xfId="7623" xr:uid="{00000000-0005-0000-0000-0000CC1C0000}"/>
    <cellStyle name="40% - akcent 4 2 6 4 2 3" xfId="7624" xr:uid="{00000000-0005-0000-0000-0000CD1C0000}"/>
    <cellStyle name="40% - akcent 4 2 6 4 2 4" xfId="7625" xr:uid="{00000000-0005-0000-0000-0000CE1C0000}"/>
    <cellStyle name="40% - akcent 4 2 6 4 2 5" xfId="7626" xr:uid="{00000000-0005-0000-0000-0000CF1C0000}"/>
    <cellStyle name="40% - akcent 4 2 6 4 2 6" xfId="7627" xr:uid="{00000000-0005-0000-0000-0000D01C0000}"/>
    <cellStyle name="40% - akcent 4 2 6 4 2 7" xfId="7628" xr:uid="{00000000-0005-0000-0000-0000D11C0000}"/>
    <cellStyle name="40% - akcent 4 2 6 4 3" xfId="7629" xr:uid="{00000000-0005-0000-0000-0000D21C0000}"/>
    <cellStyle name="40% - akcent 4 2 6 4 4" xfId="7630" xr:uid="{00000000-0005-0000-0000-0000D31C0000}"/>
    <cellStyle name="40% - akcent 4 2 6 4 5" xfId="7631" xr:uid="{00000000-0005-0000-0000-0000D41C0000}"/>
    <cellStyle name="40% - akcent 4 2 6 4 6" xfId="7632" xr:uid="{00000000-0005-0000-0000-0000D51C0000}"/>
    <cellStyle name="40% - akcent 4 2 6 4 7" xfId="7633" xr:uid="{00000000-0005-0000-0000-0000D61C0000}"/>
    <cellStyle name="40% - akcent 4 2 6 4 7 2" xfId="7634" xr:uid="{00000000-0005-0000-0000-0000D71C0000}"/>
    <cellStyle name="40% - akcent 4 2 6 4 7 3" xfId="7635" xr:uid="{00000000-0005-0000-0000-0000D81C0000}"/>
    <cellStyle name="40% - akcent 4 2 6 4 7 4" xfId="7636" xr:uid="{00000000-0005-0000-0000-0000D91C0000}"/>
    <cellStyle name="40% - akcent 4 2 6 4 7 5" xfId="7637" xr:uid="{00000000-0005-0000-0000-0000DA1C0000}"/>
    <cellStyle name="40% - akcent 4 2 6 4 7 6" xfId="7638" xr:uid="{00000000-0005-0000-0000-0000DB1C0000}"/>
    <cellStyle name="40% - akcent 4 2 6 4 8" xfId="7639" xr:uid="{00000000-0005-0000-0000-0000DC1C0000}"/>
    <cellStyle name="40% - akcent 4 2 6 4 9" xfId="7640" xr:uid="{00000000-0005-0000-0000-0000DD1C0000}"/>
    <cellStyle name="40% - akcent 4 2 6 5" xfId="7641" xr:uid="{00000000-0005-0000-0000-0000DE1C0000}"/>
    <cellStyle name="40% - akcent 4 2 6 5 2" xfId="7642" xr:uid="{00000000-0005-0000-0000-0000DF1C0000}"/>
    <cellStyle name="40% - akcent 4 2 6 5 2 2" xfId="7643" xr:uid="{00000000-0005-0000-0000-0000E01C0000}"/>
    <cellStyle name="40% - akcent 4 2 6 5 2 3" xfId="7644" xr:uid="{00000000-0005-0000-0000-0000E11C0000}"/>
    <cellStyle name="40% - akcent 4 2 6 5 2 4" xfId="7645" xr:uid="{00000000-0005-0000-0000-0000E21C0000}"/>
    <cellStyle name="40% - akcent 4 2 6 5 2 5" xfId="7646" xr:uid="{00000000-0005-0000-0000-0000E31C0000}"/>
    <cellStyle name="40% - akcent 4 2 6 5 2 6" xfId="7647" xr:uid="{00000000-0005-0000-0000-0000E41C0000}"/>
    <cellStyle name="40% - akcent 4 2 6 5 3" xfId="7648" xr:uid="{00000000-0005-0000-0000-0000E51C0000}"/>
    <cellStyle name="40% - akcent 4 2 6 5 4" xfId="7649" xr:uid="{00000000-0005-0000-0000-0000E61C0000}"/>
    <cellStyle name="40% - akcent 4 2 6 5 5" xfId="7650" xr:uid="{00000000-0005-0000-0000-0000E71C0000}"/>
    <cellStyle name="40% - akcent 4 2 6 5 6" xfId="7651" xr:uid="{00000000-0005-0000-0000-0000E81C0000}"/>
    <cellStyle name="40% - akcent 4 2 6 5 7" xfId="7652" xr:uid="{00000000-0005-0000-0000-0000E91C0000}"/>
    <cellStyle name="40% - akcent 4 2 6 6" xfId="7653" xr:uid="{00000000-0005-0000-0000-0000EA1C0000}"/>
    <cellStyle name="40% - akcent 4 2 6 7" xfId="7654" xr:uid="{00000000-0005-0000-0000-0000EB1C0000}"/>
    <cellStyle name="40% - akcent 4 2 6 8" xfId="7655" xr:uid="{00000000-0005-0000-0000-0000EC1C0000}"/>
    <cellStyle name="40% - akcent 4 2 6 9" xfId="7656" xr:uid="{00000000-0005-0000-0000-0000ED1C0000}"/>
    <cellStyle name="40% - akcent 4 2 6 9 2" xfId="7657" xr:uid="{00000000-0005-0000-0000-0000EE1C0000}"/>
    <cellStyle name="40% - akcent 4 2 6 9 3" xfId="7658" xr:uid="{00000000-0005-0000-0000-0000EF1C0000}"/>
    <cellStyle name="40% - akcent 4 2 6 9 4" xfId="7659" xr:uid="{00000000-0005-0000-0000-0000F01C0000}"/>
    <cellStyle name="40% - akcent 4 2 6 9 5" xfId="7660" xr:uid="{00000000-0005-0000-0000-0000F11C0000}"/>
    <cellStyle name="40% - akcent 4 2 6 9 6" xfId="7661" xr:uid="{00000000-0005-0000-0000-0000F21C0000}"/>
    <cellStyle name="40% - akcent 4 2 7" xfId="7662" xr:uid="{00000000-0005-0000-0000-0000F31C0000}"/>
    <cellStyle name="40% - akcent 4 2 8" xfId="7663" xr:uid="{00000000-0005-0000-0000-0000F41C0000}"/>
    <cellStyle name="40% - akcent 4 2 8 10" xfId="7664" xr:uid="{00000000-0005-0000-0000-0000F51C0000}"/>
    <cellStyle name="40% - akcent 4 2 8 11" xfId="7665" xr:uid="{00000000-0005-0000-0000-0000F61C0000}"/>
    <cellStyle name="40% - akcent 4 2 8 12" xfId="7666" xr:uid="{00000000-0005-0000-0000-0000F71C0000}"/>
    <cellStyle name="40% - akcent 4 2 8 13" xfId="7667" xr:uid="{00000000-0005-0000-0000-0000F81C0000}"/>
    <cellStyle name="40% - akcent 4 2 8 2" xfId="7668" xr:uid="{00000000-0005-0000-0000-0000F91C0000}"/>
    <cellStyle name="40% - akcent 4 2 8 2 10" xfId="7669" xr:uid="{00000000-0005-0000-0000-0000FA1C0000}"/>
    <cellStyle name="40% - akcent 4 2 8 2 11" xfId="7670" xr:uid="{00000000-0005-0000-0000-0000FB1C0000}"/>
    <cellStyle name="40% - akcent 4 2 8 2 12" xfId="7671" xr:uid="{00000000-0005-0000-0000-0000FC1C0000}"/>
    <cellStyle name="40% - akcent 4 2 8 2 2" xfId="7672" xr:uid="{00000000-0005-0000-0000-0000FD1C0000}"/>
    <cellStyle name="40% - akcent 4 2 8 2 2 10" xfId="7673" xr:uid="{00000000-0005-0000-0000-0000FE1C0000}"/>
    <cellStyle name="40% - akcent 4 2 8 2 2 11" xfId="7674" xr:uid="{00000000-0005-0000-0000-0000FF1C0000}"/>
    <cellStyle name="40% - akcent 4 2 8 2 2 2" xfId="7675" xr:uid="{00000000-0005-0000-0000-0000001D0000}"/>
    <cellStyle name="40% - akcent 4 2 8 2 2 2 10" xfId="7676" xr:uid="{00000000-0005-0000-0000-0000011D0000}"/>
    <cellStyle name="40% - akcent 4 2 8 2 2 2 11" xfId="7677" xr:uid="{00000000-0005-0000-0000-0000021D0000}"/>
    <cellStyle name="40% - akcent 4 2 8 2 2 2 2" xfId="7678" xr:uid="{00000000-0005-0000-0000-0000031D0000}"/>
    <cellStyle name="40% - akcent 4 2 8 2 2 2 2 2" xfId="7679" xr:uid="{00000000-0005-0000-0000-0000041D0000}"/>
    <cellStyle name="40% - akcent 4 2 8 2 2 2 2 2 2" xfId="7680" xr:uid="{00000000-0005-0000-0000-0000051D0000}"/>
    <cellStyle name="40% - akcent 4 2 8 2 2 2 2 2 3" xfId="7681" xr:uid="{00000000-0005-0000-0000-0000061D0000}"/>
    <cellStyle name="40% - akcent 4 2 8 2 2 2 2 2 4" xfId="7682" xr:uid="{00000000-0005-0000-0000-0000071D0000}"/>
    <cellStyle name="40% - akcent 4 2 8 2 2 2 2 2 5" xfId="7683" xr:uid="{00000000-0005-0000-0000-0000081D0000}"/>
    <cellStyle name="40% - akcent 4 2 8 2 2 2 2 2 6" xfId="7684" xr:uid="{00000000-0005-0000-0000-0000091D0000}"/>
    <cellStyle name="40% - akcent 4 2 8 2 2 2 2 3" xfId="7685" xr:uid="{00000000-0005-0000-0000-00000A1D0000}"/>
    <cellStyle name="40% - akcent 4 2 8 2 2 2 2 4" xfId="7686" xr:uid="{00000000-0005-0000-0000-00000B1D0000}"/>
    <cellStyle name="40% - akcent 4 2 8 2 2 2 2 5" xfId="7687" xr:uid="{00000000-0005-0000-0000-00000C1D0000}"/>
    <cellStyle name="40% - akcent 4 2 8 2 2 2 2 6" xfId="7688" xr:uid="{00000000-0005-0000-0000-00000D1D0000}"/>
    <cellStyle name="40% - akcent 4 2 8 2 2 2 2 7" xfId="7689" xr:uid="{00000000-0005-0000-0000-00000E1D0000}"/>
    <cellStyle name="40% - akcent 4 2 8 2 2 2 3" xfId="7690" xr:uid="{00000000-0005-0000-0000-00000F1D0000}"/>
    <cellStyle name="40% - akcent 4 2 8 2 2 2 4" xfId="7691" xr:uid="{00000000-0005-0000-0000-0000101D0000}"/>
    <cellStyle name="40% - akcent 4 2 8 2 2 2 5" xfId="7692" xr:uid="{00000000-0005-0000-0000-0000111D0000}"/>
    <cellStyle name="40% - akcent 4 2 8 2 2 2 6" xfId="7693" xr:uid="{00000000-0005-0000-0000-0000121D0000}"/>
    <cellStyle name="40% - akcent 4 2 8 2 2 2 7" xfId="7694" xr:uid="{00000000-0005-0000-0000-0000131D0000}"/>
    <cellStyle name="40% - akcent 4 2 8 2 2 2 7 2" xfId="7695" xr:uid="{00000000-0005-0000-0000-0000141D0000}"/>
    <cellStyle name="40% - akcent 4 2 8 2 2 2 7 3" xfId="7696" xr:uid="{00000000-0005-0000-0000-0000151D0000}"/>
    <cellStyle name="40% - akcent 4 2 8 2 2 2 7 4" xfId="7697" xr:uid="{00000000-0005-0000-0000-0000161D0000}"/>
    <cellStyle name="40% - akcent 4 2 8 2 2 2 7 5" xfId="7698" xr:uid="{00000000-0005-0000-0000-0000171D0000}"/>
    <cellStyle name="40% - akcent 4 2 8 2 2 2 7 6" xfId="7699" xr:uid="{00000000-0005-0000-0000-0000181D0000}"/>
    <cellStyle name="40% - akcent 4 2 8 2 2 2 8" xfId="7700" xr:uid="{00000000-0005-0000-0000-0000191D0000}"/>
    <cellStyle name="40% - akcent 4 2 8 2 2 2 9" xfId="7701" xr:uid="{00000000-0005-0000-0000-00001A1D0000}"/>
    <cellStyle name="40% - akcent 4 2 8 2 2 3" xfId="7702" xr:uid="{00000000-0005-0000-0000-00001B1D0000}"/>
    <cellStyle name="40% - akcent 4 2 8 2 2 3 2" xfId="7703" xr:uid="{00000000-0005-0000-0000-00001C1D0000}"/>
    <cellStyle name="40% - akcent 4 2 8 2 2 3 2 2" xfId="7704" xr:uid="{00000000-0005-0000-0000-00001D1D0000}"/>
    <cellStyle name="40% - akcent 4 2 8 2 2 3 2 3" xfId="7705" xr:uid="{00000000-0005-0000-0000-00001E1D0000}"/>
    <cellStyle name="40% - akcent 4 2 8 2 2 3 2 4" xfId="7706" xr:uid="{00000000-0005-0000-0000-00001F1D0000}"/>
    <cellStyle name="40% - akcent 4 2 8 2 2 3 2 5" xfId="7707" xr:uid="{00000000-0005-0000-0000-0000201D0000}"/>
    <cellStyle name="40% - akcent 4 2 8 2 2 3 2 6" xfId="7708" xr:uid="{00000000-0005-0000-0000-0000211D0000}"/>
    <cellStyle name="40% - akcent 4 2 8 2 2 3 3" xfId="7709" xr:uid="{00000000-0005-0000-0000-0000221D0000}"/>
    <cellStyle name="40% - akcent 4 2 8 2 2 3 4" xfId="7710" xr:uid="{00000000-0005-0000-0000-0000231D0000}"/>
    <cellStyle name="40% - akcent 4 2 8 2 2 3 5" xfId="7711" xr:uid="{00000000-0005-0000-0000-0000241D0000}"/>
    <cellStyle name="40% - akcent 4 2 8 2 2 3 6" xfId="7712" xr:uid="{00000000-0005-0000-0000-0000251D0000}"/>
    <cellStyle name="40% - akcent 4 2 8 2 2 3 7" xfId="7713" xr:uid="{00000000-0005-0000-0000-0000261D0000}"/>
    <cellStyle name="40% - akcent 4 2 8 2 2 4" xfId="7714" xr:uid="{00000000-0005-0000-0000-0000271D0000}"/>
    <cellStyle name="40% - akcent 4 2 8 2 2 5" xfId="7715" xr:uid="{00000000-0005-0000-0000-0000281D0000}"/>
    <cellStyle name="40% - akcent 4 2 8 2 2 6" xfId="7716" xr:uid="{00000000-0005-0000-0000-0000291D0000}"/>
    <cellStyle name="40% - akcent 4 2 8 2 2 7" xfId="7717" xr:uid="{00000000-0005-0000-0000-00002A1D0000}"/>
    <cellStyle name="40% - akcent 4 2 8 2 2 7 2" xfId="7718" xr:uid="{00000000-0005-0000-0000-00002B1D0000}"/>
    <cellStyle name="40% - akcent 4 2 8 2 2 7 3" xfId="7719" xr:uid="{00000000-0005-0000-0000-00002C1D0000}"/>
    <cellStyle name="40% - akcent 4 2 8 2 2 7 4" xfId="7720" xr:uid="{00000000-0005-0000-0000-00002D1D0000}"/>
    <cellStyle name="40% - akcent 4 2 8 2 2 7 5" xfId="7721" xr:uid="{00000000-0005-0000-0000-00002E1D0000}"/>
    <cellStyle name="40% - akcent 4 2 8 2 2 7 6" xfId="7722" xr:uid="{00000000-0005-0000-0000-00002F1D0000}"/>
    <cellStyle name="40% - akcent 4 2 8 2 2 8" xfId="7723" xr:uid="{00000000-0005-0000-0000-0000301D0000}"/>
    <cellStyle name="40% - akcent 4 2 8 2 2 9" xfId="7724" xr:uid="{00000000-0005-0000-0000-0000311D0000}"/>
    <cellStyle name="40% - akcent 4 2 8 2 3" xfId="7725" xr:uid="{00000000-0005-0000-0000-0000321D0000}"/>
    <cellStyle name="40% - akcent 4 2 8 2 3 2" xfId="7726" xr:uid="{00000000-0005-0000-0000-0000331D0000}"/>
    <cellStyle name="40% - akcent 4 2 8 2 3 2 2" xfId="7727" xr:uid="{00000000-0005-0000-0000-0000341D0000}"/>
    <cellStyle name="40% - akcent 4 2 8 2 3 2 3" xfId="7728" xr:uid="{00000000-0005-0000-0000-0000351D0000}"/>
    <cellStyle name="40% - akcent 4 2 8 2 3 2 4" xfId="7729" xr:uid="{00000000-0005-0000-0000-0000361D0000}"/>
    <cellStyle name="40% - akcent 4 2 8 2 3 2 5" xfId="7730" xr:uid="{00000000-0005-0000-0000-0000371D0000}"/>
    <cellStyle name="40% - akcent 4 2 8 2 3 2 6" xfId="7731" xr:uid="{00000000-0005-0000-0000-0000381D0000}"/>
    <cellStyle name="40% - akcent 4 2 8 2 3 3" xfId="7732" xr:uid="{00000000-0005-0000-0000-0000391D0000}"/>
    <cellStyle name="40% - akcent 4 2 8 2 3 4" xfId="7733" xr:uid="{00000000-0005-0000-0000-00003A1D0000}"/>
    <cellStyle name="40% - akcent 4 2 8 2 3 5" xfId="7734" xr:uid="{00000000-0005-0000-0000-00003B1D0000}"/>
    <cellStyle name="40% - akcent 4 2 8 2 3 6" xfId="7735" xr:uid="{00000000-0005-0000-0000-00003C1D0000}"/>
    <cellStyle name="40% - akcent 4 2 8 2 3 7" xfId="7736" xr:uid="{00000000-0005-0000-0000-00003D1D0000}"/>
    <cellStyle name="40% - akcent 4 2 8 2 4" xfId="7737" xr:uid="{00000000-0005-0000-0000-00003E1D0000}"/>
    <cellStyle name="40% - akcent 4 2 8 2 5" xfId="7738" xr:uid="{00000000-0005-0000-0000-00003F1D0000}"/>
    <cellStyle name="40% - akcent 4 2 8 2 6" xfId="7739" xr:uid="{00000000-0005-0000-0000-0000401D0000}"/>
    <cellStyle name="40% - akcent 4 2 8 2 7" xfId="7740" xr:uid="{00000000-0005-0000-0000-0000411D0000}"/>
    <cellStyle name="40% - akcent 4 2 8 2 8" xfId="7741" xr:uid="{00000000-0005-0000-0000-0000421D0000}"/>
    <cellStyle name="40% - akcent 4 2 8 2 8 2" xfId="7742" xr:uid="{00000000-0005-0000-0000-0000431D0000}"/>
    <cellStyle name="40% - akcent 4 2 8 2 8 3" xfId="7743" xr:uid="{00000000-0005-0000-0000-0000441D0000}"/>
    <cellStyle name="40% - akcent 4 2 8 2 8 4" xfId="7744" xr:uid="{00000000-0005-0000-0000-0000451D0000}"/>
    <cellStyle name="40% - akcent 4 2 8 2 8 5" xfId="7745" xr:uid="{00000000-0005-0000-0000-0000461D0000}"/>
    <cellStyle name="40% - akcent 4 2 8 2 8 6" xfId="7746" xr:uid="{00000000-0005-0000-0000-0000471D0000}"/>
    <cellStyle name="40% - akcent 4 2 8 2 9" xfId="7747" xr:uid="{00000000-0005-0000-0000-0000481D0000}"/>
    <cellStyle name="40% - akcent 4 2 8 3" xfId="7748" xr:uid="{00000000-0005-0000-0000-0000491D0000}"/>
    <cellStyle name="40% - akcent 4 2 8 4" xfId="7749" xr:uid="{00000000-0005-0000-0000-00004A1D0000}"/>
    <cellStyle name="40% - akcent 4 2 8 4 10" xfId="7750" xr:uid="{00000000-0005-0000-0000-00004B1D0000}"/>
    <cellStyle name="40% - akcent 4 2 8 4 11" xfId="7751" xr:uid="{00000000-0005-0000-0000-00004C1D0000}"/>
    <cellStyle name="40% - akcent 4 2 8 4 2" xfId="7752" xr:uid="{00000000-0005-0000-0000-00004D1D0000}"/>
    <cellStyle name="40% - akcent 4 2 8 4 2 2" xfId="7753" xr:uid="{00000000-0005-0000-0000-00004E1D0000}"/>
    <cellStyle name="40% - akcent 4 2 8 4 2 2 2" xfId="7754" xr:uid="{00000000-0005-0000-0000-00004F1D0000}"/>
    <cellStyle name="40% - akcent 4 2 8 4 2 2 3" xfId="7755" xr:uid="{00000000-0005-0000-0000-0000501D0000}"/>
    <cellStyle name="40% - akcent 4 2 8 4 2 2 4" xfId="7756" xr:uid="{00000000-0005-0000-0000-0000511D0000}"/>
    <cellStyle name="40% - akcent 4 2 8 4 2 2 5" xfId="7757" xr:uid="{00000000-0005-0000-0000-0000521D0000}"/>
    <cellStyle name="40% - akcent 4 2 8 4 2 2 6" xfId="7758" xr:uid="{00000000-0005-0000-0000-0000531D0000}"/>
    <cellStyle name="40% - akcent 4 2 8 4 2 3" xfId="7759" xr:uid="{00000000-0005-0000-0000-0000541D0000}"/>
    <cellStyle name="40% - akcent 4 2 8 4 2 4" xfId="7760" xr:uid="{00000000-0005-0000-0000-0000551D0000}"/>
    <cellStyle name="40% - akcent 4 2 8 4 2 5" xfId="7761" xr:uid="{00000000-0005-0000-0000-0000561D0000}"/>
    <cellStyle name="40% - akcent 4 2 8 4 2 6" xfId="7762" xr:uid="{00000000-0005-0000-0000-0000571D0000}"/>
    <cellStyle name="40% - akcent 4 2 8 4 2 7" xfId="7763" xr:uid="{00000000-0005-0000-0000-0000581D0000}"/>
    <cellStyle name="40% - akcent 4 2 8 4 3" xfId="7764" xr:uid="{00000000-0005-0000-0000-0000591D0000}"/>
    <cellStyle name="40% - akcent 4 2 8 4 4" xfId="7765" xr:uid="{00000000-0005-0000-0000-00005A1D0000}"/>
    <cellStyle name="40% - akcent 4 2 8 4 5" xfId="7766" xr:uid="{00000000-0005-0000-0000-00005B1D0000}"/>
    <cellStyle name="40% - akcent 4 2 8 4 6" xfId="7767" xr:uid="{00000000-0005-0000-0000-00005C1D0000}"/>
    <cellStyle name="40% - akcent 4 2 8 4 7" xfId="7768" xr:uid="{00000000-0005-0000-0000-00005D1D0000}"/>
    <cellStyle name="40% - akcent 4 2 8 4 7 2" xfId="7769" xr:uid="{00000000-0005-0000-0000-00005E1D0000}"/>
    <cellStyle name="40% - akcent 4 2 8 4 7 3" xfId="7770" xr:uid="{00000000-0005-0000-0000-00005F1D0000}"/>
    <cellStyle name="40% - akcent 4 2 8 4 7 4" xfId="7771" xr:uid="{00000000-0005-0000-0000-0000601D0000}"/>
    <cellStyle name="40% - akcent 4 2 8 4 7 5" xfId="7772" xr:uid="{00000000-0005-0000-0000-0000611D0000}"/>
    <cellStyle name="40% - akcent 4 2 8 4 7 6" xfId="7773" xr:uid="{00000000-0005-0000-0000-0000621D0000}"/>
    <cellStyle name="40% - akcent 4 2 8 4 8" xfId="7774" xr:uid="{00000000-0005-0000-0000-0000631D0000}"/>
    <cellStyle name="40% - akcent 4 2 8 4 9" xfId="7775" xr:uid="{00000000-0005-0000-0000-0000641D0000}"/>
    <cellStyle name="40% - akcent 4 2 8 5" xfId="7776" xr:uid="{00000000-0005-0000-0000-0000651D0000}"/>
    <cellStyle name="40% - akcent 4 2 8 5 2" xfId="7777" xr:uid="{00000000-0005-0000-0000-0000661D0000}"/>
    <cellStyle name="40% - akcent 4 2 8 5 2 2" xfId="7778" xr:uid="{00000000-0005-0000-0000-0000671D0000}"/>
    <cellStyle name="40% - akcent 4 2 8 5 2 3" xfId="7779" xr:uid="{00000000-0005-0000-0000-0000681D0000}"/>
    <cellStyle name="40% - akcent 4 2 8 5 2 4" xfId="7780" xr:uid="{00000000-0005-0000-0000-0000691D0000}"/>
    <cellStyle name="40% - akcent 4 2 8 5 2 5" xfId="7781" xr:uid="{00000000-0005-0000-0000-00006A1D0000}"/>
    <cellStyle name="40% - akcent 4 2 8 5 2 6" xfId="7782" xr:uid="{00000000-0005-0000-0000-00006B1D0000}"/>
    <cellStyle name="40% - akcent 4 2 8 5 3" xfId="7783" xr:uid="{00000000-0005-0000-0000-00006C1D0000}"/>
    <cellStyle name="40% - akcent 4 2 8 5 4" xfId="7784" xr:uid="{00000000-0005-0000-0000-00006D1D0000}"/>
    <cellStyle name="40% - akcent 4 2 8 5 5" xfId="7785" xr:uid="{00000000-0005-0000-0000-00006E1D0000}"/>
    <cellStyle name="40% - akcent 4 2 8 5 6" xfId="7786" xr:uid="{00000000-0005-0000-0000-00006F1D0000}"/>
    <cellStyle name="40% - akcent 4 2 8 5 7" xfId="7787" xr:uid="{00000000-0005-0000-0000-0000701D0000}"/>
    <cellStyle name="40% - akcent 4 2 8 6" xfId="7788" xr:uid="{00000000-0005-0000-0000-0000711D0000}"/>
    <cellStyle name="40% - akcent 4 2 8 7" xfId="7789" xr:uid="{00000000-0005-0000-0000-0000721D0000}"/>
    <cellStyle name="40% - akcent 4 2 8 8" xfId="7790" xr:uid="{00000000-0005-0000-0000-0000731D0000}"/>
    <cellStyle name="40% - akcent 4 2 8 9" xfId="7791" xr:uid="{00000000-0005-0000-0000-0000741D0000}"/>
    <cellStyle name="40% - akcent 4 2 8 9 2" xfId="7792" xr:uid="{00000000-0005-0000-0000-0000751D0000}"/>
    <cellStyle name="40% - akcent 4 2 8 9 3" xfId="7793" xr:uid="{00000000-0005-0000-0000-0000761D0000}"/>
    <cellStyle name="40% - akcent 4 2 8 9 4" xfId="7794" xr:uid="{00000000-0005-0000-0000-0000771D0000}"/>
    <cellStyle name="40% - akcent 4 2 8 9 5" xfId="7795" xr:uid="{00000000-0005-0000-0000-0000781D0000}"/>
    <cellStyle name="40% - akcent 4 2 8 9 6" xfId="7796" xr:uid="{00000000-0005-0000-0000-0000791D0000}"/>
    <cellStyle name="40% - akcent 4 2 9" xfId="7797" xr:uid="{00000000-0005-0000-0000-00007A1D0000}"/>
    <cellStyle name="40% - akcent 4 2_archeolagia" xfId="7798" xr:uid="{00000000-0005-0000-0000-00007B1D0000}"/>
    <cellStyle name="40% - akcent 4 3" xfId="125" xr:uid="{00000000-0005-0000-0000-00007C1D0000}"/>
    <cellStyle name="40% - akcent 4 3 2" xfId="126" xr:uid="{00000000-0005-0000-0000-00007D1D0000}"/>
    <cellStyle name="40% - akcent 4 3 2 2" xfId="7800" xr:uid="{00000000-0005-0000-0000-00007E1D0000}"/>
    <cellStyle name="40% - akcent 4 3 3" xfId="7801" xr:uid="{00000000-0005-0000-0000-00007F1D0000}"/>
    <cellStyle name="40% - akcent 4 3 4" xfId="7802" xr:uid="{00000000-0005-0000-0000-0000801D0000}"/>
    <cellStyle name="40% - akcent 4 3 5" xfId="7803" xr:uid="{00000000-0005-0000-0000-0000811D0000}"/>
    <cellStyle name="40% - akcent 4 3 6" xfId="7799" xr:uid="{00000000-0005-0000-0000-0000821D0000}"/>
    <cellStyle name="40% - akcent 4 4" xfId="127" xr:uid="{00000000-0005-0000-0000-0000831D0000}"/>
    <cellStyle name="40% - akcent 4 4 2" xfId="128" xr:uid="{00000000-0005-0000-0000-0000841D0000}"/>
    <cellStyle name="40% - akcent 4 4 2 2" xfId="7805" xr:uid="{00000000-0005-0000-0000-0000851D0000}"/>
    <cellStyle name="40% - akcent 4 4 3" xfId="7806" xr:uid="{00000000-0005-0000-0000-0000861D0000}"/>
    <cellStyle name="40% - akcent 4 4 4" xfId="7807" xr:uid="{00000000-0005-0000-0000-0000871D0000}"/>
    <cellStyle name="40% - akcent 4 4 5" xfId="7808" xr:uid="{00000000-0005-0000-0000-0000881D0000}"/>
    <cellStyle name="40% - akcent 4 4 6" xfId="7804" xr:uid="{00000000-0005-0000-0000-0000891D0000}"/>
    <cellStyle name="40% - akcent 4 5" xfId="129" xr:uid="{00000000-0005-0000-0000-00008A1D0000}"/>
    <cellStyle name="40% - akcent 4 5 2" xfId="130" xr:uid="{00000000-0005-0000-0000-00008B1D0000}"/>
    <cellStyle name="40% - akcent 4 5 2 2" xfId="7810" xr:uid="{00000000-0005-0000-0000-00008C1D0000}"/>
    <cellStyle name="40% - akcent 4 5 3" xfId="7811" xr:uid="{00000000-0005-0000-0000-00008D1D0000}"/>
    <cellStyle name="40% - akcent 4 5 4" xfId="7812" xr:uid="{00000000-0005-0000-0000-00008E1D0000}"/>
    <cellStyle name="40% - akcent 4 5 5" xfId="7813" xr:uid="{00000000-0005-0000-0000-00008F1D0000}"/>
    <cellStyle name="40% - akcent 4 5 6" xfId="7809" xr:uid="{00000000-0005-0000-0000-0000901D0000}"/>
    <cellStyle name="40% - akcent 4 6" xfId="131" xr:uid="{00000000-0005-0000-0000-0000911D0000}"/>
    <cellStyle name="40% - akcent 4 6 2" xfId="132" xr:uid="{00000000-0005-0000-0000-0000921D0000}"/>
    <cellStyle name="40% - akcent 4 6 2 2" xfId="7815" xr:uid="{00000000-0005-0000-0000-0000931D0000}"/>
    <cellStyle name="40% - akcent 4 6 3" xfId="7816" xr:uid="{00000000-0005-0000-0000-0000941D0000}"/>
    <cellStyle name="40% - akcent 4 6 4" xfId="7817" xr:uid="{00000000-0005-0000-0000-0000951D0000}"/>
    <cellStyle name="40% - akcent 4 6 5" xfId="7818" xr:uid="{00000000-0005-0000-0000-0000961D0000}"/>
    <cellStyle name="40% - akcent 4 6 6" xfId="7814" xr:uid="{00000000-0005-0000-0000-0000971D0000}"/>
    <cellStyle name="40% - akcent 4 7" xfId="133" xr:uid="{00000000-0005-0000-0000-0000981D0000}"/>
    <cellStyle name="40% - akcent 4 7 2" xfId="134" xr:uid="{00000000-0005-0000-0000-0000991D0000}"/>
    <cellStyle name="40% - akcent 4 7 2 2" xfId="7820" xr:uid="{00000000-0005-0000-0000-00009A1D0000}"/>
    <cellStyle name="40% - akcent 4 7 3" xfId="7821" xr:uid="{00000000-0005-0000-0000-00009B1D0000}"/>
    <cellStyle name="40% - akcent 4 7 4" xfId="7822" xr:uid="{00000000-0005-0000-0000-00009C1D0000}"/>
    <cellStyle name="40% - akcent 4 7 5" xfId="7823" xr:uid="{00000000-0005-0000-0000-00009D1D0000}"/>
    <cellStyle name="40% - akcent 4 7 6" xfId="7819" xr:uid="{00000000-0005-0000-0000-00009E1D0000}"/>
    <cellStyle name="40% - akcent 4 8" xfId="7824" xr:uid="{00000000-0005-0000-0000-00009F1D0000}"/>
    <cellStyle name="40% - akcent 4 8 2" xfId="7825" xr:uid="{00000000-0005-0000-0000-0000A01D0000}"/>
    <cellStyle name="40% - akcent 4 8 3" xfId="7826" xr:uid="{00000000-0005-0000-0000-0000A11D0000}"/>
    <cellStyle name="40% - akcent 4 8 4" xfId="7827" xr:uid="{00000000-0005-0000-0000-0000A21D0000}"/>
    <cellStyle name="40% - akcent 4 9" xfId="7828" xr:uid="{00000000-0005-0000-0000-0000A31D0000}"/>
    <cellStyle name="40% - akcent 5 1" xfId="7829" xr:uid="{00000000-0005-0000-0000-0000A41D0000}"/>
    <cellStyle name="40% - akcent 5 10" xfId="7830" xr:uid="{00000000-0005-0000-0000-0000A51D0000}"/>
    <cellStyle name="40% - akcent 5 11" xfId="7831" xr:uid="{00000000-0005-0000-0000-0000A61D0000}"/>
    <cellStyle name="40% - akcent 5 12" xfId="7832" xr:uid="{00000000-0005-0000-0000-0000A71D0000}"/>
    <cellStyle name="40% - akcent 5 13" xfId="7833" xr:uid="{00000000-0005-0000-0000-0000A81D0000}"/>
    <cellStyle name="40% - akcent 5 14" xfId="7834" xr:uid="{00000000-0005-0000-0000-0000A91D0000}"/>
    <cellStyle name="40% - akcent 5 15" xfId="7835" xr:uid="{00000000-0005-0000-0000-0000AA1D0000}"/>
    <cellStyle name="40% - akcent 5 16" xfId="7836" xr:uid="{00000000-0005-0000-0000-0000AB1D0000}"/>
    <cellStyle name="40% - akcent 5 17" xfId="7837" xr:uid="{00000000-0005-0000-0000-0000AC1D0000}"/>
    <cellStyle name="40% - akcent 5 18" xfId="7838" xr:uid="{00000000-0005-0000-0000-0000AD1D0000}"/>
    <cellStyle name="40% - akcent 5 19" xfId="7839" xr:uid="{00000000-0005-0000-0000-0000AE1D0000}"/>
    <cellStyle name="40% - akcent 5 2" xfId="135" xr:uid="{00000000-0005-0000-0000-0000AF1D0000}"/>
    <cellStyle name="40% - akcent 5 2 10" xfId="7841" xr:uid="{00000000-0005-0000-0000-0000B01D0000}"/>
    <cellStyle name="40% - akcent 5 2 11" xfId="7842" xr:uid="{00000000-0005-0000-0000-0000B11D0000}"/>
    <cellStyle name="40% - akcent 5 2 12" xfId="7843" xr:uid="{00000000-0005-0000-0000-0000B21D0000}"/>
    <cellStyle name="40% - akcent 5 2 13" xfId="7844" xr:uid="{00000000-0005-0000-0000-0000B31D0000}"/>
    <cellStyle name="40% - akcent 5 2 13 10" xfId="7845" xr:uid="{00000000-0005-0000-0000-0000B41D0000}"/>
    <cellStyle name="40% - akcent 5 2 13 11" xfId="7846" xr:uid="{00000000-0005-0000-0000-0000B51D0000}"/>
    <cellStyle name="40% - akcent 5 2 13 12" xfId="7847" xr:uid="{00000000-0005-0000-0000-0000B61D0000}"/>
    <cellStyle name="40% - akcent 5 2 13 2" xfId="7848" xr:uid="{00000000-0005-0000-0000-0000B71D0000}"/>
    <cellStyle name="40% - akcent 5 2 13 2 10" xfId="7849" xr:uid="{00000000-0005-0000-0000-0000B81D0000}"/>
    <cellStyle name="40% - akcent 5 2 13 2 11" xfId="7850" xr:uid="{00000000-0005-0000-0000-0000B91D0000}"/>
    <cellStyle name="40% - akcent 5 2 13 2 2" xfId="7851" xr:uid="{00000000-0005-0000-0000-0000BA1D0000}"/>
    <cellStyle name="40% - akcent 5 2 13 2 2 10" xfId="7852" xr:uid="{00000000-0005-0000-0000-0000BB1D0000}"/>
    <cellStyle name="40% - akcent 5 2 13 2 2 11" xfId="7853" xr:uid="{00000000-0005-0000-0000-0000BC1D0000}"/>
    <cellStyle name="40% - akcent 5 2 13 2 2 2" xfId="7854" xr:uid="{00000000-0005-0000-0000-0000BD1D0000}"/>
    <cellStyle name="40% - akcent 5 2 13 2 2 2 2" xfId="7855" xr:uid="{00000000-0005-0000-0000-0000BE1D0000}"/>
    <cellStyle name="40% - akcent 5 2 13 2 2 2 2 2" xfId="7856" xr:uid="{00000000-0005-0000-0000-0000BF1D0000}"/>
    <cellStyle name="40% - akcent 5 2 13 2 2 2 2 3" xfId="7857" xr:uid="{00000000-0005-0000-0000-0000C01D0000}"/>
    <cellStyle name="40% - akcent 5 2 13 2 2 2 2 4" xfId="7858" xr:uid="{00000000-0005-0000-0000-0000C11D0000}"/>
    <cellStyle name="40% - akcent 5 2 13 2 2 2 2 5" xfId="7859" xr:uid="{00000000-0005-0000-0000-0000C21D0000}"/>
    <cellStyle name="40% - akcent 5 2 13 2 2 2 2 6" xfId="7860" xr:uid="{00000000-0005-0000-0000-0000C31D0000}"/>
    <cellStyle name="40% - akcent 5 2 13 2 2 2 3" xfId="7861" xr:uid="{00000000-0005-0000-0000-0000C41D0000}"/>
    <cellStyle name="40% - akcent 5 2 13 2 2 2 4" xfId="7862" xr:uid="{00000000-0005-0000-0000-0000C51D0000}"/>
    <cellStyle name="40% - akcent 5 2 13 2 2 2 5" xfId="7863" xr:uid="{00000000-0005-0000-0000-0000C61D0000}"/>
    <cellStyle name="40% - akcent 5 2 13 2 2 2 6" xfId="7864" xr:uid="{00000000-0005-0000-0000-0000C71D0000}"/>
    <cellStyle name="40% - akcent 5 2 13 2 2 2 7" xfId="7865" xr:uid="{00000000-0005-0000-0000-0000C81D0000}"/>
    <cellStyle name="40% - akcent 5 2 13 2 2 3" xfId="7866" xr:uid="{00000000-0005-0000-0000-0000C91D0000}"/>
    <cellStyle name="40% - akcent 5 2 13 2 2 4" xfId="7867" xr:uid="{00000000-0005-0000-0000-0000CA1D0000}"/>
    <cellStyle name="40% - akcent 5 2 13 2 2 5" xfId="7868" xr:uid="{00000000-0005-0000-0000-0000CB1D0000}"/>
    <cellStyle name="40% - akcent 5 2 13 2 2 6" xfId="7869" xr:uid="{00000000-0005-0000-0000-0000CC1D0000}"/>
    <cellStyle name="40% - akcent 5 2 13 2 2 7" xfId="7870" xr:uid="{00000000-0005-0000-0000-0000CD1D0000}"/>
    <cellStyle name="40% - akcent 5 2 13 2 2 7 2" xfId="7871" xr:uid="{00000000-0005-0000-0000-0000CE1D0000}"/>
    <cellStyle name="40% - akcent 5 2 13 2 2 7 3" xfId="7872" xr:uid="{00000000-0005-0000-0000-0000CF1D0000}"/>
    <cellStyle name="40% - akcent 5 2 13 2 2 7 4" xfId="7873" xr:uid="{00000000-0005-0000-0000-0000D01D0000}"/>
    <cellStyle name="40% - akcent 5 2 13 2 2 7 5" xfId="7874" xr:uid="{00000000-0005-0000-0000-0000D11D0000}"/>
    <cellStyle name="40% - akcent 5 2 13 2 2 7 6" xfId="7875" xr:uid="{00000000-0005-0000-0000-0000D21D0000}"/>
    <cellStyle name="40% - akcent 5 2 13 2 2 8" xfId="7876" xr:uid="{00000000-0005-0000-0000-0000D31D0000}"/>
    <cellStyle name="40% - akcent 5 2 13 2 2 9" xfId="7877" xr:uid="{00000000-0005-0000-0000-0000D41D0000}"/>
    <cellStyle name="40% - akcent 5 2 13 2 3" xfId="7878" xr:uid="{00000000-0005-0000-0000-0000D51D0000}"/>
    <cellStyle name="40% - akcent 5 2 13 2 3 2" xfId="7879" xr:uid="{00000000-0005-0000-0000-0000D61D0000}"/>
    <cellStyle name="40% - akcent 5 2 13 2 3 2 2" xfId="7880" xr:uid="{00000000-0005-0000-0000-0000D71D0000}"/>
    <cellStyle name="40% - akcent 5 2 13 2 3 2 3" xfId="7881" xr:uid="{00000000-0005-0000-0000-0000D81D0000}"/>
    <cellStyle name="40% - akcent 5 2 13 2 3 2 4" xfId="7882" xr:uid="{00000000-0005-0000-0000-0000D91D0000}"/>
    <cellStyle name="40% - akcent 5 2 13 2 3 2 5" xfId="7883" xr:uid="{00000000-0005-0000-0000-0000DA1D0000}"/>
    <cellStyle name="40% - akcent 5 2 13 2 3 2 6" xfId="7884" xr:uid="{00000000-0005-0000-0000-0000DB1D0000}"/>
    <cellStyle name="40% - akcent 5 2 13 2 3 3" xfId="7885" xr:uid="{00000000-0005-0000-0000-0000DC1D0000}"/>
    <cellStyle name="40% - akcent 5 2 13 2 3 4" xfId="7886" xr:uid="{00000000-0005-0000-0000-0000DD1D0000}"/>
    <cellStyle name="40% - akcent 5 2 13 2 3 5" xfId="7887" xr:uid="{00000000-0005-0000-0000-0000DE1D0000}"/>
    <cellStyle name="40% - akcent 5 2 13 2 3 6" xfId="7888" xr:uid="{00000000-0005-0000-0000-0000DF1D0000}"/>
    <cellStyle name="40% - akcent 5 2 13 2 3 7" xfId="7889" xr:uid="{00000000-0005-0000-0000-0000E01D0000}"/>
    <cellStyle name="40% - akcent 5 2 13 2 4" xfId="7890" xr:uid="{00000000-0005-0000-0000-0000E11D0000}"/>
    <cellStyle name="40% - akcent 5 2 13 2 5" xfId="7891" xr:uid="{00000000-0005-0000-0000-0000E21D0000}"/>
    <cellStyle name="40% - akcent 5 2 13 2 6" xfId="7892" xr:uid="{00000000-0005-0000-0000-0000E31D0000}"/>
    <cellStyle name="40% - akcent 5 2 13 2 7" xfId="7893" xr:uid="{00000000-0005-0000-0000-0000E41D0000}"/>
    <cellStyle name="40% - akcent 5 2 13 2 7 2" xfId="7894" xr:uid="{00000000-0005-0000-0000-0000E51D0000}"/>
    <cellStyle name="40% - akcent 5 2 13 2 7 3" xfId="7895" xr:uid="{00000000-0005-0000-0000-0000E61D0000}"/>
    <cellStyle name="40% - akcent 5 2 13 2 7 4" xfId="7896" xr:uid="{00000000-0005-0000-0000-0000E71D0000}"/>
    <cellStyle name="40% - akcent 5 2 13 2 7 5" xfId="7897" xr:uid="{00000000-0005-0000-0000-0000E81D0000}"/>
    <cellStyle name="40% - akcent 5 2 13 2 7 6" xfId="7898" xr:uid="{00000000-0005-0000-0000-0000E91D0000}"/>
    <cellStyle name="40% - akcent 5 2 13 2 8" xfId="7899" xr:uid="{00000000-0005-0000-0000-0000EA1D0000}"/>
    <cellStyle name="40% - akcent 5 2 13 2 9" xfId="7900" xr:uid="{00000000-0005-0000-0000-0000EB1D0000}"/>
    <cellStyle name="40% - akcent 5 2 13 3" xfId="7901" xr:uid="{00000000-0005-0000-0000-0000EC1D0000}"/>
    <cellStyle name="40% - akcent 5 2 13 3 2" xfId="7902" xr:uid="{00000000-0005-0000-0000-0000ED1D0000}"/>
    <cellStyle name="40% - akcent 5 2 13 3 2 2" xfId="7903" xr:uid="{00000000-0005-0000-0000-0000EE1D0000}"/>
    <cellStyle name="40% - akcent 5 2 13 3 2 3" xfId="7904" xr:uid="{00000000-0005-0000-0000-0000EF1D0000}"/>
    <cellStyle name="40% - akcent 5 2 13 3 2 4" xfId="7905" xr:uid="{00000000-0005-0000-0000-0000F01D0000}"/>
    <cellStyle name="40% - akcent 5 2 13 3 2 5" xfId="7906" xr:uid="{00000000-0005-0000-0000-0000F11D0000}"/>
    <cellStyle name="40% - akcent 5 2 13 3 2 6" xfId="7907" xr:uid="{00000000-0005-0000-0000-0000F21D0000}"/>
    <cellStyle name="40% - akcent 5 2 13 3 3" xfId="7908" xr:uid="{00000000-0005-0000-0000-0000F31D0000}"/>
    <cellStyle name="40% - akcent 5 2 13 3 4" xfId="7909" xr:uid="{00000000-0005-0000-0000-0000F41D0000}"/>
    <cellStyle name="40% - akcent 5 2 13 3 5" xfId="7910" xr:uid="{00000000-0005-0000-0000-0000F51D0000}"/>
    <cellStyle name="40% - akcent 5 2 13 3 6" xfId="7911" xr:uid="{00000000-0005-0000-0000-0000F61D0000}"/>
    <cellStyle name="40% - akcent 5 2 13 3 7" xfId="7912" xr:uid="{00000000-0005-0000-0000-0000F71D0000}"/>
    <cellStyle name="40% - akcent 5 2 13 4" xfId="7913" xr:uid="{00000000-0005-0000-0000-0000F81D0000}"/>
    <cellStyle name="40% - akcent 5 2 13 5" xfId="7914" xr:uid="{00000000-0005-0000-0000-0000F91D0000}"/>
    <cellStyle name="40% - akcent 5 2 13 6" xfId="7915" xr:uid="{00000000-0005-0000-0000-0000FA1D0000}"/>
    <cellStyle name="40% - akcent 5 2 13 7" xfId="7916" xr:uid="{00000000-0005-0000-0000-0000FB1D0000}"/>
    <cellStyle name="40% - akcent 5 2 13 8" xfId="7917" xr:uid="{00000000-0005-0000-0000-0000FC1D0000}"/>
    <cellStyle name="40% - akcent 5 2 13 8 2" xfId="7918" xr:uid="{00000000-0005-0000-0000-0000FD1D0000}"/>
    <cellStyle name="40% - akcent 5 2 13 8 3" xfId="7919" xr:uid="{00000000-0005-0000-0000-0000FE1D0000}"/>
    <cellStyle name="40% - akcent 5 2 13 8 4" xfId="7920" xr:uid="{00000000-0005-0000-0000-0000FF1D0000}"/>
    <cellStyle name="40% - akcent 5 2 13 8 5" xfId="7921" xr:uid="{00000000-0005-0000-0000-0000001E0000}"/>
    <cellStyle name="40% - akcent 5 2 13 8 6" xfId="7922" xr:uid="{00000000-0005-0000-0000-0000011E0000}"/>
    <cellStyle name="40% - akcent 5 2 13 9" xfId="7923" xr:uid="{00000000-0005-0000-0000-0000021E0000}"/>
    <cellStyle name="40% - akcent 5 2 14" xfId="7924" xr:uid="{00000000-0005-0000-0000-0000031E0000}"/>
    <cellStyle name="40% - akcent 5 2 14 10" xfId="7925" xr:uid="{00000000-0005-0000-0000-0000041E0000}"/>
    <cellStyle name="40% - akcent 5 2 14 11" xfId="7926" xr:uid="{00000000-0005-0000-0000-0000051E0000}"/>
    <cellStyle name="40% - akcent 5 2 14 2" xfId="7927" xr:uid="{00000000-0005-0000-0000-0000061E0000}"/>
    <cellStyle name="40% - akcent 5 2 14 2 2" xfId="7928" xr:uid="{00000000-0005-0000-0000-0000071E0000}"/>
    <cellStyle name="40% - akcent 5 2 14 2 2 2" xfId="7929" xr:uid="{00000000-0005-0000-0000-0000081E0000}"/>
    <cellStyle name="40% - akcent 5 2 14 2 2 3" xfId="7930" xr:uid="{00000000-0005-0000-0000-0000091E0000}"/>
    <cellStyle name="40% - akcent 5 2 14 2 2 4" xfId="7931" xr:uid="{00000000-0005-0000-0000-00000A1E0000}"/>
    <cellStyle name="40% - akcent 5 2 14 2 2 5" xfId="7932" xr:uid="{00000000-0005-0000-0000-00000B1E0000}"/>
    <cellStyle name="40% - akcent 5 2 14 2 2 6" xfId="7933" xr:uid="{00000000-0005-0000-0000-00000C1E0000}"/>
    <cellStyle name="40% - akcent 5 2 14 2 3" xfId="7934" xr:uid="{00000000-0005-0000-0000-00000D1E0000}"/>
    <cellStyle name="40% - akcent 5 2 14 2 4" xfId="7935" xr:uid="{00000000-0005-0000-0000-00000E1E0000}"/>
    <cellStyle name="40% - akcent 5 2 14 2 5" xfId="7936" xr:uid="{00000000-0005-0000-0000-00000F1E0000}"/>
    <cellStyle name="40% - akcent 5 2 14 2 6" xfId="7937" xr:uid="{00000000-0005-0000-0000-0000101E0000}"/>
    <cellStyle name="40% - akcent 5 2 14 2 7" xfId="7938" xr:uid="{00000000-0005-0000-0000-0000111E0000}"/>
    <cellStyle name="40% - akcent 5 2 14 3" xfId="7939" xr:uid="{00000000-0005-0000-0000-0000121E0000}"/>
    <cellStyle name="40% - akcent 5 2 14 4" xfId="7940" xr:uid="{00000000-0005-0000-0000-0000131E0000}"/>
    <cellStyle name="40% - akcent 5 2 14 5" xfId="7941" xr:uid="{00000000-0005-0000-0000-0000141E0000}"/>
    <cellStyle name="40% - akcent 5 2 14 6" xfId="7942" xr:uid="{00000000-0005-0000-0000-0000151E0000}"/>
    <cellStyle name="40% - akcent 5 2 14 7" xfId="7943" xr:uid="{00000000-0005-0000-0000-0000161E0000}"/>
    <cellStyle name="40% - akcent 5 2 14 7 2" xfId="7944" xr:uid="{00000000-0005-0000-0000-0000171E0000}"/>
    <cellStyle name="40% - akcent 5 2 14 7 3" xfId="7945" xr:uid="{00000000-0005-0000-0000-0000181E0000}"/>
    <cellStyle name="40% - akcent 5 2 14 7 4" xfId="7946" xr:uid="{00000000-0005-0000-0000-0000191E0000}"/>
    <cellStyle name="40% - akcent 5 2 14 7 5" xfId="7947" xr:uid="{00000000-0005-0000-0000-00001A1E0000}"/>
    <cellStyle name="40% - akcent 5 2 14 7 6" xfId="7948" xr:uid="{00000000-0005-0000-0000-00001B1E0000}"/>
    <cellStyle name="40% - akcent 5 2 14 8" xfId="7949" xr:uid="{00000000-0005-0000-0000-00001C1E0000}"/>
    <cellStyle name="40% - akcent 5 2 14 9" xfId="7950" xr:uid="{00000000-0005-0000-0000-00001D1E0000}"/>
    <cellStyle name="40% - akcent 5 2 15" xfId="7951" xr:uid="{00000000-0005-0000-0000-00001E1E0000}"/>
    <cellStyle name="40% - akcent 5 2 15 2" xfId="7952" xr:uid="{00000000-0005-0000-0000-00001F1E0000}"/>
    <cellStyle name="40% - akcent 5 2 15 2 2" xfId="7953" xr:uid="{00000000-0005-0000-0000-0000201E0000}"/>
    <cellStyle name="40% - akcent 5 2 15 2 3" xfId="7954" xr:uid="{00000000-0005-0000-0000-0000211E0000}"/>
    <cellStyle name="40% - akcent 5 2 15 2 4" xfId="7955" xr:uid="{00000000-0005-0000-0000-0000221E0000}"/>
    <cellStyle name="40% - akcent 5 2 15 2 5" xfId="7956" xr:uid="{00000000-0005-0000-0000-0000231E0000}"/>
    <cellStyle name="40% - akcent 5 2 15 2 6" xfId="7957" xr:uid="{00000000-0005-0000-0000-0000241E0000}"/>
    <cellStyle name="40% - akcent 5 2 15 3" xfId="7958" xr:uid="{00000000-0005-0000-0000-0000251E0000}"/>
    <cellStyle name="40% - akcent 5 2 15 4" xfId="7959" xr:uid="{00000000-0005-0000-0000-0000261E0000}"/>
    <cellStyle name="40% - akcent 5 2 15 5" xfId="7960" xr:uid="{00000000-0005-0000-0000-0000271E0000}"/>
    <cellStyle name="40% - akcent 5 2 15 6" xfId="7961" xr:uid="{00000000-0005-0000-0000-0000281E0000}"/>
    <cellStyle name="40% - akcent 5 2 15 7" xfId="7962" xr:uid="{00000000-0005-0000-0000-0000291E0000}"/>
    <cellStyle name="40% - akcent 5 2 16" xfId="7963" xr:uid="{00000000-0005-0000-0000-00002A1E0000}"/>
    <cellStyle name="40% - akcent 5 2 17" xfId="7964" xr:uid="{00000000-0005-0000-0000-00002B1E0000}"/>
    <cellStyle name="40% - akcent 5 2 18" xfId="7965" xr:uid="{00000000-0005-0000-0000-00002C1E0000}"/>
    <cellStyle name="40% - akcent 5 2 19" xfId="7966" xr:uid="{00000000-0005-0000-0000-00002D1E0000}"/>
    <cellStyle name="40% - akcent 5 2 2" xfId="136" xr:uid="{00000000-0005-0000-0000-00002E1E0000}"/>
    <cellStyle name="40% - akcent 5 2 2 2" xfId="7967" xr:uid="{00000000-0005-0000-0000-00002F1E0000}"/>
    <cellStyle name="40% - akcent 5 2 20" xfId="7968" xr:uid="{00000000-0005-0000-0000-0000301E0000}"/>
    <cellStyle name="40% - akcent 5 2 21" xfId="7969" xr:uid="{00000000-0005-0000-0000-0000311E0000}"/>
    <cellStyle name="40% - akcent 5 2 21 2" xfId="7970" xr:uid="{00000000-0005-0000-0000-0000321E0000}"/>
    <cellStyle name="40% - akcent 5 2 21 3" xfId="7971" xr:uid="{00000000-0005-0000-0000-0000331E0000}"/>
    <cellStyle name="40% - akcent 5 2 21 4" xfId="7972" xr:uid="{00000000-0005-0000-0000-0000341E0000}"/>
    <cellStyle name="40% - akcent 5 2 21 5" xfId="7973" xr:uid="{00000000-0005-0000-0000-0000351E0000}"/>
    <cellStyle name="40% - akcent 5 2 21 6" xfId="7974" xr:uid="{00000000-0005-0000-0000-0000361E0000}"/>
    <cellStyle name="40% - akcent 5 2 22" xfId="7975" xr:uid="{00000000-0005-0000-0000-0000371E0000}"/>
    <cellStyle name="40% - akcent 5 2 23" xfId="7976" xr:uid="{00000000-0005-0000-0000-0000381E0000}"/>
    <cellStyle name="40% - akcent 5 2 24" xfId="7977" xr:uid="{00000000-0005-0000-0000-0000391E0000}"/>
    <cellStyle name="40% - akcent 5 2 25" xfId="7978" xr:uid="{00000000-0005-0000-0000-00003A1E0000}"/>
    <cellStyle name="40% - akcent 5 2 26" xfId="7979" xr:uid="{00000000-0005-0000-0000-00003B1E0000}"/>
    <cellStyle name="40% - akcent 5 2 27" xfId="7980" xr:uid="{00000000-0005-0000-0000-00003C1E0000}"/>
    <cellStyle name="40% - akcent 5 2 28" xfId="7981" xr:uid="{00000000-0005-0000-0000-00003D1E0000}"/>
    <cellStyle name="40% - akcent 5 2 29" xfId="7982" xr:uid="{00000000-0005-0000-0000-00003E1E0000}"/>
    <cellStyle name="40% - akcent 5 2 3" xfId="7983" xr:uid="{00000000-0005-0000-0000-00003F1E0000}"/>
    <cellStyle name="40% - akcent 5 2 30" xfId="7984" xr:uid="{00000000-0005-0000-0000-0000401E0000}"/>
    <cellStyle name="40% - akcent 5 2 31" xfId="7985" xr:uid="{00000000-0005-0000-0000-0000411E0000}"/>
    <cellStyle name="40% - akcent 5 2 32" xfId="7840" xr:uid="{00000000-0005-0000-0000-0000421E0000}"/>
    <cellStyle name="40% - akcent 5 2 33" xfId="37827" xr:uid="{00000000-0005-0000-0000-0000431E0000}"/>
    <cellStyle name="40% - akcent 5 2 4" xfId="7986" xr:uid="{00000000-0005-0000-0000-0000441E0000}"/>
    <cellStyle name="40% - akcent 5 2 5" xfId="7987" xr:uid="{00000000-0005-0000-0000-0000451E0000}"/>
    <cellStyle name="40% - akcent 5 2 6" xfId="7988" xr:uid="{00000000-0005-0000-0000-0000461E0000}"/>
    <cellStyle name="40% - akcent 5 2 6 10" xfId="7989" xr:uid="{00000000-0005-0000-0000-0000471E0000}"/>
    <cellStyle name="40% - akcent 5 2 6 11" xfId="7990" xr:uid="{00000000-0005-0000-0000-0000481E0000}"/>
    <cellStyle name="40% - akcent 5 2 6 12" xfId="7991" xr:uid="{00000000-0005-0000-0000-0000491E0000}"/>
    <cellStyle name="40% - akcent 5 2 6 13" xfId="7992" xr:uid="{00000000-0005-0000-0000-00004A1E0000}"/>
    <cellStyle name="40% - akcent 5 2 6 2" xfId="7993" xr:uid="{00000000-0005-0000-0000-00004B1E0000}"/>
    <cellStyle name="40% - akcent 5 2 6 2 10" xfId="7994" xr:uid="{00000000-0005-0000-0000-00004C1E0000}"/>
    <cellStyle name="40% - akcent 5 2 6 2 11" xfId="7995" xr:uid="{00000000-0005-0000-0000-00004D1E0000}"/>
    <cellStyle name="40% - akcent 5 2 6 2 12" xfId="7996" xr:uid="{00000000-0005-0000-0000-00004E1E0000}"/>
    <cellStyle name="40% - akcent 5 2 6 2 13" xfId="7997" xr:uid="{00000000-0005-0000-0000-00004F1E0000}"/>
    <cellStyle name="40% - akcent 5 2 6 2 2" xfId="7998" xr:uid="{00000000-0005-0000-0000-0000501E0000}"/>
    <cellStyle name="40% - akcent 5 2 6 2 2 10" xfId="7999" xr:uid="{00000000-0005-0000-0000-0000511E0000}"/>
    <cellStyle name="40% - akcent 5 2 6 2 2 11" xfId="8000" xr:uid="{00000000-0005-0000-0000-0000521E0000}"/>
    <cellStyle name="40% - akcent 5 2 6 2 2 12" xfId="8001" xr:uid="{00000000-0005-0000-0000-0000531E0000}"/>
    <cellStyle name="40% - akcent 5 2 6 2 2 2" xfId="8002" xr:uid="{00000000-0005-0000-0000-0000541E0000}"/>
    <cellStyle name="40% - akcent 5 2 6 2 2 2 10" xfId="8003" xr:uid="{00000000-0005-0000-0000-0000551E0000}"/>
    <cellStyle name="40% - akcent 5 2 6 2 2 2 11" xfId="8004" xr:uid="{00000000-0005-0000-0000-0000561E0000}"/>
    <cellStyle name="40% - akcent 5 2 6 2 2 2 2" xfId="8005" xr:uid="{00000000-0005-0000-0000-0000571E0000}"/>
    <cellStyle name="40% - akcent 5 2 6 2 2 2 2 10" xfId="8006" xr:uid="{00000000-0005-0000-0000-0000581E0000}"/>
    <cellStyle name="40% - akcent 5 2 6 2 2 2 2 11" xfId="8007" xr:uid="{00000000-0005-0000-0000-0000591E0000}"/>
    <cellStyle name="40% - akcent 5 2 6 2 2 2 2 2" xfId="8008" xr:uid="{00000000-0005-0000-0000-00005A1E0000}"/>
    <cellStyle name="40% - akcent 5 2 6 2 2 2 2 2 2" xfId="8009" xr:uid="{00000000-0005-0000-0000-00005B1E0000}"/>
    <cellStyle name="40% - akcent 5 2 6 2 2 2 2 2 2 2" xfId="8010" xr:uid="{00000000-0005-0000-0000-00005C1E0000}"/>
    <cellStyle name="40% - akcent 5 2 6 2 2 2 2 2 2 3" xfId="8011" xr:uid="{00000000-0005-0000-0000-00005D1E0000}"/>
    <cellStyle name="40% - akcent 5 2 6 2 2 2 2 2 2 4" xfId="8012" xr:uid="{00000000-0005-0000-0000-00005E1E0000}"/>
    <cellStyle name="40% - akcent 5 2 6 2 2 2 2 2 2 5" xfId="8013" xr:uid="{00000000-0005-0000-0000-00005F1E0000}"/>
    <cellStyle name="40% - akcent 5 2 6 2 2 2 2 2 2 6" xfId="8014" xr:uid="{00000000-0005-0000-0000-0000601E0000}"/>
    <cellStyle name="40% - akcent 5 2 6 2 2 2 2 2 3" xfId="8015" xr:uid="{00000000-0005-0000-0000-0000611E0000}"/>
    <cellStyle name="40% - akcent 5 2 6 2 2 2 2 2 4" xfId="8016" xr:uid="{00000000-0005-0000-0000-0000621E0000}"/>
    <cellStyle name="40% - akcent 5 2 6 2 2 2 2 2 5" xfId="8017" xr:uid="{00000000-0005-0000-0000-0000631E0000}"/>
    <cellStyle name="40% - akcent 5 2 6 2 2 2 2 2 6" xfId="8018" xr:uid="{00000000-0005-0000-0000-0000641E0000}"/>
    <cellStyle name="40% - akcent 5 2 6 2 2 2 2 2 7" xfId="8019" xr:uid="{00000000-0005-0000-0000-0000651E0000}"/>
    <cellStyle name="40% - akcent 5 2 6 2 2 2 2 3" xfId="8020" xr:uid="{00000000-0005-0000-0000-0000661E0000}"/>
    <cellStyle name="40% - akcent 5 2 6 2 2 2 2 4" xfId="8021" xr:uid="{00000000-0005-0000-0000-0000671E0000}"/>
    <cellStyle name="40% - akcent 5 2 6 2 2 2 2 5" xfId="8022" xr:uid="{00000000-0005-0000-0000-0000681E0000}"/>
    <cellStyle name="40% - akcent 5 2 6 2 2 2 2 6" xfId="8023" xr:uid="{00000000-0005-0000-0000-0000691E0000}"/>
    <cellStyle name="40% - akcent 5 2 6 2 2 2 2 7" xfId="8024" xr:uid="{00000000-0005-0000-0000-00006A1E0000}"/>
    <cellStyle name="40% - akcent 5 2 6 2 2 2 2 7 2" xfId="8025" xr:uid="{00000000-0005-0000-0000-00006B1E0000}"/>
    <cellStyle name="40% - akcent 5 2 6 2 2 2 2 7 3" xfId="8026" xr:uid="{00000000-0005-0000-0000-00006C1E0000}"/>
    <cellStyle name="40% - akcent 5 2 6 2 2 2 2 7 4" xfId="8027" xr:uid="{00000000-0005-0000-0000-00006D1E0000}"/>
    <cellStyle name="40% - akcent 5 2 6 2 2 2 2 7 5" xfId="8028" xr:uid="{00000000-0005-0000-0000-00006E1E0000}"/>
    <cellStyle name="40% - akcent 5 2 6 2 2 2 2 7 6" xfId="8029" xr:uid="{00000000-0005-0000-0000-00006F1E0000}"/>
    <cellStyle name="40% - akcent 5 2 6 2 2 2 2 8" xfId="8030" xr:uid="{00000000-0005-0000-0000-0000701E0000}"/>
    <cellStyle name="40% - akcent 5 2 6 2 2 2 2 9" xfId="8031" xr:uid="{00000000-0005-0000-0000-0000711E0000}"/>
    <cellStyle name="40% - akcent 5 2 6 2 2 2 3" xfId="8032" xr:uid="{00000000-0005-0000-0000-0000721E0000}"/>
    <cellStyle name="40% - akcent 5 2 6 2 2 2 3 2" xfId="8033" xr:uid="{00000000-0005-0000-0000-0000731E0000}"/>
    <cellStyle name="40% - akcent 5 2 6 2 2 2 3 2 2" xfId="8034" xr:uid="{00000000-0005-0000-0000-0000741E0000}"/>
    <cellStyle name="40% - akcent 5 2 6 2 2 2 3 2 3" xfId="8035" xr:uid="{00000000-0005-0000-0000-0000751E0000}"/>
    <cellStyle name="40% - akcent 5 2 6 2 2 2 3 2 4" xfId="8036" xr:uid="{00000000-0005-0000-0000-0000761E0000}"/>
    <cellStyle name="40% - akcent 5 2 6 2 2 2 3 2 5" xfId="8037" xr:uid="{00000000-0005-0000-0000-0000771E0000}"/>
    <cellStyle name="40% - akcent 5 2 6 2 2 2 3 2 6" xfId="8038" xr:uid="{00000000-0005-0000-0000-0000781E0000}"/>
    <cellStyle name="40% - akcent 5 2 6 2 2 2 3 3" xfId="8039" xr:uid="{00000000-0005-0000-0000-0000791E0000}"/>
    <cellStyle name="40% - akcent 5 2 6 2 2 2 3 4" xfId="8040" xr:uid="{00000000-0005-0000-0000-00007A1E0000}"/>
    <cellStyle name="40% - akcent 5 2 6 2 2 2 3 5" xfId="8041" xr:uid="{00000000-0005-0000-0000-00007B1E0000}"/>
    <cellStyle name="40% - akcent 5 2 6 2 2 2 3 6" xfId="8042" xr:uid="{00000000-0005-0000-0000-00007C1E0000}"/>
    <cellStyle name="40% - akcent 5 2 6 2 2 2 3 7" xfId="8043" xr:uid="{00000000-0005-0000-0000-00007D1E0000}"/>
    <cellStyle name="40% - akcent 5 2 6 2 2 2 4" xfId="8044" xr:uid="{00000000-0005-0000-0000-00007E1E0000}"/>
    <cellStyle name="40% - akcent 5 2 6 2 2 2 5" xfId="8045" xr:uid="{00000000-0005-0000-0000-00007F1E0000}"/>
    <cellStyle name="40% - akcent 5 2 6 2 2 2 6" xfId="8046" xr:uid="{00000000-0005-0000-0000-0000801E0000}"/>
    <cellStyle name="40% - akcent 5 2 6 2 2 2 7" xfId="8047" xr:uid="{00000000-0005-0000-0000-0000811E0000}"/>
    <cellStyle name="40% - akcent 5 2 6 2 2 2 7 2" xfId="8048" xr:uid="{00000000-0005-0000-0000-0000821E0000}"/>
    <cellStyle name="40% - akcent 5 2 6 2 2 2 7 3" xfId="8049" xr:uid="{00000000-0005-0000-0000-0000831E0000}"/>
    <cellStyle name="40% - akcent 5 2 6 2 2 2 7 4" xfId="8050" xr:uid="{00000000-0005-0000-0000-0000841E0000}"/>
    <cellStyle name="40% - akcent 5 2 6 2 2 2 7 5" xfId="8051" xr:uid="{00000000-0005-0000-0000-0000851E0000}"/>
    <cellStyle name="40% - akcent 5 2 6 2 2 2 7 6" xfId="8052" xr:uid="{00000000-0005-0000-0000-0000861E0000}"/>
    <cellStyle name="40% - akcent 5 2 6 2 2 2 8" xfId="8053" xr:uid="{00000000-0005-0000-0000-0000871E0000}"/>
    <cellStyle name="40% - akcent 5 2 6 2 2 2 9" xfId="8054" xr:uid="{00000000-0005-0000-0000-0000881E0000}"/>
    <cellStyle name="40% - akcent 5 2 6 2 2 3" xfId="8055" xr:uid="{00000000-0005-0000-0000-0000891E0000}"/>
    <cellStyle name="40% - akcent 5 2 6 2 2 3 2" xfId="8056" xr:uid="{00000000-0005-0000-0000-00008A1E0000}"/>
    <cellStyle name="40% - akcent 5 2 6 2 2 3 2 2" xfId="8057" xr:uid="{00000000-0005-0000-0000-00008B1E0000}"/>
    <cellStyle name="40% - akcent 5 2 6 2 2 3 2 3" xfId="8058" xr:uid="{00000000-0005-0000-0000-00008C1E0000}"/>
    <cellStyle name="40% - akcent 5 2 6 2 2 3 2 4" xfId="8059" xr:uid="{00000000-0005-0000-0000-00008D1E0000}"/>
    <cellStyle name="40% - akcent 5 2 6 2 2 3 2 5" xfId="8060" xr:uid="{00000000-0005-0000-0000-00008E1E0000}"/>
    <cellStyle name="40% - akcent 5 2 6 2 2 3 2 6" xfId="8061" xr:uid="{00000000-0005-0000-0000-00008F1E0000}"/>
    <cellStyle name="40% - akcent 5 2 6 2 2 3 3" xfId="8062" xr:uid="{00000000-0005-0000-0000-0000901E0000}"/>
    <cellStyle name="40% - akcent 5 2 6 2 2 3 4" xfId="8063" xr:uid="{00000000-0005-0000-0000-0000911E0000}"/>
    <cellStyle name="40% - akcent 5 2 6 2 2 3 5" xfId="8064" xr:uid="{00000000-0005-0000-0000-0000921E0000}"/>
    <cellStyle name="40% - akcent 5 2 6 2 2 3 6" xfId="8065" xr:uid="{00000000-0005-0000-0000-0000931E0000}"/>
    <cellStyle name="40% - akcent 5 2 6 2 2 3 7" xfId="8066" xr:uid="{00000000-0005-0000-0000-0000941E0000}"/>
    <cellStyle name="40% - akcent 5 2 6 2 2 4" xfId="8067" xr:uid="{00000000-0005-0000-0000-0000951E0000}"/>
    <cellStyle name="40% - akcent 5 2 6 2 2 5" xfId="8068" xr:uid="{00000000-0005-0000-0000-0000961E0000}"/>
    <cellStyle name="40% - akcent 5 2 6 2 2 6" xfId="8069" xr:uid="{00000000-0005-0000-0000-0000971E0000}"/>
    <cellStyle name="40% - akcent 5 2 6 2 2 7" xfId="8070" xr:uid="{00000000-0005-0000-0000-0000981E0000}"/>
    <cellStyle name="40% - akcent 5 2 6 2 2 8" xfId="8071" xr:uid="{00000000-0005-0000-0000-0000991E0000}"/>
    <cellStyle name="40% - akcent 5 2 6 2 2 8 2" xfId="8072" xr:uid="{00000000-0005-0000-0000-00009A1E0000}"/>
    <cellStyle name="40% - akcent 5 2 6 2 2 8 3" xfId="8073" xr:uid="{00000000-0005-0000-0000-00009B1E0000}"/>
    <cellStyle name="40% - akcent 5 2 6 2 2 8 4" xfId="8074" xr:uid="{00000000-0005-0000-0000-00009C1E0000}"/>
    <cellStyle name="40% - akcent 5 2 6 2 2 8 5" xfId="8075" xr:uid="{00000000-0005-0000-0000-00009D1E0000}"/>
    <cellStyle name="40% - akcent 5 2 6 2 2 8 6" xfId="8076" xr:uid="{00000000-0005-0000-0000-00009E1E0000}"/>
    <cellStyle name="40% - akcent 5 2 6 2 2 9" xfId="8077" xr:uid="{00000000-0005-0000-0000-00009F1E0000}"/>
    <cellStyle name="40% - akcent 5 2 6 2 3" xfId="8078" xr:uid="{00000000-0005-0000-0000-0000A01E0000}"/>
    <cellStyle name="40% - akcent 5 2 6 2 4" xfId="8079" xr:uid="{00000000-0005-0000-0000-0000A11E0000}"/>
    <cellStyle name="40% - akcent 5 2 6 2 4 10" xfId="8080" xr:uid="{00000000-0005-0000-0000-0000A21E0000}"/>
    <cellStyle name="40% - akcent 5 2 6 2 4 11" xfId="8081" xr:uid="{00000000-0005-0000-0000-0000A31E0000}"/>
    <cellStyle name="40% - akcent 5 2 6 2 4 2" xfId="8082" xr:uid="{00000000-0005-0000-0000-0000A41E0000}"/>
    <cellStyle name="40% - akcent 5 2 6 2 4 2 2" xfId="8083" xr:uid="{00000000-0005-0000-0000-0000A51E0000}"/>
    <cellStyle name="40% - akcent 5 2 6 2 4 2 2 2" xfId="8084" xr:uid="{00000000-0005-0000-0000-0000A61E0000}"/>
    <cellStyle name="40% - akcent 5 2 6 2 4 2 2 3" xfId="8085" xr:uid="{00000000-0005-0000-0000-0000A71E0000}"/>
    <cellStyle name="40% - akcent 5 2 6 2 4 2 2 4" xfId="8086" xr:uid="{00000000-0005-0000-0000-0000A81E0000}"/>
    <cellStyle name="40% - akcent 5 2 6 2 4 2 2 5" xfId="8087" xr:uid="{00000000-0005-0000-0000-0000A91E0000}"/>
    <cellStyle name="40% - akcent 5 2 6 2 4 2 2 6" xfId="8088" xr:uid="{00000000-0005-0000-0000-0000AA1E0000}"/>
    <cellStyle name="40% - akcent 5 2 6 2 4 2 3" xfId="8089" xr:uid="{00000000-0005-0000-0000-0000AB1E0000}"/>
    <cellStyle name="40% - akcent 5 2 6 2 4 2 4" xfId="8090" xr:uid="{00000000-0005-0000-0000-0000AC1E0000}"/>
    <cellStyle name="40% - akcent 5 2 6 2 4 2 5" xfId="8091" xr:uid="{00000000-0005-0000-0000-0000AD1E0000}"/>
    <cellStyle name="40% - akcent 5 2 6 2 4 2 6" xfId="8092" xr:uid="{00000000-0005-0000-0000-0000AE1E0000}"/>
    <cellStyle name="40% - akcent 5 2 6 2 4 2 7" xfId="8093" xr:uid="{00000000-0005-0000-0000-0000AF1E0000}"/>
    <cellStyle name="40% - akcent 5 2 6 2 4 3" xfId="8094" xr:uid="{00000000-0005-0000-0000-0000B01E0000}"/>
    <cellStyle name="40% - akcent 5 2 6 2 4 4" xfId="8095" xr:uid="{00000000-0005-0000-0000-0000B11E0000}"/>
    <cellStyle name="40% - akcent 5 2 6 2 4 5" xfId="8096" xr:uid="{00000000-0005-0000-0000-0000B21E0000}"/>
    <cellStyle name="40% - akcent 5 2 6 2 4 6" xfId="8097" xr:uid="{00000000-0005-0000-0000-0000B31E0000}"/>
    <cellStyle name="40% - akcent 5 2 6 2 4 7" xfId="8098" xr:uid="{00000000-0005-0000-0000-0000B41E0000}"/>
    <cellStyle name="40% - akcent 5 2 6 2 4 7 2" xfId="8099" xr:uid="{00000000-0005-0000-0000-0000B51E0000}"/>
    <cellStyle name="40% - akcent 5 2 6 2 4 7 3" xfId="8100" xr:uid="{00000000-0005-0000-0000-0000B61E0000}"/>
    <cellStyle name="40% - akcent 5 2 6 2 4 7 4" xfId="8101" xr:uid="{00000000-0005-0000-0000-0000B71E0000}"/>
    <cellStyle name="40% - akcent 5 2 6 2 4 7 5" xfId="8102" xr:uid="{00000000-0005-0000-0000-0000B81E0000}"/>
    <cellStyle name="40% - akcent 5 2 6 2 4 7 6" xfId="8103" xr:uid="{00000000-0005-0000-0000-0000B91E0000}"/>
    <cellStyle name="40% - akcent 5 2 6 2 4 8" xfId="8104" xr:uid="{00000000-0005-0000-0000-0000BA1E0000}"/>
    <cellStyle name="40% - akcent 5 2 6 2 4 9" xfId="8105" xr:uid="{00000000-0005-0000-0000-0000BB1E0000}"/>
    <cellStyle name="40% - akcent 5 2 6 2 5" xfId="8106" xr:uid="{00000000-0005-0000-0000-0000BC1E0000}"/>
    <cellStyle name="40% - akcent 5 2 6 2 5 2" xfId="8107" xr:uid="{00000000-0005-0000-0000-0000BD1E0000}"/>
    <cellStyle name="40% - akcent 5 2 6 2 5 2 2" xfId="8108" xr:uid="{00000000-0005-0000-0000-0000BE1E0000}"/>
    <cellStyle name="40% - akcent 5 2 6 2 5 2 3" xfId="8109" xr:uid="{00000000-0005-0000-0000-0000BF1E0000}"/>
    <cellStyle name="40% - akcent 5 2 6 2 5 2 4" xfId="8110" xr:uid="{00000000-0005-0000-0000-0000C01E0000}"/>
    <cellStyle name="40% - akcent 5 2 6 2 5 2 5" xfId="8111" xr:uid="{00000000-0005-0000-0000-0000C11E0000}"/>
    <cellStyle name="40% - akcent 5 2 6 2 5 2 6" xfId="8112" xr:uid="{00000000-0005-0000-0000-0000C21E0000}"/>
    <cellStyle name="40% - akcent 5 2 6 2 5 3" xfId="8113" xr:uid="{00000000-0005-0000-0000-0000C31E0000}"/>
    <cellStyle name="40% - akcent 5 2 6 2 5 4" xfId="8114" xr:uid="{00000000-0005-0000-0000-0000C41E0000}"/>
    <cellStyle name="40% - akcent 5 2 6 2 5 5" xfId="8115" xr:uid="{00000000-0005-0000-0000-0000C51E0000}"/>
    <cellStyle name="40% - akcent 5 2 6 2 5 6" xfId="8116" xr:uid="{00000000-0005-0000-0000-0000C61E0000}"/>
    <cellStyle name="40% - akcent 5 2 6 2 5 7" xfId="8117" xr:uid="{00000000-0005-0000-0000-0000C71E0000}"/>
    <cellStyle name="40% - akcent 5 2 6 2 6" xfId="8118" xr:uid="{00000000-0005-0000-0000-0000C81E0000}"/>
    <cellStyle name="40% - akcent 5 2 6 2 7" xfId="8119" xr:uid="{00000000-0005-0000-0000-0000C91E0000}"/>
    <cellStyle name="40% - akcent 5 2 6 2 8" xfId="8120" xr:uid="{00000000-0005-0000-0000-0000CA1E0000}"/>
    <cellStyle name="40% - akcent 5 2 6 2 9" xfId="8121" xr:uid="{00000000-0005-0000-0000-0000CB1E0000}"/>
    <cellStyle name="40% - akcent 5 2 6 2 9 2" xfId="8122" xr:uid="{00000000-0005-0000-0000-0000CC1E0000}"/>
    <cellStyle name="40% - akcent 5 2 6 2 9 3" xfId="8123" xr:uid="{00000000-0005-0000-0000-0000CD1E0000}"/>
    <cellStyle name="40% - akcent 5 2 6 2 9 4" xfId="8124" xr:uid="{00000000-0005-0000-0000-0000CE1E0000}"/>
    <cellStyle name="40% - akcent 5 2 6 2 9 5" xfId="8125" xr:uid="{00000000-0005-0000-0000-0000CF1E0000}"/>
    <cellStyle name="40% - akcent 5 2 6 2 9 6" xfId="8126" xr:uid="{00000000-0005-0000-0000-0000D01E0000}"/>
    <cellStyle name="40% - akcent 5 2 6 3" xfId="8127" xr:uid="{00000000-0005-0000-0000-0000D11E0000}"/>
    <cellStyle name="40% - akcent 5 2 6 3 10" xfId="8128" xr:uid="{00000000-0005-0000-0000-0000D21E0000}"/>
    <cellStyle name="40% - akcent 5 2 6 3 11" xfId="8129" xr:uid="{00000000-0005-0000-0000-0000D31E0000}"/>
    <cellStyle name="40% - akcent 5 2 6 3 12" xfId="8130" xr:uid="{00000000-0005-0000-0000-0000D41E0000}"/>
    <cellStyle name="40% - akcent 5 2 6 3 2" xfId="8131" xr:uid="{00000000-0005-0000-0000-0000D51E0000}"/>
    <cellStyle name="40% - akcent 5 2 6 3 2 10" xfId="8132" xr:uid="{00000000-0005-0000-0000-0000D61E0000}"/>
    <cellStyle name="40% - akcent 5 2 6 3 2 11" xfId="8133" xr:uid="{00000000-0005-0000-0000-0000D71E0000}"/>
    <cellStyle name="40% - akcent 5 2 6 3 2 2" xfId="8134" xr:uid="{00000000-0005-0000-0000-0000D81E0000}"/>
    <cellStyle name="40% - akcent 5 2 6 3 2 2 10" xfId="8135" xr:uid="{00000000-0005-0000-0000-0000D91E0000}"/>
    <cellStyle name="40% - akcent 5 2 6 3 2 2 11" xfId="8136" xr:uid="{00000000-0005-0000-0000-0000DA1E0000}"/>
    <cellStyle name="40% - akcent 5 2 6 3 2 2 2" xfId="8137" xr:uid="{00000000-0005-0000-0000-0000DB1E0000}"/>
    <cellStyle name="40% - akcent 5 2 6 3 2 2 2 2" xfId="8138" xr:uid="{00000000-0005-0000-0000-0000DC1E0000}"/>
    <cellStyle name="40% - akcent 5 2 6 3 2 2 2 2 2" xfId="8139" xr:uid="{00000000-0005-0000-0000-0000DD1E0000}"/>
    <cellStyle name="40% - akcent 5 2 6 3 2 2 2 2 3" xfId="8140" xr:uid="{00000000-0005-0000-0000-0000DE1E0000}"/>
    <cellStyle name="40% - akcent 5 2 6 3 2 2 2 2 4" xfId="8141" xr:uid="{00000000-0005-0000-0000-0000DF1E0000}"/>
    <cellStyle name="40% - akcent 5 2 6 3 2 2 2 2 5" xfId="8142" xr:uid="{00000000-0005-0000-0000-0000E01E0000}"/>
    <cellStyle name="40% - akcent 5 2 6 3 2 2 2 2 6" xfId="8143" xr:uid="{00000000-0005-0000-0000-0000E11E0000}"/>
    <cellStyle name="40% - akcent 5 2 6 3 2 2 2 3" xfId="8144" xr:uid="{00000000-0005-0000-0000-0000E21E0000}"/>
    <cellStyle name="40% - akcent 5 2 6 3 2 2 2 4" xfId="8145" xr:uid="{00000000-0005-0000-0000-0000E31E0000}"/>
    <cellStyle name="40% - akcent 5 2 6 3 2 2 2 5" xfId="8146" xr:uid="{00000000-0005-0000-0000-0000E41E0000}"/>
    <cellStyle name="40% - akcent 5 2 6 3 2 2 2 6" xfId="8147" xr:uid="{00000000-0005-0000-0000-0000E51E0000}"/>
    <cellStyle name="40% - akcent 5 2 6 3 2 2 2 7" xfId="8148" xr:uid="{00000000-0005-0000-0000-0000E61E0000}"/>
    <cellStyle name="40% - akcent 5 2 6 3 2 2 3" xfId="8149" xr:uid="{00000000-0005-0000-0000-0000E71E0000}"/>
    <cellStyle name="40% - akcent 5 2 6 3 2 2 4" xfId="8150" xr:uid="{00000000-0005-0000-0000-0000E81E0000}"/>
    <cellStyle name="40% - akcent 5 2 6 3 2 2 5" xfId="8151" xr:uid="{00000000-0005-0000-0000-0000E91E0000}"/>
    <cellStyle name="40% - akcent 5 2 6 3 2 2 6" xfId="8152" xr:uid="{00000000-0005-0000-0000-0000EA1E0000}"/>
    <cellStyle name="40% - akcent 5 2 6 3 2 2 7" xfId="8153" xr:uid="{00000000-0005-0000-0000-0000EB1E0000}"/>
    <cellStyle name="40% - akcent 5 2 6 3 2 2 7 2" xfId="8154" xr:uid="{00000000-0005-0000-0000-0000EC1E0000}"/>
    <cellStyle name="40% - akcent 5 2 6 3 2 2 7 3" xfId="8155" xr:uid="{00000000-0005-0000-0000-0000ED1E0000}"/>
    <cellStyle name="40% - akcent 5 2 6 3 2 2 7 4" xfId="8156" xr:uid="{00000000-0005-0000-0000-0000EE1E0000}"/>
    <cellStyle name="40% - akcent 5 2 6 3 2 2 7 5" xfId="8157" xr:uid="{00000000-0005-0000-0000-0000EF1E0000}"/>
    <cellStyle name="40% - akcent 5 2 6 3 2 2 7 6" xfId="8158" xr:uid="{00000000-0005-0000-0000-0000F01E0000}"/>
    <cellStyle name="40% - akcent 5 2 6 3 2 2 8" xfId="8159" xr:uid="{00000000-0005-0000-0000-0000F11E0000}"/>
    <cellStyle name="40% - akcent 5 2 6 3 2 2 9" xfId="8160" xr:uid="{00000000-0005-0000-0000-0000F21E0000}"/>
    <cellStyle name="40% - akcent 5 2 6 3 2 3" xfId="8161" xr:uid="{00000000-0005-0000-0000-0000F31E0000}"/>
    <cellStyle name="40% - akcent 5 2 6 3 2 3 2" xfId="8162" xr:uid="{00000000-0005-0000-0000-0000F41E0000}"/>
    <cellStyle name="40% - akcent 5 2 6 3 2 3 2 2" xfId="8163" xr:uid="{00000000-0005-0000-0000-0000F51E0000}"/>
    <cellStyle name="40% - akcent 5 2 6 3 2 3 2 3" xfId="8164" xr:uid="{00000000-0005-0000-0000-0000F61E0000}"/>
    <cellStyle name="40% - akcent 5 2 6 3 2 3 2 4" xfId="8165" xr:uid="{00000000-0005-0000-0000-0000F71E0000}"/>
    <cellStyle name="40% - akcent 5 2 6 3 2 3 2 5" xfId="8166" xr:uid="{00000000-0005-0000-0000-0000F81E0000}"/>
    <cellStyle name="40% - akcent 5 2 6 3 2 3 2 6" xfId="8167" xr:uid="{00000000-0005-0000-0000-0000F91E0000}"/>
    <cellStyle name="40% - akcent 5 2 6 3 2 3 3" xfId="8168" xr:uid="{00000000-0005-0000-0000-0000FA1E0000}"/>
    <cellStyle name="40% - akcent 5 2 6 3 2 3 4" xfId="8169" xr:uid="{00000000-0005-0000-0000-0000FB1E0000}"/>
    <cellStyle name="40% - akcent 5 2 6 3 2 3 5" xfId="8170" xr:uid="{00000000-0005-0000-0000-0000FC1E0000}"/>
    <cellStyle name="40% - akcent 5 2 6 3 2 3 6" xfId="8171" xr:uid="{00000000-0005-0000-0000-0000FD1E0000}"/>
    <cellStyle name="40% - akcent 5 2 6 3 2 3 7" xfId="8172" xr:uid="{00000000-0005-0000-0000-0000FE1E0000}"/>
    <cellStyle name="40% - akcent 5 2 6 3 2 4" xfId="8173" xr:uid="{00000000-0005-0000-0000-0000FF1E0000}"/>
    <cellStyle name="40% - akcent 5 2 6 3 2 5" xfId="8174" xr:uid="{00000000-0005-0000-0000-0000001F0000}"/>
    <cellStyle name="40% - akcent 5 2 6 3 2 6" xfId="8175" xr:uid="{00000000-0005-0000-0000-0000011F0000}"/>
    <cellStyle name="40% - akcent 5 2 6 3 2 7" xfId="8176" xr:uid="{00000000-0005-0000-0000-0000021F0000}"/>
    <cellStyle name="40% - akcent 5 2 6 3 2 7 2" xfId="8177" xr:uid="{00000000-0005-0000-0000-0000031F0000}"/>
    <cellStyle name="40% - akcent 5 2 6 3 2 7 3" xfId="8178" xr:uid="{00000000-0005-0000-0000-0000041F0000}"/>
    <cellStyle name="40% - akcent 5 2 6 3 2 7 4" xfId="8179" xr:uid="{00000000-0005-0000-0000-0000051F0000}"/>
    <cellStyle name="40% - akcent 5 2 6 3 2 7 5" xfId="8180" xr:uid="{00000000-0005-0000-0000-0000061F0000}"/>
    <cellStyle name="40% - akcent 5 2 6 3 2 7 6" xfId="8181" xr:uid="{00000000-0005-0000-0000-0000071F0000}"/>
    <cellStyle name="40% - akcent 5 2 6 3 2 8" xfId="8182" xr:uid="{00000000-0005-0000-0000-0000081F0000}"/>
    <cellStyle name="40% - akcent 5 2 6 3 2 9" xfId="8183" xr:uid="{00000000-0005-0000-0000-0000091F0000}"/>
    <cellStyle name="40% - akcent 5 2 6 3 3" xfId="8184" xr:uid="{00000000-0005-0000-0000-00000A1F0000}"/>
    <cellStyle name="40% - akcent 5 2 6 3 3 2" xfId="8185" xr:uid="{00000000-0005-0000-0000-00000B1F0000}"/>
    <cellStyle name="40% - akcent 5 2 6 3 3 2 2" xfId="8186" xr:uid="{00000000-0005-0000-0000-00000C1F0000}"/>
    <cellStyle name="40% - akcent 5 2 6 3 3 2 3" xfId="8187" xr:uid="{00000000-0005-0000-0000-00000D1F0000}"/>
    <cellStyle name="40% - akcent 5 2 6 3 3 2 4" xfId="8188" xr:uid="{00000000-0005-0000-0000-00000E1F0000}"/>
    <cellStyle name="40% - akcent 5 2 6 3 3 2 5" xfId="8189" xr:uid="{00000000-0005-0000-0000-00000F1F0000}"/>
    <cellStyle name="40% - akcent 5 2 6 3 3 2 6" xfId="8190" xr:uid="{00000000-0005-0000-0000-0000101F0000}"/>
    <cellStyle name="40% - akcent 5 2 6 3 3 3" xfId="8191" xr:uid="{00000000-0005-0000-0000-0000111F0000}"/>
    <cellStyle name="40% - akcent 5 2 6 3 3 4" xfId="8192" xr:uid="{00000000-0005-0000-0000-0000121F0000}"/>
    <cellStyle name="40% - akcent 5 2 6 3 3 5" xfId="8193" xr:uid="{00000000-0005-0000-0000-0000131F0000}"/>
    <cellStyle name="40% - akcent 5 2 6 3 3 6" xfId="8194" xr:uid="{00000000-0005-0000-0000-0000141F0000}"/>
    <cellStyle name="40% - akcent 5 2 6 3 3 7" xfId="8195" xr:uid="{00000000-0005-0000-0000-0000151F0000}"/>
    <cellStyle name="40% - akcent 5 2 6 3 4" xfId="8196" xr:uid="{00000000-0005-0000-0000-0000161F0000}"/>
    <cellStyle name="40% - akcent 5 2 6 3 5" xfId="8197" xr:uid="{00000000-0005-0000-0000-0000171F0000}"/>
    <cellStyle name="40% - akcent 5 2 6 3 6" xfId="8198" xr:uid="{00000000-0005-0000-0000-0000181F0000}"/>
    <cellStyle name="40% - akcent 5 2 6 3 7" xfId="8199" xr:uid="{00000000-0005-0000-0000-0000191F0000}"/>
    <cellStyle name="40% - akcent 5 2 6 3 8" xfId="8200" xr:uid="{00000000-0005-0000-0000-00001A1F0000}"/>
    <cellStyle name="40% - akcent 5 2 6 3 8 2" xfId="8201" xr:uid="{00000000-0005-0000-0000-00001B1F0000}"/>
    <cellStyle name="40% - akcent 5 2 6 3 8 3" xfId="8202" xr:uid="{00000000-0005-0000-0000-00001C1F0000}"/>
    <cellStyle name="40% - akcent 5 2 6 3 8 4" xfId="8203" xr:uid="{00000000-0005-0000-0000-00001D1F0000}"/>
    <cellStyle name="40% - akcent 5 2 6 3 8 5" xfId="8204" xr:uid="{00000000-0005-0000-0000-00001E1F0000}"/>
    <cellStyle name="40% - akcent 5 2 6 3 8 6" xfId="8205" xr:uid="{00000000-0005-0000-0000-00001F1F0000}"/>
    <cellStyle name="40% - akcent 5 2 6 3 9" xfId="8206" xr:uid="{00000000-0005-0000-0000-0000201F0000}"/>
    <cellStyle name="40% - akcent 5 2 6 4" xfId="8207" xr:uid="{00000000-0005-0000-0000-0000211F0000}"/>
    <cellStyle name="40% - akcent 5 2 6 4 10" xfId="8208" xr:uid="{00000000-0005-0000-0000-0000221F0000}"/>
    <cellStyle name="40% - akcent 5 2 6 4 11" xfId="8209" xr:uid="{00000000-0005-0000-0000-0000231F0000}"/>
    <cellStyle name="40% - akcent 5 2 6 4 2" xfId="8210" xr:uid="{00000000-0005-0000-0000-0000241F0000}"/>
    <cellStyle name="40% - akcent 5 2 6 4 2 2" xfId="8211" xr:uid="{00000000-0005-0000-0000-0000251F0000}"/>
    <cellStyle name="40% - akcent 5 2 6 4 2 2 2" xfId="8212" xr:uid="{00000000-0005-0000-0000-0000261F0000}"/>
    <cellStyle name="40% - akcent 5 2 6 4 2 2 3" xfId="8213" xr:uid="{00000000-0005-0000-0000-0000271F0000}"/>
    <cellStyle name="40% - akcent 5 2 6 4 2 2 4" xfId="8214" xr:uid="{00000000-0005-0000-0000-0000281F0000}"/>
    <cellStyle name="40% - akcent 5 2 6 4 2 2 5" xfId="8215" xr:uid="{00000000-0005-0000-0000-0000291F0000}"/>
    <cellStyle name="40% - akcent 5 2 6 4 2 2 6" xfId="8216" xr:uid="{00000000-0005-0000-0000-00002A1F0000}"/>
    <cellStyle name="40% - akcent 5 2 6 4 2 3" xfId="8217" xr:uid="{00000000-0005-0000-0000-00002B1F0000}"/>
    <cellStyle name="40% - akcent 5 2 6 4 2 4" xfId="8218" xr:uid="{00000000-0005-0000-0000-00002C1F0000}"/>
    <cellStyle name="40% - akcent 5 2 6 4 2 5" xfId="8219" xr:uid="{00000000-0005-0000-0000-00002D1F0000}"/>
    <cellStyle name="40% - akcent 5 2 6 4 2 6" xfId="8220" xr:uid="{00000000-0005-0000-0000-00002E1F0000}"/>
    <cellStyle name="40% - akcent 5 2 6 4 2 7" xfId="8221" xr:uid="{00000000-0005-0000-0000-00002F1F0000}"/>
    <cellStyle name="40% - akcent 5 2 6 4 3" xfId="8222" xr:uid="{00000000-0005-0000-0000-0000301F0000}"/>
    <cellStyle name="40% - akcent 5 2 6 4 4" xfId="8223" xr:uid="{00000000-0005-0000-0000-0000311F0000}"/>
    <cellStyle name="40% - akcent 5 2 6 4 5" xfId="8224" xr:uid="{00000000-0005-0000-0000-0000321F0000}"/>
    <cellStyle name="40% - akcent 5 2 6 4 6" xfId="8225" xr:uid="{00000000-0005-0000-0000-0000331F0000}"/>
    <cellStyle name="40% - akcent 5 2 6 4 7" xfId="8226" xr:uid="{00000000-0005-0000-0000-0000341F0000}"/>
    <cellStyle name="40% - akcent 5 2 6 4 7 2" xfId="8227" xr:uid="{00000000-0005-0000-0000-0000351F0000}"/>
    <cellStyle name="40% - akcent 5 2 6 4 7 3" xfId="8228" xr:uid="{00000000-0005-0000-0000-0000361F0000}"/>
    <cellStyle name="40% - akcent 5 2 6 4 7 4" xfId="8229" xr:uid="{00000000-0005-0000-0000-0000371F0000}"/>
    <cellStyle name="40% - akcent 5 2 6 4 7 5" xfId="8230" xr:uid="{00000000-0005-0000-0000-0000381F0000}"/>
    <cellStyle name="40% - akcent 5 2 6 4 7 6" xfId="8231" xr:uid="{00000000-0005-0000-0000-0000391F0000}"/>
    <cellStyle name="40% - akcent 5 2 6 4 8" xfId="8232" xr:uid="{00000000-0005-0000-0000-00003A1F0000}"/>
    <cellStyle name="40% - akcent 5 2 6 4 9" xfId="8233" xr:uid="{00000000-0005-0000-0000-00003B1F0000}"/>
    <cellStyle name="40% - akcent 5 2 6 5" xfId="8234" xr:uid="{00000000-0005-0000-0000-00003C1F0000}"/>
    <cellStyle name="40% - akcent 5 2 6 5 2" xfId="8235" xr:uid="{00000000-0005-0000-0000-00003D1F0000}"/>
    <cellStyle name="40% - akcent 5 2 6 5 2 2" xfId="8236" xr:uid="{00000000-0005-0000-0000-00003E1F0000}"/>
    <cellStyle name="40% - akcent 5 2 6 5 2 3" xfId="8237" xr:uid="{00000000-0005-0000-0000-00003F1F0000}"/>
    <cellStyle name="40% - akcent 5 2 6 5 2 4" xfId="8238" xr:uid="{00000000-0005-0000-0000-0000401F0000}"/>
    <cellStyle name="40% - akcent 5 2 6 5 2 5" xfId="8239" xr:uid="{00000000-0005-0000-0000-0000411F0000}"/>
    <cellStyle name="40% - akcent 5 2 6 5 2 6" xfId="8240" xr:uid="{00000000-0005-0000-0000-0000421F0000}"/>
    <cellStyle name="40% - akcent 5 2 6 5 3" xfId="8241" xr:uid="{00000000-0005-0000-0000-0000431F0000}"/>
    <cellStyle name="40% - akcent 5 2 6 5 4" xfId="8242" xr:uid="{00000000-0005-0000-0000-0000441F0000}"/>
    <cellStyle name="40% - akcent 5 2 6 5 5" xfId="8243" xr:uid="{00000000-0005-0000-0000-0000451F0000}"/>
    <cellStyle name="40% - akcent 5 2 6 5 6" xfId="8244" xr:uid="{00000000-0005-0000-0000-0000461F0000}"/>
    <cellStyle name="40% - akcent 5 2 6 5 7" xfId="8245" xr:uid="{00000000-0005-0000-0000-0000471F0000}"/>
    <cellStyle name="40% - akcent 5 2 6 6" xfId="8246" xr:uid="{00000000-0005-0000-0000-0000481F0000}"/>
    <cellStyle name="40% - akcent 5 2 6 7" xfId="8247" xr:uid="{00000000-0005-0000-0000-0000491F0000}"/>
    <cellStyle name="40% - akcent 5 2 6 8" xfId="8248" xr:uid="{00000000-0005-0000-0000-00004A1F0000}"/>
    <cellStyle name="40% - akcent 5 2 6 9" xfId="8249" xr:uid="{00000000-0005-0000-0000-00004B1F0000}"/>
    <cellStyle name="40% - akcent 5 2 6 9 2" xfId="8250" xr:uid="{00000000-0005-0000-0000-00004C1F0000}"/>
    <cellStyle name="40% - akcent 5 2 6 9 3" xfId="8251" xr:uid="{00000000-0005-0000-0000-00004D1F0000}"/>
    <cellStyle name="40% - akcent 5 2 6 9 4" xfId="8252" xr:uid="{00000000-0005-0000-0000-00004E1F0000}"/>
    <cellStyle name="40% - akcent 5 2 6 9 5" xfId="8253" xr:uid="{00000000-0005-0000-0000-00004F1F0000}"/>
    <cellStyle name="40% - akcent 5 2 6 9 6" xfId="8254" xr:uid="{00000000-0005-0000-0000-0000501F0000}"/>
    <cellStyle name="40% - akcent 5 2 7" xfId="8255" xr:uid="{00000000-0005-0000-0000-0000511F0000}"/>
    <cellStyle name="40% - akcent 5 2 8" xfId="8256" xr:uid="{00000000-0005-0000-0000-0000521F0000}"/>
    <cellStyle name="40% - akcent 5 2 8 10" xfId="8257" xr:uid="{00000000-0005-0000-0000-0000531F0000}"/>
    <cellStyle name="40% - akcent 5 2 8 11" xfId="8258" xr:uid="{00000000-0005-0000-0000-0000541F0000}"/>
    <cellStyle name="40% - akcent 5 2 8 12" xfId="8259" xr:uid="{00000000-0005-0000-0000-0000551F0000}"/>
    <cellStyle name="40% - akcent 5 2 8 13" xfId="8260" xr:uid="{00000000-0005-0000-0000-0000561F0000}"/>
    <cellStyle name="40% - akcent 5 2 8 2" xfId="8261" xr:uid="{00000000-0005-0000-0000-0000571F0000}"/>
    <cellStyle name="40% - akcent 5 2 8 2 10" xfId="8262" xr:uid="{00000000-0005-0000-0000-0000581F0000}"/>
    <cellStyle name="40% - akcent 5 2 8 2 11" xfId="8263" xr:uid="{00000000-0005-0000-0000-0000591F0000}"/>
    <cellStyle name="40% - akcent 5 2 8 2 12" xfId="8264" xr:uid="{00000000-0005-0000-0000-00005A1F0000}"/>
    <cellStyle name="40% - akcent 5 2 8 2 2" xfId="8265" xr:uid="{00000000-0005-0000-0000-00005B1F0000}"/>
    <cellStyle name="40% - akcent 5 2 8 2 2 10" xfId="8266" xr:uid="{00000000-0005-0000-0000-00005C1F0000}"/>
    <cellStyle name="40% - akcent 5 2 8 2 2 11" xfId="8267" xr:uid="{00000000-0005-0000-0000-00005D1F0000}"/>
    <cellStyle name="40% - akcent 5 2 8 2 2 2" xfId="8268" xr:uid="{00000000-0005-0000-0000-00005E1F0000}"/>
    <cellStyle name="40% - akcent 5 2 8 2 2 2 10" xfId="8269" xr:uid="{00000000-0005-0000-0000-00005F1F0000}"/>
    <cellStyle name="40% - akcent 5 2 8 2 2 2 11" xfId="8270" xr:uid="{00000000-0005-0000-0000-0000601F0000}"/>
    <cellStyle name="40% - akcent 5 2 8 2 2 2 2" xfId="8271" xr:uid="{00000000-0005-0000-0000-0000611F0000}"/>
    <cellStyle name="40% - akcent 5 2 8 2 2 2 2 2" xfId="8272" xr:uid="{00000000-0005-0000-0000-0000621F0000}"/>
    <cellStyle name="40% - akcent 5 2 8 2 2 2 2 2 2" xfId="8273" xr:uid="{00000000-0005-0000-0000-0000631F0000}"/>
    <cellStyle name="40% - akcent 5 2 8 2 2 2 2 2 3" xfId="8274" xr:uid="{00000000-0005-0000-0000-0000641F0000}"/>
    <cellStyle name="40% - akcent 5 2 8 2 2 2 2 2 4" xfId="8275" xr:uid="{00000000-0005-0000-0000-0000651F0000}"/>
    <cellStyle name="40% - akcent 5 2 8 2 2 2 2 2 5" xfId="8276" xr:uid="{00000000-0005-0000-0000-0000661F0000}"/>
    <cellStyle name="40% - akcent 5 2 8 2 2 2 2 2 6" xfId="8277" xr:uid="{00000000-0005-0000-0000-0000671F0000}"/>
    <cellStyle name="40% - akcent 5 2 8 2 2 2 2 3" xfId="8278" xr:uid="{00000000-0005-0000-0000-0000681F0000}"/>
    <cellStyle name="40% - akcent 5 2 8 2 2 2 2 4" xfId="8279" xr:uid="{00000000-0005-0000-0000-0000691F0000}"/>
    <cellStyle name="40% - akcent 5 2 8 2 2 2 2 5" xfId="8280" xr:uid="{00000000-0005-0000-0000-00006A1F0000}"/>
    <cellStyle name="40% - akcent 5 2 8 2 2 2 2 6" xfId="8281" xr:uid="{00000000-0005-0000-0000-00006B1F0000}"/>
    <cellStyle name="40% - akcent 5 2 8 2 2 2 2 7" xfId="8282" xr:uid="{00000000-0005-0000-0000-00006C1F0000}"/>
    <cellStyle name="40% - akcent 5 2 8 2 2 2 3" xfId="8283" xr:uid="{00000000-0005-0000-0000-00006D1F0000}"/>
    <cellStyle name="40% - akcent 5 2 8 2 2 2 4" xfId="8284" xr:uid="{00000000-0005-0000-0000-00006E1F0000}"/>
    <cellStyle name="40% - akcent 5 2 8 2 2 2 5" xfId="8285" xr:uid="{00000000-0005-0000-0000-00006F1F0000}"/>
    <cellStyle name="40% - akcent 5 2 8 2 2 2 6" xfId="8286" xr:uid="{00000000-0005-0000-0000-0000701F0000}"/>
    <cellStyle name="40% - akcent 5 2 8 2 2 2 7" xfId="8287" xr:uid="{00000000-0005-0000-0000-0000711F0000}"/>
    <cellStyle name="40% - akcent 5 2 8 2 2 2 7 2" xfId="8288" xr:uid="{00000000-0005-0000-0000-0000721F0000}"/>
    <cellStyle name="40% - akcent 5 2 8 2 2 2 7 3" xfId="8289" xr:uid="{00000000-0005-0000-0000-0000731F0000}"/>
    <cellStyle name="40% - akcent 5 2 8 2 2 2 7 4" xfId="8290" xr:uid="{00000000-0005-0000-0000-0000741F0000}"/>
    <cellStyle name="40% - akcent 5 2 8 2 2 2 7 5" xfId="8291" xr:uid="{00000000-0005-0000-0000-0000751F0000}"/>
    <cellStyle name="40% - akcent 5 2 8 2 2 2 7 6" xfId="8292" xr:uid="{00000000-0005-0000-0000-0000761F0000}"/>
    <cellStyle name="40% - akcent 5 2 8 2 2 2 8" xfId="8293" xr:uid="{00000000-0005-0000-0000-0000771F0000}"/>
    <cellStyle name="40% - akcent 5 2 8 2 2 2 9" xfId="8294" xr:uid="{00000000-0005-0000-0000-0000781F0000}"/>
    <cellStyle name="40% - akcent 5 2 8 2 2 3" xfId="8295" xr:uid="{00000000-0005-0000-0000-0000791F0000}"/>
    <cellStyle name="40% - akcent 5 2 8 2 2 3 2" xfId="8296" xr:uid="{00000000-0005-0000-0000-00007A1F0000}"/>
    <cellStyle name="40% - akcent 5 2 8 2 2 3 2 2" xfId="8297" xr:uid="{00000000-0005-0000-0000-00007B1F0000}"/>
    <cellStyle name="40% - akcent 5 2 8 2 2 3 2 3" xfId="8298" xr:uid="{00000000-0005-0000-0000-00007C1F0000}"/>
    <cellStyle name="40% - akcent 5 2 8 2 2 3 2 4" xfId="8299" xr:uid="{00000000-0005-0000-0000-00007D1F0000}"/>
    <cellStyle name="40% - akcent 5 2 8 2 2 3 2 5" xfId="8300" xr:uid="{00000000-0005-0000-0000-00007E1F0000}"/>
    <cellStyle name="40% - akcent 5 2 8 2 2 3 2 6" xfId="8301" xr:uid="{00000000-0005-0000-0000-00007F1F0000}"/>
    <cellStyle name="40% - akcent 5 2 8 2 2 3 3" xfId="8302" xr:uid="{00000000-0005-0000-0000-0000801F0000}"/>
    <cellStyle name="40% - akcent 5 2 8 2 2 3 4" xfId="8303" xr:uid="{00000000-0005-0000-0000-0000811F0000}"/>
    <cellStyle name="40% - akcent 5 2 8 2 2 3 5" xfId="8304" xr:uid="{00000000-0005-0000-0000-0000821F0000}"/>
    <cellStyle name="40% - akcent 5 2 8 2 2 3 6" xfId="8305" xr:uid="{00000000-0005-0000-0000-0000831F0000}"/>
    <cellStyle name="40% - akcent 5 2 8 2 2 3 7" xfId="8306" xr:uid="{00000000-0005-0000-0000-0000841F0000}"/>
    <cellStyle name="40% - akcent 5 2 8 2 2 4" xfId="8307" xr:uid="{00000000-0005-0000-0000-0000851F0000}"/>
    <cellStyle name="40% - akcent 5 2 8 2 2 5" xfId="8308" xr:uid="{00000000-0005-0000-0000-0000861F0000}"/>
    <cellStyle name="40% - akcent 5 2 8 2 2 6" xfId="8309" xr:uid="{00000000-0005-0000-0000-0000871F0000}"/>
    <cellStyle name="40% - akcent 5 2 8 2 2 7" xfId="8310" xr:uid="{00000000-0005-0000-0000-0000881F0000}"/>
    <cellStyle name="40% - akcent 5 2 8 2 2 7 2" xfId="8311" xr:uid="{00000000-0005-0000-0000-0000891F0000}"/>
    <cellStyle name="40% - akcent 5 2 8 2 2 7 3" xfId="8312" xr:uid="{00000000-0005-0000-0000-00008A1F0000}"/>
    <cellStyle name="40% - akcent 5 2 8 2 2 7 4" xfId="8313" xr:uid="{00000000-0005-0000-0000-00008B1F0000}"/>
    <cellStyle name="40% - akcent 5 2 8 2 2 7 5" xfId="8314" xr:uid="{00000000-0005-0000-0000-00008C1F0000}"/>
    <cellStyle name="40% - akcent 5 2 8 2 2 7 6" xfId="8315" xr:uid="{00000000-0005-0000-0000-00008D1F0000}"/>
    <cellStyle name="40% - akcent 5 2 8 2 2 8" xfId="8316" xr:uid="{00000000-0005-0000-0000-00008E1F0000}"/>
    <cellStyle name="40% - akcent 5 2 8 2 2 9" xfId="8317" xr:uid="{00000000-0005-0000-0000-00008F1F0000}"/>
    <cellStyle name="40% - akcent 5 2 8 2 3" xfId="8318" xr:uid="{00000000-0005-0000-0000-0000901F0000}"/>
    <cellStyle name="40% - akcent 5 2 8 2 3 2" xfId="8319" xr:uid="{00000000-0005-0000-0000-0000911F0000}"/>
    <cellStyle name="40% - akcent 5 2 8 2 3 2 2" xfId="8320" xr:uid="{00000000-0005-0000-0000-0000921F0000}"/>
    <cellStyle name="40% - akcent 5 2 8 2 3 2 3" xfId="8321" xr:uid="{00000000-0005-0000-0000-0000931F0000}"/>
    <cellStyle name="40% - akcent 5 2 8 2 3 2 4" xfId="8322" xr:uid="{00000000-0005-0000-0000-0000941F0000}"/>
    <cellStyle name="40% - akcent 5 2 8 2 3 2 5" xfId="8323" xr:uid="{00000000-0005-0000-0000-0000951F0000}"/>
    <cellStyle name="40% - akcent 5 2 8 2 3 2 6" xfId="8324" xr:uid="{00000000-0005-0000-0000-0000961F0000}"/>
    <cellStyle name="40% - akcent 5 2 8 2 3 3" xfId="8325" xr:uid="{00000000-0005-0000-0000-0000971F0000}"/>
    <cellStyle name="40% - akcent 5 2 8 2 3 4" xfId="8326" xr:uid="{00000000-0005-0000-0000-0000981F0000}"/>
    <cellStyle name="40% - akcent 5 2 8 2 3 5" xfId="8327" xr:uid="{00000000-0005-0000-0000-0000991F0000}"/>
    <cellStyle name="40% - akcent 5 2 8 2 3 6" xfId="8328" xr:uid="{00000000-0005-0000-0000-00009A1F0000}"/>
    <cellStyle name="40% - akcent 5 2 8 2 3 7" xfId="8329" xr:uid="{00000000-0005-0000-0000-00009B1F0000}"/>
    <cellStyle name="40% - akcent 5 2 8 2 4" xfId="8330" xr:uid="{00000000-0005-0000-0000-00009C1F0000}"/>
    <cellStyle name="40% - akcent 5 2 8 2 5" xfId="8331" xr:uid="{00000000-0005-0000-0000-00009D1F0000}"/>
    <cellStyle name="40% - akcent 5 2 8 2 6" xfId="8332" xr:uid="{00000000-0005-0000-0000-00009E1F0000}"/>
    <cellStyle name="40% - akcent 5 2 8 2 7" xfId="8333" xr:uid="{00000000-0005-0000-0000-00009F1F0000}"/>
    <cellStyle name="40% - akcent 5 2 8 2 8" xfId="8334" xr:uid="{00000000-0005-0000-0000-0000A01F0000}"/>
    <cellStyle name="40% - akcent 5 2 8 2 8 2" xfId="8335" xr:uid="{00000000-0005-0000-0000-0000A11F0000}"/>
    <cellStyle name="40% - akcent 5 2 8 2 8 3" xfId="8336" xr:uid="{00000000-0005-0000-0000-0000A21F0000}"/>
    <cellStyle name="40% - akcent 5 2 8 2 8 4" xfId="8337" xr:uid="{00000000-0005-0000-0000-0000A31F0000}"/>
    <cellStyle name="40% - akcent 5 2 8 2 8 5" xfId="8338" xr:uid="{00000000-0005-0000-0000-0000A41F0000}"/>
    <cellStyle name="40% - akcent 5 2 8 2 8 6" xfId="8339" xr:uid="{00000000-0005-0000-0000-0000A51F0000}"/>
    <cellStyle name="40% - akcent 5 2 8 2 9" xfId="8340" xr:uid="{00000000-0005-0000-0000-0000A61F0000}"/>
    <cellStyle name="40% - akcent 5 2 8 3" xfId="8341" xr:uid="{00000000-0005-0000-0000-0000A71F0000}"/>
    <cellStyle name="40% - akcent 5 2 8 4" xfId="8342" xr:uid="{00000000-0005-0000-0000-0000A81F0000}"/>
    <cellStyle name="40% - akcent 5 2 8 4 10" xfId="8343" xr:uid="{00000000-0005-0000-0000-0000A91F0000}"/>
    <cellStyle name="40% - akcent 5 2 8 4 11" xfId="8344" xr:uid="{00000000-0005-0000-0000-0000AA1F0000}"/>
    <cellStyle name="40% - akcent 5 2 8 4 2" xfId="8345" xr:uid="{00000000-0005-0000-0000-0000AB1F0000}"/>
    <cellStyle name="40% - akcent 5 2 8 4 2 2" xfId="8346" xr:uid="{00000000-0005-0000-0000-0000AC1F0000}"/>
    <cellStyle name="40% - akcent 5 2 8 4 2 2 2" xfId="8347" xr:uid="{00000000-0005-0000-0000-0000AD1F0000}"/>
    <cellStyle name="40% - akcent 5 2 8 4 2 2 3" xfId="8348" xr:uid="{00000000-0005-0000-0000-0000AE1F0000}"/>
    <cellStyle name="40% - akcent 5 2 8 4 2 2 4" xfId="8349" xr:uid="{00000000-0005-0000-0000-0000AF1F0000}"/>
    <cellStyle name="40% - akcent 5 2 8 4 2 2 5" xfId="8350" xr:uid="{00000000-0005-0000-0000-0000B01F0000}"/>
    <cellStyle name="40% - akcent 5 2 8 4 2 2 6" xfId="8351" xr:uid="{00000000-0005-0000-0000-0000B11F0000}"/>
    <cellStyle name="40% - akcent 5 2 8 4 2 3" xfId="8352" xr:uid="{00000000-0005-0000-0000-0000B21F0000}"/>
    <cellStyle name="40% - akcent 5 2 8 4 2 4" xfId="8353" xr:uid="{00000000-0005-0000-0000-0000B31F0000}"/>
    <cellStyle name="40% - akcent 5 2 8 4 2 5" xfId="8354" xr:uid="{00000000-0005-0000-0000-0000B41F0000}"/>
    <cellStyle name="40% - akcent 5 2 8 4 2 6" xfId="8355" xr:uid="{00000000-0005-0000-0000-0000B51F0000}"/>
    <cellStyle name="40% - akcent 5 2 8 4 2 7" xfId="8356" xr:uid="{00000000-0005-0000-0000-0000B61F0000}"/>
    <cellStyle name="40% - akcent 5 2 8 4 3" xfId="8357" xr:uid="{00000000-0005-0000-0000-0000B71F0000}"/>
    <cellStyle name="40% - akcent 5 2 8 4 4" xfId="8358" xr:uid="{00000000-0005-0000-0000-0000B81F0000}"/>
    <cellStyle name="40% - akcent 5 2 8 4 5" xfId="8359" xr:uid="{00000000-0005-0000-0000-0000B91F0000}"/>
    <cellStyle name="40% - akcent 5 2 8 4 6" xfId="8360" xr:uid="{00000000-0005-0000-0000-0000BA1F0000}"/>
    <cellStyle name="40% - akcent 5 2 8 4 7" xfId="8361" xr:uid="{00000000-0005-0000-0000-0000BB1F0000}"/>
    <cellStyle name="40% - akcent 5 2 8 4 7 2" xfId="8362" xr:uid="{00000000-0005-0000-0000-0000BC1F0000}"/>
    <cellStyle name="40% - akcent 5 2 8 4 7 3" xfId="8363" xr:uid="{00000000-0005-0000-0000-0000BD1F0000}"/>
    <cellStyle name="40% - akcent 5 2 8 4 7 4" xfId="8364" xr:uid="{00000000-0005-0000-0000-0000BE1F0000}"/>
    <cellStyle name="40% - akcent 5 2 8 4 7 5" xfId="8365" xr:uid="{00000000-0005-0000-0000-0000BF1F0000}"/>
    <cellStyle name="40% - akcent 5 2 8 4 7 6" xfId="8366" xr:uid="{00000000-0005-0000-0000-0000C01F0000}"/>
    <cellStyle name="40% - akcent 5 2 8 4 8" xfId="8367" xr:uid="{00000000-0005-0000-0000-0000C11F0000}"/>
    <cellStyle name="40% - akcent 5 2 8 4 9" xfId="8368" xr:uid="{00000000-0005-0000-0000-0000C21F0000}"/>
    <cellStyle name="40% - akcent 5 2 8 5" xfId="8369" xr:uid="{00000000-0005-0000-0000-0000C31F0000}"/>
    <cellStyle name="40% - akcent 5 2 8 5 2" xfId="8370" xr:uid="{00000000-0005-0000-0000-0000C41F0000}"/>
    <cellStyle name="40% - akcent 5 2 8 5 2 2" xfId="8371" xr:uid="{00000000-0005-0000-0000-0000C51F0000}"/>
    <cellStyle name="40% - akcent 5 2 8 5 2 3" xfId="8372" xr:uid="{00000000-0005-0000-0000-0000C61F0000}"/>
    <cellStyle name="40% - akcent 5 2 8 5 2 4" xfId="8373" xr:uid="{00000000-0005-0000-0000-0000C71F0000}"/>
    <cellStyle name="40% - akcent 5 2 8 5 2 5" xfId="8374" xr:uid="{00000000-0005-0000-0000-0000C81F0000}"/>
    <cellStyle name="40% - akcent 5 2 8 5 2 6" xfId="8375" xr:uid="{00000000-0005-0000-0000-0000C91F0000}"/>
    <cellStyle name="40% - akcent 5 2 8 5 3" xfId="8376" xr:uid="{00000000-0005-0000-0000-0000CA1F0000}"/>
    <cellStyle name="40% - akcent 5 2 8 5 4" xfId="8377" xr:uid="{00000000-0005-0000-0000-0000CB1F0000}"/>
    <cellStyle name="40% - akcent 5 2 8 5 5" xfId="8378" xr:uid="{00000000-0005-0000-0000-0000CC1F0000}"/>
    <cellStyle name="40% - akcent 5 2 8 5 6" xfId="8379" xr:uid="{00000000-0005-0000-0000-0000CD1F0000}"/>
    <cellStyle name="40% - akcent 5 2 8 5 7" xfId="8380" xr:uid="{00000000-0005-0000-0000-0000CE1F0000}"/>
    <cellStyle name="40% - akcent 5 2 8 6" xfId="8381" xr:uid="{00000000-0005-0000-0000-0000CF1F0000}"/>
    <cellStyle name="40% - akcent 5 2 8 7" xfId="8382" xr:uid="{00000000-0005-0000-0000-0000D01F0000}"/>
    <cellStyle name="40% - akcent 5 2 8 8" xfId="8383" xr:uid="{00000000-0005-0000-0000-0000D11F0000}"/>
    <cellStyle name="40% - akcent 5 2 8 9" xfId="8384" xr:uid="{00000000-0005-0000-0000-0000D21F0000}"/>
    <cellStyle name="40% - akcent 5 2 8 9 2" xfId="8385" xr:uid="{00000000-0005-0000-0000-0000D31F0000}"/>
    <cellStyle name="40% - akcent 5 2 8 9 3" xfId="8386" xr:uid="{00000000-0005-0000-0000-0000D41F0000}"/>
    <cellStyle name="40% - akcent 5 2 8 9 4" xfId="8387" xr:uid="{00000000-0005-0000-0000-0000D51F0000}"/>
    <cellStyle name="40% - akcent 5 2 8 9 5" xfId="8388" xr:uid="{00000000-0005-0000-0000-0000D61F0000}"/>
    <cellStyle name="40% - akcent 5 2 8 9 6" xfId="8389" xr:uid="{00000000-0005-0000-0000-0000D71F0000}"/>
    <cellStyle name="40% - akcent 5 2 9" xfId="8390" xr:uid="{00000000-0005-0000-0000-0000D81F0000}"/>
    <cellStyle name="40% - akcent 5 2_archeolagia" xfId="8391" xr:uid="{00000000-0005-0000-0000-0000D91F0000}"/>
    <cellStyle name="40% - akcent 5 3" xfId="137" xr:uid="{00000000-0005-0000-0000-0000DA1F0000}"/>
    <cellStyle name="40% - akcent 5 3 2" xfId="138" xr:uid="{00000000-0005-0000-0000-0000DB1F0000}"/>
    <cellStyle name="40% - akcent 5 3 2 2" xfId="8393" xr:uid="{00000000-0005-0000-0000-0000DC1F0000}"/>
    <cellStyle name="40% - akcent 5 3 3" xfId="8394" xr:uid="{00000000-0005-0000-0000-0000DD1F0000}"/>
    <cellStyle name="40% - akcent 5 3 4" xfId="8395" xr:uid="{00000000-0005-0000-0000-0000DE1F0000}"/>
    <cellStyle name="40% - akcent 5 3 5" xfId="8396" xr:uid="{00000000-0005-0000-0000-0000DF1F0000}"/>
    <cellStyle name="40% - akcent 5 3 6" xfId="8392" xr:uid="{00000000-0005-0000-0000-0000E01F0000}"/>
    <cellStyle name="40% - akcent 5 4" xfId="139" xr:uid="{00000000-0005-0000-0000-0000E11F0000}"/>
    <cellStyle name="40% - akcent 5 4 2" xfId="140" xr:uid="{00000000-0005-0000-0000-0000E21F0000}"/>
    <cellStyle name="40% - akcent 5 4 2 2" xfId="8398" xr:uid="{00000000-0005-0000-0000-0000E31F0000}"/>
    <cellStyle name="40% - akcent 5 4 3" xfId="8399" xr:uid="{00000000-0005-0000-0000-0000E41F0000}"/>
    <cellStyle name="40% - akcent 5 4 4" xfId="8400" xr:uid="{00000000-0005-0000-0000-0000E51F0000}"/>
    <cellStyle name="40% - akcent 5 4 5" xfId="8397" xr:uid="{00000000-0005-0000-0000-0000E61F0000}"/>
    <cellStyle name="40% - akcent 5 5" xfId="141" xr:uid="{00000000-0005-0000-0000-0000E71F0000}"/>
    <cellStyle name="40% - akcent 5 5 2" xfId="142" xr:uid="{00000000-0005-0000-0000-0000E81F0000}"/>
    <cellStyle name="40% - akcent 5 5 2 2" xfId="8402" xr:uid="{00000000-0005-0000-0000-0000E91F0000}"/>
    <cellStyle name="40% - akcent 5 5 3" xfId="8403" xr:uid="{00000000-0005-0000-0000-0000EA1F0000}"/>
    <cellStyle name="40% - akcent 5 5 4" xfId="8404" xr:uid="{00000000-0005-0000-0000-0000EB1F0000}"/>
    <cellStyle name="40% - akcent 5 5 5" xfId="8401" xr:uid="{00000000-0005-0000-0000-0000EC1F0000}"/>
    <cellStyle name="40% - akcent 5 6" xfId="143" xr:uid="{00000000-0005-0000-0000-0000ED1F0000}"/>
    <cellStyle name="40% - akcent 5 6 2" xfId="144" xr:uid="{00000000-0005-0000-0000-0000EE1F0000}"/>
    <cellStyle name="40% - akcent 5 6 2 2" xfId="8406" xr:uid="{00000000-0005-0000-0000-0000EF1F0000}"/>
    <cellStyle name="40% - akcent 5 6 3" xfId="8407" xr:uid="{00000000-0005-0000-0000-0000F01F0000}"/>
    <cellStyle name="40% - akcent 5 6 4" xfId="8408" xr:uid="{00000000-0005-0000-0000-0000F11F0000}"/>
    <cellStyle name="40% - akcent 5 6 5" xfId="8405" xr:uid="{00000000-0005-0000-0000-0000F21F0000}"/>
    <cellStyle name="40% - akcent 5 7" xfId="145" xr:uid="{00000000-0005-0000-0000-0000F31F0000}"/>
    <cellStyle name="40% - akcent 5 7 2" xfId="146" xr:uid="{00000000-0005-0000-0000-0000F41F0000}"/>
    <cellStyle name="40% - akcent 5 7 2 2" xfId="8410" xr:uid="{00000000-0005-0000-0000-0000F51F0000}"/>
    <cellStyle name="40% - akcent 5 7 3" xfId="8411" xr:uid="{00000000-0005-0000-0000-0000F61F0000}"/>
    <cellStyle name="40% - akcent 5 7 4" xfId="8412" xr:uid="{00000000-0005-0000-0000-0000F71F0000}"/>
    <cellStyle name="40% - akcent 5 7 5" xfId="8413" xr:uid="{00000000-0005-0000-0000-0000F81F0000}"/>
    <cellStyle name="40% - akcent 5 7 6" xfId="8409" xr:uid="{00000000-0005-0000-0000-0000F91F0000}"/>
    <cellStyle name="40% - akcent 5 8" xfId="8414" xr:uid="{00000000-0005-0000-0000-0000FA1F0000}"/>
    <cellStyle name="40% - akcent 5 8 2" xfId="8415" xr:uid="{00000000-0005-0000-0000-0000FB1F0000}"/>
    <cellStyle name="40% - akcent 5 8 3" xfId="8416" xr:uid="{00000000-0005-0000-0000-0000FC1F0000}"/>
    <cellStyle name="40% - akcent 5 8 4" xfId="8417" xr:uid="{00000000-0005-0000-0000-0000FD1F0000}"/>
    <cellStyle name="40% - akcent 5 9" xfId="8418" xr:uid="{00000000-0005-0000-0000-0000FE1F0000}"/>
    <cellStyle name="40% - akcent 6 1" xfId="8419" xr:uid="{00000000-0005-0000-0000-0000FF1F0000}"/>
    <cellStyle name="40% - akcent 6 10" xfId="8420" xr:uid="{00000000-0005-0000-0000-000000200000}"/>
    <cellStyle name="40% - akcent 6 11" xfId="8421" xr:uid="{00000000-0005-0000-0000-000001200000}"/>
    <cellStyle name="40% - akcent 6 12" xfId="8422" xr:uid="{00000000-0005-0000-0000-000002200000}"/>
    <cellStyle name="40% - akcent 6 13" xfId="8423" xr:uid="{00000000-0005-0000-0000-000003200000}"/>
    <cellStyle name="40% - akcent 6 14" xfId="8424" xr:uid="{00000000-0005-0000-0000-000004200000}"/>
    <cellStyle name="40% - akcent 6 15" xfId="8425" xr:uid="{00000000-0005-0000-0000-000005200000}"/>
    <cellStyle name="40% - akcent 6 16" xfId="8426" xr:uid="{00000000-0005-0000-0000-000006200000}"/>
    <cellStyle name="40% - akcent 6 17" xfId="8427" xr:uid="{00000000-0005-0000-0000-000007200000}"/>
    <cellStyle name="40% - akcent 6 18" xfId="8428" xr:uid="{00000000-0005-0000-0000-000008200000}"/>
    <cellStyle name="40% - akcent 6 19" xfId="8429" xr:uid="{00000000-0005-0000-0000-000009200000}"/>
    <cellStyle name="40% - akcent 6 2" xfId="147" xr:uid="{00000000-0005-0000-0000-00000A200000}"/>
    <cellStyle name="40% - akcent 6 2 10" xfId="8431" xr:uid="{00000000-0005-0000-0000-00000B200000}"/>
    <cellStyle name="40% - akcent 6 2 11" xfId="8432" xr:uid="{00000000-0005-0000-0000-00000C200000}"/>
    <cellStyle name="40% - akcent 6 2 12" xfId="8433" xr:uid="{00000000-0005-0000-0000-00000D200000}"/>
    <cellStyle name="40% - akcent 6 2 13" xfId="8434" xr:uid="{00000000-0005-0000-0000-00000E200000}"/>
    <cellStyle name="40% - akcent 6 2 13 10" xfId="8435" xr:uid="{00000000-0005-0000-0000-00000F200000}"/>
    <cellStyle name="40% - akcent 6 2 13 11" xfId="8436" xr:uid="{00000000-0005-0000-0000-000010200000}"/>
    <cellStyle name="40% - akcent 6 2 13 12" xfId="8437" xr:uid="{00000000-0005-0000-0000-000011200000}"/>
    <cellStyle name="40% - akcent 6 2 13 2" xfId="8438" xr:uid="{00000000-0005-0000-0000-000012200000}"/>
    <cellStyle name="40% - akcent 6 2 13 2 10" xfId="8439" xr:uid="{00000000-0005-0000-0000-000013200000}"/>
    <cellStyle name="40% - akcent 6 2 13 2 11" xfId="8440" xr:uid="{00000000-0005-0000-0000-000014200000}"/>
    <cellStyle name="40% - akcent 6 2 13 2 2" xfId="8441" xr:uid="{00000000-0005-0000-0000-000015200000}"/>
    <cellStyle name="40% - akcent 6 2 13 2 2 10" xfId="8442" xr:uid="{00000000-0005-0000-0000-000016200000}"/>
    <cellStyle name="40% - akcent 6 2 13 2 2 11" xfId="8443" xr:uid="{00000000-0005-0000-0000-000017200000}"/>
    <cellStyle name="40% - akcent 6 2 13 2 2 2" xfId="8444" xr:uid="{00000000-0005-0000-0000-000018200000}"/>
    <cellStyle name="40% - akcent 6 2 13 2 2 2 2" xfId="8445" xr:uid="{00000000-0005-0000-0000-000019200000}"/>
    <cellStyle name="40% - akcent 6 2 13 2 2 2 2 2" xfId="8446" xr:uid="{00000000-0005-0000-0000-00001A200000}"/>
    <cellStyle name="40% - akcent 6 2 13 2 2 2 2 3" xfId="8447" xr:uid="{00000000-0005-0000-0000-00001B200000}"/>
    <cellStyle name="40% - akcent 6 2 13 2 2 2 2 4" xfId="8448" xr:uid="{00000000-0005-0000-0000-00001C200000}"/>
    <cellStyle name="40% - akcent 6 2 13 2 2 2 2 5" xfId="8449" xr:uid="{00000000-0005-0000-0000-00001D200000}"/>
    <cellStyle name="40% - akcent 6 2 13 2 2 2 2 6" xfId="8450" xr:uid="{00000000-0005-0000-0000-00001E200000}"/>
    <cellStyle name="40% - akcent 6 2 13 2 2 2 3" xfId="8451" xr:uid="{00000000-0005-0000-0000-00001F200000}"/>
    <cellStyle name="40% - akcent 6 2 13 2 2 2 4" xfId="8452" xr:uid="{00000000-0005-0000-0000-000020200000}"/>
    <cellStyle name="40% - akcent 6 2 13 2 2 2 5" xfId="8453" xr:uid="{00000000-0005-0000-0000-000021200000}"/>
    <cellStyle name="40% - akcent 6 2 13 2 2 2 6" xfId="8454" xr:uid="{00000000-0005-0000-0000-000022200000}"/>
    <cellStyle name="40% - akcent 6 2 13 2 2 2 7" xfId="8455" xr:uid="{00000000-0005-0000-0000-000023200000}"/>
    <cellStyle name="40% - akcent 6 2 13 2 2 3" xfId="8456" xr:uid="{00000000-0005-0000-0000-000024200000}"/>
    <cellStyle name="40% - akcent 6 2 13 2 2 4" xfId="8457" xr:uid="{00000000-0005-0000-0000-000025200000}"/>
    <cellStyle name="40% - akcent 6 2 13 2 2 5" xfId="8458" xr:uid="{00000000-0005-0000-0000-000026200000}"/>
    <cellStyle name="40% - akcent 6 2 13 2 2 6" xfId="8459" xr:uid="{00000000-0005-0000-0000-000027200000}"/>
    <cellStyle name="40% - akcent 6 2 13 2 2 7" xfId="8460" xr:uid="{00000000-0005-0000-0000-000028200000}"/>
    <cellStyle name="40% - akcent 6 2 13 2 2 7 2" xfId="8461" xr:uid="{00000000-0005-0000-0000-000029200000}"/>
    <cellStyle name="40% - akcent 6 2 13 2 2 7 3" xfId="8462" xr:uid="{00000000-0005-0000-0000-00002A200000}"/>
    <cellStyle name="40% - akcent 6 2 13 2 2 7 4" xfId="8463" xr:uid="{00000000-0005-0000-0000-00002B200000}"/>
    <cellStyle name="40% - akcent 6 2 13 2 2 7 5" xfId="8464" xr:uid="{00000000-0005-0000-0000-00002C200000}"/>
    <cellStyle name="40% - akcent 6 2 13 2 2 7 6" xfId="8465" xr:uid="{00000000-0005-0000-0000-00002D200000}"/>
    <cellStyle name="40% - akcent 6 2 13 2 2 8" xfId="8466" xr:uid="{00000000-0005-0000-0000-00002E200000}"/>
    <cellStyle name="40% - akcent 6 2 13 2 2 9" xfId="8467" xr:uid="{00000000-0005-0000-0000-00002F200000}"/>
    <cellStyle name="40% - akcent 6 2 13 2 3" xfId="8468" xr:uid="{00000000-0005-0000-0000-000030200000}"/>
    <cellStyle name="40% - akcent 6 2 13 2 3 2" xfId="8469" xr:uid="{00000000-0005-0000-0000-000031200000}"/>
    <cellStyle name="40% - akcent 6 2 13 2 3 2 2" xfId="8470" xr:uid="{00000000-0005-0000-0000-000032200000}"/>
    <cellStyle name="40% - akcent 6 2 13 2 3 2 3" xfId="8471" xr:uid="{00000000-0005-0000-0000-000033200000}"/>
    <cellStyle name="40% - akcent 6 2 13 2 3 2 4" xfId="8472" xr:uid="{00000000-0005-0000-0000-000034200000}"/>
    <cellStyle name="40% - akcent 6 2 13 2 3 2 5" xfId="8473" xr:uid="{00000000-0005-0000-0000-000035200000}"/>
    <cellStyle name="40% - akcent 6 2 13 2 3 2 6" xfId="8474" xr:uid="{00000000-0005-0000-0000-000036200000}"/>
    <cellStyle name="40% - akcent 6 2 13 2 3 3" xfId="8475" xr:uid="{00000000-0005-0000-0000-000037200000}"/>
    <cellStyle name="40% - akcent 6 2 13 2 3 4" xfId="8476" xr:uid="{00000000-0005-0000-0000-000038200000}"/>
    <cellStyle name="40% - akcent 6 2 13 2 3 5" xfId="8477" xr:uid="{00000000-0005-0000-0000-000039200000}"/>
    <cellStyle name="40% - akcent 6 2 13 2 3 6" xfId="8478" xr:uid="{00000000-0005-0000-0000-00003A200000}"/>
    <cellStyle name="40% - akcent 6 2 13 2 3 7" xfId="8479" xr:uid="{00000000-0005-0000-0000-00003B200000}"/>
    <cellStyle name="40% - akcent 6 2 13 2 4" xfId="8480" xr:uid="{00000000-0005-0000-0000-00003C200000}"/>
    <cellStyle name="40% - akcent 6 2 13 2 5" xfId="8481" xr:uid="{00000000-0005-0000-0000-00003D200000}"/>
    <cellStyle name="40% - akcent 6 2 13 2 6" xfId="8482" xr:uid="{00000000-0005-0000-0000-00003E200000}"/>
    <cellStyle name="40% - akcent 6 2 13 2 7" xfId="8483" xr:uid="{00000000-0005-0000-0000-00003F200000}"/>
    <cellStyle name="40% - akcent 6 2 13 2 7 2" xfId="8484" xr:uid="{00000000-0005-0000-0000-000040200000}"/>
    <cellStyle name="40% - akcent 6 2 13 2 7 3" xfId="8485" xr:uid="{00000000-0005-0000-0000-000041200000}"/>
    <cellStyle name="40% - akcent 6 2 13 2 7 4" xfId="8486" xr:uid="{00000000-0005-0000-0000-000042200000}"/>
    <cellStyle name="40% - akcent 6 2 13 2 7 5" xfId="8487" xr:uid="{00000000-0005-0000-0000-000043200000}"/>
    <cellStyle name="40% - akcent 6 2 13 2 7 6" xfId="8488" xr:uid="{00000000-0005-0000-0000-000044200000}"/>
    <cellStyle name="40% - akcent 6 2 13 2 8" xfId="8489" xr:uid="{00000000-0005-0000-0000-000045200000}"/>
    <cellStyle name="40% - akcent 6 2 13 2 9" xfId="8490" xr:uid="{00000000-0005-0000-0000-000046200000}"/>
    <cellStyle name="40% - akcent 6 2 13 3" xfId="8491" xr:uid="{00000000-0005-0000-0000-000047200000}"/>
    <cellStyle name="40% - akcent 6 2 13 3 2" xfId="8492" xr:uid="{00000000-0005-0000-0000-000048200000}"/>
    <cellStyle name="40% - akcent 6 2 13 3 2 2" xfId="8493" xr:uid="{00000000-0005-0000-0000-000049200000}"/>
    <cellStyle name="40% - akcent 6 2 13 3 2 3" xfId="8494" xr:uid="{00000000-0005-0000-0000-00004A200000}"/>
    <cellStyle name="40% - akcent 6 2 13 3 2 4" xfId="8495" xr:uid="{00000000-0005-0000-0000-00004B200000}"/>
    <cellStyle name="40% - akcent 6 2 13 3 2 5" xfId="8496" xr:uid="{00000000-0005-0000-0000-00004C200000}"/>
    <cellStyle name="40% - akcent 6 2 13 3 2 6" xfId="8497" xr:uid="{00000000-0005-0000-0000-00004D200000}"/>
    <cellStyle name="40% - akcent 6 2 13 3 3" xfId="8498" xr:uid="{00000000-0005-0000-0000-00004E200000}"/>
    <cellStyle name="40% - akcent 6 2 13 3 4" xfId="8499" xr:uid="{00000000-0005-0000-0000-00004F200000}"/>
    <cellStyle name="40% - akcent 6 2 13 3 5" xfId="8500" xr:uid="{00000000-0005-0000-0000-000050200000}"/>
    <cellStyle name="40% - akcent 6 2 13 3 6" xfId="8501" xr:uid="{00000000-0005-0000-0000-000051200000}"/>
    <cellStyle name="40% - akcent 6 2 13 3 7" xfId="8502" xr:uid="{00000000-0005-0000-0000-000052200000}"/>
    <cellStyle name="40% - akcent 6 2 13 4" xfId="8503" xr:uid="{00000000-0005-0000-0000-000053200000}"/>
    <cellStyle name="40% - akcent 6 2 13 5" xfId="8504" xr:uid="{00000000-0005-0000-0000-000054200000}"/>
    <cellStyle name="40% - akcent 6 2 13 6" xfId="8505" xr:uid="{00000000-0005-0000-0000-000055200000}"/>
    <cellStyle name="40% - akcent 6 2 13 7" xfId="8506" xr:uid="{00000000-0005-0000-0000-000056200000}"/>
    <cellStyle name="40% - akcent 6 2 13 8" xfId="8507" xr:uid="{00000000-0005-0000-0000-000057200000}"/>
    <cellStyle name="40% - akcent 6 2 13 8 2" xfId="8508" xr:uid="{00000000-0005-0000-0000-000058200000}"/>
    <cellStyle name="40% - akcent 6 2 13 8 3" xfId="8509" xr:uid="{00000000-0005-0000-0000-000059200000}"/>
    <cellStyle name="40% - akcent 6 2 13 8 4" xfId="8510" xr:uid="{00000000-0005-0000-0000-00005A200000}"/>
    <cellStyle name="40% - akcent 6 2 13 8 5" xfId="8511" xr:uid="{00000000-0005-0000-0000-00005B200000}"/>
    <cellStyle name="40% - akcent 6 2 13 8 6" xfId="8512" xr:uid="{00000000-0005-0000-0000-00005C200000}"/>
    <cellStyle name="40% - akcent 6 2 13 9" xfId="8513" xr:uid="{00000000-0005-0000-0000-00005D200000}"/>
    <cellStyle name="40% - akcent 6 2 14" xfId="8514" xr:uid="{00000000-0005-0000-0000-00005E200000}"/>
    <cellStyle name="40% - akcent 6 2 14 10" xfId="8515" xr:uid="{00000000-0005-0000-0000-00005F200000}"/>
    <cellStyle name="40% - akcent 6 2 14 11" xfId="8516" xr:uid="{00000000-0005-0000-0000-000060200000}"/>
    <cellStyle name="40% - akcent 6 2 14 2" xfId="8517" xr:uid="{00000000-0005-0000-0000-000061200000}"/>
    <cellStyle name="40% - akcent 6 2 14 2 2" xfId="8518" xr:uid="{00000000-0005-0000-0000-000062200000}"/>
    <cellStyle name="40% - akcent 6 2 14 2 2 2" xfId="8519" xr:uid="{00000000-0005-0000-0000-000063200000}"/>
    <cellStyle name="40% - akcent 6 2 14 2 2 3" xfId="8520" xr:uid="{00000000-0005-0000-0000-000064200000}"/>
    <cellStyle name="40% - akcent 6 2 14 2 2 4" xfId="8521" xr:uid="{00000000-0005-0000-0000-000065200000}"/>
    <cellStyle name="40% - akcent 6 2 14 2 2 5" xfId="8522" xr:uid="{00000000-0005-0000-0000-000066200000}"/>
    <cellStyle name="40% - akcent 6 2 14 2 2 6" xfId="8523" xr:uid="{00000000-0005-0000-0000-000067200000}"/>
    <cellStyle name="40% - akcent 6 2 14 2 3" xfId="8524" xr:uid="{00000000-0005-0000-0000-000068200000}"/>
    <cellStyle name="40% - akcent 6 2 14 2 4" xfId="8525" xr:uid="{00000000-0005-0000-0000-000069200000}"/>
    <cellStyle name="40% - akcent 6 2 14 2 5" xfId="8526" xr:uid="{00000000-0005-0000-0000-00006A200000}"/>
    <cellStyle name="40% - akcent 6 2 14 2 6" xfId="8527" xr:uid="{00000000-0005-0000-0000-00006B200000}"/>
    <cellStyle name="40% - akcent 6 2 14 2 7" xfId="8528" xr:uid="{00000000-0005-0000-0000-00006C200000}"/>
    <cellStyle name="40% - akcent 6 2 14 3" xfId="8529" xr:uid="{00000000-0005-0000-0000-00006D200000}"/>
    <cellStyle name="40% - akcent 6 2 14 4" xfId="8530" xr:uid="{00000000-0005-0000-0000-00006E200000}"/>
    <cellStyle name="40% - akcent 6 2 14 5" xfId="8531" xr:uid="{00000000-0005-0000-0000-00006F200000}"/>
    <cellStyle name="40% - akcent 6 2 14 6" xfId="8532" xr:uid="{00000000-0005-0000-0000-000070200000}"/>
    <cellStyle name="40% - akcent 6 2 14 7" xfId="8533" xr:uid="{00000000-0005-0000-0000-000071200000}"/>
    <cellStyle name="40% - akcent 6 2 14 7 2" xfId="8534" xr:uid="{00000000-0005-0000-0000-000072200000}"/>
    <cellStyle name="40% - akcent 6 2 14 7 3" xfId="8535" xr:uid="{00000000-0005-0000-0000-000073200000}"/>
    <cellStyle name="40% - akcent 6 2 14 7 4" xfId="8536" xr:uid="{00000000-0005-0000-0000-000074200000}"/>
    <cellStyle name="40% - akcent 6 2 14 7 5" xfId="8537" xr:uid="{00000000-0005-0000-0000-000075200000}"/>
    <cellStyle name="40% - akcent 6 2 14 7 6" xfId="8538" xr:uid="{00000000-0005-0000-0000-000076200000}"/>
    <cellStyle name="40% - akcent 6 2 14 8" xfId="8539" xr:uid="{00000000-0005-0000-0000-000077200000}"/>
    <cellStyle name="40% - akcent 6 2 14 9" xfId="8540" xr:uid="{00000000-0005-0000-0000-000078200000}"/>
    <cellStyle name="40% - akcent 6 2 15" xfId="8541" xr:uid="{00000000-0005-0000-0000-000079200000}"/>
    <cellStyle name="40% - akcent 6 2 15 2" xfId="8542" xr:uid="{00000000-0005-0000-0000-00007A200000}"/>
    <cellStyle name="40% - akcent 6 2 15 2 2" xfId="8543" xr:uid="{00000000-0005-0000-0000-00007B200000}"/>
    <cellStyle name="40% - akcent 6 2 15 2 3" xfId="8544" xr:uid="{00000000-0005-0000-0000-00007C200000}"/>
    <cellStyle name="40% - akcent 6 2 15 2 4" xfId="8545" xr:uid="{00000000-0005-0000-0000-00007D200000}"/>
    <cellStyle name="40% - akcent 6 2 15 2 5" xfId="8546" xr:uid="{00000000-0005-0000-0000-00007E200000}"/>
    <cellStyle name="40% - akcent 6 2 15 2 6" xfId="8547" xr:uid="{00000000-0005-0000-0000-00007F200000}"/>
    <cellStyle name="40% - akcent 6 2 15 3" xfId="8548" xr:uid="{00000000-0005-0000-0000-000080200000}"/>
    <cellStyle name="40% - akcent 6 2 15 4" xfId="8549" xr:uid="{00000000-0005-0000-0000-000081200000}"/>
    <cellStyle name="40% - akcent 6 2 15 5" xfId="8550" xr:uid="{00000000-0005-0000-0000-000082200000}"/>
    <cellStyle name="40% - akcent 6 2 15 6" xfId="8551" xr:uid="{00000000-0005-0000-0000-000083200000}"/>
    <cellStyle name="40% - akcent 6 2 15 7" xfId="8552" xr:uid="{00000000-0005-0000-0000-000084200000}"/>
    <cellStyle name="40% - akcent 6 2 16" xfId="8553" xr:uid="{00000000-0005-0000-0000-000085200000}"/>
    <cellStyle name="40% - akcent 6 2 17" xfId="8554" xr:uid="{00000000-0005-0000-0000-000086200000}"/>
    <cellStyle name="40% - akcent 6 2 18" xfId="8555" xr:uid="{00000000-0005-0000-0000-000087200000}"/>
    <cellStyle name="40% - akcent 6 2 19" xfId="8556" xr:uid="{00000000-0005-0000-0000-000088200000}"/>
    <cellStyle name="40% - akcent 6 2 2" xfId="148" xr:uid="{00000000-0005-0000-0000-000089200000}"/>
    <cellStyle name="40% - akcent 6 2 2 10" xfId="8558" xr:uid="{00000000-0005-0000-0000-00008A200000}"/>
    <cellStyle name="40% - akcent 6 2 2 10 10" xfId="8559" xr:uid="{00000000-0005-0000-0000-00008B200000}"/>
    <cellStyle name="40% - akcent 6 2 2 10 11" xfId="8560" xr:uid="{00000000-0005-0000-0000-00008C200000}"/>
    <cellStyle name="40% - akcent 6 2 2 10 12" xfId="8561" xr:uid="{00000000-0005-0000-0000-00008D200000}"/>
    <cellStyle name="40% - akcent 6 2 2 10 2" xfId="8562" xr:uid="{00000000-0005-0000-0000-00008E200000}"/>
    <cellStyle name="40% - akcent 6 2 2 10 2 10" xfId="8563" xr:uid="{00000000-0005-0000-0000-00008F200000}"/>
    <cellStyle name="40% - akcent 6 2 2 10 2 11" xfId="8564" xr:uid="{00000000-0005-0000-0000-000090200000}"/>
    <cellStyle name="40% - akcent 6 2 2 10 2 2" xfId="8565" xr:uid="{00000000-0005-0000-0000-000091200000}"/>
    <cellStyle name="40% - akcent 6 2 2 10 2 2 10" xfId="8566" xr:uid="{00000000-0005-0000-0000-000092200000}"/>
    <cellStyle name="40% - akcent 6 2 2 10 2 2 11" xfId="8567" xr:uid="{00000000-0005-0000-0000-000093200000}"/>
    <cellStyle name="40% - akcent 6 2 2 10 2 2 2" xfId="8568" xr:uid="{00000000-0005-0000-0000-000094200000}"/>
    <cellStyle name="40% - akcent 6 2 2 10 2 2 2 2" xfId="8569" xr:uid="{00000000-0005-0000-0000-000095200000}"/>
    <cellStyle name="40% - akcent 6 2 2 10 2 2 2 2 2" xfId="8570" xr:uid="{00000000-0005-0000-0000-000096200000}"/>
    <cellStyle name="40% - akcent 6 2 2 10 2 2 2 2 3" xfId="8571" xr:uid="{00000000-0005-0000-0000-000097200000}"/>
    <cellStyle name="40% - akcent 6 2 2 10 2 2 2 2 4" xfId="8572" xr:uid="{00000000-0005-0000-0000-000098200000}"/>
    <cellStyle name="40% - akcent 6 2 2 10 2 2 2 2 5" xfId="8573" xr:uid="{00000000-0005-0000-0000-000099200000}"/>
    <cellStyle name="40% - akcent 6 2 2 10 2 2 2 2 6" xfId="8574" xr:uid="{00000000-0005-0000-0000-00009A200000}"/>
    <cellStyle name="40% - akcent 6 2 2 10 2 2 2 3" xfId="8575" xr:uid="{00000000-0005-0000-0000-00009B200000}"/>
    <cellStyle name="40% - akcent 6 2 2 10 2 2 2 4" xfId="8576" xr:uid="{00000000-0005-0000-0000-00009C200000}"/>
    <cellStyle name="40% - akcent 6 2 2 10 2 2 2 5" xfId="8577" xr:uid="{00000000-0005-0000-0000-00009D200000}"/>
    <cellStyle name="40% - akcent 6 2 2 10 2 2 2 6" xfId="8578" xr:uid="{00000000-0005-0000-0000-00009E200000}"/>
    <cellStyle name="40% - akcent 6 2 2 10 2 2 2 7" xfId="8579" xr:uid="{00000000-0005-0000-0000-00009F200000}"/>
    <cellStyle name="40% - akcent 6 2 2 10 2 2 3" xfId="8580" xr:uid="{00000000-0005-0000-0000-0000A0200000}"/>
    <cellStyle name="40% - akcent 6 2 2 10 2 2 4" xfId="8581" xr:uid="{00000000-0005-0000-0000-0000A1200000}"/>
    <cellStyle name="40% - akcent 6 2 2 10 2 2 5" xfId="8582" xr:uid="{00000000-0005-0000-0000-0000A2200000}"/>
    <cellStyle name="40% - akcent 6 2 2 10 2 2 6" xfId="8583" xr:uid="{00000000-0005-0000-0000-0000A3200000}"/>
    <cellStyle name="40% - akcent 6 2 2 10 2 2 7" xfId="8584" xr:uid="{00000000-0005-0000-0000-0000A4200000}"/>
    <cellStyle name="40% - akcent 6 2 2 10 2 2 7 2" xfId="8585" xr:uid="{00000000-0005-0000-0000-0000A5200000}"/>
    <cellStyle name="40% - akcent 6 2 2 10 2 2 7 3" xfId="8586" xr:uid="{00000000-0005-0000-0000-0000A6200000}"/>
    <cellStyle name="40% - akcent 6 2 2 10 2 2 7 4" xfId="8587" xr:uid="{00000000-0005-0000-0000-0000A7200000}"/>
    <cellStyle name="40% - akcent 6 2 2 10 2 2 7 5" xfId="8588" xr:uid="{00000000-0005-0000-0000-0000A8200000}"/>
    <cellStyle name="40% - akcent 6 2 2 10 2 2 7 6" xfId="8589" xr:uid="{00000000-0005-0000-0000-0000A9200000}"/>
    <cellStyle name="40% - akcent 6 2 2 10 2 2 8" xfId="8590" xr:uid="{00000000-0005-0000-0000-0000AA200000}"/>
    <cellStyle name="40% - akcent 6 2 2 10 2 2 9" xfId="8591" xr:uid="{00000000-0005-0000-0000-0000AB200000}"/>
    <cellStyle name="40% - akcent 6 2 2 10 2 3" xfId="8592" xr:uid="{00000000-0005-0000-0000-0000AC200000}"/>
    <cellStyle name="40% - akcent 6 2 2 10 2 3 2" xfId="8593" xr:uid="{00000000-0005-0000-0000-0000AD200000}"/>
    <cellStyle name="40% - akcent 6 2 2 10 2 3 2 2" xfId="8594" xr:uid="{00000000-0005-0000-0000-0000AE200000}"/>
    <cellStyle name="40% - akcent 6 2 2 10 2 3 2 3" xfId="8595" xr:uid="{00000000-0005-0000-0000-0000AF200000}"/>
    <cellStyle name="40% - akcent 6 2 2 10 2 3 2 4" xfId="8596" xr:uid="{00000000-0005-0000-0000-0000B0200000}"/>
    <cellStyle name="40% - akcent 6 2 2 10 2 3 2 5" xfId="8597" xr:uid="{00000000-0005-0000-0000-0000B1200000}"/>
    <cellStyle name="40% - akcent 6 2 2 10 2 3 2 6" xfId="8598" xr:uid="{00000000-0005-0000-0000-0000B2200000}"/>
    <cellStyle name="40% - akcent 6 2 2 10 2 3 3" xfId="8599" xr:uid="{00000000-0005-0000-0000-0000B3200000}"/>
    <cellStyle name="40% - akcent 6 2 2 10 2 3 4" xfId="8600" xr:uid="{00000000-0005-0000-0000-0000B4200000}"/>
    <cellStyle name="40% - akcent 6 2 2 10 2 3 5" xfId="8601" xr:uid="{00000000-0005-0000-0000-0000B5200000}"/>
    <cellStyle name="40% - akcent 6 2 2 10 2 3 6" xfId="8602" xr:uid="{00000000-0005-0000-0000-0000B6200000}"/>
    <cellStyle name="40% - akcent 6 2 2 10 2 3 7" xfId="8603" xr:uid="{00000000-0005-0000-0000-0000B7200000}"/>
    <cellStyle name="40% - akcent 6 2 2 10 2 4" xfId="8604" xr:uid="{00000000-0005-0000-0000-0000B8200000}"/>
    <cellStyle name="40% - akcent 6 2 2 10 2 5" xfId="8605" xr:uid="{00000000-0005-0000-0000-0000B9200000}"/>
    <cellStyle name="40% - akcent 6 2 2 10 2 6" xfId="8606" xr:uid="{00000000-0005-0000-0000-0000BA200000}"/>
    <cellStyle name="40% - akcent 6 2 2 10 2 7" xfId="8607" xr:uid="{00000000-0005-0000-0000-0000BB200000}"/>
    <cellStyle name="40% - akcent 6 2 2 10 2 7 2" xfId="8608" xr:uid="{00000000-0005-0000-0000-0000BC200000}"/>
    <cellStyle name="40% - akcent 6 2 2 10 2 7 3" xfId="8609" xr:uid="{00000000-0005-0000-0000-0000BD200000}"/>
    <cellStyle name="40% - akcent 6 2 2 10 2 7 4" xfId="8610" xr:uid="{00000000-0005-0000-0000-0000BE200000}"/>
    <cellStyle name="40% - akcent 6 2 2 10 2 7 5" xfId="8611" xr:uid="{00000000-0005-0000-0000-0000BF200000}"/>
    <cellStyle name="40% - akcent 6 2 2 10 2 7 6" xfId="8612" xr:uid="{00000000-0005-0000-0000-0000C0200000}"/>
    <cellStyle name="40% - akcent 6 2 2 10 2 8" xfId="8613" xr:uid="{00000000-0005-0000-0000-0000C1200000}"/>
    <cellStyle name="40% - akcent 6 2 2 10 2 9" xfId="8614" xr:uid="{00000000-0005-0000-0000-0000C2200000}"/>
    <cellStyle name="40% - akcent 6 2 2 10 3" xfId="8615" xr:uid="{00000000-0005-0000-0000-0000C3200000}"/>
    <cellStyle name="40% - akcent 6 2 2 10 3 2" xfId="8616" xr:uid="{00000000-0005-0000-0000-0000C4200000}"/>
    <cellStyle name="40% - akcent 6 2 2 10 3 2 2" xfId="8617" xr:uid="{00000000-0005-0000-0000-0000C5200000}"/>
    <cellStyle name="40% - akcent 6 2 2 10 3 2 3" xfId="8618" xr:uid="{00000000-0005-0000-0000-0000C6200000}"/>
    <cellStyle name="40% - akcent 6 2 2 10 3 2 4" xfId="8619" xr:uid="{00000000-0005-0000-0000-0000C7200000}"/>
    <cellStyle name="40% - akcent 6 2 2 10 3 2 5" xfId="8620" xr:uid="{00000000-0005-0000-0000-0000C8200000}"/>
    <cellStyle name="40% - akcent 6 2 2 10 3 2 6" xfId="8621" xr:uid="{00000000-0005-0000-0000-0000C9200000}"/>
    <cellStyle name="40% - akcent 6 2 2 10 3 3" xfId="8622" xr:uid="{00000000-0005-0000-0000-0000CA200000}"/>
    <cellStyle name="40% - akcent 6 2 2 10 3 4" xfId="8623" xr:uid="{00000000-0005-0000-0000-0000CB200000}"/>
    <cellStyle name="40% - akcent 6 2 2 10 3 5" xfId="8624" xr:uid="{00000000-0005-0000-0000-0000CC200000}"/>
    <cellStyle name="40% - akcent 6 2 2 10 3 6" xfId="8625" xr:uid="{00000000-0005-0000-0000-0000CD200000}"/>
    <cellStyle name="40% - akcent 6 2 2 10 3 7" xfId="8626" xr:uid="{00000000-0005-0000-0000-0000CE200000}"/>
    <cellStyle name="40% - akcent 6 2 2 10 4" xfId="8627" xr:uid="{00000000-0005-0000-0000-0000CF200000}"/>
    <cellStyle name="40% - akcent 6 2 2 10 5" xfId="8628" xr:uid="{00000000-0005-0000-0000-0000D0200000}"/>
    <cellStyle name="40% - akcent 6 2 2 10 6" xfId="8629" xr:uid="{00000000-0005-0000-0000-0000D1200000}"/>
    <cellStyle name="40% - akcent 6 2 2 10 7" xfId="8630" xr:uid="{00000000-0005-0000-0000-0000D2200000}"/>
    <cellStyle name="40% - akcent 6 2 2 10 8" xfId="8631" xr:uid="{00000000-0005-0000-0000-0000D3200000}"/>
    <cellStyle name="40% - akcent 6 2 2 10 8 2" xfId="8632" xr:uid="{00000000-0005-0000-0000-0000D4200000}"/>
    <cellStyle name="40% - akcent 6 2 2 10 8 3" xfId="8633" xr:uid="{00000000-0005-0000-0000-0000D5200000}"/>
    <cellStyle name="40% - akcent 6 2 2 10 8 4" xfId="8634" xr:uid="{00000000-0005-0000-0000-0000D6200000}"/>
    <cellStyle name="40% - akcent 6 2 2 10 8 5" xfId="8635" xr:uid="{00000000-0005-0000-0000-0000D7200000}"/>
    <cellStyle name="40% - akcent 6 2 2 10 8 6" xfId="8636" xr:uid="{00000000-0005-0000-0000-0000D8200000}"/>
    <cellStyle name="40% - akcent 6 2 2 10 9" xfId="8637" xr:uid="{00000000-0005-0000-0000-0000D9200000}"/>
    <cellStyle name="40% - akcent 6 2 2 11" xfId="8638" xr:uid="{00000000-0005-0000-0000-0000DA200000}"/>
    <cellStyle name="40% - akcent 6 2 2 11 10" xfId="8639" xr:uid="{00000000-0005-0000-0000-0000DB200000}"/>
    <cellStyle name="40% - akcent 6 2 2 11 11" xfId="8640" xr:uid="{00000000-0005-0000-0000-0000DC200000}"/>
    <cellStyle name="40% - akcent 6 2 2 11 2" xfId="8641" xr:uid="{00000000-0005-0000-0000-0000DD200000}"/>
    <cellStyle name="40% - akcent 6 2 2 11 2 2" xfId="8642" xr:uid="{00000000-0005-0000-0000-0000DE200000}"/>
    <cellStyle name="40% - akcent 6 2 2 11 2 2 2" xfId="8643" xr:uid="{00000000-0005-0000-0000-0000DF200000}"/>
    <cellStyle name="40% - akcent 6 2 2 11 2 2 3" xfId="8644" xr:uid="{00000000-0005-0000-0000-0000E0200000}"/>
    <cellStyle name="40% - akcent 6 2 2 11 2 2 4" xfId="8645" xr:uid="{00000000-0005-0000-0000-0000E1200000}"/>
    <cellStyle name="40% - akcent 6 2 2 11 2 2 5" xfId="8646" xr:uid="{00000000-0005-0000-0000-0000E2200000}"/>
    <cellStyle name="40% - akcent 6 2 2 11 2 2 6" xfId="8647" xr:uid="{00000000-0005-0000-0000-0000E3200000}"/>
    <cellStyle name="40% - akcent 6 2 2 11 2 3" xfId="8648" xr:uid="{00000000-0005-0000-0000-0000E4200000}"/>
    <cellStyle name="40% - akcent 6 2 2 11 2 4" xfId="8649" xr:uid="{00000000-0005-0000-0000-0000E5200000}"/>
    <cellStyle name="40% - akcent 6 2 2 11 2 5" xfId="8650" xr:uid="{00000000-0005-0000-0000-0000E6200000}"/>
    <cellStyle name="40% - akcent 6 2 2 11 2 6" xfId="8651" xr:uid="{00000000-0005-0000-0000-0000E7200000}"/>
    <cellStyle name="40% - akcent 6 2 2 11 2 7" xfId="8652" xr:uid="{00000000-0005-0000-0000-0000E8200000}"/>
    <cellStyle name="40% - akcent 6 2 2 11 3" xfId="8653" xr:uid="{00000000-0005-0000-0000-0000E9200000}"/>
    <cellStyle name="40% - akcent 6 2 2 11 4" xfId="8654" xr:uid="{00000000-0005-0000-0000-0000EA200000}"/>
    <cellStyle name="40% - akcent 6 2 2 11 5" xfId="8655" xr:uid="{00000000-0005-0000-0000-0000EB200000}"/>
    <cellStyle name="40% - akcent 6 2 2 11 6" xfId="8656" xr:uid="{00000000-0005-0000-0000-0000EC200000}"/>
    <cellStyle name="40% - akcent 6 2 2 11 7" xfId="8657" xr:uid="{00000000-0005-0000-0000-0000ED200000}"/>
    <cellStyle name="40% - akcent 6 2 2 11 7 2" xfId="8658" xr:uid="{00000000-0005-0000-0000-0000EE200000}"/>
    <cellStyle name="40% - akcent 6 2 2 11 7 3" xfId="8659" xr:uid="{00000000-0005-0000-0000-0000EF200000}"/>
    <cellStyle name="40% - akcent 6 2 2 11 7 4" xfId="8660" xr:uid="{00000000-0005-0000-0000-0000F0200000}"/>
    <cellStyle name="40% - akcent 6 2 2 11 7 5" xfId="8661" xr:uid="{00000000-0005-0000-0000-0000F1200000}"/>
    <cellStyle name="40% - akcent 6 2 2 11 7 6" xfId="8662" xr:uid="{00000000-0005-0000-0000-0000F2200000}"/>
    <cellStyle name="40% - akcent 6 2 2 11 8" xfId="8663" xr:uid="{00000000-0005-0000-0000-0000F3200000}"/>
    <cellStyle name="40% - akcent 6 2 2 11 9" xfId="8664" xr:uid="{00000000-0005-0000-0000-0000F4200000}"/>
    <cellStyle name="40% - akcent 6 2 2 12" xfId="8665" xr:uid="{00000000-0005-0000-0000-0000F5200000}"/>
    <cellStyle name="40% - akcent 6 2 2 12 2" xfId="8666" xr:uid="{00000000-0005-0000-0000-0000F6200000}"/>
    <cellStyle name="40% - akcent 6 2 2 12 2 2" xfId="8667" xr:uid="{00000000-0005-0000-0000-0000F7200000}"/>
    <cellStyle name="40% - akcent 6 2 2 12 2 3" xfId="8668" xr:uid="{00000000-0005-0000-0000-0000F8200000}"/>
    <cellStyle name="40% - akcent 6 2 2 12 2 4" xfId="8669" xr:uid="{00000000-0005-0000-0000-0000F9200000}"/>
    <cellStyle name="40% - akcent 6 2 2 12 2 5" xfId="8670" xr:uid="{00000000-0005-0000-0000-0000FA200000}"/>
    <cellStyle name="40% - akcent 6 2 2 12 2 6" xfId="8671" xr:uid="{00000000-0005-0000-0000-0000FB200000}"/>
    <cellStyle name="40% - akcent 6 2 2 12 3" xfId="8672" xr:uid="{00000000-0005-0000-0000-0000FC200000}"/>
    <cellStyle name="40% - akcent 6 2 2 12 4" xfId="8673" xr:uid="{00000000-0005-0000-0000-0000FD200000}"/>
    <cellStyle name="40% - akcent 6 2 2 12 5" xfId="8674" xr:uid="{00000000-0005-0000-0000-0000FE200000}"/>
    <cellStyle name="40% - akcent 6 2 2 12 6" xfId="8675" xr:uid="{00000000-0005-0000-0000-0000FF200000}"/>
    <cellStyle name="40% - akcent 6 2 2 12 7" xfId="8676" xr:uid="{00000000-0005-0000-0000-000000210000}"/>
    <cellStyle name="40% - akcent 6 2 2 13" xfId="8677" xr:uid="{00000000-0005-0000-0000-000001210000}"/>
    <cellStyle name="40% - akcent 6 2 2 14" xfId="8678" xr:uid="{00000000-0005-0000-0000-000002210000}"/>
    <cellStyle name="40% - akcent 6 2 2 15" xfId="8679" xr:uid="{00000000-0005-0000-0000-000003210000}"/>
    <cellStyle name="40% - akcent 6 2 2 16" xfId="8680" xr:uid="{00000000-0005-0000-0000-000004210000}"/>
    <cellStyle name="40% - akcent 6 2 2 17" xfId="8681" xr:uid="{00000000-0005-0000-0000-000005210000}"/>
    <cellStyle name="40% - akcent 6 2 2 18" xfId="8682" xr:uid="{00000000-0005-0000-0000-000006210000}"/>
    <cellStyle name="40% - akcent 6 2 2 18 2" xfId="8683" xr:uid="{00000000-0005-0000-0000-000007210000}"/>
    <cellStyle name="40% - akcent 6 2 2 18 3" xfId="8684" xr:uid="{00000000-0005-0000-0000-000008210000}"/>
    <cellStyle name="40% - akcent 6 2 2 18 4" xfId="8685" xr:uid="{00000000-0005-0000-0000-000009210000}"/>
    <cellStyle name="40% - akcent 6 2 2 18 5" xfId="8686" xr:uid="{00000000-0005-0000-0000-00000A210000}"/>
    <cellStyle name="40% - akcent 6 2 2 18 6" xfId="8687" xr:uid="{00000000-0005-0000-0000-00000B210000}"/>
    <cellStyle name="40% - akcent 6 2 2 19" xfId="8688" xr:uid="{00000000-0005-0000-0000-00000C210000}"/>
    <cellStyle name="40% - akcent 6 2 2 2" xfId="8689" xr:uid="{00000000-0005-0000-0000-00000D210000}"/>
    <cellStyle name="40% - akcent 6 2 2 2 10" xfId="8690" xr:uid="{00000000-0005-0000-0000-00000E210000}"/>
    <cellStyle name="40% - akcent 6 2 2 2 11" xfId="8691" xr:uid="{00000000-0005-0000-0000-00000F210000}"/>
    <cellStyle name="40% - akcent 6 2 2 2 2" xfId="8692" xr:uid="{00000000-0005-0000-0000-000010210000}"/>
    <cellStyle name="40% - akcent 6 2 2 2 2 10" xfId="8693" xr:uid="{00000000-0005-0000-0000-000011210000}"/>
    <cellStyle name="40% - akcent 6 2 2 2 2 2" xfId="8694" xr:uid="{00000000-0005-0000-0000-000012210000}"/>
    <cellStyle name="40% - akcent 6 2 2 2 2 2 2" xfId="8695" xr:uid="{00000000-0005-0000-0000-000013210000}"/>
    <cellStyle name="40% - akcent 6 2 2 2 2 2 2 2" xfId="8696" xr:uid="{00000000-0005-0000-0000-000014210000}"/>
    <cellStyle name="40% - akcent 6 2 2 2 2 2 2 2 2" xfId="8697" xr:uid="{00000000-0005-0000-0000-000015210000}"/>
    <cellStyle name="40% - akcent 6 2 2 2 2 2 2 2 2 2" xfId="8698" xr:uid="{00000000-0005-0000-0000-000016210000}"/>
    <cellStyle name="40% - akcent 6 2 2 2 2 2 2 2 2 3" xfId="8699" xr:uid="{00000000-0005-0000-0000-000017210000}"/>
    <cellStyle name="40% - akcent 6 2 2 2 2 2 2 2 2 4" xfId="8700" xr:uid="{00000000-0005-0000-0000-000018210000}"/>
    <cellStyle name="40% - akcent 6 2 2 2 2 2 2 2 3" xfId="8701" xr:uid="{00000000-0005-0000-0000-000019210000}"/>
    <cellStyle name="40% - akcent 6 2 2 2 2 2 2 2 4" xfId="8702" xr:uid="{00000000-0005-0000-0000-00001A210000}"/>
    <cellStyle name="40% - akcent 6 2 2 2 2 2 2 2 5" xfId="8703" xr:uid="{00000000-0005-0000-0000-00001B210000}"/>
    <cellStyle name="40% - akcent 6 2 2 2 2 2 2 3" xfId="8704" xr:uid="{00000000-0005-0000-0000-00001C210000}"/>
    <cellStyle name="40% - akcent 6 2 2 2 2 2 2 4" xfId="8705" xr:uid="{00000000-0005-0000-0000-00001D210000}"/>
    <cellStyle name="40% - akcent 6 2 2 2 2 2 2 5" xfId="8706" xr:uid="{00000000-0005-0000-0000-00001E210000}"/>
    <cellStyle name="40% - akcent 6 2 2 2 2 2 2 6" xfId="8707" xr:uid="{00000000-0005-0000-0000-00001F210000}"/>
    <cellStyle name="40% - akcent 6 2 2 2 2 2 2 7" xfId="8708" xr:uid="{00000000-0005-0000-0000-000020210000}"/>
    <cellStyle name="40% - akcent 6 2 2 2 2 2 2 7 2" xfId="8709" xr:uid="{00000000-0005-0000-0000-000021210000}"/>
    <cellStyle name="40% - akcent 6 2 2 2 2 2 2 7 3" xfId="8710" xr:uid="{00000000-0005-0000-0000-000022210000}"/>
    <cellStyle name="40% - akcent 6 2 2 2 2 2 2 7 4" xfId="8711" xr:uid="{00000000-0005-0000-0000-000023210000}"/>
    <cellStyle name="40% - akcent 6 2 2 2 2 2 2 7 5" xfId="8712" xr:uid="{00000000-0005-0000-0000-000024210000}"/>
    <cellStyle name="40% - akcent 6 2 2 2 2 2 2 7 6" xfId="8713" xr:uid="{00000000-0005-0000-0000-000025210000}"/>
    <cellStyle name="40% - akcent 6 2 2 2 2 2 2 8" xfId="8714" xr:uid="{00000000-0005-0000-0000-000026210000}"/>
    <cellStyle name="40% - akcent 6 2 2 2 2 2 2 9" xfId="8715" xr:uid="{00000000-0005-0000-0000-000027210000}"/>
    <cellStyle name="40% - akcent 6 2 2 2 2 2 3" xfId="8716" xr:uid="{00000000-0005-0000-0000-000028210000}"/>
    <cellStyle name="40% - akcent 6 2 2 2 2 2 3 2" xfId="8717" xr:uid="{00000000-0005-0000-0000-000029210000}"/>
    <cellStyle name="40% - akcent 6 2 2 2 2 2 3 2 2" xfId="8718" xr:uid="{00000000-0005-0000-0000-00002A210000}"/>
    <cellStyle name="40% - akcent 6 2 2 2 2 2 3 2 3" xfId="8719" xr:uid="{00000000-0005-0000-0000-00002B210000}"/>
    <cellStyle name="40% - akcent 6 2 2 2 2 2 3 2 4" xfId="8720" xr:uid="{00000000-0005-0000-0000-00002C210000}"/>
    <cellStyle name="40% - akcent 6 2 2 2 2 2 3 2 5" xfId="8721" xr:uid="{00000000-0005-0000-0000-00002D210000}"/>
    <cellStyle name="40% - akcent 6 2 2 2 2 2 3 2 6" xfId="8722" xr:uid="{00000000-0005-0000-0000-00002E210000}"/>
    <cellStyle name="40% - akcent 6 2 2 2 2 2 3 3" xfId="8723" xr:uid="{00000000-0005-0000-0000-00002F210000}"/>
    <cellStyle name="40% - akcent 6 2 2 2 2 2 3 4" xfId="8724" xr:uid="{00000000-0005-0000-0000-000030210000}"/>
    <cellStyle name="40% - akcent 6 2 2 2 2 2 3 5" xfId="8725" xr:uid="{00000000-0005-0000-0000-000031210000}"/>
    <cellStyle name="40% - akcent 6 2 2 2 2 2 3 6" xfId="8726" xr:uid="{00000000-0005-0000-0000-000032210000}"/>
    <cellStyle name="40% - akcent 6 2 2 2 2 2 3 7" xfId="8727" xr:uid="{00000000-0005-0000-0000-000033210000}"/>
    <cellStyle name="40% - akcent 6 2 2 2 2 2 4" xfId="8728" xr:uid="{00000000-0005-0000-0000-000034210000}"/>
    <cellStyle name="40% - akcent 6 2 2 2 2 2 5" xfId="8729" xr:uid="{00000000-0005-0000-0000-000035210000}"/>
    <cellStyle name="40% - akcent 6 2 2 2 2 2 6" xfId="8730" xr:uid="{00000000-0005-0000-0000-000036210000}"/>
    <cellStyle name="40% - akcent 6 2 2 2 2 2 7" xfId="8731" xr:uid="{00000000-0005-0000-0000-000037210000}"/>
    <cellStyle name="40% - akcent 6 2 2 2 2 2 7 2" xfId="8732" xr:uid="{00000000-0005-0000-0000-000038210000}"/>
    <cellStyle name="40% - akcent 6 2 2 2 2 2 7 3" xfId="8733" xr:uid="{00000000-0005-0000-0000-000039210000}"/>
    <cellStyle name="40% - akcent 6 2 2 2 2 2 7 4" xfId="8734" xr:uid="{00000000-0005-0000-0000-00003A210000}"/>
    <cellStyle name="40% - akcent 6 2 2 2 2 2 7 5" xfId="8735" xr:uid="{00000000-0005-0000-0000-00003B210000}"/>
    <cellStyle name="40% - akcent 6 2 2 2 2 2 7 6" xfId="8736" xr:uid="{00000000-0005-0000-0000-00003C210000}"/>
    <cellStyle name="40% - akcent 6 2 2 2 2 2 8" xfId="8737" xr:uid="{00000000-0005-0000-0000-00003D210000}"/>
    <cellStyle name="40% - akcent 6 2 2 2 2 2 9" xfId="8738" xr:uid="{00000000-0005-0000-0000-00003E210000}"/>
    <cellStyle name="40% - akcent 6 2 2 2 2 3" xfId="8739" xr:uid="{00000000-0005-0000-0000-00003F210000}"/>
    <cellStyle name="40% - akcent 6 2 2 2 2 3 2" xfId="8740" xr:uid="{00000000-0005-0000-0000-000040210000}"/>
    <cellStyle name="40% - akcent 6 2 2 2 2 3 2 2" xfId="8741" xr:uid="{00000000-0005-0000-0000-000041210000}"/>
    <cellStyle name="40% - akcent 6 2 2 2 2 3 2 3" xfId="8742" xr:uid="{00000000-0005-0000-0000-000042210000}"/>
    <cellStyle name="40% - akcent 6 2 2 2 2 3 2 4" xfId="8743" xr:uid="{00000000-0005-0000-0000-000043210000}"/>
    <cellStyle name="40% - akcent 6 2 2 2 2 3 2 5" xfId="8744" xr:uid="{00000000-0005-0000-0000-000044210000}"/>
    <cellStyle name="40% - akcent 6 2 2 2 2 3 2 6" xfId="8745" xr:uid="{00000000-0005-0000-0000-000045210000}"/>
    <cellStyle name="40% - akcent 6 2 2 2 2 3 3" xfId="8746" xr:uid="{00000000-0005-0000-0000-000046210000}"/>
    <cellStyle name="40% - akcent 6 2 2 2 2 3 4" xfId="8747" xr:uid="{00000000-0005-0000-0000-000047210000}"/>
    <cellStyle name="40% - akcent 6 2 2 2 2 3 5" xfId="8748" xr:uid="{00000000-0005-0000-0000-000048210000}"/>
    <cellStyle name="40% - akcent 6 2 2 2 2 3 6" xfId="8749" xr:uid="{00000000-0005-0000-0000-000049210000}"/>
    <cellStyle name="40% - akcent 6 2 2 2 2 3 7" xfId="8750" xr:uid="{00000000-0005-0000-0000-00004A210000}"/>
    <cellStyle name="40% - akcent 6 2 2 2 2 4" xfId="8751" xr:uid="{00000000-0005-0000-0000-00004B210000}"/>
    <cellStyle name="40% - akcent 6 2 2 2 2 5" xfId="8752" xr:uid="{00000000-0005-0000-0000-00004C210000}"/>
    <cellStyle name="40% - akcent 6 2 2 2 2 6" xfId="8753" xr:uid="{00000000-0005-0000-0000-00004D210000}"/>
    <cellStyle name="40% - akcent 6 2 2 2 2 7" xfId="8754" xr:uid="{00000000-0005-0000-0000-00004E210000}"/>
    <cellStyle name="40% - akcent 6 2 2 2 2 8" xfId="8755" xr:uid="{00000000-0005-0000-0000-00004F210000}"/>
    <cellStyle name="40% - akcent 6 2 2 2 2 8 2" xfId="8756" xr:uid="{00000000-0005-0000-0000-000050210000}"/>
    <cellStyle name="40% - akcent 6 2 2 2 2 8 3" xfId="8757" xr:uid="{00000000-0005-0000-0000-000051210000}"/>
    <cellStyle name="40% - akcent 6 2 2 2 2 8 4" xfId="8758" xr:uid="{00000000-0005-0000-0000-000052210000}"/>
    <cellStyle name="40% - akcent 6 2 2 2 2 8 5" xfId="8759" xr:uid="{00000000-0005-0000-0000-000053210000}"/>
    <cellStyle name="40% - akcent 6 2 2 2 2 8 6" xfId="8760" xr:uid="{00000000-0005-0000-0000-000054210000}"/>
    <cellStyle name="40% - akcent 6 2 2 2 2 9" xfId="8761" xr:uid="{00000000-0005-0000-0000-000055210000}"/>
    <cellStyle name="40% - akcent 6 2 2 2 3" xfId="8762" xr:uid="{00000000-0005-0000-0000-000056210000}"/>
    <cellStyle name="40% - akcent 6 2 2 2 4" xfId="8763" xr:uid="{00000000-0005-0000-0000-000057210000}"/>
    <cellStyle name="40% - akcent 6 2 2 2 4 10" xfId="8764" xr:uid="{00000000-0005-0000-0000-000058210000}"/>
    <cellStyle name="40% - akcent 6 2 2 2 4 11" xfId="8765" xr:uid="{00000000-0005-0000-0000-000059210000}"/>
    <cellStyle name="40% - akcent 6 2 2 2 4 2" xfId="8766" xr:uid="{00000000-0005-0000-0000-00005A210000}"/>
    <cellStyle name="40% - akcent 6 2 2 2 4 2 2" xfId="8767" xr:uid="{00000000-0005-0000-0000-00005B210000}"/>
    <cellStyle name="40% - akcent 6 2 2 2 4 2 2 2" xfId="8768" xr:uid="{00000000-0005-0000-0000-00005C210000}"/>
    <cellStyle name="40% - akcent 6 2 2 2 4 2 2 3" xfId="8769" xr:uid="{00000000-0005-0000-0000-00005D210000}"/>
    <cellStyle name="40% - akcent 6 2 2 2 4 2 2 4" xfId="8770" xr:uid="{00000000-0005-0000-0000-00005E210000}"/>
    <cellStyle name="40% - akcent 6 2 2 2 4 2 2 5" xfId="8771" xr:uid="{00000000-0005-0000-0000-00005F210000}"/>
    <cellStyle name="40% - akcent 6 2 2 2 4 2 2 6" xfId="8772" xr:uid="{00000000-0005-0000-0000-000060210000}"/>
    <cellStyle name="40% - akcent 6 2 2 2 4 2 3" xfId="8773" xr:uid="{00000000-0005-0000-0000-000061210000}"/>
    <cellStyle name="40% - akcent 6 2 2 2 4 2 4" xfId="8774" xr:uid="{00000000-0005-0000-0000-000062210000}"/>
    <cellStyle name="40% - akcent 6 2 2 2 4 2 5" xfId="8775" xr:uid="{00000000-0005-0000-0000-000063210000}"/>
    <cellStyle name="40% - akcent 6 2 2 2 4 2 6" xfId="8776" xr:uid="{00000000-0005-0000-0000-000064210000}"/>
    <cellStyle name="40% - akcent 6 2 2 2 4 2 7" xfId="8777" xr:uid="{00000000-0005-0000-0000-000065210000}"/>
    <cellStyle name="40% - akcent 6 2 2 2 4 3" xfId="8778" xr:uid="{00000000-0005-0000-0000-000066210000}"/>
    <cellStyle name="40% - akcent 6 2 2 2 4 4" xfId="8779" xr:uid="{00000000-0005-0000-0000-000067210000}"/>
    <cellStyle name="40% - akcent 6 2 2 2 4 5" xfId="8780" xr:uid="{00000000-0005-0000-0000-000068210000}"/>
    <cellStyle name="40% - akcent 6 2 2 2 4 6" xfId="8781" xr:uid="{00000000-0005-0000-0000-000069210000}"/>
    <cellStyle name="40% - akcent 6 2 2 2 4 7" xfId="8782" xr:uid="{00000000-0005-0000-0000-00006A210000}"/>
    <cellStyle name="40% - akcent 6 2 2 2 4 7 2" xfId="8783" xr:uid="{00000000-0005-0000-0000-00006B210000}"/>
    <cellStyle name="40% - akcent 6 2 2 2 4 7 3" xfId="8784" xr:uid="{00000000-0005-0000-0000-00006C210000}"/>
    <cellStyle name="40% - akcent 6 2 2 2 4 7 4" xfId="8785" xr:uid="{00000000-0005-0000-0000-00006D210000}"/>
    <cellStyle name="40% - akcent 6 2 2 2 4 7 5" xfId="8786" xr:uid="{00000000-0005-0000-0000-00006E210000}"/>
    <cellStyle name="40% - akcent 6 2 2 2 4 7 6" xfId="8787" xr:uid="{00000000-0005-0000-0000-00006F210000}"/>
    <cellStyle name="40% - akcent 6 2 2 2 4 8" xfId="8788" xr:uid="{00000000-0005-0000-0000-000070210000}"/>
    <cellStyle name="40% - akcent 6 2 2 2 4 9" xfId="8789" xr:uid="{00000000-0005-0000-0000-000071210000}"/>
    <cellStyle name="40% - akcent 6 2 2 2 5" xfId="8790" xr:uid="{00000000-0005-0000-0000-000072210000}"/>
    <cellStyle name="40% - akcent 6 2 2 2 5 2" xfId="8791" xr:uid="{00000000-0005-0000-0000-000073210000}"/>
    <cellStyle name="40% - akcent 6 2 2 2 5 2 2" xfId="8792" xr:uid="{00000000-0005-0000-0000-000074210000}"/>
    <cellStyle name="40% - akcent 6 2 2 2 5 2 3" xfId="8793" xr:uid="{00000000-0005-0000-0000-000075210000}"/>
    <cellStyle name="40% - akcent 6 2 2 2 5 2 4" xfId="8794" xr:uid="{00000000-0005-0000-0000-000076210000}"/>
    <cellStyle name="40% - akcent 6 2 2 2 5 2 5" xfId="8795" xr:uid="{00000000-0005-0000-0000-000077210000}"/>
    <cellStyle name="40% - akcent 6 2 2 2 5 2 6" xfId="8796" xr:uid="{00000000-0005-0000-0000-000078210000}"/>
    <cellStyle name="40% - akcent 6 2 2 2 5 3" xfId="8797" xr:uid="{00000000-0005-0000-0000-000079210000}"/>
    <cellStyle name="40% - akcent 6 2 2 2 5 4" xfId="8798" xr:uid="{00000000-0005-0000-0000-00007A210000}"/>
    <cellStyle name="40% - akcent 6 2 2 2 5 5" xfId="8799" xr:uid="{00000000-0005-0000-0000-00007B210000}"/>
    <cellStyle name="40% - akcent 6 2 2 2 5 6" xfId="8800" xr:uid="{00000000-0005-0000-0000-00007C210000}"/>
    <cellStyle name="40% - akcent 6 2 2 2 5 7" xfId="8801" xr:uid="{00000000-0005-0000-0000-00007D210000}"/>
    <cellStyle name="40% - akcent 6 2 2 2 6" xfId="8802" xr:uid="{00000000-0005-0000-0000-00007E210000}"/>
    <cellStyle name="40% - akcent 6 2 2 2 7" xfId="8803" xr:uid="{00000000-0005-0000-0000-00007F210000}"/>
    <cellStyle name="40% - akcent 6 2 2 2 8" xfId="8804" xr:uid="{00000000-0005-0000-0000-000080210000}"/>
    <cellStyle name="40% - akcent 6 2 2 2 9" xfId="8805" xr:uid="{00000000-0005-0000-0000-000081210000}"/>
    <cellStyle name="40% - akcent 6 2 2 2 9 2" xfId="8806" xr:uid="{00000000-0005-0000-0000-000082210000}"/>
    <cellStyle name="40% - akcent 6 2 2 2 9 3" xfId="8807" xr:uid="{00000000-0005-0000-0000-000083210000}"/>
    <cellStyle name="40% - akcent 6 2 2 2 9 4" xfId="8808" xr:uid="{00000000-0005-0000-0000-000084210000}"/>
    <cellStyle name="40% - akcent 6 2 2 2 9 5" xfId="8809" xr:uid="{00000000-0005-0000-0000-000085210000}"/>
    <cellStyle name="40% - akcent 6 2 2 2 9 6" xfId="8810" xr:uid="{00000000-0005-0000-0000-000086210000}"/>
    <cellStyle name="40% - akcent 6 2 2 20" xfId="8811" xr:uid="{00000000-0005-0000-0000-000087210000}"/>
    <cellStyle name="40% - akcent 6 2 2 21" xfId="8557" xr:uid="{00000000-0005-0000-0000-000088210000}"/>
    <cellStyle name="40% - akcent 6 2 2 3" xfId="8812" xr:uid="{00000000-0005-0000-0000-000089210000}"/>
    <cellStyle name="40% - akcent 6 2 2 4" xfId="8813" xr:uid="{00000000-0005-0000-0000-00008A210000}"/>
    <cellStyle name="40% - akcent 6 2 2 5" xfId="8814" xr:uid="{00000000-0005-0000-0000-00008B210000}"/>
    <cellStyle name="40% - akcent 6 2 2 6" xfId="8815" xr:uid="{00000000-0005-0000-0000-00008C210000}"/>
    <cellStyle name="40% - akcent 6 2 2 7" xfId="8816" xr:uid="{00000000-0005-0000-0000-00008D210000}"/>
    <cellStyle name="40% - akcent 6 2 2 8" xfId="8817" xr:uid="{00000000-0005-0000-0000-00008E210000}"/>
    <cellStyle name="40% - akcent 6 2 2 9" xfId="8818" xr:uid="{00000000-0005-0000-0000-00008F210000}"/>
    <cellStyle name="40% - akcent 6 2 20" xfId="8819" xr:uid="{00000000-0005-0000-0000-000090210000}"/>
    <cellStyle name="40% - akcent 6 2 21" xfId="8820" xr:uid="{00000000-0005-0000-0000-000091210000}"/>
    <cellStyle name="40% - akcent 6 2 21 2" xfId="8821" xr:uid="{00000000-0005-0000-0000-000092210000}"/>
    <cellStyle name="40% - akcent 6 2 21 3" xfId="8822" xr:uid="{00000000-0005-0000-0000-000093210000}"/>
    <cellStyle name="40% - akcent 6 2 21 4" xfId="8823" xr:uid="{00000000-0005-0000-0000-000094210000}"/>
    <cellStyle name="40% - akcent 6 2 21 5" xfId="8824" xr:uid="{00000000-0005-0000-0000-000095210000}"/>
    <cellStyle name="40% - akcent 6 2 21 6" xfId="8825" xr:uid="{00000000-0005-0000-0000-000096210000}"/>
    <cellStyle name="40% - akcent 6 2 22" xfId="8826" xr:uid="{00000000-0005-0000-0000-000097210000}"/>
    <cellStyle name="40% - akcent 6 2 23" xfId="8827" xr:uid="{00000000-0005-0000-0000-000098210000}"/>
    <cellStyle name="40% - akcent 6 2 24" xfId="8828" xr:uid="{00000000-0005-0000-0000-000099210000}"/>
    <cellStyle name="40% - akcent 6 2 25" xfId="8829" xr:uid="{00000000-0005-0000-0000-00009A210000}"/>
    <cellStyle name="40% - akcent 6 2 26" xfId="8830" xr:uid="{00000000-0005-0000-0000-00009B210000}"/>
    <cellStyle name="40% - akcent 6 2 27" xfId="8831" xr:uid="{00000000-0005-0000-0000-00009C210000}"/>
    <cellStyle name="40% - akcent 6 2 28" xfId="8832" xr:uid="{00000000-0005-0000-0000-00009D210000}"/>
    <cellStyle name="40% - akcent 6 2 29" xfId="8833" xr:uid="{00000000-0005-0000-0000-00009E210000}"/>
    <cellStyle name="40% - akcent 6 2 3" xfId="8834" xr:uid="{00000000-0005-0000-0000-00009F210000}"/>
    <cellStyle name="40% - akcent 6 2 30" xfId="8835" xr:uid="{00000000-0005-0000-0000-0000A0210000}"/>
    <cellStyle name="40% - akcent 6 2 31" xfId="8836" xr:uid="{00000000-0005-0000-0000-0000A1210000}"/>
    <cellStyle name="40% - akcent 6 2 32" xfId="8430" xr:uid="{00000000-0005-0000-0000-0000A2210000}"/>
    <cellStyle name="40% - akcent 6 2 33" xfId="37828" xr:uid="{00000000-0005-0000-0000-0000A3210000}"/>
    <cellStyle name="40% - akcent 6 2 4" xfId="8837" xr:uid="{00000000-0005-0000-0000-0000A4210000}"/>
    <cellStyle name="40% - akcent 6 2 5" xfId="8838" xr:uid="{00000000-0005-0000-0000-0000A5210000}"/>
    <cellStyle name="40% - akcent 6 2 6" xfId="8839" xr:uid="{00000000-0005-0000-0000-0000A6210000}"/>
    <cellStyle name="40% - akcent 6 2 6 10" xfId="8840" xr:uid="{00000000-0005-0000-0000-0000A7210000}"/>
    <cellStyle name="40% - akcent 6 2 6 11" xfId="8841" xr:uid="{00000000-0005-0000-0000-0000A8210000}"/>
    <cellStyle name="40% - akcent 6 2 6 12" xfId="8842" xr:uid="{00000000-0005-0000-0000-0000A9210000}"/>
    <cellStyle name="40% - akcent 6 2 6 13" xfId="8843" xr:uid="{00000000-0005-0000-0000-0000AA210000}"/>
    <cellStyle name="40% - akcent 6 2 6 2" xfId="8844" xr:uid="{00000000-0005-0000-0000-0000AB210000}"/>
    <cellStyle name="40% - akcent 6 2 6 2 10" xfId="8845" xr:uid="{00000000-0005-0000-0000-0000AC210000}"/>
    <cellStyle name="40% - akcent 6 2 6 2 11" xfId="8846" xr:uid="{00000000-0005-0000-0000-0000AD210000}"/>
    <cellStyle name="40% - akcent 6 2 6 2 12" xfId="8847" xr:uid="{00000000-0005-0000-0000-0000AE210000}"/>
    <cellStyle name="40% - akcent 6 2 6 2 13" xfId="8848" xr:uid="{00000000-0005-0000-0000-0000AF210000}"/>
    <cellStyle name="40% - akcent 6 2 6 2 2" xfId="8849" xr:uid="{00000000-0005-0000-0000-0000B0210000}"/>
    <cellStyle name="40% - akcent 6 2 6 2 2 10" xfId="8850" xr:uid="{00000000-0005-0000-0000-0000B1210000}"/>
    <cellStyle name="40% - akcent 6 2 6 2 2 11" xfId="8851" xr:uid="{00000000-0005-0000-0000-0000B2210000}"/>
    <cellStyle name="40% - akcent 6 2 6 2 2 12" xfId="8852" xr:uid="{00000000-0005-0000-0000-0000B3210000}"/>
    <cellStyle name="40% - akcent 6 2 6 2 2 2" xfId="8853" xr:uid="{00000000-0005-0000-0000-0000B4210000}"/>
    <cellStyle name="40% - akcent 6 2 6 2 2 2 10" xfId="8854" xr:uid="{00000000-0005-0000-0000-0000B5210000}"/>
    <cellStyle name="40% - akcent 6 2 6 2 2 2 11" xfId="8855" xr:uid="{00000000-0005-0000-0000-0000B6210000}"/>
    <cellStyle name="40% - akcent 6 2 6 2 2 2 2" xfId="8856" xr:uid="{00000000-0005-0000-0000-0000B7210000}"/>
    <cellStyle name="40% - akcent 6 2 6 2 2 2 2 10" xfId="8857" xr:uid="{00000000-0005-0000-0000-0000B8210000}"/>
    <cellStyle name="40% - akcent 6 2 6 2 2 2 2 11" xfId="8858" xr:uid="{00000000-0005-0000-0000-0000B9210000}"/>
    <cellStyle name="40% - akcent 6 2 6 2 2 2 2 2" xfId="8859" xr:uid="{00000000-0005-0000-0000-0000BA210000}"/>
    <cellStyle name="40% - akcent 6 2 6 2 2 2 2 2 2" xfId="8860" xr:uid="{00000000-0005-0000-0000-0000BB210000}"/>
    <cellStyle name="40% - akcent 6 2 6 2 2 2 2 2 2 2" xfId="8861" xr:uid="{00000000-0005-0000-0000-0000BC210000}"/>
    <cellStyle name="40% - akcent 6 2 6 2 2 2 2 2 2 3" xfId="8862" xr:uid="{00000000-0005-0000-0000-0000BD210000}"/>
    <cellStyle name="40% - akcent 6 2 6 2 2 2 2 2 2 4" xfId="8863" xr:uid="{00000000-0005-0000-0000-0000BE210000}"/>
    <cellStyle name="40% - akcent 6 2 6 2 2 2 2 2 2 5" xfId="8864" xr:uid="{00000000-0005-0000-0000-0000BF210000}"/>
    <cellStyle name="40% - akcent 6 2 6 2 2 2 2 2 2 6" xfId="8865" xr:uid="{00000000-0005-0000-0000-0000C0210000}"/>
    <cellStyle name="40% - akcent 6 2 6 2 2 2 2 2 3" xfId="8866" xr:uid="{00000000-0005-0000-0000-0000C1210000}"/>
    <cellStyle name="40% - akcent 6 2 6 2 2 2 2 2 4" xfId="8867" xr:uid="{00000000-0005-0000-0000-0000C2210000}"/>
    <cellStyle name="40% - akcent 6 2 6 2 2 2 2 2 5" xfId="8868" xr:uid="{00000000-0005-0000-0000-0000C3210000}"/>
    <cellStyle name="40% - akcent 6 2 6 2 2 2 2 2 6" xfId="8869" xr:uid="{00000000-0005-0000-0000-0000C4210000}"/>
    <cellStyle name="40% - akcent 6 2 6 2 2 2 2 2 7" xfId="8870" xr:uid="{00000000-0005-0000-0000-0000C5210000}"/>
    <cellStyle name="40% - akcent 6 2 6 2 2 2 2 3" xfId="8871" xr:uid="{00000000-0005-0000-0000-0000C6210000}"/>
    <cellStyle name="40% - akcent 6 2 6 2 2 2 2 4" xfId="8872" xr:uid="{00000000-0005-0000-0000-0000C7210000}"/>
    <cellStyle name="40% - akcent 6 2 6 2 2 2 2 5" xfId="8873" xr:uid="{00000000-0005-0000-0000-0000C8210000}"/>
    <cellStyle name="40% - akcent 6 2 6 2 2 2 2 6" xfId="8874" xr:uid="{00000000-0005-0000-0000-0000C9210000}"/>
    <cellStyle name="40% - akcent 6 2 6 2 2 2 2 7" xfId="8875" xr:uid="{00000000-0005-0000-0000-0000CA210000}"/>
    <cellStyle name="40% - akcent 6 2 6 2 2 2 2 7 2" xfId="8876" xr:uid="{00000000-0005-0000-0000-0000CB210000}"/>
    <cellStyle name="40% - akcent 6 2 6 2 2 2 2 7 3" xfId="8877" xr:uid="{00000000-0005-0000-0000-0000CC210000}"/>
    <cellStyle name="40% - akcent 6 2 6 2 2 2 2 7 4" xfId="8878" xr:uid="{00000000-0005-0000-0000-0000CD210000}"/>
    <cellStyle name="40% - akcent 6 2 6 2 2 2 2 7 5" xfId="8879" xr:uid="{00000000-0005-0000-0000-0000CE210000}"/>
    <cellStyle name="40% - akcent 6 2 6 2 2 2 2 7 6" xfId="8880" xr:uid="{00000000-0005-0000-0000-0000CF210000}"/>
    <cellStyle name="40% - akcent 6 2 6 2 2 2 2 8" xfId="8881" xr:uid="{00000000-0005-0000-0000-0000D0210000}"/>
    <cellStyle name="40% - akcent 6 2 6 2 2 2 2 9" xfId="8882" xr:uid="{00000000-0005-0000-0000-0000D1210000}"/>
    <cellStyle name="40% - akcent 6 2 6 2 2 2 3" xfId="8883" xr:uid="{00000000-0005-0000-0000-0000D2210000}"/>
    <cellStyle name="40% - akcent 6 2 6 2 2 2 3 2" xfId="8884" xr:uid="{00000000-0005-0000-0000-0000D3210000}"/>
    <cellStyle name="40% - akcent 6 2 6 2 2 2 3 2 2" xfId="8885" xr:uid="{00000000-0005-0000-0000-0000D4210000}"/>
    <cellStyle name="40% - akcent 6 2 6 2 2 2 3 2 3" xfId="8886" xr:uid="{00000000-0005-0000-0000-0000D5210000}"/>
    <cellStyle name="40% - akcent 6 2 6 2 2 2 3 2 4" xfId="8887" xr:uid="{00000000-0005-0000-0000-0000D6210000}"/>
    <cellStyle name="40% - akcent 6 2 6 2 2 2 3 2 5" xfId="8888" xr:uid="{00000000-0005-0000-0000-0000D7210000}"/>
    <cellStyle name="40% - akcent 6 2 6 2 2 2 3 2 6" xfId="8889" xr:uid="{00000000-0005-0000-0000-0000D8210000}"/>
    <cellStyle name="40% - akcent 6 2 6 2 2 2 3 3" xfId="8890" xr:uid="{00000000-0005-0000-0000-0000D9210000}"/>
    <cellStyle name="40% - akcent 6 2 6 2 2 2 3 4" xfId="8891" xr:uid="{00000000-0005-0000-0000-0000DA210000}"/>
    <cellStyle name="40% - akcent 6 2 6 2 2 2 3 5" xfId="8892" xr:uid="{00000000-0005-0000-0000-0000DB210000}"/>
    <cellStyle name="40% - akcent 6 2 6 2 2 2 3 6" xfId="8893" xr:uid="{00000000-0005-0000-0000-0000DC210000}"/>
    <cellStyle name="40% - akcent 6 2 6 2 2 2 3 7" xfId="8894" xr:uid="{00000000-0005-0000-0000-0000DD210000}"/>
    <cellStyle name="40% - akcent 6 2 6 2 2 2 4" xfId="8895" xr:uid="{00000000-0005-0000-0000-0000DE210000}"/>
    <cellStyle name="40% - akcent 6 2 6 2 2 2 5" xfId="8896" xr:uid="{00000000-0005-0000-0000-0000DF210000}"/>
    <cellStyle name="40% - akcent 6 2 6 2 2 2 6" xfId="8897" xr:uid="{00000000-0005-0000-0000-0000E0210000}"/>
    <cellStyle name="40% - akcent 6 2 6 2 2 2 7" xfId="8898" xr:uid="{00000000-0005-0000-0000-0000E1210000}"/>
    <cellStyle name="40% - akcent 6 2 6 2 2 2 7 2" xfId="8899" xr:uid="{00000000-0005-0000-0000-0000E2210000}"/>
    <cellStyle name="40% - akcent 6 2 6 2 2 2 7 3" xfId="8900" xr:uid="{00000000-0005-0000-0000-0000E3210000}"/>
    <cellStyle name="40% - akcent 6 2 6 2 2 2 7 4" xfId="8901" xr:uid="{00000000-0005-0000-0000-0000E4210000}"/>
    <cellStyle name="40% - akcent 6 2 6 2 2 2 7 5" xfId="8902" xr:uid="{00000000-0005-0000-0000-0000E5210000}"/>
    <cellStyle name="40% - akcent 6 2 6 2 2 2 7 6" xfId="8903" xr:uid="{00000000-0005-0000-0000-0000E6210000}"/>
    <cellStyle name="40% - akcent 6 2 6 2 2 2 8" xfId="8904" xr:uid="{00000000-0005-0000-0000-0000E7210000}"/>
    <cellStyle name="40% - akcent 6 2 6 2 2 2 9" xfId="8905" xr:uid="{00000000-0005-0000-0000-0000E8210000}"/>
    <cellStyle name="40% - akcent 6 2 6 2 2 3" xfId="8906" xr:uid="{00000000-0005-0000-0000-0000E9210000}"/>
    <cellStyle name="40% - akcent 6 2 6 2 2 3 2" xfId="8907" xr:uid="{00000000-0005-0000-0000-0000EA210000}"/>
    <cellStyle name="40% - akcent 6 2 6 2 2 3 2 2" xfId="8908" xr:uid="{00000000-0005-0000-0000-0000EB210000}"/>
    <cellStyle name="40% - akcent 6 2 6 2 2 3 2 3" xfId="8909" xr:uid="{00000000-0005-0000-0000-0000EC210000}"/>
    <cellStyle name="40% - akcent 6 2 6 2 2 3 2 4" xfId="8910" xr:uid="{00000000-0005-0000-0000-0000ED210000}"/>
    <cellStyle name="40% - akcent 6 2 6 2 2 3 2 5" xfId="8911" xr:uid="{00000000-0005-0000-0000-0000EE210000}"/>
    <cellStyle name="40% - akcent 6 2 6 2 2 3 2 6" xfId="8912" xr:uid="{00000000-0005-0000-0000-0000EF210000}"/>
    <cellStyle name="40% - akcent 6 2 6 2 2 3 3" xfId="8913" xr:uid="{00000000-0005-0000-0000-0000F0210000}"/>
    <cellStyle name="40% - akcent 6 2 6 2 2 3 4" xfId="8914" xr:uid="{00000000-0005-0000-0000-0000F1210000}"/>
    <cellStyle name="40% - akcent 6 2 6 2 2 3 5" xfId="8915" xr:uid="{00000000-0005-0000-0000-0000F2210000}"/>
    <cellStyle name="40% - akcent 6 2 6 2 2 3 6" xfId="8916" xr:uid="{00000000-0005-0000-0000-0000F3210000}"/>
    <cellStyle name="40% - akcent 6 2 6 2 2 3 7" xfId="8917" xr:uid="{00000000-0005-0000-0000-0000F4210000}"/>
    <cellStyle name="40% - akcent 6 2 6 2 2 4" xfId="8918" xr:uid="{00000000-0005-0000-0000-0000F5210000}"/>
    <cellStyle name="40% - akcent 6 2 6 2 2 5" xfId="8919" xr:uid="{00000000-0005-0000-0000-0000F6210000}"/>
    <cellStyle name="40% - akcent 6 2 6 2 2 6" xfId="8920" xr:uid="{00000000-0005-0000-0000-0000F7210000}"/>
    <cellStyle name="40% - akcent 6 2 6 2 2 7" xfId="8921" xr:uid="{00000000-0005-0000-0000-0000F8210000}"/>
    <cellStyle name="40% - akcent 6 2 6 2 2 8" xfId="8922" xr:uid="{00000000-0005-0000-0000-0000F9210000}"/>
    <cellStyle name="40% - akcent 6 2 6 2 2 8 2" xfId="8923" xr:uid="{00000000-0005-0000-0000-0000FA210000}"/>
    <cellStyle name="40% - akcent 6 2 6 2 2 8 3" xfId="8924" xr:uid="{00000000-0005-0000-0000-0000FB210000}"/>
    <cellStyle name="40% - akcent 6 2 6 2 2 8 4" xfId="8925" xr:uid="{00000000-0005-0000-0000-0000FC210000}"/>
    <cellStyle name="40% - akcent 6 2 6 2 2 8 5" xfId="8926" xr:uid="{00000000-0005-0000-0000-0000FD210000}"/>
    <cellStyle name="40% - akcent 6 2 6 2 2 8 6" xfId="8927" xr:uid="{00000000-0005-0000-0000-0000FE210000}"/>
    <cellStyle name="40% - akcent 6 2 6 2 2 9" xfId="8928" xr:uid="{00000000-0005-0000-0000-0000FF210000}"/>
    <cellStyle name="40% - akcent 6 2 6 2 3" xfId="8929" xr:uid="{00000000-0005-0000-0000-000000220000}"/>
    <cellStyle name="40% - akcent 6 2 6 2 4" xfId="8930" xr:uid="{00000000-0005-0000-0000-000001220000}"/>
    <cellStyle name="40% - akcent 6 2 6 2 4 10" xfId="8931" xr:uid="{00000000-0005-0000-0000-000002220000}"/>
    <cellStyle name="40% - akcent 6 2 6 2 4 11" xfId="8932" xr:uid="{00000000-0005-0000-0000-000003220000}"/>
    <cellStyle name="40% - akcent 6 2 6 2 4 2" xfId="8933" xr:uid="{00000000-0005-0000-0000-000004220000}"/>
    <cellStyle name="40% - akcent 6 2 6 2 4 2 2" xfId="8934" xr:uid="{00000000-0005-0000-0000-000005220000}"/>
    <cellStyle name="40% - akcent 6 2 6 2 4 2 2 2" xfId="8935" xr:uid="{00000000-0005-0000-0000-000006220000}"/>
    <cellStyle name="40% - akcent 6 2 6 2 4 2 2 3" xfId="8936" xr:uid="{00000000-0005-0000-0000-000007220000}"/>
    <cellStyle name="40% - akcent 6 2 6 2 4 2 2 4" xfId="8937" xr:uid="{00000000-0005-0000-0000-000008220000}"/>
    <cellStyle name="40% - akcent 6 2 6 2 4 2 2 5" xfId="8938" xr:uid="{00000000-0005-0000-0000-000009220000}"/>
    <cellStyle name="40% - akcent 6 2 6 2 4 2 2 6" xfId="8939" xr:uid="{00000000-0005-0000-0000-00000A220000}"/>
    <cellStyle name="40% - akcent 6 2 6 2 4 2 3" xfId="8940" xr:uid="{00000000-0005-0000-0000-00000B220000}"/>
    <cellStyle name="40% - akcent 6 2 6 2 4 2 4" xfId="8941" xr:uid="{00000000-0005-0000-0000-00000C220000}"/>
    <cellStyle name="40% - akcent 6 2 6 2 4 2 5" xfId="8942" xr:uid="{00000000-0005-0000-0000-00000D220000}"/>
    <cellStyle name="40% - akcent 6 2 6 2 4 2 6" xfId="8943" xr:uid="{00000000-0005-0000-0000-00000E220000}"/>
    <cellStyle name="40% - akcent 6 2 6 2 4 2 7" xfId="8944" xr:uid="{00000000-0005-0000-0000-00000F220000}"/>
    <cellStyle name="40% - akcent 6 2 6 2 4 3" xfId="8945" xr:uid="{00000000-0005-0000-0000-000010220000}"/>
    <cellStyle name="40% - akcent 6 2 6 2 4 4" xfId="8946" xr:uid="{00000000-0005-0000-0000-000011220000}"/>
    <cellStyle name="40% - akcent 6 2 6 2 4 5" xfId="8947" xr:uid="{00000000-0005-0000-0000-000012220000}"/>
    <cellStyle name="40% - akcent 6 2 6 2 4 6" xfId="8948" xr:uid="{00000000-0005-0000-0000-000013220000}"/>
    <cellStyle name="40% - akcent 6 2 6 2 4 7" xfId="8949" xr:uid="{00000000-0005-0000-0000-000014220000}"/>
    <cellStyle name="40% - akcent 6 2 6 2 4 7 2" xfId="8950" xr:uid="{00000000-0005-0000-0000-000015220000}"/>
    <cellStyle name="40% - akcent 6 2 6 2 4 7 3" xfId="8951" xr:uid="{00000000-0005-0000-0000-000016220000}"/>
    <cellStyle name="40% - akcent 6 2 6 2 4 7 4" xfId="8952" xr:uid="{00000000-0005-0000-0000-000017220000}"/>
    <cellStyle name="40% - akcent 6 2 6 2 4 7 5" xfId="8953" xr:uid="{00000000-0005-0000-0000-000018220000}"/>
    <cellStyle name="40% - akcent 6 2 6 2 4 7 6" xfId="8954" xr:uid="{00000000-0005-0000-0000-000019220000}"/>
    <cellStyle name="40% - akcent 6 2 6 2 4 8" xfId="8955" xr:uid="{00000000-0005-0000-0000-00001A220000}"/>
    <cellStyle name="40% - akcent 6 2 6 2 4 9" xfId="8956" xr:uid="{00000000-0005-0000-0000-00001B220000}"/>
    <cellStyle name="40% - akcent 6 2 6 2 5" xfId="8957" xr:uid="{00000000-0005-0000-0000-00001C220000}"/>
    <cellStyle name="40% - akcent 6 2 6 2 5 2" xfId="8958" xr:uid="{00000000-0005-0000-0000-00001D220000}"/>
    <cellStyle name="40% - akcent 6 2 6 2 5 2 2" xfId="8959" xr:uid="{00000000-0005-0000-0000-00001E220000}"/>
    <cellStyle name="40% - akcent 6 2 6 2 5 2 3" xfId="8960" xr:uid="{00000000-0005-0000-0000-00001F220000}"/>
    <cellStyle name="40% - akcent 6 2 6 2 5 2 4" xfId="8961" xr:uid="{00000000-0005-0000-0000-000020220000}"/>
    <cellStyle name="40% - akcent 6 2 6 2 5 2 5" xfId="8962" xr:uid="{00000000-0005-0000-0000-000021220000}"/>
    <cellStyle name="40% - akcent 6 2 6 2 5 2 6" xfId="8963" xr:uid="{00000000-0005-0000-0000-000022220000}"/>
    <cellStyle name="40% - akcent 6 2 6 2 5 3" xfId="8964" xr:uid="{00000000-0005-0000-0000-000023220000}"/>
    <cellStyle name="40% - akcent 6 2 6 2 5 4" xfId="8965" xr:uid="{00000000-0005-0000-0000-000024220000}"/>
    <cellStyle name="40% - akcent 6 2 6 2 5 5" xfId="8966" xr:uid="{00000000-0005-0000-0000-000025220000}"/>
    <cellStyle name="40% - akcent 6 2 6 2 5 6" xfId="8967" xr:uid="{00000000-0005-0000-0000-000026220000}"/>
    <cellStyle name="40% - akcent 6 2 6 2 5 7" xfId="8968" xr:uid="{00000000-0005-0000-0000-000027220000}"/>
    <cellStyle name="40% - akcent 6 2 6 2 6" xfId="8969" xr:uid="{00000000-0005-0000-0000-000028220000}"/>
    <cellStyle name="40% - akcent 6 2 6 2 7" xfId="8970" xr:uid="{00000000-0005-0000-0000-000029220000}"/>
    <cellStyle name="40% - akcent 6 2 6 2 8" xfId="8971" xr:uid="{00000000-0005-0000-0000-00002A220000}"/>
    <cellStyle name="40% - akcent 6 2 6 2 9" xfId="8972" xr:uid="{00000000-0005-0000-0000-00002B220000}"/>
    <cellStyle name="40% - akcent 6 2 6 2 9 2" xfId="8973" xr:uid="{00000000-0005-0000-0000-00002C220000}"/>
    <cellStyle name="40% - akcent 6 2 6 2 9 3" xfId="8974" xr:uid="{00000000-0005-0000-0000-00002D220000}"/>
    <cellStyle name="40% - akcent 6 2 6 2 9 4" xfId="8975" xr:uid="{00000000-0005-0000-0000-00002E220000}"/>
    <cellStyle name="40% - akcent 6 2 6 2 9 5" xfId="8976" xr:uid="{00000000-0005-0000-0000-00002F220000}"/>
    <cellStyle name="40% - akcent 6 2 6 2 9 6" xfId="8977" xr:uid="{00000000-0005-0000-0000-000030220000}"/>
    <cellStyle name="40% - akcent 6 2 6 3" xfId="8978" xr:uid="{00000000-0005-0000-0000-000031220000}"/>
    <cellStyle name="40% - akcent 6 2 6 3 10" xfId="8979" xr:uid="{00000000-0005-0000-0000-000032220000}"/>
    <cellStyle name="40% - akcent 6 2 6 3 11" xfId="8980" xr:uid="{00000000-0005-0000-0000-000033220000}"/>
    <cellStyle name="40% - akcent 6 2 6 3 12" xfId="8981" xr:uid="{00000000-0005-0000-0000-000034220000}"/>
    <cellStyle name="40% - akcent 6 2 6 3 2" xfId="8982" xr:uid="{00000000-0005-0000-0000-000035220000}"/>
    <cellStyle name="40% - akcent 6 2 6 3 2 10" xfId="8983" xr:uid="{00000000-0005-0000-0000-000036220000}"/>
    <cellStyle name="40% - akcent 6 2 6 3 2 11" xfId="8984" xr:uid="{00000000-0005-0000-0000-000037220000}"/>
    <cellStyle name="40% - akcent 6 2 6 3 2 2" xfId="8985" xr:uid="{00000000-0005-0000-0000-000038220000}"/>
    <cellStyle name="40% - akcent 6 2 6 3 2 2 10" xfId="8986" xr:uid="{00000000-0005-0000-0000-000039220000}"/>
    <cellStyle name="40% - akcent 6 2 6 3 2 2 11" xfId="8987" xr:uid="{00000000-0005-0000-0000-00003A220000}"/>
    <cellStyle name="40% - akcent 6 2 6 3 2 2 2" xfId="8988" xr:uid="{00000000-0005-0000-0000-00003B220000}"/>
    <cellStyle name="40% - akcent 6 2 6 3 2 2 2 2" xfId="8989" xr:uid="{00000000-0005-0000-0000-00003C220000}"/>
    <cellStyle name="40% - akcent 6 2 6 3 2 2 2 2 2" xfId="8990" xr:uid="{00000000-0005-0000-0000-00003D220000}"/>
    <cellStyle name="40% - akcent 6 2 6 3 2 2 2 2 3" xfId="8991" xr:uid="{00000000-0005-0000-0000-00003E220000}"/>
    <cellStyle name="40% - akcent 6 2 6 3 2 2 2 2 4" xfId="8992" xr:uid="{00000000-0005-0000-0000-00003F220000}"/>
    <cellStyle name="40% - akcent 6 2 6 3 2 2 2 2 5" xfId="8993" xr:uid="{00000000-0005-0000-0000-000040220000}"/>
    <cellStyle name="40% - akcent 6 2 6 3 2 2 2 2 6" xfId="8994" xr:uid="{00000000-0005-0000-0000-000041220000}"/>
    <cellStyle name="40% - akcent 6 2 6 3 2 2 2 3" xfId="8995" xr:uid="{00000000-0005-0000-0000-000042220000}"/>
    <cellStyle name="40% - akcent 6 2 6 3 2 2 2 4" xfId="8996" xr:uid="{00000000-0005-0000-0000-000043220000}"/>
    <cellStyle name="40% - akcent 6 2 6 3 2 2 2 5" xfId="8997" xr:uid="{00000000-0005-0000-0000-000044220000}"/>
    <cellStyle name="40% - akcent 6 2 6 3 2 2 2 6" xfId="8998" xr:uid="{00000000-0005-0000-0000-000045220000}"/>
    <cellStyle name="40% - akcent 6 2 6 3 2 2 2 7" xfId="8999" xr:uid="{00000000-0005-0000-0000-000046220000}"/>
    <cellStyle name="40% - akcent 6 2 6 3 2 2 3" xfId="9000" xr:uid="{00000000-0005-0000-0000-000047220000}"/>
    <cellStyle name="40% - akcent 6 2 6 3 2 2 4" xfId="9001" xr:uid="{00000000-0005-0000-0000-000048220000}"/>
    <cellStyle name="40% - akcent 6 2 6 3 2 2 5" xfId="9002" xr:uid="{00000000-0005-0000-0000-000049220000}"/>
    <cellStyle name="40% - akcent 6 2 6 3 2 2 6" xfId="9003" xr:uid="{00000000-0005-0000-0000-00004A220000}"/>
    <cellStyle name="40% - akcent 6 2 6 3 2 2 7" xfId="9004" xr:uid="{00000000-0005-0000-0000-00004B220000}"/>
    <cellStyle name="40% - akcent 6 2 6 3 2 2 7 2" xfId="9005" xr:uid="{00000000-0005-0000-0000-00004C220000}"/>
    <cellStyle name="40% - akcent 6 2 6 3 2 2 7 3" xfId="9006" xr:uid="{00000000-0005-0000-0000-00004D220000}"/>
    <cellStyle name="40% - akcent 6 2 6 3 2 2 7 4" xfId="9007" xr:uid="{00000000-0005-0000-0000-00004E220000}"/>
    <cellStyle name="40% - akcent 6 2 6 3 2 2 7 5" xfId="9008" xr:uid="{00000000-0005-0000-0000-00004F220000}"/>
    <cellStyle name="40% - akcent 6 2 6 3 2 2 7 6" xfId="9009" xr:uid="{00000000-0005-0000-0000-000050220000}"/>
    <cellStyle name="40% - akcent 6 2 6 3 2 2 8" xfId="9010" xr:uid="{00000000-0005-0000-0000-000051220000}"/>
    <cellStyle name="40% - akcent 6 2 6 3 2 2 9" xfId="9011" xr:uid="{00000000-0005-0000-0000-000052220000}"/>
    <cellStyle name="40% - akcent 6 2 6 3 2 3" xfId="9012" xr:uid="{00000000-0005-0000-0000-000053220000}"/>
    <cellStyle name="40% - akcent 6 2 6 3 2 3 2" xfId="9013" xr:uid="{00000000-0005-0000-0000-000054220000}"/>
    <cellStyle name="40% - akcent 6 2 6 3 2 3 2 2" xfId="9014" xr:uid="{00000000-0005-0000-0000-000055220000}"/>
    <cellStyle name="40% - akcent 6 2 6 3 2 3 2 3" xfId="9015" xr:uid="{00000000-0005-0000-0000-000056220000}"/>
    <cellStyle name="40% - akcent 6 2 6 3 2 3 2 4" xfId="9016" xr:uid="{00000000-0005-0000-0000-000057220000}"/>
    <cellStyle name="40% - akcent 6 2 6 3 2 3 2 5" xfId="9017" xr:uid="{00000000-0005-0000-0000-000058220000}"/>
    <cellStyle name="40% - akcent 6 2 6 3 2 3 2 6" xfId="9018" xr:uid="{00000000-0005-0000-0000-000059220000}"/>
    <cellStyle name="40% - akcent 6 2 6 3 2 3 3" xfId="9019" xr:uid="{00000000-0005-0000-0000-00005A220000}"/>
    <cellStyle name="40% - akcent 6 2 6 3 2 3 4" xfId="9020" xr:uid="{00000000-0005-0000-0000-00005B220000}"/>
    <cellStyle name="40% - akcent 6 2 6 3 2 3 5" xfId="9021" xr:uid="{00000000-0005-0000-0000-00005C220000}"/>
    <cellStyle name="40% - akcent 6 2 6 3 2 3 6" xfId="9022" xr:uid="{00000000-0005-0000-0000-00005D220000}"/>
    <cellStyle name="40% - akcent 6 2 6 3 2 3 7" xfId="9023" xr:uid="{00000000-0005-0000-0000-00005E220000}"/>
    <cellStyle name="40% - akcent 6 2 6 3 2 4" xfId="9024" xr:uid="{00000000-0005-0000-0000-00005F220000}"/>
    <cellStyle name="40% - akcent 6 2 6 3 2 5" xfId="9025" xr:uid="{00000000-0005-0000-0000-000060220000}"/>
    <cellStyle name="40% - akcent 6 2 6 3 2 6" xfId="9026" xr:uid="{00000000-0005-0000-0000-000061220000}"/>
    <cellStyle name="40% - akcent 6 2 6 3 2 7" xfId="9027" xr:uid="{00000000-0005-0000-0000-000062220000}"/>
    <cellStyle name="40% - akcent 6 2 6 3 2 7 2" xfId="9028" xr:uid="{00000000-0005-0000-0000-000063220000}"/>
    <cellStyle name="40% - akcent 6 2 6 3 2 7 3" xfId="9029" xr:uid="{00000000-0005-0000-0000-000064220000}"/>
    <cellStyle name="40% - akcent 6 2 6 3 2 7 4" xfId="9030" xr:uid="{00000000-0005-0000-0000-000065220000}"/>
    <cellStyle name="40% - akcent 6 2 6 3 2 7 5" xfId="9031" xr:uid="{00000000-0005-0000-0000-000066220000}"/>
    <cellStyle name="40% - akcent 6 2 6 3 2 7 6" xfId="9032" xr:uid="{00000000-0005-0000-0000-000067220000}"/>
    <cellStyle name="40% - akcent 6 2 6 3 2 8" xfId="9033" xr:uid="{00000000-0005-0000-0000-000068220000}"/>
    <cellStyle name="40% - akcent 6 2 6 3 2 9" xfId="9034" xr:uid="{00000000-0005-0000-0000-000069220000}"/>
    <cellStyle name="40% - akcent 6 2 6 3 3" xfId="9035" xr:uid="{00000000-0005-0000-0000-00006A220000}"/>
    <cellStyle name="40% - akcent 6 2 6 3 3 2" xfId="9036" xr:uid="{00000000-0005-0000-0000-00006B220000}"/>
    <cellStyle name="40% - akcent 6 2 6 3 3 2 2" xfId="9037" xr:uid="{00000000-0005-0000-0000-00006C220000}"/>
    <cellStyle name="40% - akcent 6 2 6 3 3 2 3" xfId="9038" xr:uid="{00000000-0005-0000-0000-00006D220000}"/>
    <cellStyle name="40% - akcent 6 2 6 3 3 2 4" xfId="9039" xr:uid="{00000000-0005-0000-0000-00006E220000}"/>
    <cellStyle name="40% - akcent 6 2 6 3 3 2 5" xfId="9040" xr:uid="{00000000-0005-0000-0000-00006F220000}"/>
    <cellStyle name="40% - akcent 6 2 6 3 3 2 6" xfId="9041" xr:uid="{00000000-0005-0000-0000-000070220000}"/>
    <cellStyle name="40% - akcent 6 2 6 3 3 3" xfId="9042" xr:uid="{00000000-0005-0000-0000-000071220000}"/>
    <cellStyle name="40% - akcent 6 2 6 3 3 4" xfId="9043" xr:uid="{00000000-0005-0000-0000-000072220000}"/>
    <cellStyle name="40% - akcent 6 2 6 3 3 5" xfId="9044" xr:uid="{00000000-0005-0000-0000-000073220000}"/>
    <cellStyle name="40% - akcent 6 2 6 3 3 6" xfId="9045" xr:uid="{00000000-0005-0000-0000-000074220000}"/>
    <cellStyle name="40% - akcent 6 2 6 3 3 7" xfId="9046" xr:uid="{00000000-0005-0000-0000-000075220000}"/>
    <cellStyle name="40% - akcent 6 2 6 3 4" xfId="9047" xr:uid="{00000000-0005-0000-0000-000076220000}"/>
    <cellStyle name="40% - akcent 6 2 6 3 5" xfId="9048" xr:uid="{00000000-0005-0000-0000-000077220000}"/>
    <cellStyle name="40% - akcent 6 2 6 3 6" xfId="9049" xr:uid="{00000000-0005-0000-0000-000078220000}"/>
    <cellStyle name="40% - akcent 6 2 6 3 7" xfId="9050" xr:uid="{00000000-0005-0000-0000-000079220000}"/>
    <cellStyle name="40% - akcent 6 2 6 3 8" xfId="9051" xr:uid="{00000000-0005-0000-0000-00007A220000}"/>
    <cellStyle name="40% - akcent 6 2 6 3 8 2" xfId="9052" xr:uid="{00000000-0005-0000-0000-00007B220000}"/>
    <cellStyle name="40% - akcent 6 2 6 3 8 3" xfId="9053" xr:uid="{00000000-0005-0000-0000-00007C220000}"/>
    <cellStyle name="40% - akcent 6 2 6 3 8 4" xfId="9054" xr:uid="{00000000-0005-0000-0000-00007D220000}"/>
    <cellStyle name="40% - akcent 6 2 6 3 8 5" xfId="9055" xr:uid="{00000000-0005-0000-0000-00007E220000}"/>
    <cellStyle name="40% - akcent 6 2 6 3 8 6" xfId="9056" xr:uid="{00000000-0005-0000-0000-00007F220000}"/>
    <cellStyle name="40% - akcent 6 2 6 3 9" xfId="9057" xr:uid="{00000000-0005-0000-0000-000080220000}"/>
    <cellStyle name="40% - akcent 6 2 6 4" xfId="9058" xr:uid="{00000000-0005-0000-0000-000081220000}"/>
    <cellStyle name="40% - akcent 6 2 6 4 10" xfId="9059" xr:uid="{00000000-0005-0000-0000-000082220000}"/>
    <cellStyle name="40% - akcent 6 2 6 4 11" xfId="9060" xr:uid="{00000000-0005-0000-0000-000083220000}"/>
    <cellStyle name="40% - akcent 6 2 6 4 2" xfId="9061" xr:uid="{00000000-0005-0000-0000-000084220000}"/>
    <cellStyle name="40% - akcent 6 2 6 4 2 2" xfId="9062" xr:uid="{00000000-0005-0000-0000-000085220000}"/>
    <cellStyle name="40% - akcent 6 2 6 4 2 2 2" xfId="9063" xr:uid="{00000000-0005-0000-0000-000086220000}"/>
    <cellStyle name="40% - akcent 6 2 6 4 2 2 3" xfId="9064" xr:uid="{00000000-0005-0000-0000-000087220000}"/>
    <cellStyle name="40% - akcent 6 2 6 4 2 2 4" xfId="9065" xr:uid="{00000000-0005-0000-0000-000088220000}"/>
    <cellStyle name="40% - akcent 6 2 6 4 2 2 5" xfId="9066" xr:uid="{00000000-0005-0000-0000-000089220000}"/>
    <cellStyle name="40% - akcent 6 2 6 4 2 2 6" xfId="9067" xr:uid="{00000000-0005-0000-0000-00008A220000}"/>
    <cellStyle name="40% - akcent 6 2 6 4 2 3" xfId="9068" xr:uid="{00000000-0005-0000-0000-00008B220000}"/>
    <cellStyle name="40% - akcent 6 2 6 4 2 4" xfId="9069" xr:uid="{00000000-0005-0000-0000-00008C220000}"/>
    <cellStyle name="40% - akcent 6 2 6 4 2 5" xfId="9070" xr:uid="{00000000-0005-0000-0000-00008D220000}"/>
    <cellStyle name="40% - akcent 6 2 6 4 2 6" xfId="9071" xr:uid="{00000000-0005-0000-0000-00008E220000}"/>
    <cellStyle name="40% - akcent 6 2 6 4 2 7" xfId="9072" xr:uid="{00000000-0005-0000-0000-00008F220000}"/>
    <cellStyle name="40% - akcent 6 2 6 4 3" xfId="9073" xr:uid="{00000000-0005-0000-0000-000090220000}"/>
    <cellStyle name="40% - akcent 6 2 6 4 4" xfId="9074" xr:uid="{00000000-0005-0000-0000-000091220000}"/>
    <cellStyle name="40% - akcent 6 2 6 4 5" xfId="9075" xr:uid="{00000000-0005-0000-0000-000092220000}"/>
    <cellStyle name="40% - akcent 6 2 6 4 6" xfId="9076" xr:uid="{00000000-0005-0000-0000-000093220000}"/>
    <cellStyle name="40% - akcent 6 2 6 4 7" xfId="9077" xr:uid="{00000000-0005-0000-0000-000094220000}"/>
    <cellStyle name="40% - akcent 6 2 6 4 7 2" xfId="9078" xr:uid="{00000000-0005-0000-0000-000095220000}"/>
    <cellStyle name="40% - akcent 6 2 6 4 7 3" xfId="9079" xr:uid="{00000000-0005-0000-0000-000096220000}"/>
    <cellStyle name="40% - akcent 6 2 6 4 7 4" xfId="9080" xr:uid="{00000000-0005-0000-0000-000097220000}"/>
    <cellStyle name="40% - akcent 6 2 6 4 7 5" xfId="9081" xr:uid="{00000000-0005-0000-0000-000098220000}"/>
    <cellStyle name="40% - akcent 6 2 6 4 7 6" xfId="9082" xr:uid="{00000000-0005-0000-0000-000099220000}"/>
    <cellStyle name="40% - akcent 6 2 6 4 8" xfId="9083" xr:uid="{00000000-0005-0000-0000-00009A220000}"/>
    <cellStyle name="40% - akcent 6 2 6 4 9" xfId="9084" xr:uid="{00000000-0005-0000-0000-00009B220000}"/>
    <cellStyle name="40% - akcent 6 2 6 5" xfId="9085" xr:uid="{00000000-0005-0000-0000-00009C220000}"/>
    <cellStyle name="40% - akcent 6 2 6 5 2" xfId="9086" xr:uid="{00000000-0005-0000-0000-00009D220000}"/>
    <cellStyle name="40% - akcent 6 2 6 5 2 2" xfId="9087" xr:uid="{00000000-0005-0000-0000-00009E220000}"/>
    <cellStyle name="40% - akcent 6 2 6 5 2 3" xfId="9088" xr:uid="{00000000-0005-0000-0000-00009F220000}"/>
    <cellStyle name="40% - akcent 6 2 6 5 2 4" xfId="9089" xr:uid="{00000000-0005-0000-0000-0000A0220000}"/>
    <cellStyle name="40% - akcent 6 2 6 5 2 5" xfId="9090" xr:uid="{00000000-0005-0000-0000-0000A1220000}"/>
    <cellStyle name="40% - akcent 6 2 6 5 2 6" xfId="9091" xr:uid="{00000000-0005-0000-0000-0000A2220000}"/>
    <cellStyle name="40% - akcent 6 2 6 5 3" xfId="9092" xr:uid="{00000000-0005-0000-0000-0000A3220000}"/>
    <cellStyle name="40% - akcent 6 2 6 5 4" xfId="9093" xr:uid="{00000000-0005-0000-0000-0000A4220000}"/>
    <cellStyle name="40% - akcent 6 2 6 5 5" xfId="9094" xr:uid="{00000000-0005-0000-0000-0000A5220000}"/>
    <cellStyle name="40% - akcent 6 2 6 5 6" xfId="9095" xr:uid="{00000000-0005-0000-0000-0000A6220000}"/>
    <cellStyle name="40% - akcent 6 2 6 5 7" xfId="9096" xr:uid="{00000000-0005-0000-0000-0000A7220000}"/>
    <cellStyle name="40% - akcent 6 2 6 6" xfId="9097" xr:uid="{00000000-0005-0000-0000-0000A8220000}"/>
    <cellStyle name="40% - akcent 6 2 6 7" xfId="9098" xr:uid="{00000000-0005-0000-0000-0000A9220000}"/>
    <cellStyle name="40% - akcent 6 2 6 8" xfId="9099" xr:uid="{00000000-0005-0000-0000-0000AA220000}"/>
    <cellStyle name="40% - akcent 6 2 6 9" xfId="9100" xr:uid="{00000000-0005-0000-0000-0000AB220000}"/>
    <cellStyle name="40% - akcent 6 2 6 9 2" xfId="9101" xr:uid="{00000000-0005-0000-0000-0000AC220000}"/>
    <cellStyle name="40% - akcent 6 2 6 9 3" xfId="9102" xr:uid="{00000000-0005-0000-0000-0000AD220000}"/>
    <cellStyle name="40% - akcent 6 2 6 9 4" xfId="9103" xr:uid="{00000000-0005-0000-0000-0000AE220000}"/>
    <cellStyle name="40% - akcent 6 2 6 9 5" xfId="9104" xr:uid="{00000000-0005-0000-0000-0000AF220000}"/>
    <cellStyle name="40% - akcent 6 2 6 9 6" xfId="9105" xr:uid="{00000000-0005-0000-0000-0000B0220000}"/>
    <cellStyle name="40% - akcent 6 2 7" xfId="9106" xr:uid="{00000000-0005-0000-0000-0000B1220000}"/>
    <cellStyle name="40% - akcent 6 2 8" xfId="9107" xr:uid="{00000000-0005-0000-0000-0000B2220000}"/>
    <cellStyle name="40% - akcent 6 2 8 10" xfId="9108" xr:uid="{00000000-0005-0000-0000-0000B3220000}"/>
    <cellStyle name="40% - akcent 6 2 8 11" xfId="9109" xr:uid="{00000000-0005-0000-0000-0000B4220000}"/>
    <cellStyle name="40% - akcent 6 2 8 12" xfId="9110" xr:uid="{00000000-0005-0000-0000-0000B5220000}"/>
    <cellStyle name="40% - akcent 6 2 8 13" xfId="9111" xr:uid="{00000000-0005-0000-0000-0000B6220000}"/>
    <cellStyle name="40% - akcent 6 2 8 2" xfId="9112" xr:uid="{00000000-0005-0000-0000-0000B7220000}"/>
    <cellStyle name="40% - akcent 6 2 8 2 10" xfId="9113" xr:uid="{00000000-0005-0000-0000-0000B8220000}"/>
    <cellStyle name="40% - akcent 6 2 8 2 11" xfId="9114" xr:uid="{00000000-0005-0000-0000-0000B9220000}"/>
    <cellStyle name="40% - akcent 6 2 8 2 12" xfId="9115" xr:uid="{00000000-0005-0000-0000-0000BA220000}"/>
    <cellStyle name="40% - akcent 6 2 8 2 2" xfId="9116" xr:uid="{00000000-0005-0000-0000-0000BB220000}"/>
    <cellStyle name="40% - akcent 6 2 8 2 2 10" xfId="9117" xr:uid="{00000000-0005-0000-0000-0000BC220000}"/>
    <cellStyle name="40% - akcent 6 2 8 2 2 11" xfId="9118" xr:uid="{00000000-0005-0000-0000-0000BD220000}"/>
    <cellStyle name="40% - akcent 6 2 8 2 2 2" xfId="9119" xr:uid="{00000000-0005-0000-0000-0000BE220000}"/>
    <cellStyle name="40% - akcent 6 2 8 2 2 2 10" xfId="9120" xr:uid="{00000000-0005-0000-0000-0000BF220000}"/>
    <cellStyle name="40% - akcent 6 2 8 2 2 2 11" xfId="9121" xr:uid="{00000000-0005-0000-0000-0000C0220000}"/>
    <cellStyle name="40% - akcent 6 2 8 2 2 2 2" xfId="9122" xr:uid="{00000000-0005-0000-0000-0000C1220000}"/>
    <cellStyle name="40% - akcent 6 2 8 2 2 2 2 2" xfId="9123" xr:uid="{00000000-0005-0000-0000-0000C2220000}"/>
    <cellStyle name="40% - akcent 6 2 8 2 2 2 2 2 2" xfId="9124" xr:uid="{00000000-0005-0000-0000-0000C3220000}"/>
    <cellStyle name="40% - akcent 6 2 8 2 2 2 2 2 3" xfId="9125" xr:uid="{00000000-0005-0000-0000-0000C4220000}"/>
    <cellStyle name="40% - akcent 6 2 8 2 2 2 2 2 4" xfId="9126" xr:uid="{00000000-0005-0000-0000-0000C5220000}"/>
    <cellStyle name="40% - akcent 6 2 8 2 2 2 2 2 5" xfId="9127" xr:uid="{00000000-0005-0000-0000-0000C6220000}"/>
    <cellStyle name="40% - akcent 6 2 8 2 2 2 2 2 6" xfId="9128" xr:uid="{00000000-0005-0000-0000-0000C7220000}"/>
    <cellStyle name="40% - akcent 6 2 8 2 2 2 2 3" xfId="9129" xr:uid="{00000000-0005-0000-0000-0000C8220000}"/>
    <cellStyle name="40% - akcent 6 2 8 2 2 2 2 4" xfId="9130" xr:uid="{00000000-0005-0000-0000-0000C9220000}"/>
    <cellStyle name="40% - akcent 6 2 8 2 2 2 2 5" xfId="9131" xr:uid="{00000000-0005-0000-0000-0000CA220000}"/>
    <cellStyle name="40% - akcent 6 2 8 2 2 2 2 6" xfId="9132" xr:uid="{00000000-0005-0000-0000-0000CB220000}"/>
    <cellStyle name="40% - akcent 6 2 8 2 2 2 2 7" xfId="9133" xr:uid="{00000000-0005-0000-0000-0000CC220000}"/>
    <cellStyle name="40% - akcent 6 2 8 2 2 2 3" xfId="9134" xr:uid="{00000000-0005-0000-0000-0000CD220000}"/>
    <cellStyle name="40% - akcent 6 2 8 2 2 2 4" xfId="9135" xr:uid="{00000000-0005-0000-0000-0000CE220000}"/>
    <cellStyle name="40% - akcent 6 2 8 2 2 2 5" xfId="9136" xr:uid="{00000000-0005-0000-0000-0000CF220000}"/>
    <cellStyle name="40% - akcent 6 2 8 2 2 2 6" xfId="9137" xr:uid="{00000000-0005-0000-0000-0000D0220000}"/>
    <cellStyle name="40% - akcent 6 2 8 2 2 2 7" xfId="9138" xr:uid="{00000000-0005-0000-0000-0000D1220000}"/>
    <cellStyle name="40% - akcent 6 2 8 2 2 2 7 2" xfId="9139" xr:uid="{00000000-0005-0000-0000-0000D2220000}"/>
    <cellStyle name="40% - akcent 6 2 8 2 2 2 7 3" xfId="9140" xr:uid="{00000000-0005-0000-0000-0000D3220000}"/>
    <cellStyle name="40% - akcent 6 2 8 2 2 2 7 4" xfId="9141" xr:uid="{00000000-0005-0000-0000-0000D4220000}"/>
    <cellStyle name="40% - akcent 6 2 8 2 2 2 7 5" xfId="9142" xr:uid="{00000000-0005-0000-0000-0000D5220000}"/>
    <cellStyle name="40% - akcent 6 2 8 2 2 2 7 6" xfId="9143" xr:uid="{00000000-0005-0000-0000-0000D6220000}"/>
    <cellStyle name="40% - akcent 6 2 8 2 2 2 8" xfId="9144" xr:uid="{00000000-0005-0000-0000-0000D7220000}"/>
    <cellStyle name="40% - akcent 6 2 8 2 2 2 9" xfId="9145" xr:uid="{00000000-0005-0000-0000-0000D8220000}"/>
    <cellStyle name="40% - akcent 6 2 8 2 2 3" xfId="9146" xr:uid="{00000000-0005-0000-0000-0000D9220000}"/>
    <cellStyle name="40% - akcent 6 2 8 2 2 3 2" xfId="9147" xr:uid="{00000000-0005-0000-0000-0000DA220000}"/>
    <cellStyle name="40% - akcent 6 2 8 2 2 3 2 2" xfId="9148" xr:uid="{00000000-0005-0000-0000-0000DB220000}"/>
    <cellStyle name="40% - akcent 6 2 8 2 2 3 2 3" xfId="9149" xr:uid="{00000000-0005-0000-0000-0000DC220000}"/>
    <cellStyle name="40% - akcent 6 2 8 2 2 3 2 4" xfId="9150" xr:uid="{00000000-0005-0000-0000-0000DD220000}"/>
    <cellStyle name="40% - akcent 6 2 8 2 2 3 2 5" xfId="9151" xr:uid="{00000000-0005-0000-0000-0000DE220000}"/>
    <cellStyle name="40% - akcent 6 2 8 2 2 3 2 6" xfId="9152" xr:uid="{00000000-0005-0000-0000-0000DF220000}"/>
    <cellStyle name="40% - akcent 6 2 8 2 2 3 3" xfId="9153" xr:uid="{00000000-0005-0000-0000-0000E0220000}"/>
    <cellStyle name="40% - akcent 6 2 8 2 2 3 4" xfId="9154" xr:uid="{00000000-0005-0000-0000-0000E1220000}"/>
    <cellStyle name="40% - akcent 6 2 8 2 2 3 5" xfId="9155" xr:uid="{00000000-0005-0000-0000-0000E2220000}"/>
    <cellStyle name="40% - akcent 6 2 8 2 2 3 6" xfId="9156" xr:uid="{00000000-0005-0000-0000-0000E3220000}"/>
    <cellStyle name="40% - akcent 6 2 8 2 2 3 7" xfId="9157" xr:uid="{00000000-0005-0000-0000-0000E4220000}"/>
    <cellStyle name="40% - akcent 6 2 8 2 2 4" xfId="9158" xr:uid="{00000000-0005-0000-0000-0000E5220000}"/>
    <cellStyle name="40% - akcent 6 2 8 2 2 5" xfId="9159" xr:uid="{00000000-0005-0000-0000-0000E6220000}"/>
    <cellStyle name="40% - akcent 6 2 8 2 2 6" xfId="9160" xr:uid="{00000000-0005-0000-0000-0000E7220000}"/>
    <cellStyle name="40% - akcent 6 2 8 2 2 7" xfId="9161" xr:uid="{00000000-0005-0000-0000-0000E8220000}"/>
    <cellStyle name="40% - akcent 6 2 8 2 2 7 2" xfId="9162" xr:uid="{00000000-0005-0000-0000-0000E9220000}"/>
    <cellStyle name="40% - akcent 6 2 8 2 2 7 3" xfId="9163" xr:uid="{00000000-0005-0000-0000-0000EA220000}"/>
    <cellStyle name="40% - akcent 6 2 8 2 2 7 4" xfId="9164" xr:uid="{00000000-0005-0000-0000-0000EB220000}"/>
    <cellStyle name="40% - akcent 6 2 8 2 2 7 5" xfId="9165" xr:uid="{00000000-0005-0000-0000-0000EC220000}"/>
    <cellStyle name="40% - akcent 6 2 8 2 2 7 6" xfId="9166" xr:uid="{00000000-0005-0000-0000-0000ED220000}"/>
    <cellStyle name="40% - akcent 6 2 8 2 2 8" xfId="9167" xr:uid="{00000000-0005-0000-0000-0000EE220000}"/>
    <cellStyle name="40% - akcent 6 2 8 2 2 9" xfId="9168" xr:uid="{00000000-0005-0000-0000-0000EF220000}"/>
    <cellStyle name="40% - akcent 6 2 8 2 3" xfId="9169" xr:uid="{00000000-0005-0000-0000-0000F0220000}"/>
    <cellStyle name="40% - akcent 6 2 8 2 3 2" xfId="9170" xr:uid="{00000000-0005-0000-0000-0000F1220000}"/>
    <cellStyle name="40% - akcent 6 2 8 2 3 2 2" xfId="9171" xr:uid="{00000000-0005-0000-0000-0000F2220000}"/>
    <cellStyle name="40% - akcent 6 2 8 2 3 2 3" xfId="9172" xr:uid="{00000000-0005-0000-0000-0000F3220000}"/>
    <cellStyle name="40% - akcent 6 2 8 2 3 2 4" xfId="9173" xr:uid="{00000000-0005-0000-0000-0000F4220000}"/>
    <cellStyle name="40% - akcent 6 2 8 2 3 2 5" xfId="9174" xr:uid="{00000000-0005-0000-0000-0000F5220000}"/>
    <cellStyle name="40% - akcent 6 2 8 2 3 2 6" xfId="9175" xr:uid="{00000000-0005-0000-0000-0000F6220000}"/>
    <cellStyle name="40% - akcent 6 2 8 2 3 3" xfId="9176" xr:uid="{00000000-0005-0000-0000-0000F7220000}"/>
    <cellStyle name="40% - akcent 6 2 8 2 3 4" xfId="9177" xr:uid="{00000000-0005-0000-0000-0000F8220000}"/>
    <cellStyle name="40% - akcent 6 2 8 2 3 5" xfId="9178" xr:uid="{00000000-0005-0000-0000-0000F9220000}"/>
    <cellStyle name="40% - akcent 6 2 8 2 3 6" xfId="9179" xr:uid="{00000000-0005-0000-0000-0000FA220000}"/>
    <cellStyle name="40% - akcent 6 2 8 2 3 7" xfId="9180" xr:uid="{00000000-0005-0000-0000-0000FB220000}"/>
    <cellStyle name="40% - akcent 6 2 8 2 4" xfId="9181" xr:uid="{00000000-0005-0000-0000-0000FC220000}"/>
    <cellStyle name="40% - akcent 6 2 8 2 5" xfId="9182" xr:uid="{00000000-0005-0000-0000-0000FD220000}"/>
    <cellStyle name="40% - akcent 6 2 8 2 6" xfId="9183" xr:uid="{00000000-0005-0000-0000-0000FE220000}"/>
    <cellStyle name="40% - akcent 6 2 8 2 7" xfId="9184" xr:uid="{00000000-0005-0000-0000-0000FF220000}"/>
    <cellStyle name="40% - akcent 6 2 8 2 8" xfId="9185" xr:uid="{00000000-0005-0000-0000-000000230000}"/>
    <cellStyle name="40% - akcent 6 2 8 2 8 2" xfId="9186" xr:uid="{00000000-0005-0000-0000-000001230000}"/>
    <cellStyle name="40% - akcent 6 2 8 2 8 3" xfId="9187" xr:uid="{00000000-0005-0000-0000-000002230000}"/>
    <cellStyle name="40% - akcent 6 2 8 2 8 4" xfId="9188" xr:uid="{00000000-0005-0000-0000-000003230000}"/>
    <cellStyle name="40% - akcent 6 2 8 2 8 5" xfId="9189" xr:uid="{00000000-0005-0000-0000-000004230000}"/>
    <cellStyle name="40% - akcent 6 2 8 2 8 6" xfId="9190" xr:uid="{00000000-0005-0000-0000-000005230000}"/>
    <cellStyle name="40% - akcent 6 2 8 2 9" xfId="9191" xr:uid="{00000000-0005-0000-0000-000006230000}"/>
    <cellStyle name="40% - akcent 6 2 8 3" xfId="9192" xr:uid="{00000000-0005-0000-0000-000007230000}"/>
    <cellStyle name="40% - akcent 6 2 8 4" xfId="9193" xr:uid="{00000000-0005-0000-0000-000008230000}"/>
    <cellStyle name="40% - akcent 6 2 8 4 10" xfId="9194" xr:uid="{00000000-0005-0000-0000-000009230000}"/>
    <cellStyle name="40% - akcent 6 2 8 4 11" xfId="9195" xr:uid="{00000000-0005-0000-0000-00000A230000}"/>
    <cellStyle name="40% - akcent 6 2 8 4 2" xfId="9196" xr:uid="{00000000-0005-0000-0000-00000B230000}"/>
    <cellStyle name="40% - akcent 6 2 8 4 2 2" xfId="9197" xr:uid="{00000000-0005-0000-0000-00000C230000}"/>
    <cellStyle name="40% - akcent 6 2 8 4 2 2 2" xfId="9198" xr:uid="{00000000-0005-0000-0000-00000D230000}"/>
    <cellStyle name="40% - akcent 6 2 8 4 2 2 3" xfId="9199" xr:uid="{00000000-0005-0000-0000-00000E230000}"/>
    <cellStyle name="40% - akcent 6 2 8 4 2 2 4" xfId="9200" xr:uid="{00000000-0005-0000-0000-00000F230000}"/>
    <cellStyle name="40% - akcent 6 2 8 4 2 2 5" xfId="9201" xr:uid="{00000000-0005-0000-0000-000010230000}"/>
    <cellStyle name="40% - akcent 6 2 8 4 2 2 6" xfId="9202" xr:uid="{00000000-0005-0000-0000-000011230000}"/>
    <cellStyle name="40% - akcent 6 2 8 4 2 3" xfId="9203" xr:uid="{00000000-0005-0000-0000-000012230000}"/>
    <cellStyle name="40% - akcent 6 2 8 4 2 4" xfId="9204" xr:uid="{00000000-0005-0000-0000-000013230000}"/>
    <cellStyle name="40% - akcent 6 2 8 4 2 5" xfId="9205" xr:uid="{00000000-0005-0000-0000-000014230000}"/>
    <cellStyle name="40% - akcent 6 2 8 4 2 6" xfId="9206" xr:uid="{00000000-0005-0000-0000-000015230000}"/>
    <cellStyle name="40% - akcent 6 2 8 4 2 7" xfId="9207" xr:uid="{00000000-0005-0000-0000-000016230000}"/>
    <cellStyle name="40% - akcent 6 2 8 4 3" xfId="9208" xr:uid="{00000000-0005-0000-0000-000017230000}"/>
    <cellStyle name="40% - akcent 6 2 8 4 4" xfId="9209" xr:uid="{00000000-0005-0000-0000-000018230000}"/>
    <cellStyle name="40% - akcent 6 2 8 4 5" xfId="9210" xr:uid="{00000000-0005-0000-0000-000019230000}"/>
    <cellStyle name="40% - akcent 6 2 8 4 6" xfId="9211" xr:uid="{00000000-0005-0000-0000-00001A230000}"/>
    <cellStyle name="40% - akcent 6 2 8 4 7" xfId="9212" xr:uid="{00000000-0005-0000-0000-00001B230000}"/>
    <cellStyle name="40% - akcent 6 2 8 4 7 2" xfId="9213" xr:uid="{00000000-0005-0000-0000-00001C230000}"/>
    <cellStyle name="40% - akcent 6 2 8 4 7 3" xfId="9214" xr:uid="{00000000-0005-0000-0000-00001D230000}"/>
    <cellStyle name="40% - akcent 6 2 8 4 7 4" xfId="9215" xr:uid="{00000000-0005-0000-0000-00001E230000}"/>
    <cellStyle name="40% - akcent 6 2 8 4 7 5" xfId="9216" xr:uid="{00000000-0005-0000-0000-00001F230000}"/>
    <cellStyle name="40% - akcent 6 2 8 4 7 6" xfId="9217" xr:uid="{00000000-0005-0000-0000-000020230000}"/>
    <cellStyle name="40% - akcent 6 2 8 4 8" xfId="9218" xr:uid="{00000000-0005-0000-0000-000021230000}"/>
    <cellStyle name="40% - akcent 6 2 8 4 9" xfId="9219" xr:uid="{00000000-0005-0000-0000-000022230000}"/>
    <cellStyle name="40% - akcent 6 2 8 5" xfId="9220" xr:uid="{00000000-0005-0000-0000-000023230000}"/>
    <cellStyle name="40% - akcent 6 2 8 5 2" xfId="9221" xr:uid="{00000000-0005-0000-0000-000024230000}"/>
    <cellStyle name="40% - akcent 6 2 8 5 2 2" xfId="9222" xr:uid="{00000000-0005-0000-0000-000025230000}"/>
    <cellStyle name="40% - akcent 6 2 8 5 2 3" xfId="9223" xr:uid="{00000000-0005-0000-0000-000026230000}"/>
    <cellStyle name="40% - akcent 6 2 8 5 2 4" xfId="9224" xr:uid="{00000000-0005-0000-0000-000027230000}"/>
    <cellStyle name="40% - akcent 6 2 8 5 2 5" xfId="9225" xr:uid="{00000000-0005-0000-0000-000028230000}"/>
    <cellStyle name="40% - akcent 6 2 8 5 2 6" xfId="9226" xr:uid="{00000000-0005-0000-0000-000029230000}"/>
    <cellStyle name="40% - akcent 6 2 8 5 3" xfId="9227" xr:uid="{00000000-0005-0000-0000-00002A230000}"/>
    <cellStyle name="40% - akcent 6 2 8 5 4" xfId="9228" xr:uid="{00000000-0005-0000-0000-00002B230000}"/>
    <cellStyle name="40% - akcent 6 2 8 5 5" xfId="9229" xr:uid="{00000000-0005-0000-0000-00002C230000}"/>
    <cellStyle name="40% - akcent 6 2 8 5 6" xfId="9230" xr:uid="{00000000-0005-0000-0000-00002D230000}"/>
    <cellStyle name="40% - akcent 6 2 8 5 7" xfId="9231" xr:uid="{00000000-0005-0000-0000-00002E230000}"/>
    <cellStyle name="40% - akcent 6 2 8 6" xfId="9232" xr:uid="{00000000-0005-0000-0000-00002F230000}"/>
    <cellStyle name="40% - akcent 6 2 8 7" xfId="9233" xr:uid="{00000000-0005-0000-0000-000030230000}"/>
    <cellStyle name="40% - akcent 6 2 8 8" xfId="9234" xr:uid="{00000000-0005-0000-0000-000031230000}"/>
    <cellStyle name="40% - akcent 6 2 8 9" xfId="9235" xr:uid="{00000000-0005-0000-0000-000032230000}"/>
    <cellStyle name="40% - akcent 6 2 8 9 2" xfId="9236" xr:uid="{00000000-0005-0000-0000-000033230000}"/>
    <cellStyle name="40% - akcent 6 2 8 9 3" xfId="9237" xr:uid="{00000000-0005-0000-0000-000034230000}"/>
    <cellStyle name="40% - akcent 6 2 8 9 4" xfId="9238" xr:uid="{00000000-0005-0000-0000-000035230000}"/>
    <cellStyle name="40% - akcent 6 2 8 9 5" xfId="9239" xr:uid="{00000000-0005-0000-0000-000036230000}"/>
    <cellStyle name="40% - akcent 6 2 8 9 6" xfId="9240" xr:uid="{00000000-0005-0000-0000-000037230000}"/>
    <cellStyle name="40% - akcent 6 2 9" xfId="9241" xr:uid="{00000000-0005-0000-0000-000038230000}"/>
    <cellStyle name="40% - akcent 6 2_archeolagia" xfId="9242" xr:uid="{00000000-0005-0000-0000-000039230000}"/>
    <cellStyle name="40% - akcent 6 3" xfId="149" xr:uid="{00000000-0005-0000-0000-00003A230000}"/>
    <cellStyle name="40% - akcent 6 3 2" xfId="150" xr:uid="{00000000-0005-0000-0000-00003B230000}"/>
    <cellStyle name="40% - akcent 6 3 2 2" xfId="9244" xr:uid="{00000000-0005-0000-0000-00003C230000}"/>
    <cellStyle name="40% - akcent 6 3 3" xfId="9245" xr:uid="{00000000-0005-0000-0000-00003D230000}"/>
    <cellStyle name="40% - akcent 6 3 4" xfId="9246" xr:uid="{00000000-0005-0000-0000-00003E230000}"/>
    <cellStyle name="40% - akcent 6 3 5" xfId="9247" xr:uid="{00000000-0005-0000-0000-00003F230000}"/>
    <cellStyle name="40% - akcent 6 3 6" xfId="9243" xr:uid="{00000000-0005-0000-0000-000040230000}"/>
    <cellStyle name="40% - akcent 6 4" xfId="151" xr:uid="{00000000-0005-0000-0000-000041230000}"/>
    <cellStyle name="40% - akcent 6 4 2" xfId="152" xr:uid="{00000000-0005-0000-0000-000042230000}"/>
    <cellStyle name="40% - akcent 6 4 2 2" xfId="9249" xr:uid="{00000000-0005-0000-0000-000043230000}"/>
    <cellStyle name="40% - akcent 6 4 3" xfId="9250" xr:uid="{00000000-0005-0000-0000-000044230000}"/>
    <cellStyle name="40% - akcent 6 4 4" xfId="9251" xr:uid="{00000000-0005-0000-0000-000045230000}"/>
    <cellStyle name="40% - akcent 6 4 5" xfId="9252" xr:uid="{00000000-0005-0000-0000-000046230000}"/>
    <cellStyle name="40% - akcent 6 4 6" xfId="9248" xr:uid="{00000000-0005-0000-0000-000047230000}"/>
    <cellStyle name="40% - akcent 6 5" xfId="153" xr:uid="{00000000-0005-0000-0000-000048230000}"/>
    <cellStyle name="40% - akcent 6 5 2" xfId="154" xr:uid="{00000000-0005-0000-0000-000049230000}"/>
    <cellStyle name="40% - akcent 6 5 2 2" xfId="9254" xr:uid="{00000000-0005-0000-0000-00004A230000}"/>
    <cellStyle name="40% - akcent 6 5 3" xfId="9255" xr:uid="{00000000-0005-0000-0000-00004B230000}"/>
    <cellStyle name="40% - akcent 6 5 4" xfId="9256" xr:uid="{00000000-0005-0000-0000-00004C230000}"/>
    <cellStyle name="40% - akcent 6 5 5" xfId="9257" xr:uid="{00000000-0005-0000-0000-00004D230000}"/>
    <cellStyle name="40% - akcent 6 5 6" xfId="9253" xr:uid="{00000000-0005-0000-0000-00004E230000}"/>
    <cellStyle name="40% - akcent 6 6" xfId="155" xr:uid="{00000000-0005-0000-0000-00004F230000}"/>
    <cellStyle name="40% - akcent 6 6 2" xfId="156" xr:uid="{00000000-0005-0000-0000-000050230000}"/>
    <cellStyle name="40% - akcent 6 6 2 2" xfId="9259" xr:uid="{00000000-0005-0000-0000-000051230000}"/>
    <cellStyle name="40% - akcent 6 6 3" xfId="9260" xr:uid="{00000000-0005-0000-0000-000052230000}"/>
    <cellStyle name="40% - akcent 6 6 4" xfId="9261" xr:uid="{00000000-0005-0000-0000-000053230000}"/>
    <cellStyle name="40% - akcent 6 6 5" xfId="9262" xr:uid="{00000000-0005-0000-0000-000054230000}"/>
    <cellStyle name="40% - akcent 6 6 6" xfId="9258" xr:uid="{00000000-0005-0000-0000-000055230000}"/>
    <cellStyle name="40% - akcent 6 7" xfId="157" xr:uid="{00000000-0005-0000-0000-000056230000}"/>
    <cellStyle name="40% - akcent 6 7 2" xfId="158" xr:uid="{00000000-0005-0000-0000-000057230000}"/>
    <cellStyle name="40% - akcent 6 7 2 2" xfId="9264" xr:uid="{00000000-0005-0000-0000-000058230000}"/>
    <cellStyle name="40% - akcent 6 7 3" xfId="9265" xr:uid="{00000000-0005-0000-0000-000059230000}"/>
    <cellStyle name="40% - akcent 6 7 4" xfId="9266" xr:uid="{00000000-0005-0000-0000-00005A230000}"/>
    <cellStyle name="40% - akcent 6 7 5" xfId="9267" xr:uid="{00000000-0005-0000-0000-00005B230000}"/>
    <cellStyle name="40% - akcent 6 7 6" xfId="9263" xr:uid="{00000000-0005-0000-0000-00005C230000}"/>
    <cellStyle name="40% - akcent 6 8" xfId="9268" xr:uid="{00000000-0005-0000-0000-00005D230000}"/>
    <cellStyle name="40% - akcent 6 8 2" xfId="9269" xr:uid="{00000000-0005-0000-0000-00005E230000}"/>
    <cellStyle name="40% - akcent 6 8 3" xfId="9270" xr:uid="{00000000-0005-0000-0000-00005F230000}"/>
    <cellStyle name="40% - akcent 6 8 4" xfId="9271" xr:uid="{00000000-0005-0000-0000-000060230000}"/>
    <cellStyle name="40% - akcent 6 9" xfId="9272" xr:uid="{00000000-0005-0000-0000-000061230000}"/>
    <cellStyle name="40% - Akzent1" xfId="9273" xr:uid="{00000000-0005-0000-0000-000062230000}"/>
    <cellStyle name="40% - Akzent2" xfId="9274" xr:uid="{00000000-0005-0000-0000-000063230000}"/>
    <cellStyle name="40% - Akzent3" xfId="9275" xr:uid="{00000000-0005-0000-0000-000064230000}"/>
    <cellStyle name="40% - Akzent4" xfId="9276" xr:uid="{00000000-0005-0000-0000-000065230000}"/>
    <cellStyle name="40% - Akzent5" xfId="9277" xr:uid="{00000000-0005-0000-0000-000066230000}"/>
    <cellStyle name="40% - Akzent6" xfId="9278" xr:uid="{00000000-0005-0000-0000-000067230000}"/>
    <cellStyle name="40% - Énfasis1" xfId="9279" xr:uid="{00000000-0005-0000-0000-000068230000}"/>
    <cellStyle name="40% - Énfasis2" xfId="9280" xr:uid="{00000000-0005-0000-0000-000069230000}"/>
    <cellStyle name="40% - Énfasis3" xfId="9281" xr:uid="{00000000-0005-0000-0000-00006A230000}"/>
    <cellStyle name="40% - Énfasis4" xfId="9282" xr:uid="{00000000-0005-0000-0000-00006B230000}"/>
    <cellStyle name="40% - Énfasis5" xfId="9283" xr:uid="{00000000-0005-0000-0000-00006C230000}"/>
    <cellStyle name="40% - Énfasis6" xfId="9284" xr:uid="{00000000-0005-0000-0000-00006D230000}"/>
    <cellStyle name="60% - Accent1" xfId="9285" xr:uid="{00000000-0005-0000-0000-00006E230000}"/>
    <cellStyle name="60% - Accent1 2" xfId="9286" xr:uid="{00000000-0005-0000-0000-00006F230000}"/>
    <cellStyle name="60% - Accent1 3" xfId="9287" xr:uid="{00000000-0005-0000-0000-000070230000}"/>
    <cellStyle name="60% - Accent1 4" xfId="9288" xr:uid="{00000000-0005-0000-0000-000071230000}"/>
    <cellStyle name="60% - Accent1 5" xfId="9289" xr:uid="{00000000-0005-0000-0000-000072230000}"/>
    <cellStyle name="60% - Accent1 6" xfId="9290" xr:uid="{00000000-0005-0000-0000-000073230000}"/>
    <cellStyle name="60% - Accent1 7" xfId="9291" xr:uid="{00000000-0005-0000-0000-000074230000}"/>
    <cellStyle name="60% - Accent1 8" xfId="9292" xr:uid="{00000000-0005-0000-0000-000075230000}"/>
    <cellStyle name="60% - Accent1 9" xfId="9293" xr:uid="{00000000-0005-0000-0000-000076230000}"/>
    <cellStyle name="60% - Accent1_PGE Rzeszów Budget" xfId="38653" xr:uid="{F6256021-4EA8-495F-B408-AE31735D4A95}"/>
    <cellStyle name="60% - Accent2" xfId="9294" xr:uid="{00000000-0005-0000-0000-000077230000}"/>
    <cellStyle name="60% - Accent2 2" xfId="9295" xr:uid="{00000000-0005-0000-0000-000078230000}"/>
    <cellStyle name="60% - Accent2 3" xfId="9296" xr:uid="{00000000-0005-0000-0000-000079230000}"/>
    <cellStyle name="60% - Accent2 4" xfId="9297" xr:uid="{00000000-0005-0000-0000-00007A230000}"/>
    <cellStyle name="60% - Accent2 5" xfId="9298" xr:uid="{00000000-0005-0000-0000-00007B230000}"/>
    <cellStyle name="60% - Accent2 6" xfId="9299" xr:uid="{00000000-0005-0000-0000-00007C230000}"/>
    <cellStyle name="60% - Accent2 7" xfId="9300" xr:uid="{00000000-0005-0000-0000-00007D230000}"/>
    <cellStyle name="60% - Accent2 8" xfId="9301" xr:uid="{00000000-0005-0000-0000-00007E230000}"/>
    <cellStyle name="60% - Accent2 9" xfId="9302" xr:uid="{00000000-0005-0000-0000-00007F230000}"/>
    <cellStyle name="60% - Accent2_PGE Rzeszów Budget" xfId="38654" xr:uid="{0686C656-260C-4B74-BA70-D7BC22232174}"/>
    <cellStyle name="60% - Accent3" xfId="9303" xr:uid="{00000000-0005-0000-0000-000080230000}"/>
    <cellStyle name="60% - Accent3 2" xfId="9304" xr:uid="{00000000-0005-0000-0000-000081230000}"/>
    <cellStyle name="60% - Accent3 3" xfId="9305" xr:uid="{00000000-0005-0000-0000-000082230000}"/>
    <cellStyle name="60% - Accent3 4" xfId="9306" xr:uid="{00000000-0005-0000-0000-000083230000}"/>
    <cellStyle name="60% - Accent3 5" xfId="9307" xr:uid="{00000000-0005-0000-0000-000084230000}"/>
    <cellStyle name="60% - Accent3 6" xfId="9308" xr:uid="{00000000-0005-0000-0000-000085230000}"/>
    <cellStyle name="60% - Accent3 7" xfId="9309" xr:uid="{00000000-0005-0000-0000-000086230000}"/>
    <cellStyle name="60% - Accent3 8" xfId="9310" xr:uid="{00000000-0005-0000-0000-000087230000}"/>
    <cellStyle name="60% - Accent3 9" xfId="9311" xr:uid="{00000000-0005-0000-0000-000088230000}"/>
    <cellStyle name="60% - Accent3_PGE Rzeszów Budget" xfId="38655" xr:uid="{2C071BE8-8890-4B79-915A-5989BED87AA3}"/>
    <cellStyle name="60% - Accent4" xfId="9312" xr:uid="{00000000-0005-0000-0000-000089230000}"/>
    <cellStyle name="60% - Accent4 2" xfId="9313" xr:uid="{00000000-0005-0000-0000-00008A230000}"/>
    <cellStyle name="60% - Accent4 3" xfId="9314" xr:uid="{00000000-0005-0000-0000-00008B230000}"/>
    <cellStyle name="60% - Accent4 4" xfId="9315" xr:uid="{00000000-0005-0000-0000-00008C230000}"/>
    <cellStyle name="60% - Accent4 5" xfId="9316" xr:uid="{00000000-0005-0000-0000-00008D230000}"/>
    <cellStyle name="60% - Accent4 6" xfId="9317" xr:uid="{00000000-0005-0000-0000-00008E230000}"/>
    <cellStyle name="60% - Accent4 7" xfId="9318" xr:uid="{00000000-0005-0000-0000-00008F230000}"/>
    <cellStyle name="60% - Accent4 8" xfId="9319" xr:uid="{00000000-0005-0000-0000-000090230000}"/>
    <cellStyle name="60% - Accent4 9" xfId="9320" xr:uid="{00000000-0005-0000-0000-000091230000}"/>
    <cellStyle name="60% - Accent4_PGE Rzeszów Budget" xfId="38656" xr:uid="{B5A67B5E-2315-47C6-8759-B0503EA4194E}"/>
    <cellStyle name="60% - Accent5" xfId="9321" xr:uid="{00000000-0005-0000-0000-000092230000}"/>
    <cellStyle name="60% - Accent5 2" xfId="9322" xr:uid="{00000000-0005-0000-0000-000093230000}"/>
    <cellStyle name="60% - Accent5 3" xfId="9323" xr:uid="{00000000-0005-0000-0000-000094230000}"/>
    <cellStyle name="60% - Accent5 4" xfId="9324" xr:uid="{00000000-0005-0000-0000-000095230000}"/>
    <cellStyle name="60% - Accent5 5" xfId="9325" xr:uid="{00000000-0005-0000-0000-000096230000}"/>
    <cellStyle name="60% - Accent5 6" xfId="9326" xr:uid="{00000000-0005-0000-0000-000097230000}"/>
    <cellStyle name="60% - Accent5 7" xfId="9327" xr:uid="{00000000-0005-0000-0000-000098230000}"/>
    <cellStyle name="60% - Accent5 8" xfId="9328" xr:uid="{00000000-0005-0000-0000-000099230000}"/>
    <cellStyle name="60% - Accent5 9" xfId="9329" xr:uid="{00000000-0005-0000-0000-00009A230000}"/>
    <cellStyle name="60% - Accent5_PGE Rzeszów Budget" xfId="38657" xr:uid="{6765349D-6577-4133-A876-D4ACE943AF4F}"/>
    <cellStyle name="60% - Accent6" xfId="9330" xr:uid="{00000000-0005-0000-0000-00009B230000}"/>
    <cellStyle name="60% - Accent6 2" xfId="9331" xr:uid="{00000000-0005-0000-0000-00009C230000}"/>
    <cellStyle name="60% - Accent6 3" xfId="9332" xr:uid="{00000000-0005-0000-0000-00009D230000}"/>
    <cellStyle name="60% - Accent6 4" xfId="9333" xr:uid="{00000000-0005-0000-0000-00009E230000}"/>
    <cellStyle name="60% - Accent6 5" xfId="9334" xr:uid="{00000000-0005-0000-0000-00009F230000}"/>
    <cellStyle name="60% - Accent6 6" xfId="9335" xr:uid="{00000000-0005-0000-0000-0000A0230000}"/>
    <cellStyle name="60% - Accent6 7" xfId="9336" xr:uid="{00000000-0005-0000-0000-0000A1230000}"/>
    <cellStyle name="60% - Accent6 8" xfId="9337" xr:uid="{00000000-0005-0000-0000-0000A2230000}"/>
    <cellStyle name="60% - Accent6 9" xfId="9338" xr:uid="{00000000-0005-0000-0000-0000A3230000}"/>
    <cellStyle name="60% - Accent6_PGE Rzeszów Budget" xfId="38658" xr:uid="{CAD87417-0E85-406B-A0C1-B9FC70DCB5CD}"/>
    <cellStyle name="60% - akcent 1 1" xfId="9339" xr:uid="{00000000-0005-0000-0000-0000A4230000}"/>
    <cellStyle name="60% - akcent 1 10" xfId="9340" xr:uid="{00000000-0005-0000-0000-0000A5230000}"/>
    <cellStyle name="60% - akcent 1 11" xfId="9341" xr:uid="{00000000-0005-0000-0000-0000A6230000}"/>
    <cellStyle name="60% - akcent 1 12" xfId="9342" xr:uid="{00000000-0005-0000-0000-0000A7230000}"/>
    <cellStyle name="60% - akcent 1 13" xfId="9343" xr:uid="{00000000-0005-0000-0000-0000A8230000}"/>
    <cellStyle name="60% - akcent 1 14" xfId="9344" xr:uid="{00000000-0005-0000-0000-0000A9230000}"/>
    <cellStyle name="60% - akcent 1 15" xfId="9345" xr:uid="{00000000-0005-0000-0000-0000AA230000}"/>
    <cellStyle name="60% - akcent 1 16" xfId="9346" xr:uid="{00000000-0005-0000-0000-0000AB230000}"/>
    <cellStyle name="60% - akcent 1 17" xfId="9347" xr:uid="{00000000-0005-0000-0000-0000AC230000}"/>
    <cellStyle name="60% - akcent 1 18" xfId="9348" xr:uid="{00000000-0005-0000-0000-0000AD230000}"/>
    <cellStyle name="60% - akcent 1 19" xfId="9349" xr:uid="{00000000-0005-0000-0000-0000AE230000}"/>
    <cellStyle name="60% - akcent 1 2" xfId="159" xr:uid="{00000000-0005-0000-0000-0000AF230000}"/>
    <cellStyle name="60% - akcent 1 2 10" xfId="9351" xr:uid="{00000000-0005-0000-0000-0000B0230000}"/>
    <cellStyle name="60% - akcent 1 2 11" xfId="9352" xr:uid="{00000000-0005-0000-0000-0000B1230000}"/>
    <cellStyle name="60% - akcent 1 2 12" xfId="9353" xr:uid="{00000000-0005-0000-0000-0000B2230000}"/>
    <cellStyle name="60% - akcent 1 2 13" xfId="9354" xr:uid="{00000000-0005-0000-0000-0000B3230000}"/>
    <cellStyle name="60% - akcent 1 2 13 10" xfId="9355" xr:uid="{00000000-0005-0000-0000-0000B4230000}"/>
    <cellStyle name="60% - akcent 1 2 13 11" xfId="9356" xr:uid="{00000000-0005-0000-0000-0000B5230000}"/>
    <cellStyle name="60% - akcent 1 2 13 12" xfId="9357" xr:uid="{00000000-0005-0000-0000-0000B6230000}"/>
    <cellStyle name="60% - akcent 1 2 13 2" xfId="9358" xr:uid="{00000000-0005-0000-0000-0000B7230000}"/>
    <cellStyle name="60% - akcent 1 2 13 2 10" xfId="9359" xr:uid="{00000000-0005-0000-0000-0000B8230000}"/>
    <cellStyle name="60% - akcent 1 2 13 2 11" xfId="9360" xr:uid="{00000000-0005-0000-0000-0000B9230000}"/>
    <cellStyle name="60% - akcent 1 2 13 2 2" xfId="9361" xr:uid="{00000000-0005-0000-0000-0000BA230000}"/>
    <cellStyle name="60% - akcent 1 2 13 2 2 10" xfId="9362" xr:uid="{00000000-0005-0000-0000-0000BB230000}"/>
    <cellStyle name="60% - akcent 1 2 13 2 2 11" xfId="9363" xr:uid="{00000000-0005-0000-0000-0000BC230000}"/>
    <cellStyle name="60% - akcent 1 2 13 2 2 2" xfId="9364" xr:uid="{00000000-0005-0000-0000-0000BD230000}"/>
    <cellStyle name="60% - akcent 1 2 13 2 2 2 2" xfId="9365" xr:uid="{00000000-0005-0000-0000-0000BE230000}"/>
    <cellStyle name="60% - akcent 1 2 13 2 2 2 2 2" xfId="9366" xr:uid="{00000000-0005-0000-0000-0000BF230000}"/>
    <cellStyle name="60% - akcent 1 2 13 2 2 2 2 3" xfId="9367" xr:uid="{00000000-0005-0000-0000-0000C0230000}"/>
    <cellStyle name="60% - akcent 1 2 13 2 2 2 2 4" xfId="9368" xr:uid="{00000000-0005-0000-0000-0000C1230000}"/>
    <cellStyle name="60% - akcent 1 2 13 2 2 2 2 5" xfId="9369" xr:uid="{00000000-0005-0000-0000-0000C2230000}"/>
    <cellStyle name="60% - akcent 1 2 13 2 2 2 2 6" xfId="9370" xr:uid="{00000000-0005-0000-0000-0000C3230000}"/>
    <cellStyle name="60% - akcent 1 2 13 2 2 2 3" xfId="9371" xr:uid="{00000000-0005-0000-0000-0000C4230000}"/>
    <cellStyle name="60% - akcent 1 2 13 2 2 2 4" xfId="9372" xr:uid="{00000000-0005-0000-0000-0000C5230000}"/>
    <cellStyle name="60% - akcent 1 2 13 2 2 2 5" xfId="9373" xr:uid="{00000000-0005-0000-0000-0000C6230000}"/>
    <cellStyle name="60% - akcent 1 2 13 2 2 2 6" xfId="9374" xr:uid="{00000000-0005-0000-0000-0000C7230000}"/>
    <cellStyle name="60% - akcent 1 2 13 2 2 2 7" xfId="9375" xr:uid="{00000000-0005-0000-0000-0000C8230000}"/>
    <cellStyle name="60% - akcent 1 2 13 2 2 3" xfId="9376" xr:uid="{00000000-0005-0000-0000-0000C9230000}"/>
    <cellStyle name="60% - akcent 1 2 13 2 2 4" xfId="9377" xr:uid="{00000000-0005-0000-0000-0000CA230000}"/>
    <cellStyle name="60% - akcent 1 2 13 2 2 5" xfId="9378" xr:uid="{00000000-0005-0000-0000-0000CB230000}"/>
    <cellStyle name="60% - akcent 1 2 13 2 2 6" xfId="9379" xr:uid="{00000000-0005-0000-0000-0000CC230000}"/>
    <cellStyle name="60% - akcent 1 2 13 2 2 7" xfId="9380" xr:uid="{00000000-0005-0000-0000-0000CD230000}"/>
    <cellStyle name="60% - akcent 1 2 13 2 2 7 2" xfId="9381" xr:uid="{00000000-0005-0000-0000-0000CE230000}"/>
    <cellStyle name="60% - akcent 1 2 13 2 2 7 3" xfId="9382" xr:uid="{00000000-0005-0000-0000-0000CF230000}"/>
    <cellStyle name="60% - akcent 1 2 13 2 2 7 4" xfId="9383" xr:uid="{00000000-0005-0000-0000-0000D0230000}"/>
    <cellStyle name="60% - akcent 1 2 13 2 2 7 5" xfId="9384" xr:uid="{00000000-0005-0000-0000-0000D1230000}"/>
    <cellStyle name="60% - akcent 1 2 13 2 2 7 6" xfId="9385" xr:uid="{00000000-0005-0000-0000-0000D2230000}"/>
    <cellStyle name="60% - akcent 1 2 13 2 2 8" xfId="9386" xr:uid="{00000000-0005-0000-0000-0000D3230000}"/>
    <cellStyle name="60% - akcent 1 2 13 2 2 9" xfId="9387" xr:uid="{00000000-0005-0000-0000-0000D4230000}"/>
    <cellStyle name="60% - akcent 1 2 13 2 3" xfId="9388" xr:uid="{00000000-0005-0000-0000-0000D5230000}"/>
    <cellStyle name="60% - akcent 1 2 13 2 3 2" xfId="9389" xr:uid="{00000000-0005-0000-0000-0000D6230000}"/>
    <cellStyle name="60% - akcent 1 2 13 2 3 2 2" xfId="9390" xr:uid="{00000000-0005-0000-0000-0000D7230000}"/>
    <cellStyle name="60% - akcent 1 2 13 2 3 2 3" xfId="9391" xr:uid="{00000000-0005-0000-0000-0000D8230000}"/>
    <cellStyle name="60% - akcent 1 2 13 2 3 2 4" xfId="9392" xr:uid="{00000000-0005-0000-0000-0000D9230000}"/>
    <cellStyle name="60% - akcent 1 2 13 2 3 2 5" xfId="9393" xr:uid="{00000000-0005-0000-0000-0000DA230000}"/>
    <cellStyle name="60% - akcent 1 2 13 2 3 2 6" xfId="9394" xr:uid="{00000000-0005-0000-0000-0000DB230000}"/>
    <cellStyle name="60% - akcent 1 2 13 2 3 3" xfId="9395" xr:uid="{00000000-0005-0000-0000-0000DC230000}"/>
    <cellStyle name="60% - akcent 1 2 13 2 3 4" xfId="9396" xr:uid="{00000000-0005-0000-0000-0000DD230000}"/>
    <cellStyle name="60% - akcent 1 2 13 2 3 5" xfId="9397" xr:uid="{00000000-0005-0000-0000-0000DE230000}"/>
    <cellStyle name="60% - akcent 1 2 13 2 3 6" xfId="9398" xr:uid="{00000000-0005-0000-0000-0000DF230000}"/>
    <cellStyle name="60% - akcent 1 2 13 2 3 7" xfId="9399" xr:uid="{00000000-0005-0000-0000-0000E0230000}"/>
    <cellStyle name="60% - akcent 1 2 13 2 4" xfId="9400" xr:uid="{00000000-0005-0000-0000-0000E1230000}"/>
    <cellStyle name="60% - akcent 1 2 13 2 5" xfId="9401" xr:uid="{00000000-0005-0000-0000-0000E2230000}"/>
    <cellStyle name="60% - akcent 1 2 13 2 6" xfId="9402" xr:uid="{00000000-0005-0000-0000-0000E3230000}"/>
    <cellStyle name="60% - akcent 1 2 13 2 7" xfId="9403" xr:uid="{00000000-0005-0000-0000-0000E4230000}"/>
    <cellStyle name="60% - akcent 1 2 13 2 7 2" xfId="9404" xr:uid="{00000000-0005-0000-0000-0000E5230000}"/>
    <cellStyle name="60% - akcent 1 2 13 2 7 3" xfId="9405" xr:uid="{00000000-0005-0000-0000-0000E6230000}"/>
    <cellStyle name="60% - akcent 1 2 13 2 7 4" xfId="9406" xr:uid="{00000000-0005-0000-0000-0000E7230000}"/>
    <cellStyle name="60% - akcent 1 2 13 2 7 5" xfId="9407" xr:uid="{00000000-0005-0000-0000-0000E8230000}"/>
    <cellStyle name="60% - akcent 1 2 13 2 7 6" xfId="9408" xr:uid="{00000000-0005-0000-0000-0000E9230000}"/>
    <cellStyle name="60% - akcent 1 2 13 2 8" xfId="9409" xr:uid="{00000000-0005-0000-0000-0000EA230000}"/>
    <cellStyle name="60% - akcent 1 2 13 2 9" xfId="9410" xr:uid="{00000000-0005-0000-0000-0000EB230000}"/>
    <cellStyle name="60% - akcent 1 2 13 3" xfId="9411" xr:uid="{00000000-0005-0000-0000-0000EC230000}"/>
    <cellStyle name="60% - akcent 1 2 13 3 2" xfId="9412" xr:uid="{00000000-0005-0000-0000-0000ED230000}"/>
    <cellStyle name="60% - akcent 1 2 13 3 2 2" xfId="9413" xr:uid="{00000000-0005-0000-0000-0000EE230000}"/>
    <cellStyle name="60% - akcent 1 2 13 3 2 3" xfId="9414" xr:uid="{00000000-0005-0000-0000-0000EF230000}"/>
    <cellStyle name="60% - akcent 1 2 13 3 2 4" xfId="9415" xr:uid="{00000000-0005-0000-0000-0000F0230000}"/>
    <cellStyle name="60% - akcent 1 2 13 3 2 5" xfId="9416" xr:uid="{00000000-0005-0000-0000-0000F1230000}"/>
    <cellStyle name="60% - akcent 1 2 13 3 2 6" xfId="9417" xr:uid="{00000000-0005-0000-0000-0000F2230000}"/>
    <cellStyle name="60% - akcent 1 2 13 3 3" xfId="9418" xr:uid="{00000000-0005-0000-0000-0000F3230000}"/>
    <cellStyle name="60% - akcent 1 2 13 3 4" xfId="9419" xr:uid="{00000000-0005-0000-0000-0000F4230000}"/>
    <cellStyle name="60% - akcent 1 2 13 3 5" xfId="9420" xr:uid="{00000000-0005-0000-0000-0000F5230000}"/>
    <cellStyle name="60% - akcent 1 2 13 3 6" xfId="9421" xr:uid="{00000000-0005-0000-0000-0000F6230000}"/>
    <cellStyle name="60% - akcent 1 2 13 3 7" xfId="9422" xr:uid="{00000000-0005-0000-0000-0000F7230000}"/>
    <cellStyle name="60% - akcent 1 2 13 4" xfId="9423" xr:uid="{00000000-0005-0000-0000-0000F8230000}"/>
    <cellStyle name="60% - akcent 1 2 13 5" xfId="9424" xr:uid="{00000000-0005-0000-0000-0000F9230000}"/>
    <cellStyle name="60% - akcent 1 2 13 6" xfId="9425" xr:uid="{00000000-0005-0000-0000-0000FA230000}"/>
    <cellStyle name="60% - akcent 1 2 13 7" xfId="9426" xr:uid="{00000000-0005-0000-0000-0000FB230000}"/>
    <cellStyle name="60% - akcent 1 2 13 8" xfId="9427" xr:uid="{00000000-0005-0000-0000-0000FC230000}"/>
    <cellStyle name="60% - akcent 1 2 13 8 2" xfId="9428" xr:uid="{00000000-0005-0000-0000-0000FD230000}"/>
    <cellStyle name="60% - akcent 1 2 13 8 3" xfId="9429" xr:uid="{00000000-0005-0000-0000-0000FE230000}"/>
    <cellStyle name="60% - akcent 1 2 13 8 4" xfId="9430" xr:uid="{00000000-0005-0000-0000-0000FF230000}"/>
    <cellStyle name="60% - akcent 1 2 13 8 5" xfId="9431" xr:uid="{00000000-0005-0000-0000-000000240000}"/>
    <cellStyle name="60% - akcent 1 2 13 8 6" xfId="9432" xr:uid="{00000000-0005-0000-0000-000001240000}"/>
    <cellStyle name="60% - akcent 1 2 13 9" xfId="9433" xr:uid="{00000000-0005-0000-0000-000002240000}"/>
    <cellStyle name="60% - akcent 1 2 14" xfId="9434" xr:uid="{00000000-0005-0000-0000-000003240000}"/>
    <cellStyle name="60% - akcent 1 2 14 10" xfId="9435" xr:uid="{00000000-0005-0000-0000-000004240000}"/>
    <cellStyle name="60% - akcent 1 2 14 11" xfId="9436" xr:uid="{00000000-0005-0000-0000-000005240000}"/>
    <cellStyle name="60% - akcent 1 2 14 2" xfId="9437" xr:uid="{00000000-0005-0000-0000-000006240000}"/>
    <cellStyle name="60% - akcent 1 2 14 2 2" xfId="9438" xr:uid="{00000000-0005-0000-0000-000007240000}"/>
    <cellStyle name="60% - akcent 1 2 14 2 2 2" xfId="9439" xr:uid="{00000000-0005-0000-0000-000008240000}"/>
    <cellStyle name="60% - akcent 1 2 14 2 2 3" xfId="9440" xr:uid="{00000000-0005-0000-0000-000009240000}"/>
    <cellStyle name="60% - akcent 1 2 14 2 2 4" xfId="9441" xr:uid="{00000000-0005-0000-0000-00000A240000}"/>
    <cellStyle name="60% - akcent 1 2 14 2 2 5" xfId="9442" xr:uid="{00000000-0005-0000-0000-00000B240000}"/>
    <cellStyle name="60% - akcent 1 2 14 2 2 6" xfId="9443" xr:uid="{00000000-0005-0000-0000-00000C240000}"/>
    <cellStyle name="60% - akcent 1 2 14 2 3" xfId="9444" xr:uid="{00000000-0005-0000-0000-00000D240000}"/>
    <cellStyle name="60% - akcent 1 2 14 2 4" xfId="9445" xr:uid="{00000000-0005-0000-0000-00000E240000}"/>
    <cellStyle name="60% - akcent 1 2 14 2 5" xfId="9446" xr:uid="{00000000-0005-0000-0000-00000F240000}"/>
    <cellStyle name="60% - akcent 1 2 14 2 6" xfId="9447" xr:uid="{00000000-0005-0000-0000-000010240000}"/>
    <cellStyle name="60% - akcent 1 2 14 2 7" xfId="9448" xr:uid="{00000000-0005-0000-0000-000011240000}"/>
    <cellStyle name="60% - akcent 1 2 14 3" xfId="9449" xr:uid="{00000000-0005-0000-0000-000012240000}"/>
    <cellStyle name="60% - akcent 1 2 14 4" xfId="9450" xr:uid="{00000000-0005-0000-0000-000013240000}"/>
    <cellStyle name="60% - akcent 1 2 14 5" xfId="9451" xr:uid="{00000000-0005-0000-0000-000014240000}"/>
    <cellStyle name="60% - akcent 1 2 14 6" xfId="9452" xr:uid="{00000000-0005-0000-0000-000015240000}"/>
    <cellStyle name="60% - akcent 1 2 14 7" xfId="9453" xr:uid="{00000000-0005-0000-0000-000016240000}"/>
    <cellStyle name="60% - akcent 1 2 14 7 2" xfId="9454" xr:uid="{00000000-0005-0000-0000-000017240000}"/>
    <cellStyle name="60% - akcent 1 2 14 7 3" xfId="9455" xr:uid="{00000000-0005-0000-0000-000018240000}"/>
    <cellStyle name="60% - akcent 1 2 14 7 4" xfId="9456" xr:uid="{00000000-0005-0000-0000-000019240000}"/>
    <cellStyle name="60% - akcent 1 2 14 7 5" xfId="9457" xr:uid="{00000000-0005-0000-0000-00001A240000}"/>
    <cellStyle name="60% - akcent 1 2 14 7 6" xfId="9458" xr:uid="{00000000-0005-0000-0000-00001B240000}"/>
    <cellStyle name="60% - akcent 1 2 14 8" xfId="9459" xr:uid="{00000000-0005-0000-0000-00001C240000}"/>
    <cellStyle name="60% - akcent 1 2 14 9" xfId="9460" xr:uid="{00000000-0005-0000-0000-00001D240000}"/>
    <cellStyle name="60% - akcent 1 2 15" xfId="9461" xr:uid="{00000000-0005-0000-0000-00001E240000}"/>
    <cellStyle name="60% - akcent 1 2 15 2" xfId="9462" xr:uid="{00000000-0005-0000-0000-00001F240000}"/>
    <cellStyle name="60% - akcent 1 2 15 2 2" xfId="9463" xr:uid="{00000000-0005-0000-0000-000020240000}"/>
    <cellStyle name="60% - akcent 1 2 15 2 3" xfId="9464" xr:uid="{00000000-0005-0000-0000-000021240000}"/>
    <cellStyle name="60% - akcent 1 2 15 2 4" xfId="9465" xr:uid="{00000000-0005-0000-0000-000022240000}"/>
    <cellStyle name="60% - akcent 1 2 15 2 5" xfId="9466" xr:uid="{00000000-0005-0000-0000-000023240000}"/>
    <cellStyle name="60% - akcent 1 2 15 2 6" xfId="9467" xr:uid="{00000000-0005-0000-0000-000024240000}"/>
    <cellStyle name="60% - akcent 1 2 15 3" xfId="9468" xr:uid="{00000000-0005-0000-0000-000025240000}"/>
    <cellStyle name="60% - akcent 1 2 15 4" xfId="9469" xr:uid="{00000000-0005-0000-0000-000026240000}"/>
    <cellStyle name="60% - akcent 1 2 15 5" xfId="9470" xr:uid="{00000000-0005-0000-0000-000027240000}"/>
    <cellStyle name="60% - akcent 1 2 15 6" xfId="9471" xr:uid="{00000000-0005-0000-0000-000028240000}"/>
    <cellStyle name="60% - akcent 1 2 15 7" xfId="9472" xr:uid="{00000000-0005-0000-0000-000029240000}"/>
    <cellStyle name="60% - akcent 1 2 16" xfId="9473" xr:uid="{00000000-0005-0000-0000-00002A240000}"/>
    <cellStyle name="60% - akcent 1 2 17" xfId="9474" xr:uid="{00000000-0005-0000-0000-00002B240000}"/>
    <cellStyle name="60% - akcent 1 2 18" xfId="9475" xr:uid="{00000000-0005-0000-0000-00002C240000}"/>
    <cellStyle name="60% - akcent 1 2 19" xfId="9476" xr:uid="{00000000-0005-0000-0000-00002D240000}"/>
    <cellStyle name="60% - akcent 1 2 2" xfId="9477" xr:uid="{00000000-0005-0000-0000-00002E240000}"/>
    <cellStyle name="60% - akcent 1 2 2 10" xfId="9478" xr:uid="{00000000-0005-0000-0000-00002F240000}"/>
    <cellStyle name="60% - akcent 1 2 2 10 10" xfId="9479" xr:uid="{00000000-0005-0000-0000-000030240000}"/>
    <cellStyle name="60% - akcent 1 2 2 10 11" xfId="9480" xr:uid="{00000000-0005-0000-0000-000031240000}"/>
    <cellStyle name="60% - akcent 1 2 2 10 12" xfId="9481" xr:uid="{00000000-0005-0000-0000-000032240000}"/>
    <cellStyle name="60% - akcent 1 2 2 10 2" xfId="9482" xr:uid="{00000000-0005-0000-0000-000033240000}"/>
    <cellStyle name="60% - akcent 1 2 2 10 2 10" xfId="9483" xr:uid="{00000000-0005-0000-0000-000034240000}"/>
    <cellStyle name="60% - akcent 1 2 2 10 2 11" xfId="9484" xr:uid="{00000000-0005-0000-0000-000035240000}"/>
    <cellStyle name="60% - akcent 1 2 2 10 2 2" xfId="9485" xr:uid="{00000000-0005-0000-0000-000036240000}"/>
    <cellStyle name="60% - akcent 1 2 2 10 2 2 10" xfId="9486" xr:uid="{00000000-0005-0000-0000-000037240000}"/>
    <cellStyle name="60% - akcent 1 2 2 10 2 2 11" xfId="9487" xr:uid="{00000000-0005-0000-0000-000038240000}"/>
    <cellStyle name="60% - akcent 1 2 2 10 2 2 2" xfId="9488" xr:uid="{00000000-0005-0000-0000-000039240000}"/>
    <cellStyle name="60% - akcent 1 2 2 10 2 2 2 2" xfId="9489" xr:uid="{00000000-0005-0000-0000-00003A240000}"/>
    <cellStyle name="60% - akcent 1 2 2 10 2 2 2 2 2" xfId="9490" xr:uid="{00000000-0005-0000-0000-00003B240000}"/>
    <cellStyle name="60% - akcent 1 2 2 10 2 2 2 2 3" xfId="9491" xr:uid="{00000000-0005-0000-0000-00003C240000}"/>
    <cellStyle name="60% - akcent 1 2 2 10 2 2 2 2 4" xfId="9492" xr:uid="{00000000-0005-0000-0000-00003D240000}"/>
    <cellStyle name="60% - akcent 1 2 2 10 2 2 2 2 5" xfId="9493" xr:uid="{00000000-0005-0000-0000-00003E240000}"/>
    <cellStyle name="60% - akcent 1 2 2 10 2 2 2 2 6" xfId="9494" xr:uid="{00000000-0005-0000-0000-00003F240000}"/>
    <cellStyle name="60% - akcent 1 2 2 10 2 2 2 3" xfId="9495" xr:uid="{00000000-0005-0000-0000-000040240000}"/>
    <cellStyle name="60% - akcent 1 2 2 10 2 2 2 4" xfId="9496" xr:uid="{00000000-0005-0000-0000-000041240000}"/>
    <cellStyle name="60% - akcent 1 2 2 10 2 2 2 5" xfId="9497" xr:uid="{00000000-0005-0000-0000-000042240000}"/>
    <cellStyle name="60% - akcent 1 2 2 10 2 2 2 6" xfId="9498" xr:uid="{00000000-0005-0000-0000-000043240000}"/>
    <cellStyle name="60% - akcent 1 2 2 10 2 2 2 7" xfId="9499" xr:uid="{00000000-0005-0000-0000-000044240000}"/>
    <cellStyle name="60% - akcent 1 2 2 10 2 2 3" xfId="9500" xr:uid="{00000000-0005-0000-0000-000045240000}"/>
    <cellStyle name="60% - akcent 1 2 2 10 2 2 4" xfId="9501" xr:uid="{00000000-0005-0000-0000-000046240000}"/>
    <cellStyle name="60% - akcent 1 2 2 10 2 2 5" xfId="9502" xr:uid="{00000000-0005-0000-0000-000047240000}"/>
    <cellStyle name="60% - akcent 1 2 2 10 2 2 6" xfId="9503" xr:uid="{00000000-0005-0000-0000-000048240000}"/>
    <cellStyle name="60% - akcent 1 2 2 10 2 2 7" xfId="9504" xr:uid="{00000000-0005-0000-0000-000049240000}"/>
    <cellStyle name="60% - akcent 1 2 2 10 2 2 7 2" xfId="9505" xr:uid="{00000000-0005-0000-0000-00004A240000}"/>
    <cellStyle name="60% - akcent 1 2 2 10 2 2 7 3" xfId="9506" xr:uid="{00000000-0005-0000-0000-00004B240000}"/>
    <cellStyle name="60% - akcent 1 2 2 10 2 2 7 4" xfId="9507" xr:uid="{00000000-0005-0000-0000-00004C240000}"/>
    <cellStyle name="60% - akcent 1 2 2 10 2 2 7 5" xfId="9508" xr:uid="{00000000-0005-0000-0000-00004D240000}"/>
    <cellStyle name="60% - akcent 1 2 2 10 2 2 7 6" xfId="9509" xr:uid="{00000000-0005-0000-0000-00004E240000}"/>
    <cellStyle name="60% - akcent 1 2 2 10 2 2 8" xfId="9510" xr:uid="{00000000-0005-0000-0000-00004F240000}"/>
    <cellStyle name="60% - akcent 1 2 2 10 2 2 9" xfId="9511" xr:uid="{00000000-0005-0000-0000-000050240000}"/>
    <cellStyle name="60% - akcent 1 2 2 10 2 3" xfId="9512" xr:uid="{00000000-0005-0000-0000-000051240000}"/>
    <cellStyle name="60% - akcent 1 2 2 10 2 3 2" xfId="9513" xr:uid="{00000000-0005-0000-0000-000052240000}"/>
    <cellStyle name="60% - akcent 1 2 2 10 2 3 2 2" xfId="9514" xr:uid="{00000000-0005-0000-0000-000053240000}"/>
    <cellStyle name="60% - akcent 1 2 2 10 2 3 2 3" xfId="9515" xr:uid="{00000000-0005-0000-0000-000054240000}"/>
    <cellStyle name="60% - akcent 1 2 2 10 2 3 2 4" xfId="9516" xr:uid="{00000000-0005-0000-0000-000055240000}"/>
    <cellStyle name="60% - akcent 1 2 2 10 2 3 2 5" xfId="9517" xr:uid="{00000000-0005-0000-0000-000056240000}"/>
    <cellStyle name="60% - akcent 1 2 2 10 2 3 2 6" xfId="9518" xr:uid="{00000000-0005-0000-0000-000057240000}"/>
    <cellStyle name="60% - akcent 1 2 2 10 2 3 3" xfId="9519" xr:uid="{00000000-0005-0000-0000-000058240000}"/>
    <cellStyle name="60% - akcent 1 2 2 10 2 3 4" xfId="9520" xr:uid="{00000000-0005-0000-0000-000059240000}"/>
    <cellStyle name="60% - akcent 1 2 2 10 2 3 5" xfId="9521" xr:uid="{00000000-0005-0000-0000-00005A240000}"/>
    <cellStyle name="60% - akcent 1 2 2 10 2 3 6" xfId="9522" xr:uid="{00000000-0005-0000-0000-00005B240000}"/>
    <cellStyle name="60% - akcent 1 2 2 10 2 3 7" xfId="9523" xr:uid="{00000000-0005-0000-0000-00005C240000}"/>
    <cellStyle name="60% - akcent 1 2 2 10 2 4" xfId="9524" xr:uid="{00000000-0005-0000-0000-00005D240000}"/>
    <cellStyle name="60% - akcent 1 2 2 10 2 5" xfId="9525" xr:uid="{00000000-0005-0000-0000-00005E240000}"/>
    <cellStyle name="60% - akcent 1 2 2 10 2 6" xfId="9526" xr:uid="{00000000-0005-0000-0000-00005F240000}"/>
    <cellStyle name="60% - akcent 1 2 2 10 2 7" xfId="9527" xr:uid="{00000000-0005-0000-0000-000060240000}"/>
    <cellStyle name="60% - akcent 1 2 2 10 2 7 2" xfId="9528" xr:uid="{00000000-0005-0000-0000-000061240000}"/>
    <cellStyle name="60% - akcent 1 2 2 10 2 7 3" xfId="9529" xr:uid="{00000000-0005-0000-0000-000062240000}"/>
    <cellStyle name="60% - akcent 1 2 2 10 2 7 4" xfId="9530" xr:uid="{00000000-0005-0000-0000-000063240000}"/>
    <cellStyle name="60% - akcent 1 2 2 10 2 7 5" xfId="9531" xr:uid="{00000000-0005-0000-0000-000064240000}"/>
    <cellStyle name="60% - akcent 1 2 2 10 2 7 6" xfId="9532" xr:uid="{00000000-0005-0000-0000-000065240000}"/>
    <cellStyle name="60% - akcent 1 2 2 10 2 8" xfId="9533" xr:uid="{00000000-0005-0000-0000-000066240000}"/>
    <cellStyle name="60% - akcent 1 2 2 10 2 9" xfId="9534" xr:uid="{00000000-0005-0000-0000-000067240000}"/>
    <cellStyle name="60% - akcent 1 2 2 10 3" xfId="9535" xr:uid="{00000000-0005-0000-0000-000068240000}"/>
    <cellStyle name="60% - akcent 1 2 2 10 3 2" xfId="9536" xr:uid="{00000000-0005-0000-0000-000069240000}"/>
    <cellStyle name="60% - akcent 1 2 2 10 3 2 2" xfId="9537" xr:uid="{00000000-0005-0000-0000-00006A240000}"/>
    <cellStyle name="60% - akcent 1 2 2 10 3 2 3" xfId="9538" xr:uid="{00000000-0005-0000-0000-00006B240000}"/>
    <cellStyle name="60% - akcent 1 2 2 10 3 2 4" xfId="9539" xr:uid="{00000000-0005-0000-0000-00006C240000}"/>
    <cellStyle name="60% - akcent 1 2 2 10 3 2 5" xfId="9540" xr:uid="{00000000-0005-0000-0000-00006D240000}"/>
    <cellStyle name="60% - akcent 1 2 2 10 3 2 6" xfId="9541" xr:uid="{00000000-0005-0000-0000-00006E240000}"/>
    <cellStyle name="60% - akcent 1 2 2 10 3 3" xfId="9542" xr:uid="{00000000-0005-0000-0000-00006F240000}"/>
    <cellStyle name="60% - akcent 1 2 2 10 3 4" xfId="9543" xr:uid="{00000000-0005-0000-0000-000070240000}"/>
    <cellStyle name="60% - akcent 1 2 2 10 3 5" xfId="9544" xr:uid="{00000000-0005-0000-0000-000071240000}"/>
    <cellStyle name="60% - akcent 1 2 2 10 3 6" xfId="9545" xr:uid="{00000000-0005-0000-0000-000072240000}"/>
    <cellStyle name="60% - akcent 1 2 2 10 3 7" xfId="9546" xr:uid="{00000000-0005-0000-0000-000073240000}"/>
    <cellStyle name="60% - akcent 1 2 2 10 4" xfId="9547" xr:uid="{00000000-0005-0000-0000-000074240000}"/>
    <cellStyle name="60% - akcent 1 2 2 10 5" xfId="9548" xr:uid="{00000000-0005-0000-0000-000075240000}"/>
    <cellStyle name="60% - akcent 1 2 2 10 6" xfId="9549" xr:uid="{00000000-0005-0000-0000-000076240000}"/>
    <cellStyle name="60% - akcent 1 2 2 10 7" xfId="9550" xr:uid="{00000000-0005-0000-0000-000077240000}"/>
    <cellStyle name="60% - akcent 1 2 2 10 8" xfId="9551" xr:uid="{00000000-0005-0000-0000-000078240000}"/>
    <cellStyle name="60% - akcent 1 2 2 10 8 2" xfId="9552" xr:uid="{00000000-0005-0000-0000-000079240000}"/>
    <cellStyle name="60% - akcent 1 2 2 10 8 3" xfId="9553" xr:uid="{00000000-0005-0000-0000-00007A240000}"/>
    <cellStyle name="60% - akcent 1 2 2 10 8 4" xfId="9554" xr:uid="{00000000-0005-0000-0000-00007B240000}"/>
    <cellStyle name="60% - akcent 1 2 2 10 8 5" xfId="9555" xr:uid="{00000000-0005-0000-0000-00007C240000}"/>
    <cellStyle name="60% - akcent 1 2 2 10 8 6" xfId="9556" xr:uid="{00000000-0005-0000-0000-00007D240000}"/>
    <cellStyle name="60% - akcent 1 2 2 10 9" xfId="9557" xr:uid="{00000000-0005-0000-0000-00007E240000}"/>
    <cellStyle name="60% - akcent 1 2 2 11" xfId="9558" xr:uid="{00000000-0005-0000-0000-00007F240000}"/>
    <cellStyle name="60% - akcent 1 2 2 11 10" xfId="9559" xr:uid="{00000000-0005-0000-0000-000080240000}"/>
    <cellStyle name="60% - akcent 1 2 2 11 11" xfId="9560" xr:uid="{00000000-0005-0000-0000-000081240000}"/>
    <cellStyle name="60% - akcent 1 2 2 11 2" xfId="9561" xr:uid="{00000000-0005-0000-0000-000082240000}"/>
    <cellStyle name="60% - akcent 1 2 2 11 2 2" xfId="9562" xr:uid="{00000000-0005-0000-0000-000083240000}"/>
    <cellStyle name="60% - akcent 1 2 2 11 2 2 2" xfId="9563" xr:uid="{00000000-0005-0000-0000-000084240000}"/>
    <cellStyle name="60% - akcent 1 2 2 11 2 2 3" xfId="9564" xr:uid="{00000000-0005-0000-0000-000085240000}"/>
    <cellStyle name="60% - akcent 1 2 2 11 2 2 4" xfId="9565" xr:uid="{00000000-0005-0000-0000-000086240000}"/>
    <cellStyle name="60% - akcent 1 2 2 11 2 2 5" xfId="9566" xr:uid="{00000000-0005-0000-0000-000087240000}"/>
    <cellStyle name="60% - akcent 1 2 2 11 2 2 6" xfId="9567" xr:uid="{00000000-0005-0000-0000-000088240000}"/>
    <cellStyle name="60% - akcent 1 2 2 11 2 3" xfId="9568" xr:uid="{00000000-0005-0000-0000-000089240000}"/>
    <cellStyle name="60% - akcent 1 2 2 11 2 4" xfId="9569" xr:uid="{00000000-0005-0000-0000-00008A240000}"/>
    <cellStyle name="60% - akcent 1 2 2 11 2 5" xfId="9570" xr:uid="{00000000-0005-0000-0000-00008B240000}"/>
    <cellStyle name="60% - akcent 1 2 2 11 2 6" xfId="9571" xr:uid="{00000000-0005-0000-0000-00008C240000}"/>
    <cellStyle name="60% - akcent 1 2 2 11 2 7" xfId="9572" xr:uid="{00000000-0005-0000-0000-00008D240000}"/>
    <cellStyle name="60% - akcent 1 2 2 11 3" xfId="9573" xr:uid="{00000000-0005-0000-0000-00008E240000}"/>
    <cellStyle name="60% - akcent 1 2 2 11 4" xfId="9574" xr:uid="{00000000-0005-0000-0000-00008F240000}"/>
    <cellStyle name="60% - akcent 1 2 2 11 5" xfId="9575" xr:uid="{00000000-0005-0000-0000-000090240000}"/>
    <cellStyle name="60% - akcent 1 2 2 11 6" xfId="9576" xr:uid="{00000000-0005-0000-0000-000091240000}"/>
    <cellStyle name="60% - akcent 1 2 2 11 7" xfId="9577" xr:uid="{00000000-0005-0000-0000-000092240000}"/>
    <cellStyle name="60% - akcent 1 2 2 11 7 2" xfId="9578" xr:uid="{00000000-0005-0000-0000-000093240000}"/>
    <cellStyle name="60% - akcent 1 2 2 11 7 3" xfId="9579" xr:uid="{00000000-0005-0000-0000-000094240000}"/>
    <cellStyle name="60% - akcent 1 2 2 11 7 4" xfId="9580" xr:uid="{00000000-0005-0000-0000-000095240000}"/>
    <cellStyle name="60% - akcent 1 2 2 11 7 5" xfId="9581" xr:uid="{00000000-0005-0000-0000-000096240000}"/>
    <cellStyle name="60% - akcent 1 2 2 11 7 6" xfId="9582" xr:uid="{00000000-0005-0000-0000-000097240000}"/>
    <cellStyle name="60% - akcent 1 2 2 11 8" xfId="9583" xr:uid="{00000000-0005-0000-0000-000098240000}"/>
    <cellStyle name="60% - akcent 1 2 2 11 9" xfId="9584" xr:uid="{00000000-0005-0000-0000-000099240000}"/>
    <cellStyle name="60% - akcent 1 2 2 12" xfId="9585" xr:uid="{00000000-0005-0000-0000-00009A240000}"/>
    <cellStyle name="60% - akcent 1 2 2 12 2" xfId="9586" xr:uid="{00000000-0005-0000-0000-00009B240000}"/>
    <cellStyle name="60% - akcent 1 2 2 12 2 2" xfId="9587" xr:uid="{00000000-0005-0000-0000-00009C240000}"/>
    <cellStyle name="60% - akcent 1 2 2 12 2 3" xfId="9588" xr:uid="{00000000-0005-0000-0000-00009D240000}"/>
    <cellStyle name="60% - akcent 1 2 2 12 2 4" xfId="9589" xr:uid="{00000000-0005-0000-0000-00009E240000}"/>
    <cellStyle name="60% - akcent 1 2 2 12 2 5" xfId="9590" xr:uid="{00000000-0005-0000-0000-00009F240000}"/>
    <cellStyle name="60% - akcent 1 2 2 12 2 6" xfId="9591" xr:uid="{00000000-0005-0000-0000-0000A0240000}"/>
    <cellStyle name="60% - akcent 1 2 2 12 3" xfId="9592" xr:uid="{00000000-0005-0000-0000-0000A1240000}"/>
    <cellStyle name="60% - akcent 1 2 2 12 4" xfId="9593" xr:uid="{00000000-0005-0000-0000-0000A2240000}"/>
    <cellStyle name="60% - akcent 1 2 2 12 5" xfId="9594" xr:uid="{00000000-0005-0000-0000-0000A3240000}"/>
    <cellStyle name="60% - akcent 1 2 2 12 6" xfId="9595" xr:uid="{00000000-0005-0000-0000-0000A4240000}"/>
    <cellStyle name="60% - akcent 1 2 2 12 7" xfId="9596" xr:uid="{00000000-0005-0000-0000-0000A5240000}"/>
    <cellStyle name="60% - akcent 1 2 2 13" xfId="9597" xr:uid="{00000000-0005-0000-0000-0000A6240000}"/>
    <cellStyle name="60% - akcent 1 2 2 14" xfId="9598" xr:uid="{00000000-0005-0000-0000-0000A7240000}"/>
    <cellStyle name="60% - akcent 1 2 2 15" xfId="9599" xr:uid="{00000000-0005-0000-0000-0000A8240000}"/>
    <cellStyle name="60% - akcent 1 2 2 16" xfId="9600" xr:uid="{00000000-0005-0000-0000-0000A9240000}"/>
    <cellStyle name="60% - akcent 1 2 2 17" xfId="9601" xr:uid="{00000000-0005-0000-0000-0000AA240000}"/>
    <cellStyle name="60% - akcent 1 2 2 18" xfId="9602" xr:uid="{00000000-0005-0000-0000-0000AB240000}"/>
    <cellStyle name="60% - akcent 1 2 2 18 2" xfId="9603" xr:uid="{00000000-0005-0000-0000-0000AC240000}"/>
    <cellStyle name="60% - akcent 1 2 2 18 3" xfId="9604" xr:uid="{00000000-0005-0000-0000-0000AD240000}"/>
    <cellStyle name="60% - akcent 1 2 2 18 4" xfId="9605" xr:uid="{00000000-0005-0000-0000-0000AE240000}"/>
    <cellStyle name="60% - akcent 1 2 2 18 5" xfId="9606" xr:uid="{00000000-0005-0000-0000-0000AF240000}"/>
    <cellStyle name="60% - akcent 1 2 2 18 6" xfId="9607" xr:uid="{00000000-0005-0000-0000-0000B0240000}"/>
    <cellStyle name="60% - akcent 1 2 2 19" xfId="9608" xr:uid="{00000000-0005-0000-0000-0000B1240000}"/>
    <cellStyle name="60% - akcent 1 2 2 2" xfId="9609" xr:uid="{00000000-0005-0000-0000-0000B2240000}"/>
    <cellStyle name="60% - akcent 1 2 2 2 10" xfId="9610" xr:uid="{00000000-0005-0000-0000-0000B3240000}"/>
    <cellStyle name="60% - akcent 1 2 2 2 11" xfId="9611" xr:uid="{00000000-0005-0000-0000-0000B4240000}"/>
    <cellStyle name="60% - akcent 1 2 2 2 2" xfId="9612" xr:uid="{00000000-0005-0000-0000-0000B5240000}"/>
    <cellStyle name="60% - akcent 1 2 2 2 2 10" xfId="9613" xr:uid="{00000000-0005-0000-0000-0000B6240000}"/>
    <cellStyle name="60% - akcent 1 2 2 2 2 2" xfId="9614" xr:uid="{00000000-0005-0000-0000-0000B7240000}"/>
    <cellStyle name="60% - akcent 1 2 2 2 2 2 2" xfId="9615" xr:uid="{00000000-0005-0000-0000-0000B8240000}"/>
    <cellStyle name="60% - akcent 1 2 2 2 2 2 2 2" xfId="9616" xr:uid="{00000000-0005-0000-0000-0000B9240000}"/>
    <cellStyle name="60% - akcent 1 2 2 2 2 2 2 2 2" xfId="9617" xr:uid="{00000000-0005-0000-0000-0000BA240000}"/>
    <cellStyle name="60% - akcent 1 2 2 2 2 2 2 2 2 2" xfId="9618" xr:uid="{00000000-0005-0000-0000-0000BB240000}"/>
    <cellStyle name="60% - akcent 1 2 2 2 2 2 2 2 2 3" xfId="9619" xr:uid="{00000000-0005-0000-0000-0000BC240000}"/>
    <cellStyle name="60% - akcent 1 2 2 2 2 2 2 2 2 4" xfId="9620" xr:uid="{00000000-0005-0000-0000-0000BD240000}"/>
    <cellStyle name="60% - akcent 1 2 2 2 2 2 2 2 3" xfId="9621" xr:uid="{00000000-0005-0000-0000-0000BE240000}"/>
    <cellStyle name="60% - akcent 1 2 2 2 2 2 2 2 4" xfId="9622" xr:uid="{00000000-0005-0000-0000-0000BF240000}"/>
    <cellStyle name="60% - akcent 1 2 2 2 2 2 2 2 5" xfId="9623" xr:uid="{00000000-0005-0000-0000-0000C0240000}"/>
    <cellStyle name="60% - akcent 1 2 2 2 2 2 2 3" xfId="9624" xr:uid="{00000000-0005-0000-0000-0000C1240000}"/>
    <cellStyle name="60% - akcent 1 2 2 2 2 2 2 4" xfId="9625" xr:uid="{00000000-0005-0000-0000-0000C2240000}"/>
    <cellStyle name="60% - akcent 1 2 2 2 2 2 2 5" xfId="9626" xr:uid="{00000000-0005-0000-0000-0000C3240000}"/>
    <cellStyle name="60% - akcent 1 2 2 2 2 2 2 6" xfId="9627" xr:uid="{00000000-0005-0000-0000-0000C4240000}"/>
    <cellStyle name="60% - akcent 1 2 2 2 2 2 2 7" xfId="9628" xr:uid="{00000000-0005-0000-0000-0000C5240000}"/>
    <cellStyle name="60% - akcent 1 2 2 2 2 2 2 7 2" xfId="9629" xr:uid="{00000000-0005-0000-0000-0000C6240000}"/>
    <cellStyle name="60% - akcent 1 2 2 2 2 2 2 7 3" xfId="9630" xr:uid="{00000000-0005-0000-0000-0000C7240000}"/>
    <cellStyle name="60% - akcent 1 2 2 2 2 2 2 7 4" xfId="9631" xr:uid="{00000000-0005-0000-0000-0000C8240000}"/>
    <cellStyle name="60% - akcent 1 2 2 2 2 2 2 7 5" xfId="9632" xr:uid="{00000000-0005-0000-0000-0000C9240000}"/>
    <cellStyle name="60% - akcent 1 2 2 2 2 2 2 7 6" xfId="9633" xr:uid="{00000000-0005-0000-0000-0000CA240000}"/>
    <cellStyle name="60% - akcent 1 2 2 2 2 2 2 8" xfId="9634" xr:uid="{00000000-0005-0000-0000-0000CB240000}"/>
    <cellStyle name="60% - akcent 1 2 2 2 2 2 2 9" xfId="9635" xr:uid="{00000000-0005-0000-0000-0000CC240000}"/>
    <cellStyle name="60% - akcent 1 2 2 2 2 2 3" xfId="9636" xr:uid="{00000000-0005-0000-0000-0000CD240000}"/>
    <cellStyle name="60% - akcent 1 2 2 2 2 2 3 2" xfId="9637" xr:uid="{00000000-0005-0000-0000-0000CE240000}"/>
    <cellStyle name="60% - akcent 1 2 2 2 2 2 3 2 2" xfId="9638" xr:uid="{00000000-0005-0000-0000-0000CF240000}"/>
    <cellStyle name="60% - akcent 1 2 2 2 2 2 3 2 3" xfId="9639" xr:uid="{00000000-0005-0000-0000-0000D0240000}"/>
    <cellStyle name="60% - akcent 1 2 2 2 2 2 3 2 4" xfId="9640" xr:uid="{00000000-0005-0000-0000-0000D1240000}"/>
    <cellStyle name="60% - akcent 1 2 2 2 2 2 3 2 5" xfId="9641" xr:uid="{00000000-0005-0000-0000-0000D2240000}"/>
    <cellStyle name="60% - akcent 1 2 2 2 2 2 3 2 6" xfId="9642" xr:uid="{00000000-0005-0000-0000-0000D3240000}"/>
    <cellStyle name="60% - akcent 1 2 2 2 2 2 3 3" xfId="9643" xr:uid="{00000000-0005-0000-0000-0000D4240000}"/>
    <cellStyle name="60% - akcent 1 2 2 2 2 2 3 4" xfId="9644" xr:uid="{00000000-0005-0000-0000-0000D5240000}"/>
    <cellStyle name="60% - akcent 1 2 2 2 2 2 3 5" xfId="9645" xr:uid="{00000000-0005-0000-0000-0000D6240000}"/>
    <cellStyle name="60% - akcent 1 2 2 2 2 2 3 6" xfId="9646" xr:uid="{00000000-0005-0000-0000-0000D7240000}"/>
    <cellStyle name="60% - akcent 1 2 2 2 2 2 3 7" xfId="9647" xr:uid="{00000000-0005-0000-0000-0000D8240000}"/>
    <cellStyle name="60% - akcent 1 2 2 2 2 2 4" xfId="9648" xr:uid="{00000000-0005-0000-0000-0000D9240000}"/>
    <cellStyle name="60% - akcent 1 2 2 2 2 2 5" xfId="9649" xr:uid="{00000000-0005-0000-0000-0000DA240000}"/>
    <cellStyle name="60% - akcent 1 2 2 2 2 2 6" xfId="9650" xr:uid="{00000000-0005-0000-0000-0000DB240000}"/>
    <cellStyle name="60% - akcent 1 2 2 2 2 2 7" xfId="9651" xr:uid="{00000000-0005-0000-0000-0000DC240000}"/>
    <cellStyle name="60% - akcent 1 2 2 2 2 2 7 2" xfId="9652" xr:uid="{00000000-0005-0000-0000-0000DD240000}"/>
    <cellStyle name="60% - akcent 1 2 2 2 2 2 7 3" xfId="9653" xr:uid="{00000000-0005-0000-0000-0000DE240000}"/>
    <cellStyle name="60% - akcent 1 2 2 2 2 2 7 4" xfId="9654" xr:uid="{00000000-0005-0000-0000-0000DF240000}"/>
    <cellStyle name="60% - akcent 1 2 2 2 2 2 7 5" xfId="9655" xr:uid="{00000000-0005-0000-0000-0000E0240000}"/>
    <cellStyle name="60% - akcent 1 2 2 2 2 2 7 6" xfId="9656" xr:uid="{00000000-0005-0000-0000-0000E1240000}"/>
    <cellStyle name="60% - akcent 1 2 2 2 2 2 8" xfId="9657" xr:uid="{00000000-0005-0000-0000-0000E2240000}"/>
    <cellStyle name="60% - akcent 1 2 2 2 2 2 9" xfId="9658" xr:uid="{00000000-0005-0000-0000-0000E3240000}"/>
    <cellStyle name="60% - akcent 1 2 2 2 2 3" xfId="9659" xr:uid="{00000000-0005-0000-0000-0000E4240000}"/>
    <cellStyle name="60% - akcent 1 2 2 2 2 3 2" xfId="9660" xr:uid="{00000000-0005-0000-0000-0000E5240000}"/>
    <cellStyle name="60% - akcent 1 2 2 2 2 3 2 2" xfId="9661" xr:uid="{00000000-0005-0000-0000-0000E6240000}"/>
    <cellStyle name="60% - akcent 1 2 2 2 2 3 2 3" xfId="9662" xr:uid="{00000000-0005-0000-0000-0000E7240000}"/>
    <cellStyle name="60% - akcent 1 2 2 2 2 3 2 4" xfId="9663" xr:uid="{00000000-0005-0000-0000-0000E8240000}"/>
    <cellStyle name="60% - akcent 1 2 2 2 2 3 2 5" xfId="9664" xr:uid="{00000000-0005-0000-0000-0000E9240000}"/>
    <cellStyle name="60% - akcent 1 2 2 2 2 3 2 6" xfId="9665" xr:uid="{00000000-0005-0000-0000-0000EA240000}"/>
    <cellStyle name="60% - akcent 1 2 2 2 2 3 3" xfId="9666" xr:uid="{00000000-0005-0000-0000-0000EB240000}"/>
    <cellStyle name="60% - akcent 1 2 2 2 2 3 4" xfId="9667" xr:uid="{00000000-0005-0000-0000-0000EC240000}"/>
    <cellStyle name="60% - akcent 1 2 2 2 2 3 5" xfId="9668" xr:uid="{00000000-0005-0000-0000-0000ED240000}"/>
    <cellStyle name="60% - akcent 1 2 2 2 2 3 6" xfId="9669" xr:uid="{00000000-0005-0000-0000-0000EE240000}"/>
    <cellStyle name="60% - akcent 1 2 2 2 2 3 7" xfId="9670" xr:uid="{00000000-0005-0000-0000-0000EF240000}"/>
    <cellStyle name="60% - akcent 1 2 2 2 2 4" xfId="9671" xr:uid="{00000000-0005-0000-0000-0000F0240000}"/>
    <cellStyle name="60% - akcent 1 2 2 2 2 5" xfId="9672" xr:uid="{00000000-0005-0000-0000-0000F1240000}"/>
    <cellStyle name="60% - akcent 1 2 2 2 2 6" xfId="9673" xr:uid="{00000000-0005-0000-0000-0000F2240000}"/>
    <cellStyle name="60% - akcent 1 2 2 2 2 7" xfId="9674" xr:uid="{00000000-0005-0000-0000-0000F3240000}"/>
    <cellStyle name="60% - akcent 1 2 2 2 2 8" xfId="9675" xr:uid="{00000000-0005-0000-0000-0000F4240000}"/>
    <cellStyle name="60% - akcent 1 2 2 2 2 8 2" xfId="9676" xr:uid="{00000000-0005-0000-0000-0000F5240000}"/>
    <cellStyle name="60% - akcent 1 2 2 2 2 8 3" xfId="9677" xr:uid="{00000000-0005-0000-0000-0000F6240000}"/>
    <cellStyle name="60% - akcent 1 2 2 2 2 8 4" xfId="9678" xr:uid="{00000000-0005-0000-0000-0000F7240000}"/>
    <cellStyle name="60% - akcent 1 2 2 2 2 8 5" xfId="9679" xr:uid="{00000000-0005-0000-0000-0000F8240000}"/>
    <cellStyle name="60% - akcent 1 2 2 2 2 8 6" xfId="9680" xr:uid="{00000000-0005-0000-0000-0000F9240000}"/>
    <cellStyle name="60% - akcent 1 2 2 2 2 9" xfId="9681" xr:uid="{00000000-0005-0000-0000-0000FA240000}"/>
    <cellStyle name="60% - akcent 1 2 2 2 3" xfId="9682" xr:uid="{00000000-0005-0000-0000-0000FB240000}"/>
    <cellStyle name="60% - akcent 1 2 2 2 4" xfId="9683" xr:uid="{00000000-0005-0000-0000-0000FC240000}"/>
    <cellStyle name="60% - akcent 1 2 2 2 4 10" xfId="9684" xr:uid="{00000000-0005-0000-0000-0000FD240000}"/>
    <cellStyle name="60% - akcent 1 2 2 2 4 11" xfId="9685" xr:uid="{00000000-0005-0000-0000-0000FE240000}"/>
    <cellStyle name="60% - akcent 1 2 2 2 4 2" xfId="9686" xr:uid="{00000000-0005-0000-0000-0000FF240000}"/>
    <cellStyle name="60% - akcent 1 2 2 2 4 2 2" xfId="9687" xr:uid="{00000000-0005-0000-0000-000000250000}"/>
    <cellStyle name="60% - akcent 1 2 2 2 4 2 2 2" xfId="9688" xr:uid="{00000000-0005-0000-0000-000001250000}"/>
    <cellStyle name="60% - akcent 1 2 2 2 4 2 2 3" xfId="9689" xr:uid="{00000000-0005-0000-0000-000002250000}"/>
    <cellStyle name="60% - akcent 1 2 2 2 4 2 2 4" xfId="9690" xr:uid="{00000000-0005-0000-0000-000003250000}"/>
    <cellStyle name="60% - akcent 1 2 2 2 4 2 2 5" xfId="9691" xr:uid="{00000000-0005-0000-0000-000004250000}"/>
    <cellStyle name="60% - akcent 1 2 2 2 4 2 2 6" xfId="9692" xr:uid="{00000000-0005-0000-0000-000005250000}"/>
    <cellStyle name="60% - akcent 1 2 2 2 4 2 3" xfId="9693" xr:uid="{00000000-0005-0000-0000-000006250000}"/>
    <cellStyle name="60% - akcent 1 2 2 2 4 2 4" xfId="9694" xr:uid="{00000000-0005-0000-0000-000007250000}"/>
    <cellStyle name="60% - akcent 1 2 2 2 4 2 5" xfId="9695" xr:uid="{00000000-0005-0000-0000-000008250000}"/>
    <cellStyle name="60% - akcent 1 2 2 2 4 2 6" xfId="9696" xr:uid="{00000000-0005-0000-0000-000009250000}"/>
    <cellStyle name="60% - akcent 1 2 2 2 4 2 7" xfId="9697" xr:uid="{00000000-0005-0000-0000-00000A250000}"/>
    <cellStyle name="60% - akcent 1 2 2 2 4 3" xfId="9698" xr:uid="{00000000-0005-0000-0000-00000B250000}"/>
    <cellStyle name="60% - akcent 1 2 2 2 4 4" xfId="9699" xr:uid="{00000000-0005-0000-0000-00000C250000}"/>
    <cellStyle name="60% - akcent 1 2 2 2 4 5" xfId="9700" xr:uid="{00000000-0005-0000-0000-00000D250000}"/>
    <cellStyle name="60% - akcent 1 2 2 2 4 6" xfId="9701" xr:uid="{00000000-0005-0000-0000-00000E250000}"/>
    <cellStyle name="60% - akcent 1 2 2 2 4 7" xfId="9702" xr:uid="{00000000-0005-0000-0000-00000F250000}"/>
    <cellStyle name="60% - akcent 1 2 2 2 4 7 2" xfId="9703" xr:uid="{00000000-0005-0000-0000-000010250000}"/>
    <cellStyle name="60% - akcent 1 2 2 2 4 7 3" xfId="9704" xr:uid="{00000000-0005-0000-0000-000011250000}"/>
    <cellStyle name="60% - akcent 1 2 2 2 4 7 4" xfId="9705" xr:uid="{00000000-0005-0000-0000-000012250000}"/>
    <cellStyle name="60% - akcent 1 2 2 2 4 7 5" xfId="9706" xr:uid="{00000000-0005-0000-0000-000013250000}"/>
    <cellStyle name="60% - akcent 1 2 2 2 4 7 6" xfId="9707" xr:uid="{00000000-0005-0000-0000-000014250000}"/>
    <cellStyle name="60% - akcent 1 2 2 2 4 8" xfId="9708" xr:uid="{00000000-0005-0000-0000-000015250000}"/>
    <cellStyle name="60% - akcent 1 2 2 2 4 9" xfId="9709" xr:uid="{00000000-0005-0000-0000-000016250000}"/>
    <cellStyle name="60% - akcent 1 2 2 2 5" xfId="9710" xr:uid="{00000000-0005-0000-0000-000017250000}"/>
    <cellStyle name="60% - akcent 1 2 2 2 5 2" xfId="9711" xr:uid="{00000000-0005-0000-0000-000018250000}"/>
    <cellStyle name="60% - akcent 1 2 2 2 5 2 2" xfId="9712" xr:uid="{00000000-0005-0000-0000-000019250000}"/>
    <cellStyle name="60% - akcent 1 2 2 2 5 2 3" xfId="9713" xr:uid="{00000000-0005-0000-0000-00001A250000}"/>
    <cellStyle name="60% - akcent 1 2 2 2 5 2 4" xfId="9714" xr:uid="{00000000-0005-0000-0000-00001B250000}"/>
    <cellStyle name="60% - akcent 1 2 2 2 5 2 5" xfId="9715" xr:uid="{00000000-0005-0000-0000-00001C250000}"/>
    <cellStyle name="60% - akcent 1 2 2 2 5 2 6" xfId="9716" xr:uid="{00000000-0005-0000-0000-00001D250000}"/>
    <cellStyle name="60% - akcent 1 2 2 2 5 3" xfId="9717" xr:uid="{00000000-0005-0000-0000-00001E250000}"/>
    <cellStyle name="60% - akcent 1 2 2 2 5 4" xfId="9718" xr:uid="{00000000-0005-0000-0000-00001F250000}"/>
    <cellStyle name="60% - akcent 1 2 2 2 5 5" xfId="9719" xr:uid="{00000000-0005-0000-0000-000020250000}"/>
    <cellStyle name="60% - akcent 1 2 2 2 5 6" xfId="9720" xr:uid="{00000000-0005-0000-0000-000021250000}"/>
    <cellStyle name="60% - akcent 1 2 2 2 5 7" xfId="9721" xr:uid="{00000000-0005-0000-0000-000022250000}"/>
    <cellStyle name="60% - akcent 1 2 2 2 6" xfId="9722" xr:uid="{00000000-0005-0000-0000-000023250000}"/>
    <cellStyle name="60% - akcent 1 2 2 2 7" xfId="9723" xr:uid="{00000000-0005-0000-0000-000024250000}"/>
    <cellStyle name="60% - akcent 1 2 2 2 8" xfId="9724" xr:uid="{00000000-0005-0000-0000-000025250000}"/>
    <cellStyle name="60% - akcent 1 2 2 2 9" xfId="9725" xr:uid="{00000000-0005-0000-0000-000026250000}"/>
    <cellStyle name="60% - akcent 1 2 2 2 9 2" xfId="9726" xr:uid="{00000000-0005-0000-0000-000027250000}"/>
    <cellStyle name="60% - akcent 1 2 2 2 9 3" xfId="9727" xr:uid="{00000000-0005-0000-0000-000028250000}"/>
    <cellStyle name="60% - akcent 1 2 2 2 9 4" xfId="9728" xr:uid="{00000000-0005-0000-0000-000029250000}"/>
    <cellStyle name="60% - akcent 1 2 2 2 9 5" xfId="9729" xr:uid="{00000000-0005-0000-0000-00002A250000}"/>
    <cellStyle name="60% - akcent 1 2 2 2 9 6" xfId="9730" xr:uid="{00000000-0005-0000-0000-00002B250000}"/>
    <cellStyle name="60% - akcent 1 2 2 20" xfId="9731" xr:uid="{00000000-0005-0000-0000-00002C250000}"/>
    <cellStyle name="60% - akcent 1 2 2 3" xfId="9732" xr:uid="{00000000-0005-0000-0000-00002D250000}"/>
    <cellStyle name="60% - akcent 1 2 2 4" xfId="9733" xr:uid="{00000000-0005-0000-0000-00002E250000}"/>
    <cellStyle name="60% - akcent 1 2 2 5" xfId="9734" xr:uid="{00000000-0005-0000-0000-00002F250000}"/>
    <cellStyle name="60% - akcent 1 2 2 6" xfId="9735" xr:uid="{00000000-0005-0000-0000-000030250000}"/>
    <cellStyle name="60% - akcent 1 2 2 7" xfId="9736" xr:uid="{00000000-0005-0000-0000-000031250000}"/>
    <cellStyle name="60% - akcent 1 2 2 8" xfId="9737" xr:uid="{00000000-0005-0000-0000-000032250000}"/>
    <cellStyle name="60% - akcent 1 2 2 9" xfId="9738" xr:uid="{00000000-0005-0000-0000-000033250000}"/>
    <cellStyle name="60% - akcent 1 2 20" xfId="9739" xr:uid="{00000000-0005-0000-0000-000034250000}"/>
    <cellStyle name="60% - akcent 1 2 21" xfId="9740" xr:uid="{00000000-0005-0000-0000-000035250000}"/>
    <cellStyle name="60% - akcent 1 2 21 2" xfId="9741" xr:uid="{00000000-0005-0000-0000-000036250000}"/>
    <cellStyle name="60% - akcent 1 2 21 3" xfId="9742" xr:uid="{00000000-0005-0000-0000-000037250000}"/>
    <cellStyle name="60% - akcent 1 2 21 4" xfId="9743" xr:uid="{00000000-0005-0000-0000-000038250000}"/>
    <cellStyle name="60% - akcent 1 2 21 5" xfId="9744" xr:uid="{00000000-0005-0000-0000-000039250000}"/>
    <cellStyle name="60% - akcent 1 2 21 6" xfId="9745" xr:uid="{00000000-0005-0000-0000-00003A250000}"/>
    <cellStyle name="60% - akcent 1 2 22" xfId="9746" xr:uid="{00000000-0005-0000-0000-00003B250000}"/>
    <cellStyle name="60% - akcent 1 2 23" xfId="9747" xr:uid="{00000000-0005-0000-0000-00003C250000}"/>
    <cellStyle name="60% - akcent 1 2 24" xfId="9748" xr:uid="{00000000-0005-0000-0000-00003D250000}"/>
    <cellStyle name="60% - akcent 1 2 25" xfId="9749" xr:uid="{00000000-0005-0000-0000-00003E250000}"/>
    <cellStyle name="60% - akcent 1 2 26" xfId="9750" xr:uid="{00000000-0005-0000-0000-00003F250000}"/>
    <cellStyle name="60% - akcent 1 2 27" xfId="9751" xr:uid="{00000000-0005-0000-0000-000040250000}"/>
    <cellStyle name="60% - akcent 1 2 28" xfId="9752" xr:uid="{00000000-0005-0000-0000-000041250000}"/>
    <cellStyle name="60% - akcent 1 2 29" xfId="9753" xr:uid="{00000000-0005-0000-0000-000042250000}"/>
    <cellStyle name="60% - akcent 1 2 3" xfId="9754" xr:uid="{00000000-0005-0000-0000-000043250000}"/>
    <cellStyle name="60% - akcent 1 2 30" xfId="9755" xr:uid="{00000000-0005-0000-0000-000044250000}"/>
    <cellStyle name="60% - akcent 1 2 31" xfId="9756" xr:uid="{00000000-0005-0000-0000-000045250000}"/>
    <cellStyle name="60% - akcent 1 2 32" xfId="9350" xr:uid="{00000000-0005-0000-0000-000046250000}"/>
    <cellStyle name="60% - akcent 1 2 33" xfId="37829" xr:uid="{00000000-0005-0000-0000-000047250000}"/>
    <cellStyle name="60% - akcent 1 2 4" xfId="9757" xr:uid="{00000000-0005-0000-0000-000048250000}"/>
    <cellStyle name="60% - akcent 1 2 5" xfId="9758" xr:uid="{00000000-0005-0000-0000-000049250000}"/>
    <cellStyle name="60% - akcent 1 2 6" xfId="9759" xr:uid="{00000000-0005-0000-0000-00004A250000}"/>
    <cellStyle name="60% - akcent 1 2 6 10" xfId="9760" xr:uid="{00000000-0005-0000-0000-00004B250000}"/>
    <cellStyle name="60% - akcent 1 2 6 11" xfId="9761" xr:uid="{00000000-0005-0000-0000-00004C250000}"/>
    <cellStyle name="60% - akcent 1 2 6 12" xfId="9762" xr:uid="{00000000-0005-0000-0000-00004D250000}"/>
    <cellStyle name="60% - akcent 1 2 6 13" xfId="9763" xr:uid="{00000000-0005-0000-0000-00004E250000}"/>
    <cellStyle name="60% - akcent 1 2 6 2" xfId="9764" xr:uid="{00000000-0005-0000-0000-00004F250000}"/>
    <cellStyle name="60% - akcent 1 2 6 2 10" xfId="9765" xr:uid="{00000000-0005-0000-0000-000050250000}"/>
    <cellStyle name="60% - akcent 1 2 6 2 11" xfId="9766" xr:uid="{00000000-0005-0000-0000-000051250000}"/>
    <cellStyle name="60% - akcent 1 2 6 2 12" xfId="9767" xr:uid="{00000000-0005-0000-0000-000052250000}"/>
    <cellStyle name="60% - akcent 1 2 6 2 13" xfId="9768" xr:uid="{00000000-0005-0000-0000-000053250000}"/>
    <cellStyle name="60% - akcent 1 2 6 2 2" xfId="9769" xr:uid="{00000000-0005-0000-0000-000054250000}"/>
    <cellStyle name="60% - akcent 1 2 6 2 2 10" xfId="9770" xr:uid="{00000000-0005-0000-0000-000055250000}"/>
    <cellStyle name="60% - akcent 1 2 6 2 2 11" xfId="9771" xr:uid="{00000000-0005-0000-0000-000056250000}"/>
    <cellStyle name="60% - akcent 1 2 6 2 2 12" xfId="9772" xr:uid="{00000000-0005-0000-0000-000057250000}"/>
    <cellStyle name="60% - akcent 1 2 6 2 2 2" xfId="9773" xr:uid="{00000000-0005-0000-0000-000058250000}"/>
    <cellStyle name="60% - akcent 1 2 6 2 2 2 10" xfId="9774" xr:uid="{00000000-0005-0000-0000-000059250000}"/>
    <cellStyle name="60% - akcent 1 2 6 2 2 2 11" xfId="9775" xr:uid="{00000000-0005-0000-0000-00005A250000}"/>
    <cellStyle name="60% - akcent 1 2 6 2 2 2 2" xfId="9776" xr:uid="{00000000-0005-0000-0000-00005B250000}"/>
    <cellStyle name="60% - akcent 1 2 6 2 2 2 2 10" xfId="9777" xr:uid="{00000000-0005-0000-0000-00005C250000}"/>
    <cellStyle name="60% - akcent 1 2 6 2 2 2 2 11" xfId="9778" xr:uid="{00000000-0005-0000-0000-00005D250000}"/>
    <cellStyle name="60% - akcent 1 2 6 2 2 2 2 2" xfId="9779" xr:uid="{00000000-0005-0000-0000-00005E250000}"/>
    <cellStyle name="60% - akcent 1 2 6 2 2 2 2 2 2" xfId="9780" xr:uid="{00000000-0005-0000-0000-00005F250000}"/>
    <cellStyle name="60% - akcent 1 2 6 2 2 2 2 2 2 2" xfId="9781" xr:uid="{00000000-0005-0000-0000-000060250000}"/>
    <cellStyle name="60% - akcent 1 2 6 2 2 2 2 2 2 3" xfId="9782" xr:uid="{00000000-0005-0000-0000-000061250000}"/>
    <cellStyle name="60% - akcent 1 2 6 2 2 2 2 2 2 4" xfId="9783" xr:uid="{00000000-0005-0000-0000-000062250000}"/>
    <cellStyle name="60% - akcent 1 2 6 2 2 2 2 2 2 5" xfId="9784" xr:uid="{00000000-0005-0000-0000-000063250000}"/>
    <cellStyle name="60% - akcent 1 2 6 2 2 2 2 2 2 6" xfId="9785" xr:uid="{00000000-0005-0000-0000-000064250000}"/>
    <cellStyle name="60% - akcent 1 2 6 2 2 2 2 2 3" xfId="9786" xr:uid="{00000000-0005-0000-0000-000065250000}"/>
    <cellStyle name="60% - akcent 1 2 6 2 2 2 2 2 4" xfId="9787" xr:uid="{00000000-0005-0000-0000-000066250000}"/>
    <cellStyle name="60% - akcent 1 2 6 2 2 2 2 2 5" xfId="9788" xr:uid="{00000000-0005-0000-0000-000067250000}"/>
    <cellStyle name="60% - akcent 1 2 6 2 2 2 2 2 6" xfId="9789" xr:uid="{00000000-0005-0000-0000-000068250000}"/>
    <cellStyle name="60% - akcent 1 2 6 2 2 2 2 2 7" xfId="9790" xr:uid="{00000000-0005-0000-0000-000069250000}"/>
    <cellStyle name="60% - akcent 1 2 6 2 2 2 2 3" xfId="9791" xr:uid="{00000000-0005-0000-0000-00006A250000}"/>
    <cellStyle name="60% - akcent 1 2 6 2 2 2 2 4" xfId="9792" xr:uid="{00000000-0005-0000-0000-00006B250000}"/>
    <cellStyle name="60% - akcent 1 2 6 2 2 2 2 5" xfId="9793" xr:uid="{00000000-0005-0000-0000-00006C250000}"/>
    <cellStyle name="60% - akcent 1 2 6 2 2 2 2 6" xfId="9794" xr:uid="{00000000-0005-0000-0000-00006D250000}"/>
    <cellStyle name="60% - akcent 1 2 6 2 2 2 2 7" xfId="9795" xr:uid="{00000000-0005-0000-0000-00006E250000}"/>
    <cellStyle name="60% - akcent 1 2 6 2 2 2 2 7 2" xfId="9796" xr:uid="{00000000-0005-0000-0000-00006F250000}"/>
    <cellStyle name="60% - akcent 1 2 6 2 2 2 2 7 3" xfId="9797" xr:uid="{00000000-0005-0000-0000-000070250000}"/>
    <cellStyle name="60% - akcent 1 2 6 2 2 2 2 7 4" xfId="9798" xr:uid="{00000000-0005-0000-0000-000071250000}"/>
    <cellStyle name="60% - akcent 1 2 6 2 2 2 2 7 5" xfId="9799" xr:uid="{00000000-0005-0000-0000-000072250000}"/>
    <cellStyle name="60% - akcent 1 2 6 2 2 2 2 7 6" xfId="9800" xr:uid="{00000000-0005-0000-0000-000073250000}"/>
    <cellStyle name="60% - akcent 1 2 6 2 2 2 2 8" xfId="9801" xr:uid="{00000000-0005-0000-0000-000074250000}"/>
    <cellStyle name="60% - akcent 1 2 6 2 2 2 2 9" xfId="9802" xr:uid="{00000000-0005-0000-0000-000075250000}"/>
    <cellStyle name="60% - akcent 1 2 6 2 2 2 3" xfId="9803" xr:uid="{00000000-0005-0000-0000-000076250000}"/>
    <cellStyle name="60% - akcent 1 2 6 2 2 2 3 2" xfId="9804" xr:uid="{00000000-0005-0000-0000-000077250000}"/>
    <cellStyle name="60% - akcent 1 2 6 2 2 2 3 2 2" xfId="9805" xr:uid="{00000000-0005-0000-0000-000078250000}"/>
    <cellStyle name="60% - akcent 1 2 6 2 2 2 3 2 3" xfId="9806" xr:uid="{00000000-0005-0000-0000-000079250000}"/>
    <cellStyle name="60% - akcent 1 2 6 2 2 2 3 2 4" xfId="9807" xr:uid="{00000000-0005-0000-0000-00007A250000}"/>
    <cellStyle name="60% - akcent 1 2 6 2 2 2 3 2 5" xfId="9808" xr:uid="{00000000-0005-0000-0000-00007B250000}"/>
    <cellStyle name="60% - akcent 1 2 6 2 2 2 3 2 6" xfId="9809" xr:uid="{00000000-0005-0000-0000-00007C250000}"/>
    <cellStyle name="60% - akcent 1 2 6 2 2 2 3 3" xfId="9810" xr:uid="{00000000-0005-0000-0000-00007D250000}"/>
    <cellStyle name="60% - akcent 1 2 6 2 2 2 3 4" xfId="9811" xr:uid="{00000000-0005-0000-0000-00007E250000}"/>
    <cellStyle name="60% - akcent 1 2 6 2 2 2 3 5" xfId="9812" xr:uid="{00000000-0005-0000-0000-00007F250000}"/>
    <cellStyle name="60% - akcent 1 2 6 2 2 2 3 6" xfId="9813" xr:uid="{00000000-0005-0000-0000-000080250000}"/>
    <cellStyle name="60% - akcent 1 2 6 2 2 2 3 7" xfId="9814" xr:uid="{00000000-0005-0000-0000-000081250000}"/>
    <cellStyle name="60% - akcent 1 2 6 2 2 2 4" xfId="9815" xr:uid="{00000000-0005-0000-0000-000082250000}"/>
    <cellStyle name="60% - akcent 1 2 6 2 2 2 5" xfId="9816" xr:uid="{00000000-0005-0000-0000-000083250000}"/>
    <cellStyle name="60% - akcent 1 2 6 2 2 2 6" xfId="9817" xr:uid="{00000000-0005-0000-0000-000084250000}"/>
    <cellStyle name="60% - akcent 1 2 6 2 2 2 7" xfId="9818" xr:uid="{00000000-0005-0000-0000-000085250000}"/>
    <cellStyle name="60% - akcent 1 2 6 2 2 2 7 2" xfId="9819" xr:uid="{00000000-0005-0000-0000-000086250000}"/>
    <cellStyle name="60% - akcent 1 2 6 2 2 2 7 3" xfId="9820" xr:uid="{00000000-0005-0000-0000-000087250000}"/>
    <cellStyle name="60% - akcent 1 2 6 2 2 2 7 4" xfId="9821" xr:uid="{00000000-0005-0000-0000-000088250000}"/>
    <cellStyle name="60% - akcent 1 2 6 2 2 2 7 5" xfId="9822" xr:uid="{00000000-0005-0000-0000-000089250000}"/>
    <cellStyle name="60% - akcent 1 2 6 2 2 2 7 6" xfId="9823" xr:uid="{00000000-0005-0000-0000-00008A250000}"/>
    <cellStyle name="60% - akcent 1 2 6 2 2 2 8" xfId="9824" xr:uid="{00000000-0005-0000-0000-00008B250000}"/>
    <cellStyle name="60% - akcent 1 2 6 2 2 2 9" xfId="9825" xr:uid="{00000000-0005-0000-0000-00008C250000}"/>
    <cellStyle name="60% - akcent 1 2 6 2 2 3" xfId="9826" xr:uid="{00000000-0005-0000-0000-00008D250000}"/>
    <cellStyle name="60% - akcent 1 2 6 2 2 3 2" xfId="9827" xr:uid="{00000000-0005-0000-0000-00008E250000}"/>
    <cellStyle name="60% - akcent 1 2 6 2 2 3 2 2" xfId="9828" xr:uid="{00000000-0005-0000-0000-00008F250000}"/>
    <cellStyle name="60% - akcent 1 2 6 2 2 3 2 3" xfId="9829" xr:uid="{00000000-0005-0000-0000-000090250000}"/>
    <cellStyle name="60% - akcent 1 2 6 2 2 3 2 4" xfId="9830" xr:uid="{00000000-0005-0000-0000-000091250000}"/>
    <cellStyle name="60% - akcent 1 2 6 2 2 3 2 5" xfId="9831" xr:uid="{00000000-0005-0000-0000-000092250000}"/>
    <cellStyle name="60% - akcent 1 2 6 2 2 3 2 6" xfId="9832" xr:uid="{00000000-0005-0000-0000-000093250000}"/>
    <cellStyle name="60% - akcent 1 2 6 2 2 3 3" xfId="9833" xr:uid="{00000000-0005-0000-0000-000094250000}"/>
    <cellStyle name="60% - akcent 1 2 6 2 2 3 4" xfId="9834" xr:uid="{00000000-0005-0000-0000-000095250000}"/>
    <cellStyle name="60% - akcent 1 2 6 2 2 3 5" xfId="9835" xr:uid="{00000000-0005-0000-0000-000096250000}"/>
    <cellStyle name="60% - akcent 1 2 6 2 2 3 6" xfId="9836" xr:uid="{00000000-0005-0000-0000-000097250000}"/>
    <cellStyle name="60% - akcent 1 2 6 2 2 3 7" xfId="9837" xr:uid="{00000000-0005-0000-0000-000098250000}"/>
    <cellStyle name="60% - akcent 1 2 6 2 2 4" xfId="9838" xr:uid="{00000000-0005-0000-0000-000099250000}"/>
    <cellStyle name="60% - akcent 1 2 6 2 2 5" xfId="9839" xr:uid="{00000000-0005-0000-0000-00009A250000}"/>
    <cellStyle name="60% - akcent 1 2 6 2 2 6" xfId="9840" xr:uid="{00000000-0005-0000-0000-00009B250000}"/>
    <cellStyle name="60% - akcent 1 2 6 2 2 7" xfId="9841" xr:uid="{00000000-0005-0000-0000-00009C250000}"/>
    <cellStyle name="60% - akcent 1 2 6 2 2 8" xfId="9842" xr:uid="{00000000-0005-0000-0000-00009D250000}"/>
    <cellStyle name="60% - akcent 1 2 6 2 2 8 2" xfId="9843" xr:uid="{00000000-0005-0000-0000-00009E250000}"/>
    <cellStyle name="60% - akcent 1 2 6 2 2 8 3" xfId="9844" xr:uid="{00000000-0005-0000-0000-00009F250000}"/>
    <cellStyle name="60% - akcent 1 2 6 2 2 8 4" xfId="9845" xr:uid="{00000000-0005-0000-0000-0000A0250000}"/>
    <cellStyle name="60% - akcent 1 2 6 2 2 8 5" xfId="9846" xr:uid="{00000000-0005-0000-0000-0000A1250000}"/>
    <cellStyle name="60% - akcent 1 2 6 2 2 8 6" xfId="9847" xr:uid="{00000000-0005-0000-0000-0000A2250000}"/>
    <cellStyle name="60% - akcent 1 2 6 2 2 9" xfId="9848" xr:uid="{00000000-0005-0000-0000-0000A3250000}"/>
    <cellStyle name="60% - akcent 1 2 6 2 3" xfId="9849" xr:uid="{00000000-0005-0000-0000-0000A4250000}"/>
    <cellStyle name="60% - akcent 1 2 6 2 4" xfId="9850" xr:uid="{00000000-0005-0000-0000-0000A5250000}"/>
    <cellStyle name="60% - akcent 1 2 6 2 4 10" xfId="9851" xr:uid="{00000000-0005-0000-0000-0000A6250000}"/>
    <cellStyle name="60% - akcent 1 2 6 2 4 11" xfId="9852" xr:uid="{00000000-0005-0000-0000-0000A7250000}"/>
    <cellStyle name="60% - akcent 1 2 6 2 4 2" xfId="9853" xr:uid="{00000000-0005-0000-0000-0000A8250000}"/>
    <cellStyle name="60% - akcent 1 2 6 2 4 2 2" xfId="9854" xr:uid="{00000000-0005-0000-0000-0000A9250000}"/>
    <cellStyle name="60% - akcent 1 2 6 2 4 2 2 2" xfId="9855" xr:uid="{00000000-0005-0000-0000-0000AA250000}"/>
    <cellStyle name="60% - akcent 1 2 6 2 4 2 2 3" xfId="9856" xr:uid="{00000000-0005-0000-0000-0000AB250000}"/>
    <cellStyle name="60% - akcent 1 2 6 2 4 2 2 4" xfId="9857" xr:uid="{00000000-0005-0000-0000-0000AC250000}"/>
    <cellStyle name="60% - akcent 1 2 6 2 4 2 2 5" xfId="9858" xr:uid="{00000000-0005-0000-0000-0000AD250000}"/>
    <cellStyle name="60% - akcent 1 2 6 2 4 2 2 6" xfId="9859" xr:uid="{00000000-0005-0000-0000-0000AE250000}"/>
    <cellStyle name="60% - akcent 1 2 6 2 4 2 3" xfId="9860" xr:uid="{00000000-0005-0000-0000-0000AF250000}"/>
    <cellStyle name="60% - akcent 1 2 6 2 4 2 4" xfId="9861" xr:uid="{00000000-0005-0000-0000-0000B0250000}"/>
    <cellStyle name="60% - akcent 1 2 6 2 4 2 5" xfId="9862" xr:uid="{00000000-0005-0000-0000-0000B1250000}"/>
    <cellStyle name="60% - akcent 1 2 6 2 4 2 6" xfId="9863" xr:uid="{00000000-0005-0000-0000-0000B2250000}"/>
    <cellStyle name="60% - akcent 1 2 6 2 4 2 7" xfId="9864" xr:uid="{00000000-0005-0000-0000-0000B3250000}"/>
    <cellStyle name="60% - akcent 1 2 6 2 4 3" xfId="9865" xr:uid="{00000000-0005-0000-0000-0000B4250000}"/>
    <cellStyle name="60% - akcent 1 2 6 2 4 4" xfId="9866" xr:uid="{00000000-0005-0000-0000-0000B5250000}"/>
    <cellStyle name="60% - akcent 1 2 6 2 4 5" xfId="9867" xr:uid="{00000000-0005-0000-0000-0000B6250000}"/>
    <cellStyle name="60% - akcent 1 2 6 2 4 6" xfId="9868" xr:uid="{00000000-0005-0000-0000-0000B7250000}"/>
    <cellStyle name="60% - akcent 1 2 6 2 4 7" xfId="9869" xr:uid="{00000000-0005-0000-0000-0000B8250000}"/>
    <cellStyle name="60% - akcent 1 2 6 2 4 7 2" xfId="9870" xr:uid="{00000000-0005-0000-0000-0000B9250000}"/>
    <cellStyle name="60% - akcent 1 2 6 2 4 7 3" xfId="9871" xr:uid="{00000000-0005-0000-0000-0000BA250000}"/>
    <cellStyle name="60% - akcent 1 2 6 2 4 7 4" xfId="9872" xr:uid="{00000000-0005-0000-0000-0000BB250000}"/>
    <cellStyle name="60% - akcent 1 2 6 2 4 7 5" xfId="9873" xr:uid="{00000000-0005-0000-0000-0000BC250000}"/>
    <cellStyle name="60% - akcent 1 2 6 2 4 7 6" xfId="9874" xr:uid="{00000000-0005-0000-0000-0000BD250000}"/>
    <cellStyle name="60% - akcent 1 2 6 2 4 8" xfId="9875" xr:uid="{00000000-0005-0000-0000-0000BE250000}"/>
    <cellStyle name="60% - akcent 1 2 6 2 4 9" xfId="9876" xr:uid="{00000000-0005-0000-0000-0000BF250000}"/>
    <cellStyle name="60% - akcent 1 2 6 2 5" xfId="9877" xr:uid="{00000000-0005-0000-0000-0000C0250000}"/>
    <cellStyle name="60% - akcent 1 2 6 2 5 2" xfId="9878" xr:uid="{00000000-0005-0000-0000-0000C1250000}"/>
    <cellStyle name="60% - akcent 1 2 6 2 5 2 2" xfId="9879" xr:uid="{00000000-0005-0000-0000-0000C2250000}"/>
    <cellStyle name="60% - akcent 1 2 6 2 5 2 3" xfId="9880" xr:uid="{00000000-0005-0000-0000-0000C3250000}"/>
    <cellStyle name="60% - akcent 1 2 6 2 5 2 4" xfId="9881" xr:uid="{00000000-0005-0000-0000-0000C4250000}"/>
    <cellStyle name="60% - akcent 1 2 6 2 5 2 5" xfId="9882" xr:uid="{00000000-0005-0000-0000-0000C5250000}"/>
    <cellStyle name="60% - akcent 1 2 6 2 5 2 6" xfId="9883" xr:uid="{00000000-0005-0000-0000-0000C6250000}"/>
    <cellStyle name="60% - akcent 1 2 6 2 5 3" xfId="9884" xr:uid="{00000000-0005-0000-0000-0000C7250000}"/>
    <cellStyle name="60% - akcent 1 2 6 2 5 4" xfId="9885" xr:uid="{00000000-0005-0000-0000-0000C8250000}"/>
    <cellStyle name="60% - akcent 1 2 6 2 5 5" xfId="9886" xr:uid="{00000000-0005-0000-0000-0000C9250000}"/>
    <cellStyle name="60% - akcent 1 2 6 2 5 6" xfId="9887" xr:uid="{00000000-0005-0000-0000-0000CA250000}"/>
    <cellStyle name="60% - akcent 1 2 6 2 5 7" xfId="9888" xr:uid="{00000000-0005-0000-0000-0000CB250000}"/>
    <cellStyle name="60% - akcent 1 2 6 2 6" xfId="9889" xr:uid="{00000000-0005-0000-0000-0000CC250000}"/>
    <cellStyle name="60% - akcent 1 2 6 2 7" xfId="9890" xr:uid="{00000000-0005-0000-0000-0000CD250000}"/>
    <cellStyle name="60% - akcent 1 2 6 2 8" xfId="9891" xr:uid="{00000000-0005-0000-0000-0000CE250000}"/>
    <cellStyle name="60% - akcent 1 2 6 2 9" xfId="9892" xr:uid="{00000000-0005-0000-0000-0000CF250000}"/>
    <cellStyle name="60% - akcent 1 2 6 2 9 2" xfId="9893" xr:uid="{00000000-0005-0000-0000-0000D0250000}"/>
    <cellStyle name="60% - akcent 1 2 6 2 9 3" xfId="9894" xr:uid="{00000000-0005-0000-0000-0000D1250000}"/>
    <cellStyle name="60% - akcent 1 2 6 2 9 4" xfId="9895" xr:uid="{00000000-0005-0000-0000-0000D2250000}"/>
    <cellStyle name="60% - akcent 1 2 6 2 9 5" xfId="9896" xr:uid="{00000000-0005-0000-0000-0000D3250000}"/>
    <cellStyle name="60% - akcent 1 2 6 2 9 6" xfId="9897" xr:uid="{00000000-0005-0000-0000-0000D4250000}"/>
    <cellStyle name="60% - akcent 1 2 6 3" xfId="9898" xr:uid="{00000000-0005-0000-0000-0000D5250000}"/>
    <cellStyle name="60% - akcent 1 2 6 3 10" xfId="9899" xr:uid="{00000000-0005-0000-0000-0000D6250000}"/>
    <cellStyle name="60% - akcent 1 2 6 3 11" xfId="9900" xr:uid="{00000000-0005-0000-0000-0000D7250000}"/>
    <cellStyle name="60% - akcent 1 2 6 3 12" xfId="9901" xr:uid="{00000000-0005-0000-0000-0000D8250000}"/>
    <cellStyle name="60% - akcent 1 2 6 3 2" xfId="9902" xr:uid="{00000000-0005-0000-0000-0000D9250000}"/>
    <cellStyle name="60% - akcent 1 2 6 3 2 10" xfId="9903" xr:uid="{00000000-0005-0000-0000-0000DA250000}"/>
    <cellStyle name="60% - akcent 1 2 6 3 2 11" xfId="9904" xr:uid="{00000000-0005-0000-0000-0000DB250000}"/>
    <cellStyle name="60% - akcent 1 2 6 3 2 2" xfId="9905" xr:uid="{00000000-0005-0000-0000-0000DC250000}"/>
    <cellStyle name="60% - akcent 1 2 6 3 2 2 10" xfId="9906" xr:uid="{00000000-0005-0000-0000-0000DD250000}"/>
    <cellStyle name="60% - akcent 1 2 6 3 2 2 11" xfId="9907" xr:uid="{00000000-0005-0000-0000-0000DE250000}"/>
    <cellStyle name="60% - akcent 1 2 6 3 2 2 2" xfId="9908" xr:uid="{00000000-0005-0000-0000-0000DF250000}"/>
    <cellStyle name="60% - akcent 1 2 6 3 2 2 2 2" xfId="9909" xr:uid="{00000000-0005-0000-0000-0000E0250000}"/>
    <cellStyle name="60% - akcent 1 2 6 3 2 2 2 2 2" xfId="9910" xr:uid="{00000000-0005-0000-0000-0000E1250000}"/>
    <cellStyle name="60% - akcent 1 2 6 3 2 2 2 2 3" xfId="9911" xr:uid="{00000000-0005-0000-0000-0000E2250000}"/>
    <cellStyle name="60% - akcent 1 2 6 3 2 2 2 2 4" xfId="9912" xr:uid="{00000000-0005-0000-0000-0000E3250000}"/>
    <cellStyle name="60% - akcent 1 2 6 3 2 2 2 2 5" xfId="9913" xr:uid="{00000000-0005-0000-0000-0000E4250000}"/>
    <cellStyle name="60% - akcent 1 2 6 3 2 2 2 2 6" xfId="9914" xr:uid="{00000000-0005-0000-0000-0000E5250000}"/>
    <cellStyle name="60% - akcent 1 2 6 3 2 2 2 3" xfId="9915" xr:uid="{00000000-0005-0000-0000-0000E6250000}"/>
    <cellStyle name="60% - akcent 1 2 6 3 2 2 2 4" xfId="9916" xr:uid="{00000000-0005-0000-0000-0000E7250000}"/>
    <cellStyle name="60% - akcent 1 2 6 3 2 2 2 5" xfId="9917" xr:uid="{00000000-0005-0000-0000-0000E8250000}"/>
    <cellStyle name="60% - akcent 1 2 6 3 2 2 2 6" xfId="9918" xr:uid="{00000000-0005-0000-0000-0000E9250000}"/>
    <cellStyle name="60% - akcent 1 2 6 3 2 2 2 7" xfId="9919" xr:uid="{00000000-0005-0000-0000-0000EA250000}"/>
    <cellStyle name="60% - akcent 1 2 6 3 2 2 3" xfId="9920" xr:uid="{00000000-0005-0000-0000-0000EB250000}"/>
    <cellStyle name="60% - akcent 1 2 6 3 2 2 4" xfId="9921" xr:uid="{00000000-0005-0000-0000-0000EC250000}"/>
    <cellStyle name="60% - akcent 1 2 6 3 2 2 5" xfId="9922" xr:uid="{00000000-0005-0000-0000-0000ED250000}"/>
    <cellStyle name="60% - akcent 1 2 6 3 2 2 6" xfId="9923" xr:uid="{00000000-0005-0000-0000-0000EE250000}"/>
    <cellStyle name="60% - akcent 1 2 6 3 2 2 7" xfId="9924" xr:uid="{00000000-0005-0000-0000-0000EF250000}"/>
    <cellStyle name="60% - akcent 1 2 6 3 2 2 7 2" xfId="9925" xr:uid="{00000000-0005-0000-0000-0000F0250000}"/>
    <cellStyle name="60% - akcent 1 2 6 3 2 2 7 3" xfId="9926" xr:uid="{00000000-0005-0000-0000-0000F1250000}"/>
    <cellStyle name="60% - akcent 1 2 6 3 2 2 7 4" xfId="9927" xr:uid="{00000000-0005-0000-0000-0000F2250000}"/>
    <cellStyle name="60% - akcent 1 2 6 3 2 2 7 5" xfId="9928" xr:uid="{00000000-0005-0000-0000-0000F3250000}"/>
    <cellStyle name="60% - akcent 1 2 6 3 2 2 7 6" xfId="9929" xr:uid="{00000000-0005-0000-0000-0000F4250000}"/>
    <cellStyle name="60% - akcent 1 2 6 3 2 2 8" xfId="9930" xr:uid="{00000000-0005-0000-0000-0000F5250000}"/>
    <cellStyle name="60% - akcent 1 2 6 3 2 2 9" xfId="9931" xr:uid="{00000000-0005-0000-0000-0000F6250000}"/>
    <cellStyle name="60% - akcent 1 2 6 3 2 3" xfId="9932" xr:uid="{00000000-0005-0000-0000-0000F7250000}"/>
    <cellStyle name="60% - akcent 1 2 6 3 2 3 2" xfId="9933" xr:uid="{00000000-0005-0000-0000-0000F8250000}"/>
    <cellStyle name="60% - akcent 1 2 6 3 2 3 2 2" xfId="9934" xr:uid="{00000000-0005-0000-0000-0000F9250000}"/>
    <cellStyle name="60% - akcent 1 2 6 3 2 3 2 3" xfId="9935" xr:uid="{00000000-0005-0000-0000-0000FA250000}"/>
    <cellStyle name="60% - akcent 1 2 6 3 2 3 2 4" xfId="9936" xr:uid="{00000000-0005-0000-0000-0000FB250000}"/>
    <cellStyle name="60% - akcent 1 2 6 3 2 3 2 5" xfId="9937" xr:uid="{00000000-0005-0000-0000-0000FC250000}"/>
    <cellStyle name="60% - akcent 1 2 6 3 2 3 2 6" xfId="9938" xr:uid="{00000000-0005-0000-0000-0000FD250000}"/>
    <cellStyle name="60% - akcent 1 2 6 3 2 3 3" xfId="9939" xr:uid="{00000000-0005-0000-0000-0000FE250000}"/>
    <cellStyle name="60% - akcent 1 2 6 3 2 3 4" xfId="9940" xr:uid="{00000000-0005-0000-0000-0000FF250000}"/>
    <cellStyle name="60% - akcent 1 2 6 3 2 3 5" xfId="9941" xr:uid="{00000000-0005-0000-0000-000000260000}"/>
    <cellStyle name="60% - akcent 1 2 6 3 2 3 6" xfId="9942" xr:uid="{00000000-0005-0000-0000-000001260000}"/>
    <cellStyle name="60% - akcent 1 2 6 3 2 3 7" xfId="9943" xr:uid="{00000000-0005-0000-0000-000002260000}"/>
    <cellStyle name="60% - akcent 1 2 6 3 2 4" xfId="9944" xr:uid="{00000000-0005-0000-0000-000003260000}"/>
    <cellStyle name="60% - akcent 1 2 6 3 2 5" xfId="9945" xr:uid="{00000000-0005-0000-0000-000004260000}"/>
    <cellStyle name="60% - akcent 1 2 6 3 2 6" xfId="9946" xr:uid="{00000000-0005-0000-0000-000005260000}"/>
    <cellStyle name="60% - akcent 1 2 6 3 2 7" xfId="9947" xr:uid="{00000000-0005-0000-0000-000006260000}"/>
    <cellStyle name="60% - akcent 1 2 6 3 2 7 2" xfId="9948" xr:uid="{00000000-0005-0000-0000-000007260000}"/>
    <cellStyle name="60% - akcent 1 2 6 3 2 7 3" xfId="9949" xr:uid="{00000000-0005-0000-0000-000008260000}"/>
    <cellStyle name="60% - akcent 1 2 6 3 2 7 4" xfId="9950" xr:uid="{00000000-0005-0000-0000-000009260000}"/>
    <cellStyle name="60% - akcent 1 2 6 3 2 7 5" xfId="9951" xr:uid="{00000000-0005-0000-0000-00000A260000}"/>
    <cellStyle name="60% - akcent 1 2 6 3 2 7 6" xfId="9952" xr:uid="{00000000-0005-0000-0000-00000B260000}"/>
    <cellStyle name="60% - akcent 1 2 6 3 2 8" xfId="9953" xr:uid="{00000000-0005-0000-0000-00000C260000}"/>
    <cellStyle name="60% - akcent 1 2 6 3 2 9" xfId="9954" xr:uid="{00000000-0005-0000-0000-00000D260000}"/>
    <cellStyle name="60% - akcent 1 2 6 3 3" xfId="9955" xr:uid="{00000000-0005-0000-0000-00000E260000}"/>
    <cellStyle name="60% - akcent 1 2 6 3 3 2" xfId="9956" xr:uid="{00000000-0005-0000-0000-00000F260000}"/>
    <cellStyle name="60% - akcent 1 2 6 3 3 2 2" xfId="9957" xr:uid="{00000000-0005-0000-0000-000010260000}"/>
    <cellStyle name="60% - akcent 1 2 6 3 3 2 3" xfId="9958" xr:uid="{00000000-0005-0000-0000-000011260000}"/>
    <cellStyle name="60% - akcent 1 2 6 3 3 2 4" xfId="9959" xr:uid="{00000000-0005-0000-0000-000012260000}"/>
    <cellStyle name="60% - akcent 1 2 6 3 3 2 5" xfId="9960" xr:uid="{00000000-0005-0000-0000-000013260000}"/>
    <cellStyle name="60% - akcent 1 2 6 3 3 2 6" xfId="9961" xr:uid="{00000000-0005-0000-0000-000014260000}"/>
    <cellStyle name="60% - akcent 1 2 6 3 3 3" xfId="9962" xr:uid="{00000000-0005-0000-0000-000015260000}"/>
    <cellStyle name="60% - akcent 1 2 6 3 3 4" xfId="9963" xr:uid="{00000000-0005-0000-0000-000016260000}"/>
    <cellStyle name="60% - akcent 1 2 6 3 3 5" xfId="9964" xr:uid="{00000000-0005-0000-0000-000017260000}"/>
    <cellStyle name="60% - akcent 1 2 6 3 3 6" xfId="9965" xr:uid="{00000000-0005-0000-0000-000018260000}"/>
    <cellStyle name="60% - akcent 1 2 6 3 3 7" xfId="9966" xr:uid="{00000000-0005-0000-0000-000019260000}"/>
    <cellStyle name="60% - akcent 1 2 6 3 4" xfId="9967" xr:uid="{00000000-0005-0000-0000-00001A260000}"/>
    <cellStyle name="60% - akcent 1 2 6 3 5" xfId="9968" xr:uid="{00000000-0005-0000-0000-00001B260000}"/>
    <cellStyle name="60% - akcent 1 2 6 3 6" xfId="9969" xr:uid="{00000000-0005-0000-0000-00001C260000}"/>
    <cellStyle name="60% - akcent 1 2 6 3 7" xfId="9970" xr:uid="{00000000-0005-0000-0000-00001D260000}"/>
    <cellStyle name="60% - akcent 1 2 6 3 8" xfId="9971" xr:uid="{00000000-0005-0000-0000-00001E260000}"/>
    <cellStyle name="60% - akcent 1 2 6 3 8 2" xfId="9972" xr:uid="{00000000-0005-0000-0000-00001F260000}"/>
    <cellStyle name="60% - akcent 1 2 6 3 8 3" xfId="9973" xr:uid="{00000000-0005-0000-0000-000020260000}"/>
    <cellStyle name="60% - akcent 1 2 6 3 8 4" xfId="9974" xr:uid="{00000000-0005-0000-0000-000021260000}"/>
    <cellStyle name="60% - akcent 1 2 6 3 8 5" xfId="9975" xr:uid="{00000000-0005-0000-0000-000022260000}"/>
    <cellStyle name="60% - akcent 1 2 6 3 8 6" xfId="9976" xr:uid="{00000000-0005-0000-0000-000023260000}"/>
    <cellStyle name="60% - akcent 1 2 6 3 9" xfId="9977" xr:uid="{00000000-0005-0000-0000-000024260000}"/>
    <cellStyle name="60% - akcent 1 2 6 4" xfId="9978" xr:uid="{00000000-0005-0000-0000-000025260000}"/>
    <cellStyle name="60% - akcent 1 2 6 4 10" xfId="9979" xr:uid="{00000000-0005-0000-0000-000026260000}"/>
    <cellStyle name="60% - akcent 1 2 6 4 11" xfId="9980" xr:uid="{00000000-0005-0000-0000-000027260000}"/>
    <cellStyle name="60% - akcent 1 2 6 4 2" xfId="9981" xr:uid="{00000000-0005-0000-0000-000028260000}"/>
    <cellStyle name="60% - akcent 1 2 6 4 2 2" xfId="9982" xr:uid="{00000000-0005-0000-0000-000029260000}"/>
    <cellStyle name="60% - akcent 1 2 6 4 2 2 2" xfId="9983" xr:uid="{00000000-0005-0000-0000-00002A260000}"/>
    <cellStyle name="60% - akcent 1 2 6 4 2 2 3" xfId="9984" xr:uid="{00000000-0005-0000-0000-00002B260000}"/>
    <cellStyle name="60% - akcent 1 2 6 4 2 2 4" xfId="9985" xr:uid="{00000000-0005-0000-0000-00002C260000}"/>
    <cellStyle name="60% - akcent 1 2 6 4 2 2 5" xfId="9986" xr:uid="{00000000-0005-0000-0000-00002D260000}"/>
    <cellStyle name="60% - akcent 1 2 6 4 2 2 6" xfId="9987" xr:uid="{00000000-0005-0000-0000-00002E260000}"/>
    <cellStyle name="60% - akcent 1 2 6 4 2 3" xfId="9988" xr:uid="{00000000-0005-0000-0000-00002F260000}"/>
    <cellStyle name="60% - akcent 1 2 6 4 2 4" xfId="9989" xr:uid="{00000000-0005-0000-0000-000030260000}"/>
    <cellStyle name="60% - akcent 1 2 6 4 2 5" xfId="9990" xr:uid="{00000000-0005-0000-0000-000031260000}"/>
    <cellStyle name="60% - akcent 1 2 6 4 2 6" xfId="9991" xr:uid="{00000000-0005-0000-0000-000032260000}"/>
    <cellStyle name="60% - akcent 1 2 6 4 2 7" xfId="9992" xr:uid="{00000000-0005-0000-0000-000033260000}"/>
    <cellStyle name="60% - akcent 1 2 6 4 3" xfId="9993" xr:uid="{00000000-0005-0000-0000-000034260000}"/>
    <cellStyle name="60% - akcent 1 2 6 4 4" xfId="9994" xr:uid="{00000000-0005-0000-0000-000035260000}"/>
    <cellStyle name="60% - akcent 1 2 6 4 5" xfId="9995" xr:uid="{00000000-0005-0000-0000-000036260000}"/>
    <cellStyle name="60% - akcent 1 2 6 4 6" xfId="9996" xr:uid="{00000000-0005-0000-0000-000037260000}"/>
    <cellStyle name="60% - akcent 1 2 6 4 7" xfId="9997" xr:uid="{00000000-0005-0000-0000-000038260000}"/>
    <cellStyle name="60% - akcent 1 2 6 4 7 2" xfId="9998" xr:uid="{00000000-0005-0000-0000-000039260000}"/>
    <cellStyle name="60% - akcent 1 2 6 4 7 3" xfId="9999" xr:uid="{00000000-0005-0000-0000-00003A260000}"/>
    <cellStyle name="60% - akcent 1 2 6 4 7 4" xfId="10000" xr:uid="{00000000-0005-0000-0000-00003B260000}"/>
    <cellStyle name="60% - akcent 1 2 6 4 7 5" xfId="10001" xr:uid="{00000000-0005-0000-0000-00003C260000}"/>
    <cellStyle name="60% - akcent 1 2 6 4 7 6" xfId="10002" xr:uid="{00000000-0005-0000-0000-00003D260000}"/>
    <cellStyle name="60% - akcent 1 2 6 4 8" xfId="10003" xr:uid="{00000000-0005-0000-0000-00003E260000}"/>
    <cellStyle name="60% - akcent 1 2 6 4 9" xfId="10004" xr:uid="{00000000-0005-0000-0000-00003F260000}"/>
    <cellStyle name="60% - akcent 1 2 6 5" xfId="10005" xr:uid="{00000000-0005-0000-0000-000040260000}"/>
    <cellStyle name="60% - akcent 1 2 6 5 2" xfId="10006" xr:uid="{00000000-0005-0000-0000-000041260000}"/>
    <cellStyle name="60% - akcent 1 2 6 5 2 2" xfId="10007" xr:uid="{00000000-0005-0000-0000-000042260000}"/>
    <cellStyle name="60% - akcent 1 2 6 5 2 3" xfId="10008" xr:uid="{00000000-0005-0000-0000-000043260000}"/>
    <cellStyle name="60% - akcent 1 2 6 5 2 4" xfId="10009" xr:uid="{00000000-0005-0000-0000-000044260000}"/>
    <cellStyle name="60% - akcent 1 2 6 5 2 5" xfId="10010" xr:uid="{00000000-0005-0000-0000-000045260000}"/>
    <cellStyle name="60% - akcent 1 2 6 5 2 6" xfId="10011" xr:uid="{00000000-0005-0000-0000-000046260000}"/>
    <cellStyle name="60% - akcent 1 2 6 5 3" xfId="10012" xr:uid="{00000000-0005-0000-0000-000047260000}"/>
    <cellStyle name="60% - akcent 1 2 6 5 4" xfId="10013" xr:uid="{00000000-0005-0000-0000-000048260000}"/>
    <cellStyle name="60% - akcent 1 2 6 5 5" xfId="10014" xr:uid="{00000000-0005-0000-0000-000049260000}"/>
    <cellStyle name="60% - akcent 1 2 6 5 6" xfId="10015" xr:uid="{00000000-0005-0000-0000-00004A260000}"/>
    <cellStyle name="60% - akcent 1 2 6 5 7" xfId="10016" xr:uid="{00000000-0005-0000-0000-00004B260000}"/>
    <cellStyle name="60% - akcent 1 2 6 6" xfId="10017" xr:uid="{00000000-0005-0000-0000-00004C260000}"/>
    <cellStyle name="60% - akcent 1 2 6 7" xfId="10018" xr:uid="{00000000-0005-0000-0000-00004D260000}"/>
    <cellStyle name="60% - akcent 1 2 6 8" xfId="10019" xr:uid="{00000000-0005-0000-0000-00004E260000}"/>
    <cellStyle name="60% - akcent 1 2 6 9" xfId="10020" xr:uid="{00000000-0005-0000-0000-00004F260000}"/>
    <cellStyle name="60% - akcent 1 2 6 9 2" xfId="10021" xr:uid="{00000000-0005-0000-0000-000050260000}"/>
    <cellStyle name="60% - akcent 1 2 6 9 3" xfId="10022" xr:uid="{00000000-0005-0000-0000-000051260000}"/>
    <cellStyle name="60% - akcent 1 2 6 9 4" xfId="10023" xr:uid="{00000000-0005-0000-0000-000052260000}"/>
    <cellStyle name="60% - akcent 1 2 6 9 5" xfId="10024" xr:uid="{00000000-0005-0000-0000-000053260000}"/>
    <cellStyle name="60% - akcent 1 2 6 9 6" xfId="10025" xr:uid="{00000000-0005-0000-0000-000054260000}"/>
    <cellStyle name="60% - akcent 1 2 7" xfId="10026" xr:uid="{00000000-0005-0000-0000-000055260000}"/>
    <cellStyle name="60% - akcent 1 2 8" xfId="10027" xr:uid="{00000000-0005-0000-0000-000056260000}"/>
    <cellStyle name="60% - akcent 1 2 8 10" xfId="10028" xr:uid="{00000000-0005-0000-0000-000057260000}"/>
    <cellStyle name="60% - akcent 1 2 8 11" xfId="10029" xr:uid="{00000000-0005-0000-0000-000058260000}"/>
    <cellStyle name="60% - akcent 1 2 8 12" xfId="10030" xr:uid="{00000000-0005-0000-0000-000059260000}"/>
    <cellStyle name="60% - akcent 1 2 8 13" xfId="10031" xr:uid="{00000000-0005-0000-0000-00005A260000}"/>
    <cellStyle name="60% - akcent 1 2 8 2" xfId="10032" xr:uid="{00000000-0005-0000-0000-00005B260000}"/>
    <cellStyle name="60% - akcent 1 2 8 2 10" xfId="10033" xr:uid="{00000000-0005-0000-0000-00005C260000}"/>
    <cellStyle name="60% - akcent 1 2 8 2 11" xfId="10034" xr:uid="{00000000-0005-0000-0000-00005D260000}"/>
    <cellStyle name="60% - akcent 1 2 8 2 12" xfId="10035" xr:uid="{00000000-0005-0000-0000-00005E260000}"/>
    <cellStyle name="60% - akcent 1 2 8 2 2" xfId="10036" xr:uid="{00000000-0005-0000-0000-00005F260000}"/>
    <cellStyle name="60% - akcent 1 2 8 2 2 10" xfId="10037" xr:uid="{00000000-0005-0000-0000-000060260000}"/>
    <cellStyle name="60% - akcent 1 2 8 2 2 11" xfId="10038" xr:uid="{00000000-0005-0000-0000-000061260000}"/>
    <cellStyle name="60% - akcent 1 2 8 2 2 2" xfId="10039" xr:uid="{00000000-0005-0000-0000-000062260000}"/>
    <cellStyle name="60% - akcent 1 2 8 2 2 2 10" xfId="10040" xr:uid="{00000000-0005-0000-0000-000063260000}"/>
    <cellStyle name="60% - akcent 1 2 8 2 2 2 11" xfId="10041" xr:uid="{00000000-0005-0000-0000-000064260000}"/>
    <cellStyle name="60% - akcent 1 2 8 2 2 2 2" xfId="10042" xr:uid="{00000000-0005-0000-0000-000065260000}"/>
    <cellStyle name="60% - akcent 1 2 8 2 2 2 2 2" xfId="10043" xr:uid="{00000000-0005-0000-0000-000066260000}"/>
    <cellStyle name="60% - akcent 1 2 8 2 2 2 2 2 2" xfId="10044" xr:uid="{00000000-0005-0000-0000-000067260000}"/>
    <cellStyle name="60% - akcent 1 2 8 2 2 2 2 2 3" xfId="10045" xr:uid="{00000000-0005-0000-0000-000068260000}"/>
    <cellStyle name="60% - akcent 1 2 8 2 2 2 2 2 4" xfId="10046" xr:uid="{00000000-0005-0000-0000-000069260000}"/>
    <cellStyle name="60% - akcent 1 2 8 2 2 2 2 2 5" xfId="10047" xr:uid="{00000000-0005-0000-0000-00006A260000}"/>
    <cellStyle name="60% - akcent 1 2 8 2 2 2 2 2 6" xfId="10048" xr:uid="{00000000-0005-0000-0000-00006B260000}"/>
    <cellStyle name="60% - akcent 1 2 8 2 2 2 2 3" xfId="10049" xr:uid="{00000000-0005-0000-0000-00006C260000}"/>
    <cellStyle name="60% - akcent 1 2 8 2 2 2 2 4" xfId="10050" xr:uid="{00000000-0005-0000-0000-00006D260000}"/>
    <cellStyle name="60% - akcent 1 2 8 2 2 2 2 5" xfId="10051" xr:uid="{00000000-0005-0000-0000-00006E260000}"/>
    <cellStyle name="60% - akcent 1 2 8 2 2 2 2 6" xfId="10052" xr:uid="{00000000-0005-0000-0000-00006F260000}"/>
    <cellStyle name="60% - akcent 1 2 8 2 2 2 2 7" xfId="10053" xr:uid="{00000000-0005-0000-0000-000070260000}"/>
    <cellStyle name="60% - akcent 1 2 8 2 2 2 3" xfId="10054" xr:uid="{00000000-0005-0000-0000-000071260000}"/>
    <cellStyle name="60% - akcent 1 2 8 2 2 2 4" xfId="10055" xr:uid="{00000000-0005-0000-0000-000072260000}"/>
    <cellStyle name="60% - akcent 1 2 8 2 2 2 5" xfId="10056" xr:uid="{00000000-0005-0000-0000-000073260000}"/>
    <cellStyle name="60% - akcent 1 2 8 2 2 2 6" xfId="10057" xr:uid="{00000000-0005-0000-0000-000074260000}"/>
    <cellStyle name="60% - akcent 1 2 8 2 2 2 7" xfId="10058" xr:uid="{00000000-0005-0000-0000-000075260000}"/>
    <cellStyle name="60% - akcent 1 2 8 2 2 2 7 2" xfId="10059" xr:uid="{00000000-0005-0000-0000-000076260000}"/>
    <cellStyle name="60% - akcent 1 2 8 2 2 2 7 3" xfId="10060" xr:uid="{00000000-0005-0000-0000-000077260000}"/>
    <cellStyle name="60% - akcent 1 2 8 2 2 2 7 4" xfId="10061" xr:uid="{00000000-0005-0000-0000-000078260000}"/>
    <cellStyle name="60% - akcent 1 2 8 2 2 2 7 5" xfId="10062" xr:uid="{00000000-0005-0000-0000-000079260000}"/>
    <cellStyle name="60% - akcent 1 2 8 2 2 2 7 6" xfId="10063" xr:uid="{00000000-0005-0000-0000-00007A260000}"/>
    <cellStyle name="60% - akcent 1 2 8 2 2 2 8" xfId="10064" xr:uid="{00000000-0005-0000-0000-00007B260000}"/>
    <cellStyle name="60% - akcent 1 2 8 2 2 2 9" xfId="10065" xr:uid="{00000000-0005-0000-0000-00007C260000}"/>
    <cellStyle name="60% - akcent 1 2 8 2 2 3" xfId="10066" xr:uid="{00000000-0005-0000-0000-00007D260000}"/>
    <cellStyle name="60% - akcent 1 2 8 2 2 3 2" xfId="10067" xr:uid="{00000000-0005-0000-0000-00007E260000}"/>
    <cellStyle name="60% - akcent 1 2 8 2 2 3 2 2" xfId="10068" xr:uid="{00000000-0005-0000-0000-00007F260000}"/>
    <cellStyle name="60% - akcent 1 2 8 2 2 3 2 3" xfId="10069" xr:uid="{00000000-0005-0000-0000-000080260000}"/>
    <cellStyle name="60% - akcent 1 2 8 2 2 3 2 4" xfId="10070" xr:uid="{00000000-0005-0000-0000-000081260000}"/>
    <cellStyle name="60% - akcent 1 2 8 2 2 3 2 5" xfId="10071" xr:uid="{00000000-0005-0000-0000-000082260000}"/>
    <cellStyle name="60% - akcent 1 2 8 2 2 3 2 6" xfId="10072" xr:uid="{00000000-0005-0000-0000-000083260000}"/>
    <cellStyle name="60% - akcent 1 2 8 2 2 3 3" xfId="10073" xr:uid="{00000000-0005-0000-0000-000084260000}"/>
    <cellStyle name="60% - akcent 1 2 8 2 2 3 4" xfId="10074" xr:uid="{00000000-0005-0000-0000-000085260000}"/>
    <cellStyle name="60% - akcent 1 2 8 2 2 3 5" xfId="10075" xr:uid="{00000000-0005-0000-0000-000086260000}"/>
    <cellStyle name="60% - akcent 1 2 8 2 2 3 6" xfId="10076" xr:uid="{00000000-0005-0000-0000-000087260000}"/>
    <cellStyle name="60% - akcent 1 2 8 2 2 3 7" xfId="10077" xr:uid="{00000000-0005-0000-0000-000088260000}"/>
    <cellStyle name="60% - akcent 1 2 8 2 2 4" xfId="10078" xr:uid="{00000000-0005-0000-0000-000089260000}"/>
    <cellStyle name="60% - akcent 1 2 8 2 2 5" xfId="10079" xr:uid="{00000000-0005-0000-0000-00008A260000}"/>
    <cellStyle name="60% - akcent 1 2 8 2 2 6" xfId="10080" xr:uid="{00000000-0005-0000-0000-00008B260000}"/>
    <cellStyle name="60% - akcent 1 2 8 2 2 7" xfId="10081" xr:uid="{00000000-0005-0000-0000-00008C260000}"/>
    <cellStyle name="60% - akcent 1 2 8 2 2 7 2" xfId="10082" xr:uid="{00000000-0005-0000-0000-00008D260000}"/>
    <cellStyle name="60% - akcent 1 2 8 2 2 7 3" xfId="10083" xr:uid="{00000000-0005-0000-0000-00008E260000}"/>
    <cellStyle name="60% - akcent 1 2 8 2 2 7 4" xfId="10084" xr:uid="{00000000-0005-0000-0000-00008F260000}"/>
    <cellStyle name="60% - akcent 1 2 8 2 2 7 5" xfId="10085" xr:uid="{00000000-0005-0000-0000-000090260000}"/>
    <cellStyle name="60% - akcent 1 2 8 2 2 7 6" xfId="10086" xr:uid="{00000000-0005-0000-0000-000091260000}"/>
    <cellStyle name="60% - akcent 1 2 8 2 2 8" xfId="10087" xr:uid="{00000000-0005-0000-0000-000092260000}"/>
    <cellStyle name="60% - akcent 1 2 8 2 2 9" xfId="10088" xr:uid="{00000000-0005-0000-0000-000093260000}"/>
    <cellStyle name="60% - akcent 1 2 8 2 3" xfId="10089" xr:uid="{00000000-0005-0000-0000-000094260000}"/>
    <cellStyle name="60% - akcent 1 2 8 2 3 2" xfId="10090" xr:uid="{00000000-0005-0000-0000-000095260000}"/>
    <cellStyle name="60% - akcent 1 2 8 2 3 2 2" xfId="10091" xr:uid="{00000000-0005-0000-0000-000096260000}"/>
    <cellStyle name="60% - akcent 1 2 8 2 3 2 3" xfId="10092" xr:uid="{00000000-0005-0000-0000-000097260000}"/>
    <cellStyle name="60% - akcent 1 2 8 2 3 2 4" xfId="10093" xr:uid="{00000000-0005-0000-0000-000098260000}"/>
    <cellStyle name="60% - akcent 1 2 8 2 3 2 5" xfId="10094" xr:uid="{00000000-0005-0000-0000-000099260000}"/>
    <cellStyle name="60% - akcent 1 2 8 2 3 2 6" xfId="10095" xr:uid="{00000000-0005-0000-0000-00009A260000}"/>
    <cellStyle name="60% - akcent 1 2 8 2 3 3" xfId="10096" xr:uid="{00000000-0005-0000-0000-00009B260000}"/>
    <cellStyle name="60% - akcent 1 2 8 2 3 4" xfId="10097" xr:uid="{00000000-0005-0000-0000-00009C260000}"/>
    <cellStyle name="60% - akcent 1 2 8 2 3 5" xfId="10098" xr:uid="{00000000-0005-0000-0000-00009D260000}"/>
    <cellStyle name="60% - akcent 1 2 8 2 3 6" xfId="10099" xr:uid="{00000000-0005-0000-0000-00009E260000}"/>
    <cellStyle name="60% - akcent 1 2 8 2 3 7" xfId="10100" xr:uid="{00000000-0005-0000-0000-00009F260000}"/>
    <cellStyle name="60% - akcent 1 2 8 2 4" xfId="10101" xr:uid="{00000000-0005-0000-0000-0000A0260000}"/>
    <cellStyle name="60% - akcent 1 2 8 2 5" xfId="10102" xr:uid="{00000000-0005-0000-0000-0000A1260000}"/>
    <cellStyle name="60% - akcent 1 2 8 2 6" xfId="10103" xr:uid="{00000000-0005-0000-0000-0000A2260000}"/>
    <cellStyle name="60% - akcent 1 2 8 2 7" xfId="10104" xr:uid="{00000000-0005-0000-0000-0000A3260000}"/>
    <cellStyle name="60% - akcent 1 2 8 2 8" xfId="10105" xr:uid="{00000000-0005-0000-0000-0000A4260000}"/>
    <cellStyle name="60% - akcent 1 2 8 2 8 2" xfId="10106" xr:uid="{00000000-0005-0000-0000-0000A5260000}"/>
    <cellStyle name="60% - akcent 1 2 8 2 8 3" xfId="10107" xr:uid="{00000000-0005-0000-0000-0000A6260000}"/>
    <cellStyle name="60% - akcent 1 2 8 2 8 4" xfId="10108" xr:uid="{00000000-0005-0000-0000-0000A7260000}"/>
    <cellStyle name="60% - akcent 1 2 8 2 8 5" xfId="10109" xr:uid="{00000000-0005-0000-0000-0000A8260000}"/>
    <cellStyle name="60% - akcent 1 2 8 2 8 6" xfId="10110" xr:uid="{00000000-0005-0000-0000-0000A9260000}"/>
    <cellStyle name="60% - akcent 1 2 8 2 9" xfId="10111" xr:uid="{00000000-0005-0000-0000-0000AA260000}"/>
    <cellStyle name="60% - akcent 1 2 8 3" xfId="10112" xr:uid="{00000000-0005-0000-0000-0000AB260000}"/>
    <cellStyle name="60% - akcent 1 2 8 4" xfId="10113" xr:uid="{00000000-0005-0000-0000-0000AC260000}"/>
    <cellStyle name="60% - akcent 1 2 8 4 10" xfId="10114" xr:uid="{00000000-0005-0000-0000-0000AD260000}"/>
    <cellStyle name="60% - akcent 1 2 8 4 11" xfId="10115" xr:uid="{00000000-0005-0000-0000-0000AE260000}"/>
    <cellStyle name="60% - akcent 1 2 8 4 2" xfId="10116" xr:uid="{00000000-0005-0000-0000-0000AF260000}"/>
    <cellStyle name="60% - akcent 1 2 8 4 2 2" xfId="10117" xr:uid="{00000000-0005-0000-0000-0000B0260000}"/>
    <cellStyle name="60% - akcent 1 2 8 4 2 2 2" xfId="10118" xr:uid="{00000000-0005-0000-0000-0000B1260000}"/>
    <cellStyle name="60% - akcent 1 2 8 4 2 2 3" xfId="10119" xr:uid="{00000000-0005-0000-0000-0000B2260000}"/>
    <cellStyle name="60% - akcent 1 2 8 4 2 2 4" xfId="10120" xr:uid="{00000000-0005-0000-0000-0000B3260000}"/>
    <cellStyle name="60% - akcent 1 2 8 4 2 2 5" xfId="10121" xr:uid="{00000000-0005-0000-0000-0000B4260000}"/>
    <cellStyle name="60% - akcent 1 2 8 4 2 2 6" xfId="10122" xr:uid="{00000000-0005-0000-0000-0000B5260000}"/>
    <cellStyle name="60% - akcent 1 2 8 4 2 3" xfId="10123" xr:uid="{00000000-0005-0000-0000-0000B6260000}"/>
    <cellStyle name="60% - akcent 1 2 8 4 2 4" xfId="10124" xr:uid="{00000000-0005-0000-0000-0000B7260000}"/>
    <cellStyle name="60% - akcent 1 2 8 4 2 5" xfId="10125" xr:uid="{00000000-0005-0000-0000-0000B8260000}"/>
    <cellStyle name="60% - akcent 1 2 8 4 2 6" xfId="10126" xr:uid="{00000000-0005-0000-0000-0000B9260000}"/>
    <cellStyle name="60% - akcent 1 2 8 4 2 7" xfId="10127" xr:uid="{00000000-0005-0000-0000-0000BA260000}"/>
    <cellStyle name="60% - akcent 1 2 8 4 3" xfId="10128" xr:uid="{00000000-0005-0000-0000-0000BB260000}"/>
    <cellStyle name="60% - akcent 1 2 8 4 4" xfId="10129" xr:uid="{00000000-0005-0000-0000-0000BC260000}"/>
    <cellStyle name="60% - akcent 1 2 8 4 5" xfId="10130" xr:uid="{00000000-0005-0000-0000-0000BD260000}"/>
    <cellStyle name="60% - akcent 1 2 8 4 6" xfId="10131" xr:uid="{00000000-0005-0000-0000-0000BE260000}"/>
    <cellStyle name="60% - akcent 1 2 8 4 7" xfId="10132" xr:uid="{00000000-0005-0000-0000-0000BF260000}"/>
    <cellStyle name="60% - akcent 1 2 8 4 7 2" xfId="10133" xr:uid="{00000000-0005-0000-0000-0000C0260000}"/>
    <cellStyle name="60% - akcent 1 2 8 4 7 3" xfId="10134" xr:uid="{00000000-0005-0000-0000-0000C1260000}"/>
    <cellStyle name="60% - akcent 1 2 8 4 7 4" xfId="10135" xr:uid="{00000000-0005-0000-0000-0000C2260000}"/>
    <cellStyle name="60% - akcent 1 2 8 4 7 5" xfId="10136" xr:uid="{00000000-0005-0000-0000-0000C3260000}"/>
    <cellStyle name="60% - akcent 1 2 8 4 7 6" xfId="10137" xr:uid="{00000000-0005-0000-0000-0000C4260000}"/>
    <cellStyle name="60% - akcent 1 2 8 4 8" xfId="10138" xr:uid="{00000000-0005-0000-0000-0000C5260000}"/>
    <cellStyle name="60% - akcent 1 2 8 4 9" xfId="10139" xr:uid="{00000000-0005-0000-0000-0000C6260000}"/>
    <cellStyle name="60% - akcent 1 2 8 5" xfId="10140" xr:uid="{00000000-0005-0000-0000-0000C7260000}"/>
    <cellStyle name="60% - akcent 1 2 8 5 2" xfId="10141" xr:uid="{00000000-0005-0000-0000-0000C8260000}"/>
    <cellStyle name="60% - akcent 1 2 8 5 2 2" xfId="10142" xr:uid="{00000000-0005-0000-0000-0000C9260000}"/>
    <cellStyle name="60% - akcent 1 2 8 5 2 3" xfId="10143" xr:uid="{00000000-0005-0000-0000-0000CA260000}"/>
    <cellStyle name="60% - akcent 1 2 8 5 2 4" xfId="10144" xr:uid="{00000000-0005-0000-0000-0000CB260000}"/>
    <cellStyle name="60% - akcent 1 2 8 5 2 5" xfId="10145" xr:uid="{00000000-0005-0000-0000-0000CC260000}"/>
    <cellStyle name="60% - akcent 1 2 8 5 2 6" xfId="10146" xr:uid="{00000000-0005-0000-0000-0000CD260000}"/>
    <cellStyle name="60% - akcent 1 2 8 5 3" xfId="10147" xr:uid="{00000000-0005-0000-0000-0000CE260000}"/>
    <cellStyle name="60% - akcent 1 2 8 5 4" xfId="10148" xr:uid="{00000000-0005-0000-0000-0000CF260000}"/>
    <cellStyle name="60% - akcent 1 2 8 5 5" xfId="10149" xr:uid="{00000000-0005-0000-0000-0000D0260000}"/>
    <cellStyle name="60% - akcent 1 2 8 5 6" xfId="10150" xr:uid="{00000000-0005-0000-0000-0000D1260000}"/>
    <cellStyle name="60% - akcent 1 2 8 5 7" xfId="10151" xr:uid="{00000000-0005-0000-0000-0000D2260000}"/>
    <cellStyle name="60% - akcent 1 2 8 6" xfId="10152" xr:uid="{00000000-0005-0000-0000-0000D3260000}"/>
    <cellStyle name="60% - akcent 1 2 8 7" xfId="10153" xr:uid="{00000000-0005-0000-0000-0000D4260000}"/>
    <cellStyle name="60% - akcent 1 2 8 8" xfId="10154" xr:uid="{00000000-0005-0000-0000-0000D5260000}"/>
    <cellStyle name="60% - akcent 1 2 8 9" xfId="10155" xr:uid="{00000000-0005-0000-0000-0000D6260000}"/>
    <cellStyle name="60% - akcent 1 2 8 9 2" xfId="10156" xr:uid="{00000000-0005-0000-0000-0000D7260000}"/>
    <cellStyle name="60% - akcent 1 2 8 9 3" xfId="10157" xr:uid="{00000000-0005-0000-0000-0000D8260000}"/>
    <cellStyle name="60% - akcent 1 2 8 9 4" xfId="10158" xr:uid="{00000000-0005-0000-0000-0000D9260000}"/>
    <cellStyle name="60% - akcent 1 2 8 9 5" xfId="10159" xr:uid="{00000000-0005-0000-0000-0000DA260000}"/>
    <cellStyle name="60% - akcent 1 2 8 9 6" xfId="10160" xr:uid="{00000000-0005-0000-0000-0000DB260000}"/>
    <cellStyle name="60% - akcent 1 2 9" xfId="10161" xr:uid="{00000000-0005-0000-0000-0000DC260000}"/>
    <cellStyle name="60% - akcent 1 3" xfId="160" xr:uid="{00000000-0005-0000-0000-0000DD260000}"/>
    <cellStyle name="60% - akcent 1 3 2" xfId="10163" xr:uid="{00000000-0005-0000-0000-0000DE260000}"/>
    <cellStyle name="60% - akcent 1 3 3" xfId="10164" xr:uid="{00000000-0005-0000-0000-0000DF260000}"/>
    <cellStyle name="60% - akcent 1 3 4" xfId="10165" xr:uid="{00000000-0005-0000-0000-0000E0260000}"/>
    <cellStyle name="60% - akcent 1 3 5" xfId="10166" xr:uid="{00000000-0005-0000-0000-0000E1260000}"/>
    <cellStyle name="60% - akcent 1 3 6" xfId="10162" xr:uid="{00000000-0005-0000-0000-0000E2260000}"/>
    <cellStyle name="60% - akcent 1 4" xfId="161" xr:uid="{00000000-0005-0000-0000-0000E3260000}"/>
    <cellStyle name="60% - akcent 1 4 2" xfId="10168" xr:uid="{00000000-0005-0000-0000-0000E4260000}"/>
    <cellStyle name="60% - akcent 1 4 3" xfId="10169" xr:uid="{00000000-0005-0000-0000-0000E5260000}"/>
    <cellStyle name="60% - akcent 1 4 4" xfId="10170" xr:uid="{00000000-0005-0000-0000-0000E6260000}"/>
    <cellStyle name="60% - akcent 1 4 5" xfId="10171" xr:uid="{00000000-0005-0000-0000-0000E7260000}"/>
    <cellStyle name="60% - akcent 1 4 6" xfId="10167" xr:uid="{00000000-0005-0000-0000-0000E8260000}"/>
    <cellStyle name="60% - akcent 1 5" xfId="162" xr:uid="{00000000-0005-0000-0000-0000E9260000}"/>
    <cellStyle name="60% - akcent 1 5 2" xfId="10173" xr:uid="{00000000-0005-0000-0000-0000EA260000}"/>
    <cellStyle name="60% - akcent 1 5 3" xfId="10174" xr:uid="{00000000-0005-0000-0000-0000EB260000}"/>
    <cellStyle name="60% - akcent 1 5 4" xfId="10175" xr:uid="{00000000-0005-0000-0000-0000EC260000}"/>
    <cellStyle name="60% - akcent 1 5 5" xfId="10176" xr:uid="{00000000-0005-0000-0000-0000ED260000}"/>
    <cellStyle name="60% - akcent 1 5 6" xfId="10172" xr:uid="{00000000-0005-0000-0000-0000EE260000}"/>
    <cellStyle name="60% - akcent 1 6" xfId="163" xr:uid="{00000000-0005-0000-0000-0000EF260000}"/>
    <cellStyle name="60% - akcent 1 6 2" xfId="10178" xr:uid="{00000000-0005-0000-0000-0000F0260000}"/>
    <cellStyle name="60% - akcent 1 6 3" xfId="10179" xr:uid="{00000000-0005-0000-0000-0000F1260000}"/>
    <cellStyle name="60% - akcent 1 6 4" xfId="10180" xr:uid="{00000000-0005-0000-0000-0000F2260000}"/>
    <cellStyle name="60% - akcent 1 6 5" xfId="10181" xr:uid="{00000000-0005-0000-0000-0000F3260000}"/>
    <cellStyle name="60% - akcent 1 6 6" xfId="10177" xr:uid="{00000000-0005-0000-0000-0000F4260000}"/>
    <cellStyle name="60% - akcent 1 7" xfId="164" xr:uid="{00000000-0005-0000-0000-0000F5260000}"/>
    <cellStyle name="60% - akcent 1 7 2" xfId="10183" xr:uid="{00000000-0005-0000-0000-0000F6260000}"/>
    <cellStyle name="60% - akcent 1 7 3" xfId="10184" xr:uid="{00000000-0005-0000-0000-0000F7260000}"/>
    <cellStyle name="60% - akcent 1 7 4" xfId="10185" xr:uid="{00000000-0005-0000-0000-0000F8260000}"/>
    <cellStyle name="60% - akcent 1 7 5" xfId="10186" xr:uid="{00000000-0005-0000-0000-0000F9260000}"/>
    <cellStyle name="60% - akcent 1 7 6" xfId="10182" xr:uid="{00000000-0005-0000-0000-0000FA260000}"/>
    <cellStyle name="60% - akcent 1 8" xfId="10187" xr:uid="{00000000-0005-0000-0000-0000FB260000}"/>
    <cellStyle name="60% - akcent 1 8 2" xfId="10188" xr:uid="{00000000-0005-0000-0000-0000FC260000}"/>
    <cellStyle name="60% - akcent 1 8 3" xfId="10189" xr:uid="{00000000-0005-0000-0000-0000FD260000}"/>
    <cellStyle name="60% - akcent 1 8 4" xfId="10190" xr:uid="{00000000-0005-0000-0000-0000FE260000}"/>
    <cellStyle name="60% - akcent 1 9" xfId="10191" xr:uid="{00000000-0005-0000-0000-0000FF260000}"/>
    <cellStyle name="60% - akcent 2 1" xfId="10192" xr:uid="{00000000-0005-0000-0000-000000270000}"/>
    <cellStyle name="60% - akcent 2 10" xfId="10193" xr:uid="{00000000-0005-0000-0000-000001270000}"/>
    <cellStyle name="60% - akcent 2 11" xfId="10194" xr:uid="{00000000-0005-0000-0000-000002270000}"/>
    <cellStyle name="60% - akcent 2 12" xfId="10195" xr:uid="{00000000-0005-0000-0000-000003270000}"/>
    <cellStyle name="60% - akcent 2 13" xfId="10196" xr:uid="{00000000-0005-0000-0000-000004270000}"/>
    <cellStyle name="60% - akcent 2 14" xfId="10197" xr:uid="{00000000-0005-0000-0000-000005270000}"/>
    <cellStyle name="60% - akcent 2 15" xfId="10198" xr:uid="{00000000-0005-0000-0000-000006270000}"/>
    <cellStyle name="60% - akcent 2 16" xfId="10199" xr:uid="{00000000-0005-0000-0000-000007270000}"/>
    <cellStyle name="60% - akcent 2 17" xfId="10200" xr:uid="{00000000-0005-0000-0000-000008270000}"/>
    <cellStyle name="60% - akcent 2 18" xfId="10201" xr:uid="{00000000-0005-0000-0000-000009270000}"/>
    <cellStyle name="60% - akcent 2 19" xfId="10202" xr:uid="{00000000-0005-0000-0000-00000A270000}"/>
    <cellStyle name="60% - akcent 2 2" xfId="165" xr:uid="{00000000-0005-0000-0000-00000B270000}"/>
    <cellStyle name="60% - akcent 2 2 10" xfId="10204" xr:uid="{00000000-0005-0000-0000-00000C270000}"/>
    <cellStyle name="60% - akcent 2 2 11" xfId="10205" xr:uid="{00000000-0005-0000-0000-00000D270000}"/>
    <cellStyle name="60% - akcent 2 2 12" xfId="10206" xr:uid="{00000000-0005-0000-0000-00000E270000}"/>
    <cellStyle name="60% - akcent 2 2 13" xfId="10207" xr:uid="{00000000-0005-0000-0000-00000F270000}"/>
    <cellStyle name="60% - akcent 2 2 13 10" xfId="10208" xr:uid="{00000000-0005-0000-0000-000010270000}"/>
    <cellStyle name="60% - akcent 2 2 13 11" xfId="10209" xr:uid="{00000000-0005-0000-0000-000011270000}"/>
    <cellStyle name="60% - akcent 2 2 13 12" xfId="10210" xr:uid="{00000000-0005-0000-0000-000012270000}"/>
    <cellStyle name="60% - akcent 2 2 13 2" xfId="10211" xr:uid="{00000000-0005-0000-0000-000013270000}"/>
    <cellStyle name="60% - akcent 2 2 13 2 10" xfId="10212" xr:uid="{00000000-0005-0000-0000-000014270000}"/>
    <cellStyle name="60% - akcent 2 2 13 2 11" xfId="10213" xr:uid="{00000000-0005-0000-0000-000015270000}"/>
    <cellStyle name="60% - akcent 2 2 13 2 2" xfId="10214" xr:uid="{00000000-0005-0000-0000-000016270000}"/>
    <cellStyle name="60% - akcent 2 2 13 2 2 10" xfId="10215" xr:uid="{00000000-0005-0000-0000-000017270000}"/>
    <cellStyle name="60% - akcent 2 2 13 2 2 11" xfId="10216" xr:uid="{00000000-0005-0000-0000-000018270000}"/>
    <cellStyle name="60% - akcent 2 2 13 2 2 2" xfId="10217" xr:uid="{00000000-0005-0000-0000-000019270000}"/>
    <cellStyle name="60% - akcent 2 2 13 2 2 2 2" xfId="10218" xr:uid="{00000000-0005-0000-0000-00001A270000}"/>
    <cellStyle name="60% - akcent 2 2 13 2 2 2 2 2" xfId="10219" xr:uid="{00000000-0005-0000-0000-00001B270000}"/>
    <cellStyle name="60% - akcent 2 2 13 2 2 2 2 3" xfId="10220" xr:uid="{00000000-0005-0000-0000-00001C270000}"/>
    <cellStyle name="60% - akcent 2 2 13 2 2 2 2 4" xfId="10221" xr:uid="{00000000-0005-0000-0000-00001D270000}"/>
    <cellStyle name="60% - akcent 2 2 13 2 2 2 2 5" xfId="10222" xr:uid="{00000000-0005-0000-0000-00001E270000}"/>
    <cellStyle name="60% - akcent 2 2 13 2 2 2 2 6" xfId="10223" xr:uid="{00000000-0005-0000-0000-00001F270000}"/>
    <cellStyle name="60% - akcent 2 2 13 2 2 2 3" xfId="10224" xr:uid="{00000000-0005-0000-0000-000020270000}"/>
    <cellStyle name="60% - akcent 2 2 13 2 2 2 4" xfId="10225" xr:uid="{00000000-0005-0000-0000-000021270000}"/>
    <cellStyle name="60% - akcent 2 2 13 2 2 2 5" xfId="10226" xr:uid="{00000000-0005-0000-0000-000022270000}"/>
    <cellStyle name="60% - akcent 2 2 13 2 2 2 6" xfId="10227" xr:uid="{00000000-0005-0000-0000-000023270000}"/>
    <cellStyle name="60% - akcent 2 2 13 2 2 2 7" xfId="10228" xr:uid="{00000000-0005-0000-0000-000024270000}"/>
    <cellStyle name="60% - akcent 2 2 13 2 2 3" xfId="10229" xr:uid="{00000000-0005-0000-0000-000025270000}"/>
    <cellStyle name="60% - akcent 2 2 13 2 2 4" xfId="10230" xr:uid="{00000000-0005-0000-0000-000026270000}"/>
    <cellStyle name="60% - akcent 2 2 13 2 2 5" xfId="10231" xr:uid="{00000000-0005-0000-0000-000027270000}"/>
    <cellStyle name="60% - akcent 2 2 13 2 2 6" xfId="10232" xr:uid="{00000000-0005-0000-0000-000028270000}"/>
    <cellStyle name="60% - akcent 2 2 13 2 2 7" xfId="10233" xr:uid="{00000000-0005-0000-0000-000029270000}"/>
    <cellStyle name="60% - akcent 2 2 13 2 2 7 2" xfId="10234" xr:uid="{00000000-0005-0000-0000-00002A270000}"/>
    <cellStyle name="60% - akcent 2 2 13 2 2 7 3" xfId="10235" xr:uid="{00000000-0005-0000-0000-00002B270000}"/>
    <cellStyle name="60% - akcent 2 2 13 2 2 7 4" xfId="10236" xr:uid="{00000000-0005-0000-0000-00002C270000}"/>
    <cellStyle name="60% - akcent 2 2 13 2 2 7 5" xfId="10237" xr:uid="{00000000-0005-0000-0000-00002D270000}"/>
    <cellStyle name="60% - akcent 2 2 13 2 2 7 6" xfId="10238" xr:uid="{00000000-0005-0000-0000-00002E270000}"/>
    <cellStyle name="60% - akcent 2 2 13 2 2 8" xfId="10239" xr:uid="{00000000-0005-0000-0000-00002F270000}"/>
    <cellStyle name="60% - akcent 2 2 13 2 2 9" xfId="10240" xr:uid="{00000000-0005-0000-0000-000030270000}"/>
    <cellStyle name="60% - akcent 2 2 13 2 3" xfId="10241" xr:uid="{00000000-0005-0000-0000-000031270000}"/>
    <cellStyle name="60% - akcent 2 2 13 2 3 2" xfId="10242" xr:uid="{00000000-0005-0000-0000-000032270000}"/>
    <cellStyle name="60% - akcent 2 2 13 2 3 2 2" xfId="10243" xr:uid="{00000000-0005-0000-0000-000033270000}"/>
    <cellStyle name="60% - akcent 2 2 13 2 3 2 3" xfId="10244" xr:uid="{00000000-0005-0000-0000-000034270000}"/>
    <cellStyle name="60% - akcent 2 2 13 2 3 2 4" xfId="10245" xr:uid="{00000000-0005-0000-0000-000035270000}"/>
    <cellStyle name="60% - akcent 2 2 13 2 3 2 5" xfId="10246" xr:uid="{00000000-0005-0000-0000-000036270000}"/>
    <cellStyle name="60% - akcent 2 2 13 2 3 2 6" xfId="10247" xr:uid="{00000000-0005-0000-0000-000037270000}"/>
    <cellStyle name="60% - akcent 2 2 13 2 3 3" xfId="10248" xr:uid="{00000000-0005-0000-0000-000038270000}"/>
    <cellStyle name="60% - akcent 2 2 13 2 3 4" xfId="10249" xr:uid="{00000000-0005-0000-0000-000039270000}"/>
    <cellStyle name="60% - akcent 2 2 13 2 3 5" xfId="10250" xr:uid="{00000000-0005-0000-0000-00003A270000}"/>
    <cellStyle name="60% - akcent 2 2 13 2 3 6" xfId="10251" xr:uid="{00000000-0005-0000-0000-00003B270000}"/>
    <cellStyle name="60% - akcent 2 2 13 2 3 7" xfId="10252" xr:uid="{00000000-0005-0000-0000-00003C270000}"/>
    <cellStyle name="60% - akcent 2 2 13 2 4" xfId="10253" xr:uid="{00000000-0005-0000-0000-00003D270000}"/>
    <cellStyle name="60% - akcent 2 2 13 2 5" xfId="10254" xr:uid="{00000000-0005-0000-0000-00003E270000}"/>
    <cellStyle name="60% - akcent 2 2 13 2 6" xfId="10255" xr:uid="{00000000-0005-0000-0000-00003F270000}"/>
    <cellStyle name="60% - akcent 2 2 13 2 7" xfId="10256" xr:uid="{00000000-0005-0000-0000-000040270000}"/>
    <cellStyle name="60% - akcent 2 2 13 2 7 2" xfId="10257" xr:uid="{00000000-0005-0000-0000-000041270000}"/>
    <cellStyle name="60% - akcent 2 2 13 2 7 3" xfId="10258" xr:uid="{00000000-0005-0000-0000-000042270000}"/>
    <cellStyle name="60% - akcent 2 2 13 2 7 4" xfId="10259" xr:uid="{00000000-0005-0000-0000-000043270000}"/>
    <cellStyle name="60% - akcent 2 2 13 2 7 5" xfId="10260" xr:uid="{00000000-0005-0000-0000-000044270000}"/>
    <cellStyle name="60% - akcent 2 2 13 2 7 6" xfId="10261" xr:uid="{00000000-0005-0000-0000-000045270000}"/>
    <cellStyle name="60% - akcent 2 2 13 2 8" xfId="10262" xr:uid="{00000000-0005-0000-0000-000046270000}"/>
    <cellStyle name="60% - akcent 2 2 13 2 9" xfId="10263" xr:uid="{00000000-0005-0000-0000-000047270000}"/>
    <cellStyle name="60% - akcent 2 2 13 3" xfId="10264" xr:uid="{00000000-0005-0000-0000-000048270000}"/>
    <cellStyle name="60% - akcent 2 2 13 3 2" xfId="10265" xr:uid="{00000000-0005-0000-0000-000049270000}"/>
    <cellStyle name="60% - akcent 2 2 13 3 2 2" xfId="10266" xr:uid="{00000000-0005-0000-0000-00004A270000}"/>
    <cellStyle name="60% - akcent 2 2 13 3 2 3" xfId="10267" xr:uid="{00000000-0005-0000-0000-00004B270000}"/>
    <cellStyle name="60% - akcent 2 2 13 3 2 4" xfId="10268" xr:uid="{00000000-0005-0000-0000-00004C270000}"/>
    <cellStyle name="60% - akcent 2 2 13 3 2 5" xfId="10269" xr:uid="{00000000-0005-0000-0000-00004D270000}"/>
    <cellStyle name="60% - akcent 2 2 13 3 2 6" xfId="10270" xr:uid="{00000000-0005-0000-0000-00004E270000}"/>
    <cellStyle name="60% - akcent 2 2 13 3 3" xfId="10271" xr:uid="{00000000-0005-0000-0000-00004F270000}"/>
    <cellStyle name="60% - akcent 2 2 13 3 4" xfId="10272" xr:uid="{00000000-0005-0000-0000-000050270000}"/>
    <cellStyle name="60% - akcent 2 2 13 3 5" xfId="10273" xr:uid="{00000000-0005-0000-0000-000051270000}"/>
    <cellStyle name="60% - akcent 2 2 13 3 6" xfId="10274" xr:uid="{00000000-0005-0000-0000-000052270000}"/>
    <cellStyle name="60% - akcent 2 2 13 3 7" xfId="10275" xr:uid="{00000000-0005-0000-0000-000053270000}"/>
    <cellStyle name="60% - akcent 2 2 13 4" xfId="10276" xr:uid="{00000000-0005-0000-0000-000054270000}"/>
    <cellStyle name="60% - akcent 2 2 13 5" xfId="10277" xr:uid="{00000000-0005-0000-0000-000055270000}"/>
    <cellStyle name="60% - akcent 2 2 13 6" xfId="10278" xr:uid="{00000000-0005-0000-0000-000056270000}"/>
    <cellStyle name="60% - akcent 2 2 13 7" xfId="10279" xr:uid="{00000000-0005-0000-0000-000057270000}"/>
    <cellStyle name="60% - akcent 2 2 13 8" xfId="10280" xr:uid="{00000000-0005-0000-0000-000058270000}"/>
    <cellStyle name="60% - akcent 2 2 13 8 2" xfId="10281" xr:uid="{00000000-0005-0000-0000-000059270000}"/>
    <cellStyle name="60% - akcent 2 2 13 8 3" xfId="10282" xr:uid="{00000000-0005-0000-0000-00005A270000}"/>
    <cellStyle name="60% - akcent 2 2 13 8 4" xfId="10283" xr:uid="{00000000-0005-0000-0000-00005B270000}"/>
    <cellStyle name="60% - akcent 2 2 13 8 5" xfId="10284" xr:uid="{00000000-0005-0000-0000-00005C270000}"/>
    <cellStyle name="60% - akcent 2 2 13 8 6" xfId="10285" xr:uid="{00000000-0005-0000-0000-00005D270000}"/>
    <cellStyle name="60% - akcent 2 2 13 9" xfId="10286" xr:uid="{00000000-0005-0000-0000-00005E270000}"/>
    <cellStyle name="60% - akcent 2 2 14" xfId="10287" xr:uid="{00000000-0005-0000-0000-00005F270000}"/>
    <cellStyle name="60% - akcent 2 2 14 10" xfId="10288" xr:uid="{00000000-0005-0000-0000-000060270000}"/>
    <cellStyle name="60% - akcent 2 2 14 11" xfId="10289" xr:uid="{00000000-0005-0000-0000-000061270000}"/>
    <cellStyle name="60% - akcent 2 2 14 2" xfId="10290" xr:uid="{00000000-0005-0000-0000-000062270000}"/>
    <cellStyle name="60% - akcent 2 2 14 2 2" xfId="10291" xr:uid="{00000000-0005-0000-0000-000063270000}"/>
    <cellStyle name="60% - akcent 2 2 14 2 2 2" xfId="10292" xr:uid="{00000000-0005-0000-0000-000064270000}"/>
    <cellStyle name="60% - akcent 2 2 14 2 2 3" xfId="10293" xr:uid="{00000000-0005-0000-0000-000065270000}"/>
    <cellStyle name="60% - akcent 2 2 14 2 2 4" xfId="10294" xr:uid="{00000000-0005-0000-0000-000066270000}"/>
    <cellStyle name="60% - akcent 2 2 14 2 2 5" xfId="10295" xr:uid="{00000000-0005-0000-0000-000067270000}"/>
    <cellStyle name="60% - akcent 2 2 14 2 2 6" xfId="10296" xr:uid="{00000000-0005-0000-0000-000068270000}"/>
    <cellStyle name="60% - akcent 2 2 14 2 3" xfId="10297" xr:uid="{00000000-0005-0000-0000-000069270000}"/>
    <cellStyle name="60% - akcent 2 2 14 2 4" xfId="10298" xr:uid="{00000000-0005-0000-0000-00006A270000}"/>
    <cellStyle name="60% - akcent 2 2 14 2 5" xfId="10299" xr:uid="{00000000-0005-0000-0000-00006B270000}"/>
    <cellStyle name="60% - akcent 2 2 14 2 6" xfId="10300" xr:uid="{00000000-0005-0000-0000-00006C270000}"/>
    <cellStyle name="60% - akcent 2 2 14 2 7" xfId="10301" xr:uid="{00000000-0005-0000-0000-00006D270000}"/>
    <cellStyle name="60% - akcent 2 2 14 3" xfId="10302" xr:uid="{00000000-0005-0000-0000-00006E270000}"/>
    <cellStyle name="60% - akcent 2 2 14 4" xfId="10303" xr:uid="{00000000-0005-0000-0000-00006F270000}"/>
    <cellStyle name="60% - akcent 2 2 14 5" xfId="10304" xr:uid="{00000000-0005-0000-0000-000070270000}"/>
    <cellStyle name="60% - akcent 2 2 14 6" xfId="10305" xr:uid="{00000000-0005-0000-0000-000071270000}"/>
    <cellStyle name="60% - akcent 2 2 14 7" xfId="10306" xr:uid="{00000000-0005-0000-0000-000072270000}"/>
    <cellStyle name="60% - akcent 2 2 14 7 2" xfId="10307" xr:uid="{00000000-0005-0000-0000-000073270000}"/>
    <cellStyle name="60% - akcent 2 2 14 7 3" xfId="10308" xr:uid="{00000000-0005-0000-0000-000074270000}"/>
    <cellStyle name="60% - akcent 2 2 14 7 4" xfId="10309" xr:uid="{00000000-0005-0000-0000-000075270000}"/>
    <cellStyle name="60% - akcent 2 2 14 7 5" xfId="10310" xr:uid="{00000000-0005-0000-0000-000076270000}"/>
    <cellStyle name="60% - akcent 2 2 14 7 6" xfId="10311" xr:uid="{00000000-0005-0000-0000-000077270000}"/>
    <cellStyle name="60% - akcent 2 2 14 8" xfId="10312" xr:uid="{00000000-0005-0000-0000-000078270000}"/>
    <cellStyle name="60% - akcent 2 2 14 9" xfId="10313" xr:uid="{00000000-0005-0000-0000-000079270000}"/>
    <cellStyle name="60% - akcent 2 2 15" xfId="10314" xr:uid="{00000000-0005-0000-0000-00007A270000}"/>
    <cellStyle name="60% - akcent 2 2 15 2" xfId="10315" xr:uid="{00000000-0005-0000-0000-00007B270000}"/>
    <cellStyle name="60% - akcent 2 2 15 2 2" xfId="10316" xr:uid="{00000000-0005-0000-0000-00007C270000}"/>
    <cellStyle name="60% - akcent 2 2 15 2 3" xfId="10317" xr:uid="{00000000-0005-0000-0000-00007D270000}"/>
    <cellStyle name="60% - akcent 2 2 15 2 4" xfId="10318" xr:uid="{00000000-0005-0000-0000-00007E270000}"/>
    <cellStyle name="60% - akcent 2 2 15 2 5" xfId="10319" xr:uid="{00000000-0005-0000-0000-00007F270000}"/>
    <cellStyle name="60% - akcent 2 2 15 2 6" xfId="10320" xr:uid="{00000000-0005-0000-0000-000080270000}"/>
    <cellStyle name="60% - akcent 2 2 15 3" xfId="10321" xr:uid="{00000000-0005-0000-0000-000081270000}"/>
    <cellStyle name="60% - akcent 2 2 15 4" xfId="10322" xr:uid="{00000000-0005-0000-0000-000082270000}"/>
    <cellStyle name="60% - akcent 2 2 15 5" xfId="10323" xr:uid="{00000000-0005-0000-0000-000083270000}"/>
    <cellStyle name="60% - akcent 2 2 15 6" xfId="10324" xr:uid="{00000000-0005-0000-0000-000084270000}"/>
    <cellStyle name="60% - akcent 2 2 15 7" xfId="10325" xr:uid="{00000000-0005-0000-0000-000085270000}"/>
    <cellStyle name="60% - akcent 2 2 16" xfId="10326" xr:uid="{00000000-0005-0000-0000-000086270000}"/>
    <cellStyle name="60% - akcent 2 2 17" xfId="10327" xr:uid="{00000000-0005-0000-0000-000087270000}"/>
    <cellStyle name="60% - akcent 2 2 18" xfId="10328" xr:uid="{00000000-0005-0000-0000-000088270000}"/>
    <cellStyle name="60% - akcent 2 2 19" xfId="10329" xr:uid="{00000000-0005-0000-0000-000089270000}"/>
    <cellStyle name="60% - akcent 2 2 2" xfId="10330" xr:uid="{00000000-0005-0000-0000-00008A270000}"/>
    <cellStyle name="60% - akcent 2 2 20" xfId="10331" xr:uid="{00000000-0005-0000-0000-00008B270000}"/>
    <cellStyle name="60% - akcent 2 2 21" xfId="10332" xr:uid="{00000000-0005-0000-0000-00008C270000}"/>
    <cellStyle name="60% - akcent 2 2 21 2" xfId="10333" xr:uid="{00000000-0005-0000-0000-00008D270000}"/>
    <cellStyle name="60% - akcent 2 2 21 3" xfId="10334" xr:uid="{00000000-0005-0000-0000-00008E270000}"/>
    <cellStyle name="60% - akcent 2 2 21 4" xfId="10335" xr:uid="{00000000-0005-0000-0000-00008F270000}"/>
    <cellStyle name="60% - akcent 2 2 21 5" xfId="10336" xr:uid="{00000000-0005-0000-0000-000090270000}"/>
    <cellStyle name="60% - akcent 2 2 21 6" xfId="10337" xr:uid="{00000000-0005-0000-0000-000091270000}"/>
    <cellStyle name="60% - akcent 2 2 22" xfId="10338" xr:uid="{00000000-0005-0000-0000-000092270000}"/>
    <cellStyle name="60% - akcent 2 2 23" xfId="10339" xr:uid="{00000000-0005-0000-0000-000093270000}"/>
    <cellStyle name="60% - akcent 2 2 24" xfId="10340" xr:uid="{00000000-0005-0000-0000-000094270000}"/>
    <cellStyle name="60% - akcent 2 2 25" xfId="10341" xr:uid="{00000000-0005-0000-0000-000095270000}"/>
    <cellStyle name="60% - akcent 2 2 26" xfId="10342" xr:uid="{00000000-0005-0000-0000-000096270000}"/>
    <cellStyle name="60% - akcent 2 2 27" xfId="10343" xr:uid="{00000000-0005-0000-0000-000097270000}"/>
    <cellStyle name="60% - akcent 2 2 28" xfId="10344" xr:uid="{00000000-0005-0000-0000-000098270000}"/>
    <cellStyle name="60% - akcent 2 2 29" xfId="10345" xr:uid="{00000000-0005-0000-0000-000099270000}"/>
    <cellStyle name="60% - akcent 2 2 3" xfId="10346" xr:uid="{00000000-0005-0000-0000-00009A270000}"/>
    <cellStyle name="60% - akcent 2 2 30" xfId="10347" xr:uid="{00000000-0005-0000-0000-00009B270000}"/>
    <cellStyle name="60% - akcent 2 2 31" xfId="10348" xr:uid="{00000000-0005-0000-0000-00009C270000}"/>
    <cellStyle name="60% - akcent 2 2 32" xfId="10203" xr:uid="{00000000-0005-0000-0000-00009D270000}"/>
    <cellStyle name="60% - akcent 2 2 33" xfId="37830" xr:uid="{00000000-0005-0000-0000-00009E270000}"/>
    <cellStyle name="60% - akcent 2 2 4" xfId="10349" xr:uid="{00000000-0005-0000-0000-00009F270000}"/>
    <cellStyle name="60% - akcent 2 2 5" xfId="10350" xr:uid="{00000000-0005-0000-0000-0000A0270000}"/>
    <cellStyle name="60% - akcent 2 2 6" xfId="10351" xr:uid="{00000000-0005-0000-0000-0000A1270000}"/>
    <cellStyle name="60% - akcent 2 2 6 10" xfId="10352" xr:uid="{00000000-0005-0000-0000-0000A2270000}"/>
    <cellStyle name="60% - akcent 2 2 6 11" xfId="10353" xr:uid="{00000000-0005-0000-0000-0000A3270000}"/>
    <cellStyle name="60% - akcent 2 2 6 12" xfId="10354" xr:uid="{00000000-0005-0000-0000-0000A4270000}"/>
    <cellStyle name="60% - akcent 2 2 6 13" xfId="10355" xr:uid="{00000000-0005-0000-0000-0000A5270000}"/>
    <cellStyle name="60% - akcent 2 2 6 2" xfId="10356" xr:uid="{00000000-0005-0000-0000-0000A6270000}"/>
    <cellStyle name="60% - akcent 2 2 6 2 10" xfId="10357" xr:uid="{00000000-0005-0000-0000-0000A7270000}"/>
    <cellStyle name="60% - akcent 2 2 6 2 11" xfId="10358" xr:uid="{00000000-0005-0000-0000-0000A8270000}"/>
    <cellStyle name="60% - akcent 2 2 6 2 12" xfId="10359" xr:uid="{00000000-0005-0000-0000-0000A9270000}"/>
    <cellStyle name="60% - akcent 2 2 6 2 2" xfId="10360" xr:uid="{00000000-0005-0000-0000-0000AA270000}"/>
    <cellStyle name="60% - akcent 2 2 6 2 2 10" xfId="10361" xr:uid="{00000000-0005-0000-0000-0000AB270000}"/>
    <cellStyle name="60% - akcent 2 2 6 2 2 11" xfId="10362" xr:uid="{00000000-0005-0000-0000-0000AC270000}"/>
    <cellStyle name="60% - akcent 2 2 6 2 2 2" xfId="10363" xr:uid="{00000000-0005-0000-0000-0000AD270000}"/>
    <cellStyle name="60% - akcent 2 2 6 2 2 2 10" xfId="10364" xr:uid="{00000000-0005-0000-0000-0000AE270000}"/>
    <cellStyle name="60% - akcent 2 2 6 2 2 2 11" xfId="10365" xr:uid="{00000000-0005-0000-0000-0000AF270000}"/>
    <cellStyle name="60% - akcent 2 2 6 2 2 2 2" xfId="10366" xr:uid="{00000000-0005-0000-0000-0000B0270000}"/>
    <cellStyle name="60% - akcent 2 2 6 2 2 2 2 2" xfId="10367" xr:uid="{00000000-0005-0000-0000-0000B1270000}"/>
    <cellStyle name="60% - akcent 2 2 6 2 2 2 2 2 2" xfId="10368" xr:uid="{00000000-0005-0000-0000-0000B2270000}"/>
    <cellStyle name="60% - akcent 2 2 6 2 2 2 2 2 3" xfId="10369" xr:uid="{00000000-0005-0000-0000-0000B3270000}"/>
    <cellStyle name="60% - akcent 2 2 6 2 2 2 2 2 4" xfId="10370" xr:uid="{00000000-0005-0000-0000-0000B4270000}"/>
    <cellStyle name="60% - akcent 2 2 6 2 2 2 2 2 5" xfId="10371" xr:uid="{00000000-0005-0000-0000-0000B5270000}"/>
    <cellStyle name="60% - akcent 2 2 6 2 2 2 2 2 6" xfId="10372" xr:uid="{00000000-0005-0000-0000-0000B6270000}"/>
    <cellStyle name="60% - akcent 2 2 6 2 2 2 2 3" xfId="10373" xr:uid="{00000000-0005-0000-0000-0000B7270000}"/>
    <cellStyle name="60% - akcent 2 2 6 2 2 2 2 4" xfId="10374" xr:uid="{00000000-0005-0000-0000-0000B8270000}"/>
    <cellStyle name="60% - akcent 2 2 6 2 2 2 2 5" xfId="10375" xr:uid="{00000000-0005-0000-0000-0000B9270000}"/>
    <cellStyle name="60% - akcent 2 2 6 2 2 2 2 6" xfId="10376" xr:uid="{00000000-0005-0000-0000-0000BA270000}"/>
    <cellStyle name="60% - akcent 2 2 6 2 2 2 2 7" xfId="10377" xr:uid="{00000000-0005-0000-0000-0000BB270000}"/>
    <cellStyle name="60% - akcent 2 2 6 2 2 2 3" xfId="10378" xr:uid="{00000000-0005-0000-0000-0000BC270000}"/>
    <cellStyle name="60% - akcent 2 2 6 2 2 2 4" xfId="10379" xr:uid="{00000000-0005-0000-0000-0000BD270000}"/>
    <cellStyle name="60% - akcent 2 2 6 2 2 2 5" xfId="10380" xr:uid="{00000000-0005-0000-0000-0000BE270000}"/>
    <cellStyle name="60% - akcent 2 2 6 2 2 2 6" xfId="10381" xr:uid="{00000000-0005-0000-0000-0000BF270000}"/>
    <cellStyle name="60% - akcent 2 2 6 2 2 2 7" xfId="10382" xr:uid="{00000000-0005-0000-0000-0000C0270000}"/>
    <cellStyle name="60% - akcent 2 2 6 2 2 2 7 2" xfId="10383" xr:uid="{00000000-0005-0000-0000-0000C1270000}"/>
    <cellStyle name="60% - akcent 2 2 6 2 2 2 7 3" xfId="10384" xr:uid="{00000000-0005-0000-0000-0000C2270000}"/>
    <cellStyle name="60% - akcent 2 2 6 2 2 2 7 4" xfId="10385" xr:uid="{00000000-0005-0000-0000-0000C3270000}"/>
    <cellStyle name="60% - akcent 2 2 6 2 2 2 7 5" xfId="10386" xr:uid="{00000000-0005-0000-0000-0000C4270000}"/>
    <cellStyle name="60% - akcent 2 2 6 2 2 2 7 6" xfId="10387" xr:uid="{00000000-0005-0000-0000-0000C5270000}"/>
    <cellStyle name="60% - akcent 2 2 6 2 2 2 8" xfId="10388" xr:uid="{00000000-0005-0000-0000-0000C6270000}"/>
    <cellStyle name="60% - akcent 2 2 6 2 2 2 9" xfId="10389" xr:uid="{00000000-0005-0000-0000-0000C7270000}"/>
    <cellStyle name="60% - akcent 2 2 6 2 2 3" xfId="10390" xr:uid="{00000000-0005-0000-0000-0000C8270000}"/>
    <cellStyle name="60% - akcent 2 2 6 2 2 3 2" xfId="10391" xr:uid="{00000000-0005-0000-0000-0000C9270000}"/>
    <cellStyle name="60% - akcent 2 2 6 2 2 3 2 2" xfId="10392" xr:uid="{00000000-0005-0000-0000-0000CA270000}"/>
    <cellStyle name="60% - akcent 2 2 6 2 2 3 2 3" xfId="10393" xr:uid="{00000000-0005-0000-0000-0000CB270000}"/>
    <cellStyle name="60% - akcent 2 2 6 2 2 3 2 4" xfId="10394" xr:uid="{00000000-0005-0000-0000-0000CC270000}"/>
    <cellStyle name="60% - akcent 2 2 6 2 2 3 2 5" xfId="10395" xr:uid="{00000000-0005-0000-0000-0000CD270000}"/>
    <cellStyle name="60% - akcent 2 2 6 2 2 3 2 6" xfId="10396" xr:uid="{00000000-0005-0000-0000-0000CE270000}"/>
    <cellStyle name="60% - akcent 2 2 6 2 2 3 3" xfId="10397" xr:uid="{00000000-0005-0000-0000-0000CF270000}"/>
    <cellStyle name="60% - akcent 2 2 6 2 2 3 4" xfId="10398" xr:uid="{00000000-0005-0000-0000-0000D0270000}"/>
    <cellStyle name="60% - akcent 2 2 6 2 2 3 5" xfId="10399" xr:uid="{00000000-0005-0000-0000-0000D1270000}"/>
    <cellStyle name="60% - akcent 2 2 6 2 2 3 6" xfId="10400" xr:uid="{00000000-0005-0000-0000-0000D2270000}"/>
    <cellStyle name="60% - akcent 2 2 6 2 2 3 7" xfId="10401" xr:uid="{00000000-0005-0000-0000-0000D3270000}"/>
    <cellStyle name="60% - akcent 2 2 6 2 2 4" xfId="10402" xr:uid="{00000000-0005-0000-0000-0000D4270000}"/>
    <cellStyle name="60% - akcent 2 2 6 2 2 5" xfId="10403" xr:uid="{00000000-0005-0000-0000-0000D5270000}"/>
    <cellStyle name="60% - akcent 2 2 6 2 2 6" xfId="10404" xr:uid="{00000000-0005-0000-0000-0000D6270000}"/>
    <cellStyle name="60% - akcent 2 2 6 2 2 7" xfId="10405" xr:uid="{00000000-0005-0000-0000-0000D7270000}"/>
    <cellStyle name="60% - akcent 2 2 6 2 2 7 2" xfId="10406" xr:uid="{00000000-0005-0000-0000-0000D8270000}"/>
    <cellStyle name="60% - akcent 2 2 6 2 2 7 3" xfId="10407" xr:uid="{00000000-0005-0000-0000-0000D9270000}"/>
    <cellStyle name="60% - akcent 2 2 6 2 2 7 4" xfId="10408" xr:uid="{00000000-0005-0000-0000-0000DA270000}"/>
    <cellStyle name="60% - akcent 2 2 6 2 2 7 5" xfId="10409" xr:uid="{00000000-0005-0000-0000-0000DB270000}"/>
    <cellStyle name="60% - akcent 2 2 6 2 2 7 6" xfId="10410" xr:uid="{00000000-0005-0000-0000-0000DC270000}"/>
    <cellStyle name="60% - akcent 2 2 6 2 2 8" xfId="10411" xr:uid="{00000000-0005-0000-0000-0000DD270000}"/>
    <cellStyle name="60% - akcent 2 2 6 2 2 9" xfId="10412" xr:uid="{00000000-0005-0000-0000-0000DE270000}"/>
    <cellStyle name="60% - akcent 2 2 6 2 3" xfId="10413" xr:uid="{00000000-0005-0000-0000-0000DF270000}"/>
    <cellStyle name="60% - akcent 2 2 6 2 3 2" xfId="10414" xr:uid="{00000000-0005-0000-0000-0000E0270000}"/>
    <cellStyle name="60% - akcent 2 2 6 2 3 2 2" xfId="10415" xr:uid="{00000000-0005-0000-0000-0000E1270000}"/>
    <cellStyle name="60% - akcent 2 2 6 2 3 2 3" xfId="10416" xr:uid="{00000000-0005-0000-0000-0000E2270000}"/>
    <cellStyle name="60% - akcent 2 2 6 2 3 2 4" xfId="10417" xr:uid="{00000000-0005-0000-0000-0000E3270000}"/>
    <cellStyle name="60% - akcent 2 2 6 2 3 2 5" xfId="10418" xr:uid="{00000000-0005-0000-0000-0000E4270000}"/>
    <cellStyle name="60% - akcent 2 2 6 2 3 2 6" xfId="10419" xr:uid="{00000000-0005-0000-0000-0000E5270000}"/>
    <cellStyle name="60% - akcent 2 2 6 2 3 3" xfId="10420" xr:uid="{00000000-0005-0000-0000-0000E6270000}"/>
    <cellStyle name="60% - akcent 2 2 6 2 3 4" xfId="10421" xr:uid="{00000000-0005-0000-0000-0000E7270000}"/>
    <cellStyle name="60% - akcent 2 2 6 2 3 5" xfId="10422" xr:uid="{00000000-0005-0000-0000-0000E8270000}"/>
    <cellStyle name="60% - akcent 2 2 6 2 3 6" xfId="10423" xr:uid="{00000000-0005-0000-0000-0000E9270000}"/>
    <cellStyle name="60% - akcent 2 2 6 2 3 7" xfId="10424" xr:uid="{00000000-0005-0000-0000-0000EA270000}"/>
    <cellStyle name="60% - akcent 2 2 6 2 4" xfId="10425" xr:uid="{00000000-0005-0000-0000-0000EB270000}"/>
    <cellStyle name="60% - akcent 2 2 6 2 5" xfId="10426" xr:uid="{00000000-0005-0000-0000-0000EC270000}"/>
    <cellStyle name="60% - akcent 2 2 6 2 6" xfId="10427" xr:uid="{00000000-0005-0000-0000-0000ED270000}"/>
    <cellStyle name="60% - akcent 2 2 6 2 7" xfId="10428" xr:uid="{00000000-0005-0000-0000-0000EE270000}"/>
    <cellStyle name="60% - akcent 2 2 6 2 8" xfId="10429" xr:uid="{00000000-0005-0000-0000-0000EF270000}"/>
    <cellStyle name="60% - akcent 2 2 6 2 8 2" xfId="10430" xr:uid="{00000000-0005-0000-0000-0000F0270000}"/>
    <cellStyle name="60% - akcent 2 2 6 2 8 3" xfId="10431" xr:uid="{00000000-0005-0000-0000-0000F1270000}"/>
    <cellStyle name="60% - akcent 2 2 6 2 8 4" xfId="10432" xr:uid="{00000000-0005-0000-0000-0000F2270000}"/>
    <cellStyle name="60% - akcent 2 2 6 2 8 5" xfId="10433" xr:uid="{00000000-0005-0000-0000-0000F3270000}"/>
    <cellStyle name="60% - akcent 2 2 6 2 8 6" xfId="10434" xr:uid="{00000000-0005-0000-0000-0000F4270000}"/>
    <cellStyle name="60% - akcent 2 2 6 2 9" xfId="10435" xr:uid="{00000000-0005-0000-0000-0000F5270000}"/>
    <cellStyle name="60% - akcent 2 2 6 3" xfId="10436" xr:uid="{00000000-0005-0000-0000-0000F6270000}"/>
    <cellStyle name="60% - akcent 2 2 6 4" xfId="10437" xr:uid="{00000000-0005-0000-0000-0000F7270000}"/>
    <cellStyle name="60% - akcent 2 2 6 4 10" xfId="10438" xr:uid="{00000000-0005-0000-0000-0000F8270000}"/>
    <cellStyle name="60% - akcent 2 2 6 4 11" xfId="10439" xr:uid="{00000000-0005-0000-0000-0000F9270000}"/>
    <cellStyle name="60% - akcent 2 2 6 4 2" xfId="10440" xr:uid="{00000000-0005-0000-0000-0000FA270000}"/>
    <cellStyle name="60% - akcent 2 2 6 4 2 2" xfId="10441" xr:uid="{00000000-0005-0000-0000-0000FB270000}"/>
    <cellStyle name="60% - akcent 2 2 6 4 2 2 2" xfId="10442" xr:uid="{00000000-0005-0000-0000-0000FC270000}"/>
    <cellStyle name="60% - akcent 2 2 6 4 2 2 3" xfId="10443" xr:uid="{00000000-0005-0000-0000-0000FD270000}"/>
    <cellStyle name="60% - akcent 2 2 6 4 2 2 4" xfId="10444" xr:uid="{00000000-0005-0000-0000-0000FE270000}"/>
    <cellStyle name="60% - akcent 2 2 6 4 2 2 5" xfId="10445" xr:uid="{00000000-0005-0000-0000-0000FF270000}"/>
    <cellStyle name="60% - akcent 2 2 6 4 2 2 6" xfId="10446" xr:uid="{00000000-0005-0000-0000-000000280000}"/>
    <cellStyle name="60% - akcent 2 2 6 4 2 3" xfId="10447" xr:uid="{00000000-0005-0000-0000-000001280000}"/>
    <cellStyle name="60% - akcent 2 2 6 4 2 4" xfId="10448" xr:uid="{00000000-0005-0000-0000-000002280000}"/>
    <cellStyle name="60% - akcent 2 2 6 4 2 5" xfId="10449" xr:uid="{00000000-0005-0000-0000-000003280000}"/>
    <cellStyle name="60% - akcent 2 2 6 4 2 6" xfId="10450" xr:uid="{00000000-0005-0000-0000-000004280000}"/>
    <cellStyle name="60% - akcent 2 2 6 4 2 7" xfId="10451" xr:uid="{00000000-0005-0000-0000-000005280000}"/>
    <cellStyle name="60% - akcent 2 2 6 4 3" xfId="10452" xr:uid="{00000000-0005-0000-0000-000006280000}"/>
    <cellStyle name="60% - akcent 2 2 6 4 4" xfId="10453" xr:uid="{00000000-0005-0000-0000-000007280000}"/>
    <cellStyle name="60% - akcent 2 2 6 4 5" xfId="10454" xr:uid="{00000000-0005-0000-0000-000008280000}"/>
    <cellStyle name="60% - akcent 2 2 6 4 6" xfId="10455" xr:uid="{00000000-0005-0000-0000-000009280000}"/>
    <cellStyle name="60% - akcent 2 2 6 4 7" xfId="10456" xr:uid="{00000000-0005-0000-0000-00000A280000}"/>
    <cellStyle name="60% - akcent 2 2 6 4 7 2" xfId="10457" xr:uid="{00000000-0005-0000-0000-00000B280000}"/>
    <cellStyle name="60% - akcent 2 2 6 4 7 3" xfId="10458" xr:uid="{00000000-0005-0000-0000-00000C280000}"/>
    <cellStyle name="60% - akcent 2 2 6 4 7 4" xfId="10459" xr:uid="{00000000-0005-0000-0000-00000D280000}"/>
    <cellStyle name="60% - akcent 2 2 6 4 7 5" xfId="10460" xr:uid="{00000000-0005-0000-0000-00000E280000}"/>
    <cellStyle name="60% - akcent 2 2 6 4 7 6" xfId="10461" xr:uid="{00000000-0005-0000-0000-00000F280000}"/>
    <cellStyle name="60% - akcent 2 2 6 4 8" xfId="10462" xr:uid="{00000000-0005-0000-0000-000010280000}"/>
    <cellStyle name="60% - akcent 2 2 6 4 9" xfId="10463" xr:uid="{00000000-0005-0000-0000-000011280000}"/>
    <cellStyle name="60% - akcent 2 2 6 5" xfId="10464" xr:uid="{00000000-0005-0000-0000-000012280000}"/>
    <cellStyle name="60% - akcent 2 2 6 5 2" xfId="10465" xr:uid="{00000000-0005-0000-0000-000013280000}"/>
    <cellStyle name="60% - akcent 2 2 6 5 2 2" xfId="10466" xr:uid="{00000000-0005-0000-0000-000014280000}"/>
    <cellStyle name="60% - akcent 2 2 6 5 2 3" xfId="10467" xr:uid="{00000000-0005-0000-0000-000015280000}"/>
    <cellStyle name="60% - akcent 2 2 6 5 2 4" xfId="10468" xr:uid="{00000000-0005-0000-0000-000016280000}"/>
    <cellStyle name="60% - akcent 2 2 6 5 2 5" xfId="10469" xr:uid="{00000000-0005-0000-0000-000017280000}"/>
    <cellStyle name="60% - akcent 2 2 6 5 2 6" xfId="10470" xr:uid="{00000000-0005-0000-0000-000018280000}"/>
    <cellStyle name="60% - akcent 2 2 6 5 3" xfId="10471" xr:uid="{00000000-0005-0000-0000-000019280000}"/>
    <cellStyle name="60% - akcent 2 2 6 5 4" xfId="10472" xr:uid="{00000000-0005-0000-0000-00001A280000}"/>
    <cellStyle name="60% - akcent 2 2 6 5 5" xfId="10473" xr:uid="{00000000-0005-0000-0000-00001B280000}"/>
    <cellStyle name="60% - akcent 2 2 6 5 6" xfId="10474" xr:uid="{00000000-0005-0000-0000-00001C280000}"/>
    <cellStyle name="60% - akcent 2 2 6 5 7" xfId="10475" xr:uid="{00000000-0005-0000-0000-00001D280000}"/>
    <cellStyle name="60% - akcent 2 2 6 6" xfId="10476" xr:uid="{00000000-0005-0000-0000-00001E280000}"/>
    <cellStyle name="60% - akcent 2 2 6 7" xfId="10477" xr:uid="{00000000-0005-0000-0000-00001F280000}"/>
    <cellStyle name="60% - akcent 2 2 6 8" xfId="10478" xr:uid="{00000000-0005-0000-0000-000020280000}"/>
    <cellStyle name="60% - akcent 2 2 6 9" xfId="10479" xr:uid="{00000000-0005-0000-0000-000021280000}"/>
    <cellStyle name="60% - akcent 2 2 6 9 2" xfId="10480" xr:uid="{00000000-0005-0000-0000-000022280000}"/>
    <cellStyle name="60% - akcent 2 2 6 9 3" xfId="10481" xr:uid="{00000000-0005-0000-0000-000023280000}"/>
    <cellStyle name="60% - akcent 2 2 6 9 4" xfId="10482" xr:uid="{00000000-0005-0000-0000-000024280000}"/>
    <cellStyle name="60% - akcent 2 2 6 9 5" xfId="10483" xr:uid="{00000000-0005-0000-0000-000025280000}"/>
    <cellStyle name="60% - akcent 2 2 6 9 6" xfId="10484" xr:uid="{00000000-0005-0000-0000-000026280000}"/>
    <cellStyle name="60% - akcent 2 2 7" xfId="10485" xr:uid="{00000000-0005-0000-0000-000027280000}"/>
    <cellStyle name="60% - akcent 2 2 8" xfId="10486" xr:uid="{00000000-0005-0000-0000-000028280000}"/>
    <cellStyle name="60% - akcent 2 2 9" xfId="10487" xr:uid="{00000000-0005-0000-0000-000029280000}"/>
    <cellStyle name="60% - akcent 2 3" xfId="166" xr:uid="{00000000-0005-0000-0000-00002A280000}"/>
    <cellStyle name="60% - akcent 2 3 2" xfId="10489" xr:uid="{00000000-0005-0000-0000-00002B280000}"/>
    <cellStyle name="60% - akcent 2 3 3" xfId="10490" xr:uid="{00000000-0005-0000-0000-00002C280000}"/>
    <cellStyle name="60% - akcent 2 3 4" xfId="10491" xr:uid="{00000000-0005-0000-0000-00002D280000}"/>
    <cellStyle name="60% - akcent 2 3 5" xfId="10488" xr:uid="{00000000-0005-0000-0000-00002E280000}"/>
    <cellStyle name="60% - akcent 2 4" xfId="167" xr:uid="{00000000-0005-0000-0000-00002F280000}"/>
    <cellStyle name="60% - akcent 2 4 2" xfId="10493" xr:uid="{00000000-0005-0000-0000-000030280000}"/>
    <cellStyle name="60% - akcent 2 4 3" xfId="10494" xr:uid="{00000000-0005-0000-0000-000031280000}"/>
    <cellStyle name="60% - akcent 2 4 4" xfId="10495" xr:uid="{00000000-0005-0000-0000-000032280000}"/>
    <cellStyle name="60% - akcent 2 4 5" xfId="10492" xr:uid="{00000000-0005-0000-0000-000033280000}"/>
    <cellStyle name="60% - akcent 2 5" xfId="168" xr:uid="{00000000-0005-0000-0000-000034280000}"/>
    <cellStyle name="60% - akcent 2 5 2" xfId="10497" xr:uid="{00000000-0005-0000-0000-000035280000}"/>
    <cellStyle name="60% - akcent 2 5 3" xfId="10498" xr:uid="{00000000-0005-0000-0000-000036280000}"/>
    <cellStyle name="60% - akcent 2 5 4" xfId="10499" xr:uid="{00000000-0005-0000-0000-000037280000}"/>
    <cellStyle name="60% - akcent 2 5 5" xfId="10496" xr:uid="{00000000-0005-0000-0000-000038280000}"/>
    <cellStyle name="60% - akcent 2 6" xfId="169" xr:uid="{00000000-0005-0000-0000-000039280000}"/>
    <cellStyle name="60% - akcent 2 6 2" xfId="10501" xr:uid="{00000000-0005-0000-0000-00003A280000}"/>
    <cellStyle name="60% - akcent 2 6 3" xfId="10502" xr:uid="{00000000-0005-0000-0000-00003B280000}"/>
    <cellStyle name="60% - akcent 2 6 4" xfId="10503" xr:uid="{00000000-0005-0000-0000-00003C280000}"/>
    <cellStyle name="60% - akcent 2 6 5" xfId="10500" xr:uid="{00000000-0005-0000-0000-00003D280000}"/>
    <cellStyle name="60% - akcent 2 7" xfId="170" xr:uid="{00000000-0005-0000-0000-00003E280000}"/>
    <cellStyle name="60% - akcent 2 7 2" xfId="10505" xr:uid="{00000000-0005-0000-0000-00003F280000}"/>
    <cellStyle name="60% - akcent 2 7 3" xfId="10506" xr:uid="{00000000-0005-0000-0000-000040280000}"/>
    <cellStyle name="60% - akcent 2 7 4" xfId="10507" xr:uid="{00000000-0005-0000-0000-000041280000}"/>
    <cellStyle name="60% - akcent 2 7 5" xfId="10504" xr:uid="{00000000-0005-0000-0000-000042280000}"/>
    <cellStyle name="60% - akcent 2 8" xfId="10508" xr:uid="{00000000-0005-0000-0000-000043280000}"/>
    <cellStyle name="60% - akcent 2 8 2" xfId="10509" xr:uid="{00000000-0005-0000-0000-000044280000}"/>
    <cellStyle name="60% - akcent 2 8 3" xfId="10510" xr:uid="{00000000-0005-0000-0000-000045280000}"/>
    <cellStyle name="60% - akcent 2 8 4" xfId="10511" xr:uid="{00000000-0005-0000-0000-000046280000}"/>
    <cellStyle name="60% - akcent 2 9" xfId="10512" xr:uid="{00000000-0005-0000-0000-000047280000}"/>
    <cellStyle name="60% - akcent 3 1" xfId="10513" xr:uid="{00000000-0005-0000-0000-000048280000}"/>
    <cellStyle name="60% - akcent 3 10" xfId="10514" xr:uid="{00000000-0005-0000-0000-000049280000}"/>
    <cellStyle name="60% - akcent 3 11" xfId="10515" xr:uid="{00000000-0005-0000-0000-00004A280000}"/>
    <cellStyle name="60% - akcent 3 12" xfId="10516" xr:uid="{00000000-0005-0000-0000-00004B280000}"/>
    <cellStyle name="60% - akcent 3 13" xfId="10517" xr:uid="{00000000-0005-0000-0000-00004C280000}"/>
    <cellStyle name="60% - akcent 3 14" xfId="10518" xr:uid="{00000000-0005-0000-0000-00004D280000}"/>
    <cellStyle name="60% - akcent 3 15" xfId="10519" xr:uid="{00000000-0005-0000-0000-00004E280000}"/>
    <cellStyle name="60% - akcent 3 16" xfId="10520" xr:uid="{00000000-0005-0000-0000-00004F280000}"/>
    <cellStyle name="60% - akcent 3 17" xfId="10521" xr:uid="{00000000-0005-0000-0000-000050280000}"/>
    <cellStyle name="60% - akcent 3 18" xfId="10522" xr:uid="{00000000-0005-0000-0000-000051280000}"/>
    <cellStyle name="60% - akcent 3 19" xfId="10523" xr:uid="{00000000-0005-0000-0000-000052280000}"/>
    <cellStyle name="60% - akcent 3 2" xfId="171" xr:uid="{00000000-0005-0000-0000-000053280000}"/>
    <cellStyle name="60% - akcent 3 2 10" xfId="10525" xr:uid="{00000000-0005-0000-0000-000054280000}"/>
    <cellStyle name="60% - akcent 3 2 11" xfId="10526" xr:uid="{00000000-0005-0000-0000-000055280000}"/>
    <cellStyle name="60% - akcent 3 2 12" xfId="10527" xr:uid="{00000000-0005-0000-0000-000056280000}"/>
    <cellStyle name="60% - akcent 3 2 13" xfId="10528" xr:uid="{00000000-0005-0000-0000-000057280000}"/>
    <cellStyle name="60% - akcent 3 2 13 10" xfId="10529" xr:uid="{00000000-0005-0000-0000-000058280000}"/>
    <cellStyle name="60% - akcent 3 2 13 11" xfId="10530" xr:uid="{00000000-0005-0000-0000-000059280000}"/>
    <cellStyle name="60% - akcent 3 2 13 12" xfId="10531" xr:uid="{00000000-0005-0000-0000-00005A280000}"/>
    <cellStyle name="60% - akcent 3 2 13 2" xfId="10532" xr:uid="{00000000-0005-0000-0000-00005B280000}"/>
    <cellStyle name="60% - akcent 3 2 13 2 10" xfId="10533" xr:uid="{00000000-0005-0000-0000-00005C280000}"/>
    <cellStyle name="60% - akcent 3 2 13 2 11" xfId="10534" xr:uid="{00000000-0005-0000-0000-00005D280000}"/>
    <cellStyle name="60% - akcent 3 2 13 2 2" xfId="10535" xr:uid="{00000000-0005-0000-0000-00005E280000}"/>
    <cellStyle name="60% - akcent 3 2 13 2 2 10" xfId="10536" xr:uid="{00000000-0005-0000-0000-00005F280000}"/>
    <cellStyle name="60% - akcent 3 2 13 2 2 11" xfId="10537" xr:uid="{00000000-0005-0000-0000-000060280000}"/>
    <cellStyle name="60% - akcent 3 2 13 2 2 2" xfId="10538" xr:uid="{00000000-0005-0000-0000-000061280000}"/>
    <cellStyle name="60% - akcent 3 2 13 2 2 2 2" xfId="10539" xr:uid="{00000000-0005-0000-0000-000062280000}"/>
    <cellStyle name="60% - akcent 3 2 13 2 2 2 2 2" xfId="10540" xr:uid="{00000000-0005-0000-0000-000063280000}"/>
    <cellStyle name="60% - akcent 3 2 13 2 2 2 2 3" xfId="10541" xr:uid="{00000000-0005-0000-0000-000064280000}"/>
    <cellStyle name="60% - akcent 3 2 13 2 2 2 2 4" xfId="10542" xr:uid="{00000000-0005-0000-0000-000065280000}"/>
    <cellStyle name="60% - akcent 3 2 13 2 2 2 2 5" xfId="10543" xr:uid="{00000000-0005-0000-0000-000066280000}"/>
    <cellStyle name="60% - akcent 3 2 13 2 2 2 2 6" xfId="10544" xr:uid="{00000000-0005-0000-0000-000067280000}"/>
    <cellStyle name="60% - akcent 3 2 13 2 2 2 3" xfId="10545" xr:uid="{00000000-0005-0000-0000-000068280000}"/>
    <cellStyle name="60% - akcent 3 2 13 2 2 2 4" xfId="10546" xr:uid="{00000000-0005-0000-0000-000069280000}"/>
    <cellStyle name="60% - akcent 3 2 13 2 2 2 5" xfId="10547" xr:uid="{00000000-0005-0000-0000-00006A280000}"/>
    <cellStyle name="60% - akcent 3 2 13 2 2 2 6" xfId="10548" xr:uid="{00000000-0005-0000-0000-00006B280000}"/>
    <cellStyle name="60% - akcent 3 2 13 2 2 2 7" xfId="10549" xr:uid="{00000000-0005-0000-0000-00006C280000}"/>
    <cellStyle name="60% - akcent 3 2 13 2 2 3" xfId="10550" xr:uid="{00000000-0005-0000-0000-00006D280000}"/>
    <cellStyle name="60% - akcent 3 2 13 2 2 4" xfId="10551" xr:uid="{00000000-0005-0000-0000-00006E280000}"/>
    <cellStyle name="60% - akcent 3 2 13 2 2 5" xfId="10552" xr:uid="{00000000-0005-0000-0000-00006F280000}"/>
    <cellStyle name="60% - akcent 3 2 13 2 2 6" xfId="10553" xr:uid="{00000000-0005-0000-0000-000070280000}"/>
    <cellStyle name="60% - akcent 3 2 13 2 2 7" xfId="10554" xr:uid="{00000000-0005-0000-0000-000071280000}"/>
    <cellStyle name="60% - akcent 3 2 13 2 2 7 2" xfId="10555" xr:uid="{00000000-0005-0000-0000-000072280000}"/>
    <cellStyle name="60% - akcent 3 2 13 2 2 7 3" xfId="10556" xr:uid="{00000000-0005-0000-0000-000073280000}"/>
    <cellStyle name="60% - akcent 3 2 13 2 2 7 4" xfId="10557" xr:uid="{00000000-0005-0000-0000-000074280000}"/>
    <cellStyle name="60% - akcent 3 2 13 2 2 7 5" xfId="10558" xr:uid="{00000000-0005-0000-0000-000075280000}"/>
    <cellStyle name="60% - akcent 3 2 13 2 2 7 6" xfId="10559" xr:uid="{00000000-0005-0000-0000-000076280000}"/>
    <cellStyle name="60% - akcent 3 2 13 2 2 8" xfId="10560" xr:uid="{00000000-0005-0000-0000-000077280000}"/>
    <cellStyle name="60% - akcent 3 2 13 2 2 9" xfId="10561" xr:uid="{00000000-0005-0000-0000-000078280000}"/>
    <cellStyle name="60% - akcent 3 2 13 2 3" xfId="10562" xr:uid="{00000000-0005-0000-0000-000079280000}"/>
    <cellStyle name="60% - akcent 3 2 13 2 3 2" xfId="10563" xr:uid="{00000000-0005-0000-0000-00007A280000}"/>
    <cellStyle name="60% - akcent 3 2 13 2 3 2 2" xfId="10564" xr:uid="{00000000-0005-0000-0000-00007B280000}"/>
    <cellStyle name="60% - akcent 3 2 13 2 3 2 3" xfId="10565" xr:uid="{00000000-0005-0000-0000-00007C280000}"/>
    <cellStyle name="60% - akcent 3 2 13 2 3 2 4" xfId="10566" xr:uid="{00000000-0005-0000-0000-00007D280000}"/>
    <cellStyle name="60% - akcent 3 2 13 2 3 2 5" xfId="10567" xr:uid="{00000000-0005-0000-0000-00007E280000}"/>
    <cellStyle name="60% - akcent 3 2 13 2 3 2 6" xfId="10568" xr:uid="{00000000-0005-0000-0000-00007F280000}"/>
    <cellStyle name="60% - akcent 3 2 13 2 3 3" xfId="10569" xr:uid="{00000000-0005-0000-0000-000080280000}"/>
    <cellStyle name="60% - akcent 3 2 13 2 3 4" xfId="10570" xr:uid="{00000000-0005-0000-0000-000081280000}"/>
    <cellStyle name="60% - akcent 3 2 13 2 3 5" xfId="10571" xr:uid="{00000000-0005-0000-0000-000082280000}"/>
    <cellStyle name="60% - akcent 3 2 13 2 3 6" xfId="10572" xr:uid="{00000000-0005-0000-0000-000083280000}"/>
    <cellStyle name="60% - akcent 3 2 13 2 3 7" xfId="10573" xr:uid="{00000000-0005-0000-0000-000084280000}"/>
    <cellStyle name="60% - akcent 3 2 13 2 4" xfId="10574" xr:uid="{00000000-0005-0000-0000-000085280000}"/>
    <cellStyle name="60% - akcent 3 2 13 2 5" xfId="10575" xr:uid="{00000000-0005-0000-0000-000086280000}"/>
    <cellStyle name="60% - akcent 3 2 13 2 6" xfId="10576" xr:uid="{00000000-0005-0000-0000-000087280000}"/>
    <cellStyle name="60% - akcent 3 2 13 2 7" xfId="10577" xr:uid="{00000000-0005-0000-0000-000088280000}"/>
    <cellStyle name="60% - akcent 3 2 13 2 7 2" xfId="10578" xr:uid="{00000000-0005-0000-0000-000089280000}"/>
    <cellStyle name="60% - akcent 3 2 13 2 7 3" xfId="10579" xr:uid="{00000000-0005-0000-0000-00008A280000}"/>
    <cellStyle name="60% - akcent 3 2 13 2 7 4" xfId="10580" xr:uid="{00000000-0005-0000-0000-00008B280000}"/>
    <cellStyle name="60% - akcent 3 2 13 2 7 5" xfId="10581" xr:uid="{00000000-0005-0000-0000-00008C280000}"/>
    <cellStyle name="60% - akcent 3 2 13 2 7 6" xfId="10582" xr:uid="{00000000-0005-0000-0000-00008D280000}"/>
    <cellStyle name="60% - akcent 3 2 13 2 8" xfId="10583" xr:uid="{00000000-0005-0000-0000-00008E280000}"/>
    <cellStyle name="60% - akcent 3 2 13 2 9" xfId="10584" xr:uid="{00000000-0005-0000-0000-00008F280000}"/>
    <cellStyle name="60% - akcent 3 2 13 3" xfId="10585" xr:uid="{00000000-0005-0000-0000-000090280000}"/>
    <cellStyle name="60% - akcent 3 2 13 3 2" xfId="10586" xr:uid="{00000000-0005-0000-0000-000091280000}"/>
    <cellStyle name="60% - akcent 3 2 13 3 2 2" xfId="10587" xr:uid="{00000000-0005-0000-0000-000092280000}"/>
    <cellStyle name="60% - akcent 3 2 13 3 2 3" xfId="10588" xr:uid="{00000000-0005-0000-0000-000093280000}"/>
    <cellStyle name="60% - akcent 3 2 13 3 2 4" xfId="10589" xr:uid="{00000000-0005-0000-0000-000094280000}"/>
    <cellStyle name="60% - akcent 3 2 13 3 2 5" xfId="10590" xr:uid="{00000000-0005-0000-0000-000095280000}"/>
    <cellStyle name="60% - akcent 3 2 13 3 2 6" xfId="10591" xr:uid="{00000000-0005-0000-0000-000096280000}"/>
    <cellStyle name="60% - akcent 3 2 13 3 3" xfId="10592" xr:uid="{00000000-0005-0000-0000-000097280000}"/>
    <cellStyle name="60% - akcent 3 2 13 3 4" xfId="10593" xr:uid="{00000000-0005-0000-0000-000098280000}"/>
    <cellStyle name="60% - akcent 3 2 13 3 5" xfId="10594" xr:uid="{00000000-0005-0000-0000-000099280000}"/>
    <cellStyle name="60% - akcent 3 2 13 3 6" xfId="10595" xr:uid="{00000000-0005-0000-0000-00009A280000}"/>
    <cellStyle name="60% - akcent 3 2 13 3 7" xfId="10596" xr:uid="{00000000-0005-0000-0000-00009B280000}"/>
    <cellStyle name="60% - akcent 3 2 13 4" xfId="10597" xr:uid="{00000000-0005-0000-0000-00009C280000}"/>
    <cellStyle name="60% - akcent 3 2 13 5" xfId="10598" xr:uid="{00000000-0005-0000-0000-00009D280000}"/>
    <cellStyle name="60% - akcent 3 2 13 6" xfId="10599" xr:uid="{00000000-0005-0000-0000-00009E280000}"/>
    <cellStyle name="60% - akcent 3 2 13 7" xfId="10600" xr:uid="{00000000-0005-0000-0000-00009F280000}"/>
    <cellStyle name="60% - akcent 3 2 13 8" xfId="10601" xr:uid="{00000000-0005-0000-0000-0000A0280000}"/>
    <cellStyle name="60% - akcent 3 2 13 8 2" xfId="10602" xr:uid="{00000000-0005-0000-0000-0000A1280000}"/>
    <cellStyle name="60% - akcent 3 2 13 8 3" xfId="10603" xr:uid="{00000000-0005-0000-0000-0000A2280000}"/>
    <cellStyle name="60% - akcent 3 2 13 8 4" xfId="10604" xr:uid="{00000000-0005-0000-0000-0000A3280000}"/>
    <cellStyle name="60% - akcent 3 2 13 8 5" xfId="10605" xr:uid="{00000000-0005-0000-0000-0000A4280000}"/>
    <cellStyle name="60% - akcent 3 2 13 8 6" xfId="10606" xr:uid="{00000000-0005-0000-0000-0000A5280000}"/>
    <cellStyle name="60% - akcent 3 2 13 9" xfId="10607" xr:uid="{00000000-0005-0000-0000-0000A6280000}"/>
    <cellStyle name="60% - akcent 3 2 14" xfId="10608" xr:uid="{00000000-0005-0000-0000-0000A7280000}"/>
    <cellStyle name="60% - akcent 3 2 14 10" xfId="10609" xr:uid="{00000000-0005-0000-0000-0000A8280000}"/>
    <cellStyle name="60% - akcent 3 2 14 11" xfId="10610" xr:uid="{00000000-0005-0000-0000-0000A9280000}"/>
    <cellStyle name="60% - akcent 3 2 14 2" xfId="10611" xr:uid="{00000000-0005-0000-0000-0000AA280000}"/>
    <cellStyle name="60% - akcent 3 2 14 2 2" xfId="10612" xr:uid="{00000000-0005-0000-0000-0000AB280000}"/>
    <cellStyle name="60% - akcent 3 2 14 2 2 2" xfId="10613" xr:uid="{00000000-0005-0000-0000-0000AC280000}"/>
    <cellStyle name="60% - akcent 3 2 14 2 2 3" xfId="10614" xr:uid="{00000000-0005-0000-0000-0000AD280000}"/>
    <cellStyle name="60% - akcent 3 2 14 2 2 4" xfId="10615" xr:uid="{00000000-0005-0000-0000-0000AE280000}"/>
    <cellStyle name="60% - akcent 3 2 14 2 2 5" xfId="10616" xr:uid="{00000000-0005-0000-0000-0000AF280000}"/>
    <cellStyle name="60% - akcent 3 2 14 2 2 6" xfId="10617" xr:uid="{00000000-0005-0000-0000-0000B0280000}"/>
    <cellStyle name="60% - akcent 3 2 14 2 3" xfId="10618" xr:uid="{00000000-0005-0000-0000-0000B1280000}"/>
    <cellStyle name="60% - akcent 3 2 14 2 4" xfId="10619" xr:uid="{00000000-0005-0000-0000-0000B2280000}"/>
    <cellStyle name="60% - akcent 3 2 14 2 5" xfId="10620" xr:uid="{00000000-0005-0000-0000-0000B3280000}"/>
    <cellStyle name="60% - akcent 3 2 14 2 6" xfId="10621" xr:uid="{00000000-0005-0000-0000-0000B4280000}"/>
    <cellStyle name="60% - akcent 3 2 14 2 7" xfId="10622" xr:uid="{00000000-0005-0000-0000-0000B5280000}"/>
    <cellStyle name="60% - akcent 3 2 14 3" xfId="10623" xr:uid="{00000000-0005-0000-0000-0000B6280000}"/>
    <cellStyle name="60% - akcent 3 2 14 4" xfId="10624" xr:uid="{00000000-0005-0000-0000-0000B7280000}"/>
    <cellStyle name="60% - akcent 3 2 14 5" xfId="10625" xr:uid="{00000000-0005-0000-0000-0000B8280000}"/>
    <cellStyle name="60% - akcent 3 2 14 6" xfId="10626" xr:uid="{00000000-0005-0000-0000-0000B9280000}"/>
    <cellStyle name="60% - akcent 3 2 14 7" xfId="10627" xr:uid="{00000000-0005-0000-0000-0000BA280000}"/>
    <cellStyle name="60% - akcent 3 2 14 7 2" xfId="10628" xr:uid="{00000000-0005-0000-0000-0000BB280000}"/>
    <cellStyle name="60% - akcent 3 2 14 7 3" xfId="10629" xr:uid="{00000000-0005-0000-0000-0000BC280000}"/>
    <cellStyle name="60% - akcent 3 2 14 7 4" xfId="10630" xr:uid="{00000000-0005-0000-0000-0000BD280000}"/>
    <cellStyle name="60% - akcent 3 2 14 7 5" xfId="10631" xr:uid="{00000000-0005-0000-0000-0000BE280000}"/>
    <cellStyle name="60% - akcent 3 2 14 7 6" xfId="10632" xr:uid="{00000000-0005-0000-0000-0000BF280000}"/>
    <cellStyle name="60% - akcent 3 2 14 8" xfId="10633" xr:uid="{00000000-0005-0000-0000-0000C0280000}"/>
    <cellStyle name="60% - akcent 3 2 14 9" xfId="10634" xr:uid="{00000000-0005-0000-0000-0000C1280000}"/>
    <cellStyle name="60% - akcent 3 2 15" xfId="10635" xr:uid="{00000000-0005-0000-0000-0000C2280000}"/>
    <cellStyle name="60% - akcent 3 2 15 2" xfId="10636" xr:uid="{00000000-0005-0000-0000-0000C3280000}"/>
    <cellStyle name="60% - akcent 3 2 15 2 2" xfId="10637" xr:uid="{00000000-0005-0000-0000-0000C4280000}"/>
    <cellStyle name="60% - akcent 3 2 15 2 3" xfId="10638" xr:uid="{00000000-0005-0000-0000-0000C5280000}"/>
    <cellStyle name="60% - akcent 3 2 15 2 4" xfId="10639" xr:uid="{00000000-0005-0000-0000-0000C6280000}"/>
    <cellStyle name="60% - akcent 3 2 15 2 5" xfId="10640" xr:uid="{00000000-0005-0000-0000-0000C7280000}"/>
    <cellStyle name="60% - akcent 3 2 15 2 6" xfId="10641" xr:uid="{00000000-0005-0000-0000-0000C8280000}"/>
    <cellStyle name="60% - akcent 3 2 15 3" xfId="10642" xr:uid="{00000000-0005-0000-0000-0000C9280000}"/>
    <cellStyle name="60% - akcent 3 2 15 4" xfId="10643" xr:uid="{00000000-0005-0000-0000-0000CA280000}"/>
    <cellStyle name="60% - akcent 3 2 15 5" xfId="10644" xr:uid="{00000000-0005-0000-0000-0000CB280000}"/>
    <cellStyle name="60% - akcent 3 2 15 6" xfId="10645" xr:uid="{00000000-0005-0000-0000-0000CC280000}"/>
    <cellStyle name="60% - akcent 3 2 15 7" xfId="10646" xr:uid="{00000000-0005-0000-0000-0000CD280000}"/>
    <cellStyle name="60% - akcent 3 2 16" xfId="10647" xr:uid="{00000000-0005-0000-0000-0000CE280000}"/>
    <cellStyle name="60% - akcent 3 2 17" xfId="10648" xr:uid="{00000000-0005-0000-0000-0000CF280000}"/>
    <cellStyle name="60% - akcent 3 2 18" xfId="10649" xr:uid="{00000000-0005-0000-0000-0000D0280000}"/>
    <cellStyle name="60% - akcent 3 2 19" xfId="10650" xr:uid="{00000000-0005-0000-0000-0000D1280000}"/>
    <cellStyle name="60% - akcent 3 2 2" xfId="10651" xr:uid="{00000000-0005-0000-0000-0000D2280000}"/>
    <cellStyle name="60% - akcent 3 2 2 10" xfId="10652" xr:uid="{00000000-0005-0000-0000-0000D3280000}"/>
    <cellStyle name="60% - akcent 3 2 2 10 10" xfId="10653" xr:uid="{00000000-0005-0000-0000-0000D4280000}"/>
    <cellStyle name="60% - akcent 3 2 2 10 11" xfId="10654" xr:uid="{00000000-0005-0000-0000-0000D5280000}"/>
    <cellStyle name="60% - akcent 3 2 2 10 12" xfId="10655" xr:uid="{00000000-0005-0000-0000-0000D6280000}"/>
    <cellStyle name="60% - akcent 3 2 2 10 2" xfId="10656" xr:uid="{00000000-0005-0000-0000-0000D7280000}"/>
    <cellStyle name="60% - akcent 3 2 2 10 2 10" xfId="10657" xr:uid="{00000000-0005-0000-0000-0000D8280000}"/>
    <cellStyle name="60% - akcent 3 2 2 10 2 11" xfId="10658" xr:uid="{00000000-0005-0000-0000-0000D9280000}"/>
    <cellStyle name="60% - akcent 3 2 2 10 2 2" xfId="10659" xr:uid="{00000000-0005-0000-0000-0000DA280000}"/>
    <cellStyle name="60% - akcent 3 2 2 10 2 2 10" xfId="10660" xr:uid="{00000000-0005-0000-0000-0000DB280000}"/>
    <cellStyle name="60% - akcent 3 2 2 10 2 2 11" xfId="10661" xr:uid="{00000000-0005-0000-0000-0000DC280000}"/>
    <cellStyle name="60% - akcent 3 2 2 10 2 2 2" xfId="10662" xr:uid="{00000000-0005-0000-0000-0000DD280000}"/>
    <cellStyle name="60% - akcent 3 2 2 10 2 2 2 2" xfId="10663" xr:uid="{00000000-0005-0000-0000-0000DE280000}"/>
    <cellStyle name="60% - akcent 3 2 2 10 2 2 2 2 2" xfId="10664" xr:uid="{00000000-0005-0000-0000-0000DF280000}"/>
    <cellStyle name="60% - akcent 3 2 2 10 2 2 2 2 3" xfId="10665" xr:uid="{00000000-0005-0000-0000-0000E0280000}"/>
    <cellStyle name="60% - akcent 3 2 2 10 2 2 2 2 4" xfId="10666" xr:uid="{00000000-0005-0000-0000-0000E1280000}"/>
    <cellStyle name="60% - akcent 3 2 2 10 2 2 2 2 5" xfId="10667" xr:uid="{00000000-0005-0000-0000-0000E2280000}"/>
    <cellStyle name="60% - akcent 3 2 2 10 2 2 2 2 6" xfId="10668" xr:uid="{00000000-0005-0000-0000-0000E3280000}"/>
    <cellStyle name="60% - akcent 3 2 2 10 2 2 2 3" xfId="10669" xr:uid="{00000000-0005-0000-0000-0000E4280000}"/>
    <cellStyle name="60% - akcent 3 2 2 10 2 2 2 4" xfId="10670" xr:uid="{00000000-0005-0000-0000-0000E5280000}"/>
    <cellStyle name="60% - akcent 3 2 2 10 2 2 2 5" xfId="10671" xr:uid="{00000000-0005-0000-0000-0000E6280000}"/>
    <cellStyle name="60% - akcent 3 2 2 10 2 2 2 6" xfId="10672" xr:uid="{00000000-0005-0000-0000-0000E7280000}"/>
    <cellStyle name="60% - akcent 3 2 2 10 2 2 2 7" xfId="10673" xr:uid="{00000000-0005-0000-0000-0000E8280000}"/>
    <cellStyle name="60% - akcent 3 2 2 10 2 2 3" xfId="10674" xr:uid="{00000000-0005-0000-0000-0000E9280000}"/>
    <cellStyle name="60% - akcent 3 2 2 10 2 2 4" xfId="10675" xr:uid="{00000000-0005-0000-0000-0000EA280000}"/>
    <cellStyle name="60% - akcent 3 2 2 10 2 2 5" xfId="10676" xr:uid="{00000000-0005-0000-0000-0000EB280000}"/>
    <cellStyle name="60% - akcent 3 2 2 10 2 2 6" xfId="10677" xr:uid="{00000000-0005-0000-0000-0000EC280000}"/>
    <cellStyle name="60% - akcent 3 2 2 10 2 2 7" xfId="10678" xr:uid="{00000000-0005-0000-0000-0000ED280000}"/>
    <cellStyle name="60% - akcent 3 2 2 10 2 2 7 2" xfId="10679" xr:uid="{00000000-0005-0000-0000-0000EE280000}"/>
    <cellStyle name="60% - akcent 3 2 2 10 2 2 7 3" xfId="10680" xr:uid="{00000000-0005-0000-0000-0000EF280000}"/>
    <cellStyle name="60% - akcent 3 2 2 10 2 2 7 4" xfId="10681" xr:uid="{00000000-0005-0000-0000-0000F0280000}"/>
    <cellStyle name="60% - akcent 3 2 2 10 2 2 7 5" xfId="10682" xr:uid="{00000000-0005-0000-0000-0000F1280000}"/>
    <cellStyle name="60% - akcent 3 2 2 10 2 2 7 6" xfId="10683" xr:uid="{00000000-0005-0000-0000-0000F2280000}"/>
    <cellStyle name="60% - akcent 3 2 2 10 2 2 8" xfId="10684" xr:uid="{00000000-0005-0000-0000-0000F3280000}"/>
    <cellStyle name="60% - akcent 3 2 2 10 2 2 9" xfId="10685" xr:uid="{00000000-0005-0000-0000-0000F4280000}"/>
    <cellStyle name="60% - akcent 3 2 2 10 2 3" xfId="10686" xr:uid="{00000000-0005-0000-0000-0000F5280000}"/>
    <cellStyle name="60% - akcent 3 2 2 10 2 3 2" xfId="10687" xr:uid="{00000000-0005-0000-0000-0000F6280000}"/>
    <cellStyle name="60% - akcent 3 2 2 10 2 3 2 2" xfId="10688" xr:uid="{00000000-0005-0000-0000-0000F7280000}"/>
    <cellStyle name="60% - akcent 3 2 2 10 2 3 2 3" xfId="10689" xr:uid="{00000000-0005-0000-0000-0000F8280000}"/>
    <cellStyle name="60% - akcent 3 2 2 10 2 3 2 4" xfId="10690" xr:uid="{00000000-0005-0000-0000-0000F9280000}"/>
    <cellStyle name="60% - akcent 3 2 2 10 2 3 2 5" xfId="10691" xr:uid="{00000000-0005-0000-0000-0000FA280000}"/>
    <cellStyle name="60% - akcent 3 2 2 10 2 3 2 6" xfId="10692" xr:uid="{00000000-0005-0000-0000-0000FB280000}"/>
    <cellStyle name="60% - akcent 3 2 2 10 2 3 3" xfId="10693" xr:uid="{00000000-0005-0000-0000-0000FC280000}"/>
    <cellStyle name="60% - akcent 3 2 2 10 2 3 4" xfId="10694" xr:uid="{00000000-0005-0000-0000-0000FD280000}"/>
    <cellStyle name="60% - akcent 3 2 2 10 2 3 5" xfId="10695" xr:uid="{00000000-0005-0000-0000-0000FE280000}"/>
    <cellStyle name="60% - akcent 3 2 2 10 2 3 6" xfId="10696" xr:uid="{00000000-0005-0000-0000-0000FF280000}"/>
    <cellStyle name="60% - akcent 3 2 2 10 2 3 7" xfId="10697" xr:uid="{00000000-0005-0000-0000-000000290000}"/>
    <cellStyle name="60% - akcent 3 2 2 10 2 4" xfId="10698" xr:uid="{00000000-0005-0000-0000-000001290000}"/>
    <cellStyle name="60% - akcent 3 2 2 10 2 5" xfId="10699" xr:uid="{00000000-0005-0000-0000-000002290000}"/>
    <cellStyle name="60% - akcent 3 2 2 10 2 6" xfId="10700" xr:uid="{00000000-0005-0000-0000-000003290000}"/>
    <cellStyle name="60% - akcent 3 2 2 10 2 7" xfId="10701" xr:uid="{00000000-0005-0000-0000-000004290000}"/>
    <cellStyle name="60% - akcent 3 2 2 10 2 7 2" xfId="10702" xr:uid="{00000000-0005-0000-0000-000005290000}"/>
    <cellStyle name="60% - akcent 3 2 2 10 2 7 3" xfId="10703" xr:uid="{00000000-0005-0000-0000-000006290000}"/>
    <cellStyle name="60% - akcent 3 2 2 10 2 7 4" xfId="10704" xr:uid="{00000000-0005-0000-0000-000007290000}"/>
    <cellStyle name="60% - akcent 3 2 2 10 2 7 5" xfId="10705" xr:uid="{00000000-0005-0000-0000-000008290000}"/>
    <cellStyle name="60% - akcent 3 2 2 10 2 7 6" xfId="10706" xr:uid="{00000000-0005-0000-0000-000009290000}"/>
    <cellStyle name="60% - akcent 3 2 2 10 2 8" xfId="10707" xr:uid="{00000000-0005-0000-0000-00000A290000}"/>
    <cellStyle name="60% - akcent 3 2 2 10 2 9" xfId="10708" xr:uid="{00000000-0005-0000-0000-00000B290000}"/>
    <cellStyle name="60% - akcent 3 2 2 10 3" xfId="10709" xr:uid="{00000000-0005-0000-0000-00000C290000}"/>
    <cellStyle name="60% - akcent 3 2 2 10 3 2" xfId="10710" xr:uid="{00000000-0005-0000-0000-00000D290000}"/>
    <cellStyle name="60% - akcent 3 2 2 10 3 2 2" xfId="10711" xr:uid="{00000000-0005-0000-0000-00000E290000}"/>
    <cellStyle name="60% - akcent 3 2 2 10 3 2 3" xfId="10712" xr:uid="{00000000-0005-0000-0000-00000F290000}"/>
    <cellStyle name="60% - akcent 3 2 2 10 3 2 4" xfId="10713" xr:uid="{00000000-0005-0000-0000-000010290000}"/>
    <cellStyle name="60% - akcent 3 2 2 10 3 2 5" xfId="10714" xr:uid="{00000000-0005-0000-0000-000011290000}"/>
    <cellStyle name="60% - akcent 3 2 2 10 3 2 6" xfId="10715" xr:uid="{00000000-0005-0000-0000-000012290000}"/>
    <cellStyle name="60% - akcent 3 2 2 10 3 3" xfId="10716" xr:uid="{00000000-0005-0000-0000-000013290000}"/>
    <cellStyle name="60% - akcent 3 2 2 10 3 4" xfId="10717" xr:uid="{00000000-0005-0000-0000-000014290000}"/>
    <cellStyle name="60% - akcent 3 2 2 10 3 5" xfId="10718" xr:uid="{00000000-0005-0000-0000-000015290000}"/>
    <cellStyle name="60% - akcent 3 2 2 10 3 6" xfId="10719" xr:uid="{00000000-0005-0000-0000-000016290000}"/>
    <cellStyle name="60% - akcent 3 2 2 10 3 7" xfId="10720" xr:uid="{00000000-0005-0000-0000-000017290000}"/>
    <cellStyle name="60% - akcent 3 2 2 10 4" xfId="10721" xr:uid="{00000000-0005-0000-0000-000018290000}"/>
    <cellStyle name="60% - akcent 3 2 2 10 5" xfId="10722" xr:uid="{00000000-0005-0000-0000-000019290000}"/>
    <cellStyle name="60% - akcent 3 2 2 10 6" xfId="10723" xr:uid="{00000000-0005-0000-0000-00001A290000}"/>
    <cellStyle name="60% - akcent 3 2 2 10 7" xfId="10724" xr:uid="{00000000-0005-0000-0000-00001B290000}"/>
    <cellStyle name="60% - akcent 3 2 2 10 8" xfId="10725" xr:uid="{00000000-0005-0000-0000-00001C290000}"/>
    <cellStyle name="60% - akcent 3 2 2 10 8 2" xfId="10726" xr:uid="{00000000-0005-0000-0000-00001D290000}"/>
    <cellStyle name="60% - akcent 3 2 2 10 8 3" xfId="10727" xr:uid="{00000000-0005-0000-0000-00001E290000}"/>
    <cellStyle name="60% - akcent 3 2 2 10 8 4" xfId="10728" xr:uid="{00000000-0005-0000-0000-00001F290000}"/>
    <cellStyle name="60% - akcent 3 2 2 10 8 5" xfId="10729" xr:uid="{00000000-0005-0000-0000-000020290000}"/>
    <cellStyle name="60% - akcent 3 2 2 10 8 6" xfId="10730" xr:uid="{00000000-0005-0000-0000-000021290000}"/>
    <cellStyle name="60% - akcent 3 2 2 10 9" xfId="10731" xr:uid="{00000000-0005-0000-0000-000022290000}"/>
    <cellStyle name="60% - akcent 3 2 2 11" xfId="10732" xr:uid="{00000000-0005-0000-0000-000023290000}"/>
    <cellStyle name="60% - akcent 3 2 2 11 10" xfId="10733" xr:uid="{00000000-0005-0000-0000-000024290000}"/>
    <cellStyle name="60% - akcent 3 2 2 11 11" xfId="10734" xr:uid="{00000000-0005-0000-0000-000025290000}"/>
    <cellStyle name="60% - akcent 3 2 2 11 2" xfId="10735" xr:uid="{00000000-0005-0000-0000-000026290000}"/>
    <cellStyle name="60% - akcent 3 2 2 11 2 2" xfId="10736" xr:uid="{00000000-0005-0000-0000-000027290000}"/>
    <cellStyle name="60% - akcent 3 2 2 11 2 2 2" xfId="10737" xr:uid="{00000000-0005-0000-0000-000028290000}"/>
    <cellStyle name="60% - akcent 3 2 2 11 2 2 3" xfId="10738" xr:uid="{00000000-0005-0000-0000-000029290000}"/>
    <cellStyle name="60% - akcent 3 2 2 11 2 2 4" xfId="10739" xr:uid="{00000000-0005-0000-0000-00002A290000}"/>
    <cellStyle name="60% - akcent 3 2 2 11 2 2 5" xfId="10740" xr:uid="{00000000-0005-0000-0000-00002B290000}"/>
    <cellStyle name="60% - akcent 3 2 2 11 2 2 6" xfId="10741" xr:uid="{00000000-0005-0000-0000-00002C290000}"/>
    <cellStyle name="60% - akcent 3 2 2 11 2 3" xfId="10742" xr:uid="{00000000-0005-0000-0000-00002D290000}"/>
    <cellStyle name="60% - akcent 3 2 2 11 2 4" xfId="10743" xr:uid="{00000000-0005-0000-0000-00002E290000}"/>
    <cellStyle name="60% - akcent 3 2 2 11 2 5" xfId="10744" xr:uid="{00000000-0005-0000-0000-00002F290000}"/>
    <cellStyle name="60% - akcent 3 2 2 11 2 6" xfId="10745" xr:uid="{00000000-0005-0000-0000-000030290000}"/>
    <cellStyle name="60% - akcent 3 2 2 11 2 7" xfId="10746" xr:uid="{00000000-0005-0000-0000-000031290000}"/>
    <cellStyle name="60% - akcent 3 2 2 11 3" xfId="10747" xr:uid="{00000000-0005-0000-0000-000032290000}"/>
    <cellStyle name="60% - akcent 3 2 2 11 4" xfId="10748" xr:uid="{00000000-0005-0000-0000-000033290000}"/>
    <cellStyle name="60% - akcent 3 2 2 11 5" xfId="10749" xr:uid="{00000000-0005-0000-0000-000034290000}"/>
    <cellStyle name="60% - akcent 3 2 2 11 6" xfId="10750" xr:uid="{00000000-0005-0000-0000-000035290000}"/>
    <cellStyle name="60% - akcent 3 2 2 11 7" xfId="10751" xr:uid="{00000000-0005-0000-0000-000036290000}"/>
    <cellStyle name="60% - akcent 3 2 2 11 7 2" xfId="10752" xr:uid="{00000000-0005-0000-0000-000037290000}"/>
    <cellStyle name="60% - akcent 3 2 2 11 7 3" xfId="10753" xr:uid="{00000000-0005-0000-0000-000038290000}"/>
    <cellStyle name="60% - akcent 3 2 2 11 7 4" xfId="10754" xr:uid="{00000000-0005-0000-0000-000039290000}"/>
    <cellStyle name="60% - akcent 3 2 2 11 7 5" xfId="10755" xr:uid="{00000000-0005-0000-0000-00003A290000}"/>
    <cellStyle name="60% - akcent 3 2 2 11 7 6" xfId="10756" xr:uid="{00000000-0005-0000-0000-00003B290000}"/>
    <cellStyle name="60% - akcent 3 2 2 11 8" xfId="10757" xr:uid="{00000000-0005-0000-0000-00003C290000}"/>
    <cellStyle name="60% - akcent 3 2 2 11 9" xfId="10758" xr:uid="{00000000-0005-0000-0000-00003D290000}"/>
    <cellStyle name="60% - akcent 3 2 2 12" xfId="10759" xr:uid="{00000000-0005-0000-0000-00003E290000}"/>
    <cellStyle name="60% - akcent 3 2 2 12 2" xfId="10760" xr:uid="{00000000-0005-0000-0000-00003F290000}"/>
    <cellStyle name="60% - akcent 3 2 2 12 2 2" xfId="10761" xr:uid="{00000000-0005-0000-0000-000040290000}"/>
    <cellStyle name="60% - akcent 3 2 2 12 2 3" xfId="10762" xr:uid="{00000000-0005-0000-0000-000041290000}"/>
    <cellStyle name="60% - akcent 3 2 2 12 2 4" xfId="10763" xr:uid="{00000000-0005-0000-0000-000042290000}"/>
    <cellStyle name="60% - akcent 3 2 2 12 2 5" xfId="10764" xr:uid="{00000000-0005-0000-0000-000043290000}"/>
    <cellStyle name="60% - akcent 3 2 2 12 2 6" xfId="10765" xr:uid="{00000000-0005-0000-0000-000044290000}"/>
    <cellStyle name="60% - akcent 3 2 2 12 3" xfId="10766" xr:uid="{00000000-0005-0000-0000-000045290000}"/>
    <cellStyle name="60% - akcent 3 2 2 12 4" xfId="10767" xr:uid="{00000000-0005-0000-0000-000046290000}"/>
    <cellStyle name="60% - akcent 3 2 2 12 5" xfId="10768" xr:uid="{00000000-0005-0000-0000-000047290000}"/>
    <cellStyle name="60% - akcent 3 2 2 12 6" xfId="10769" xr:uid="{00000000-0005-0000-0000-000048290000}"/>
    <cellStyle name="60% - akcent 3 2 2 12 7" xfId="10770" xr:uid="{00000000-0005-0000-0000-000049290000}"/>
    <cellStyle name="60% - akcent 3 2 2 13" xfId="10771" xr:uid="{00000000-0005-0000-0000-00004A290000}"/>
    <cellStyle name="60% - akcent 3 2 2 14" xfId="10772" xr:uid="{00000000-0005-0000-0000-00004B290000}"/>
    <cellStyle name="60% - akcent 3 2 2 15" xfId="10773" xr:uid="{00000000-0005-0000-0000-00004C290000}"/>
    <cellStyle name="60% - akcent 3 2 2 16" xfId="10774" xr:uid="{00000000-0005-0000-0000-00004D290000}"/>
    <cellStyle name="60% - akcent 3 2 2 17" xfId="10775" xr:uid="{00000000-0005-0000-0000-00004E290000}"/>
    <cellStyle name="60% - akcent 3 2 2 18" xfId="10776" xr:uid="{00000000-0005-0000-0000-00004F290000}"/>
    <cellStyle name="60% - akcent 3 2 2 18 2" xfId="10777" xr:uid="{00000000-0005-0000-0000-000050290000}"/>
    <cellStyle name="60% - akcent 3 2 2 18 3" xfId="10778" xr:uid="{00000000-0005-0000-0000-000051290000}"/>
    <cellStyle name="60% - akcent 3 2 2 18 4" xfId="10779" xr:uid="{00000000-0005-0000-0000-000052290000}"/>
    <cellStyle name="60% - akcent 3 2 2 18 5" xfId="10780" xr:uid="{00000000-0005-0000-0000-000053290000}"/>
    <cellStyle name="60% - akcent 3 2 2 18 6" xfId="10781" xr:uid="{00000000-0005-0000-0000-000054290000}"/>
    <cellStyle name="60% - akcent 3 2 2 19" xfId="10782" xr:uid="{00000000-0005-0000-0000-000055290000}"/>
    <cellStyle name="60% - akcent 3 2 2 2" xfId="10783" xr:uid="{00000000-0005-0000-0000-000056290000}"/>
    <cellStyle name="60% - akcent 3 2 2 2 10" xfId="10784" xr:uid="{00000000-0005-0000-0000-000057290000}"/>
    <cellStyle name="60% - akcent 3 2 2 2 11" xfId="10785" xr:uid="{00000000-0005-0000-0000-000058290000}"/>
    <cellStyle name="60% - akcent 3 2 2 2 2" xfId="10786" xr:uid="{00000000-0005-0000-0000-000059290000}"/>
    <cellStyle name="60% - akcent 3 2 2 2 2 10" xfId="10787" xr:uid="{00000000-0005-0000-0000-00005A290000}"/>
    <cellStyle name="60% - akcent 3 2 2 2 2 2" xfId="10788" xr:uid="{00000000-0005-0000-0000-00005B290000}"/>
    <cellStyle name="60% - akcent 3 2 2 2 2 2 2" xfId="10789" xr:uid="{00000000-0005-0000-0000-00005C290000}"/>
    <cellStyle name="60% - akcent 3 2 2 2 2 2 2 2" xfId="10790" xr:uid="{00000000-0005-0000-0000-00005D290000}"/>
    <cellStyle name="60% - akcent 3 2 2 2 2 2 2 2 2" xfId="10791" xr:uid="{00000000-0005-0000-0000-00005E290000}"/>
    <cellStyle name="60% - akcent 3 2 2 2 2 2 2 2 2 2" xfId="10792" xr:uid="{00000000-0005-0000-0000-00005F290000}"/>
    <cellStyle name="60% - akcent 3 2 2 2 2 2 2 2 2 3" xfId="10793" xr:uid="{00000000-0005-0000-0000-000060290000}"/>
    <cellStyle name="60% - akcent 3 2 2 2 2 2 2 2 2 4" xfId="10794" xr:uid="{00000000-0005-0000-0000-000061290000}"/>
    <cellStyle name="60% - akcent 3 2 2 2 2 2 2 2 3" xfId="10795" xr:uid="{00000000-0005-0000-0000-000062290000}"/>
    <cellStyle name="60% - akcent 3 2 2 2 2 2 2 2 4" xfId="10796" xr:uid="{00000000-0005-0000-0000-000063290000}"/>
    <cellStyle name="60% - akcent 3 2 2 2 2 2 2 2 5" xfId="10797" xr:uid="{00000000-0005-0000-0000-000064290000}"/>
    <cellStyle name="60% - akcent 3 2 2 2 2 2 2 3" xfId="10798" xr:uid="{00000000-0005-0000-0000-000065290000}"/>
    <cellStyle name="60% - akcent 3 2 2 2 2 2 2 4" xfId="10799" xr:uid="{00000000-0005-0000-0000-000066290000}"/>
    <cellStyle name="60% - akcent 3 2 2 2 2 2 2 5" xfId="10800" xr:uid="{00000000-0005-0000-0000-000067290000}"/>
    <cellStyle name="60% - akcent 3 2 2 2 2 2 2 6" xfId="10801" xr:uid="{00000000-0005-0000-0000-000068290000}"/>
    <cellStyle name="60% - akcent 3 2 2 2 2 2 2 7" xfId="10802" xr:uid="{00000000-0005-0000-0000-000069290000}"/>
    <cellStyle name="60% - akcent 3 2 2 2 2 2 2 7 2" xfId="10803" xr:uid="{00000000-0005-0000-0000-00006A290000}"/>
    <cellStyle name="60% - akcent 3 2 2 2 2 2 2 7 3" xfId="10804" xr:uid="{00000000-0005-0000-0000-00006B290000}"/>
    <cellStyle name="60% - akcent 3 2 2 2 2 2 2 7 4" xfId="10805" xr:uid="{00000000-0005-0000-0000-00006C290000}"/>
    <cellStyle name="60% - akcent 3 2 2 2 2 2 2 7 5" xfId="10806" xr:uid="{00000000-0005-0000-0000-00006D290000}"/>
    <cellStyle name="60% - akcent 3 2 2 2 2 2 2 7 6" xfId="10807" xr:uid="{00000000-0005-0000-0000-00006E290000}"/>
    <cellStyle name="60% - akcent 3 2 2 2 2 2 2 8" xfId="10808" xr:uid="{00000000-0005-0000-0000-00006F290000}"/>
    <cellStyle name="60% - akcent 3 2 2 2 2 2 2 9" xfId="10809" xr:uid="{00000000-0005-0000-0000-000070290000}"/>
    <cellStyle name="60% - akcent 3 2 2 2 2 2 3" xfId="10810" xr:uid="{00000000-0005-0000-0000-000071290000}"/>
    <cellStyle name="60% - akcent 3 2 2 2 2 2 3 2" xfId="10811" xr:uid="{00000000-0005-0000-0000-000072290000}"/>
    <cellStyle name="60% - akcent 3 2 2 2 2 2 3 2 2" xfId="10812" xr:uid="{00000000-0005-0000-0000-000073290000}"/>
    <cellStyle name="60% - akcent 3 2 2 2 2 2 3 2 3" xfId="10813" xr:uid="{00000000-0005-0000-0000-000074290000}"/>
    <cellStyle name="60% - akcent 3 2 2 2 2 2 3 2 4" xfId="10814" xr:uid="{00000000-0005-0000-0000-000075290000}"/>
    <cellStyle name="60% - akcent 3 2 2 2 2 2 3 2 5" xfId="10815" xr:uid="{00000000-0005-0000-0000-000076290000}"/>
    <cellStyle name="60% - akcent 3 2 2 2 2 2 3 2 6" xfId="10816" xr:uid="{00000000-0005-0000-0000-000077290000}"/>
    <cellStyle name="60% - akcent 3 2 2 2 2 2 3 3" xfId="10817" xr:uid="{00000000-0005-0000-0000-000078290000}"/>
    <cellStyle name="60% - akcent 3 2 2 2 2 2 3 4" xfId="10818" xr:uid="{00000000-0005-0000-0000-000079290000}"/>
    <cellStyle name="60% - akcent 3 2 2 2 2 2 3 5" xfId="10819" xr:uid="{00000000-0005-0000-0000-00007A290000}"/>
    <cellStyle name="60% - akcent 3 2 2 2 2 2 3 6" xfId="10820" xr:uid="{00000000-0005-0000-0000-00007B290000}"/>
    <cellStyle name="60% - akcent 3 2 2 2 2 2 3 7" xfId="10821" xr:uid="{00000000-0005-0000-0000-00007C290000}"/>
    <cellStyle name="60% - akcent 3 2 2 2 2 2 4" xfId="10822" xr:uid="{00000000-0005-0000-0000-00007D290000}"/>
    <cellStyle name="60% - akcent 3 2 2 2 2 2 5" xfId="10823" xr:uid="{00000000-0005-0000-0000-00007E290000}"/>
    <cellStyle name="60% - akcent 3 2 2 2 2 2 6" xfId="10824" xr:uid="{00000000-0005-0000-0000-00007F290000}"/>
    <cellStyle name="60% - akcent 3 2 2 2 2 2 7" xfId="10825" xr:uid="{00000000-0005-0000-0000-000080290000}"/>
    <cellStyle name="60% - akcent 3 2 2 2 2 2 7 2" xfId="10826" xr:uid="{00000000-0005-0000-0000-000081290000}"/>
    <cellStyle name="60% - akcent 3 2 2 2 2 2 7 3" xfId="10827" xr:uid="{00000000-0005-0000-0000-000082290000}"/>
    <cellStyle name="60% - akcent 3 2 2 2 2 2 7 4" xfId="10828" xr:uid="{00000000-0005-0000-0000-000083290000}"/>
    <cellStyle name="60% - akcent 3 2 2 2 2 2 7 5" xfId="10829" xr:uid="{00000000-0005-0000-0000-000084290000}"/>
    <cellStyle name="60% - akcent 3 2 2 2 2 2 7 6" xfId="10830" xr:uid="{00000000-0005-0000-0000-000085290000}"/>
    <cellStyle name="60% - akcent 3 2 2 2 2 2 8" xfId="10831" xr:uid="{00000000-0005-0000-0000-000086290000}"/>
    <cellStyle name="60% - akcent 3 2 2 2 2 2 9" xfId="10832" xr:uid="{00000000-0005-0000-0000-000087290000}"/>
    <cellStyle name="60% - akcent 3 2 2 2 2 3" xfId="10833" xr:uid="{00000000-0005-0000-0000-000088290000}"/>
    <cellStyle name="60% - akcent 3 2 2 2 2 3 2" xfId="10834" xr:uid="{00000000-0005-0000-0000-000089290000}"/>
    <cellStyle name="60% - akcent 3 2 2 2 2 3 2 2" xfId="10835" xr:uid="{00000000-0005-0000-0000-00008A290000}"/>
    <cellStyle name="60% - akcent 3 2 2 2 2 3 2 3" xfId="10836" xr:uid="{00000000-0005-0000-0000-00008B290000}"/>
    <cellStyle name="60% - akcent 3 2 2 2 2 3 2 4" xfId="10837" xr:uid="{00000000-0005-0000-0000-00008C290000}"/>
    <cellStyle name="60% - akcent 3 2 2 2 2 3 2 5" xfId="10838" xr:uid="{00000000-0005-0000-0000-00008D290000}"/>
    <cellStyle name="60% - akcent 3 2 2 2 2 3 2 6" xfId="10839" xr:uid="{00000000-0005-0000-0000-00008E290000}"/>
    <cellStyle name="60% - akcent 3 2 2 2 2 3 3" xfId="10840" xr:uid="{00000000-0005-0000-0000-00008F290000}"/>
    <cellStyle name="60% - akcent 3 2 2 2 2 3 4" xfId="10841" xr:uid="{00000000-0005-0000-0000-000090290000}"/>
    <cellStyle name="60% - akcent 3 2 2 2 2 3 5" xfId="10842" xr:uid="{00000000-0005-0000-0000-000091290000}"/>
    <cellStyle name="60% - akcent 3 2 2 2 2 3 6" xfId="10843" xr:uid="{00000000-0005-0000-0000-000092290000}"/>
    <cellStyle name="60% - akcent 3 2 2 2 2 3 7" xfId="10844" xr:uid="{00000000-0005-0000-0000-000093290000}"/>
    <cellStyle name="60% - akcent 3 2 2 2 2 4" xfId="10845" xr:uid="{00000000-0005-0000-0000-000094290000}"/>
    <cellStyle name="60% - akcent 3 2 2 2 2 5" xfId="10846" xr:uid="{00000000-0005-0000-0000-000095290000}"/>
    <cellStyle name="60% - akcent 3 2 2 2 2 6" xfId="10847" xr:uid="{00000000-0005-0000-0000-000096290000}"/>
    <cellStyle name="60% - akcent 3 2 2 2 2 7" xfId="10848" xr:uid="{00000000-0005-0000-0000-000097290000}"/>
    <cellStyle name="60% - akcent 3 2 2 2 2 8" xfId="10849" xr:uid="{00000000-0005-0000-0000-000098290000}"/>
    <cellStyle name="60% - akcent 3 2 2 2 2 8 2" xfId="10850" xr:uid="{00000000-0005-0000-0000-000099290000}"/>
    <cellStyle name="60% - akcent 3 2 2 2 2 8 3" xfId="10851" xr:uid="{00000000-0005-0000-0000-00009A290000}"/>
    <cellStyle name="60% - akcent 3 2 2 2 2 8 4" xfId="10852" xr:uid="{00000000-0005-0000-0000-00009B290000}"/>
    <cellStyle name="60% - akcent 3 2 2 2 2 8 5" xfId="10853" xr:uid="{00000000-0005-0000-0000-00009C290000}"/>
    <cellStyle name="60% - akcent 3 2 2 2 2 8 6" xfId="10854" xr:uid="{00000000-0005-0000-0000-00009D290000}"/>
    <cellStyle name="60% - akcent 3 2 2 2 2 9" xfId="10855" xr:uid="{00000000-0005-0000-0000-00009E290000}"/>
    <cellStyle name="60% - akcent 3 2 2 2 3" xfId="10856" xr:uid="{00000000-0005-0000-0000-00009F290000}"/>
    <cellStyle name="60% - akcent 3 2 2 2 4" xfId="10857" xr:uid="{00000000-0005-0000-0000-0000A0290000}"/>
    <cellStyle name="60% - akcent 3 2 2 2 4 10" xfId="10858" xr:uid="{00000000-0005-0000-0000-0000A1290000}"/>
    <cellStyle name="60% - akcent 3 2 2 2 4 11" xfId="10859" xr:uid="{00000000-0005-0000-0000-0000A2290000}"/>
    <cellStyle name="60% - akcent 3 2 2 2 4 2" xfId="10860" xr:uid="{00000000-0005-0000-0000-0000A3290000}"/>
    <cellStyle name="60% - akcent 3 2 2 2 4 2 2" xfId="10861" xr:uid="{00000000-0005-0000-0000-0000A4290000}"/>
    <cellStyle name="60% - akcent 3 2 2 2 4 2 2 2" xfId="10862" xr:uid="{00000000-0005-0000-0000-0000A5290000}"/>
    <cellStyle name="60% - akcent 3 2 2 2 4 2 2 3" xfId="10863" xr:uid="{00000000-0005-0000-0000-0000A6290000}"/>
    <cellStyle name="60% - akcent 3 2 2 2 4 2 2 4" xfId="10864" xr:uid="{00000000-0005-0000-0000-0000A7290000}"/>
    <cellStyle name="60% - akcent 3 2 2 2 4 2 2 5" xfId="10865" xr:uid="{00000000-0005-0000-0000-0000A8290000}"/>
    <cellStyle name="60% - akcent 3 2 2 2 4 2 2 6" xfId="10866" xr:uid="{00000000-0005-0000-0000-0000A9290000}"/>
    <cellStyle name="60% - akcent 3 2 2 2 4 2 3" xfId="10867" xr:uid="{00000000-0005-0000-0000-0000AA290000}"/>
    <cellStyle name="60% - akcent 3 2 2 2 4 2 4" xfId="10868" xr:uid="{00000000-0005-0000-0000-0000AB290000}"/>
    <cellStyle name="60% - akcent 3 2 2 2 4 2 5" xfId="10869" xr:uid="{00000000-0005-0000-0000-0000AC290000}"/>
    <cellStyle name="60% - akcent 3 2 2 2 4 2 6" xfId="10870" xr:uid="{00000000-0005-0000-0000-0000AD290000}"/>
    <cellStyle name="60% - akcent 3 2 2 2 4 2 7" xfId="10871" xr:uid="{00000000-0005-0000-0000-0000AE290000}"/>
    <cellStyle name="60% - akcent 3 2 2 2 4 3" xfId="10872" xr:uid="{00000000-0005-0000-0000-0000AF290000}"/>
    <cellStyle name="60% - akcent 3 2 2 2 4 4" xfId="10873" xr:uid="{00000000-0005-0000-0000-0000B0290000}"/>
    <cellStyle name="60% - akcent 3 2 2 2 4 5" xfId="10874" xr:uid="{00000000-0005-0000-0000-0000B1290000}"/>
    <cellStyle name="60% - akcent 3 2 2 2 4 6" xfId="10875" xr:uid="{00000000-0005-0000-0000-0000B2290000}"/>
    <cellStyle name="60% - akcent 3 2 2 2 4 7" xfId="10876" xr:uid="{00000000-0005-0000-0000-0000B3290000}"/>
    <cellStyle name="60% - akcent 3 2 2 2 4 7 2" xfId="10877" xr:uid="{00000000-0005-0000-0000-0000B4290000}"/>
    <cellStyle name="60% - akcent 3 2 2 2 4 7 3" xfId="10878" xr:uid="{00000000-0005-0000-0000-0000B5290000}"/>
    <cellStyle name="60% - akcent 3 2 2 2 4 7 4" xfId="10879" xr:uid="{00000000-0005-0000-0000-0000B6290000}"/>
    <cellStyle name="60% - akcent 3 2 2 2 4 7 5" xfId="10880" xr:uid="{00000000-0005-0000-0000-0000B7290000}"/>
    <cellStyle name="60% - akcent 3 2 2 2 4 7 6" xfId="10881" xr:uid="{00000000-0005-0000-0000-0000B8290000}"/>
    <cellStyle name="60% - akcent 3 2 2 2 4 8" xfId="10882" xr:uid="{00000000-0005-0000-0000-0000B9290000}"/>
    <cellStyle name="60% - akcent 3 2 2 2 4 9" xfId="10883" xr:uid="{00000000-0005-0000-0000-0000BA290000}"/>
    <cellStyle name="60% - akcent 3 2 2 2 5" xfId="10884" xr:uid="{00000000-0005-0000-0000-0000BB290000}"/>
    <cellStyle name="60% - akcent 3 2 2 2 5 2" xfId="10885" xr:uid="{00000000-0005-0000-0000-0000BC290000}"/>
    <cellStyle name="60% - akcent 3 2 2 2 5 2 2" xfId="10886" xr:uid="{00000000-0005-0000-0000-0000BD290000}"/>
    <cellStyle name="60% - akcent 3 2 2 2 5 2 3" xfId="10887" xr:uid="{00000000-0005-0000-0000-0000BE290000}"/>
    <cellStyle name="60% - akcent 3 2 2 2 5 2 4" xfId="10888" xr:uid="{00000000-0005-0000-0000-0000BF290000}"/>
    <cellStyle name="60% - akcent 3 2 2 2 5 2 5" xfId="10889" xr:uid="{00000000-0005-0000-0000-0000C0290000}"/>
    <cellStyle name="60% - akcent 3 2 2 2 5 2 6" xfId="10890" xr:uid="{00000000-0005-0000-0000-0000C1290000}"/>
    <cellStyle name="60% - akcent 3 2 2 2 5 3" xfId="10891" xr:uid="{00000000-0005-0000-0000-0000C2290000}"/>
    <cellStyle name="60% - akcent 3 2 2 2 5 4" xfId="10892" xr:uid="{00000000-0005-0000-0000-0000C3290000}"/>
    <cellStyle name="60% - akcent 3 2 2 2 5 5" xfId="10893" xr:uid="{00000000-0005-0000-0000-0000C4290000}"/>
    <cellStyle name="60% - akcent 3 2 2 2 5 6" xfId="10894" xr:uid="{00000000-0005-0000-0000-0000C5290000}"/>
    <cellStyle name="60% - akcent 3 2 2 2 5 7" xfId="10895" xr:uid="{00000000-0005-0000-0000-0000C6290000}"/>
    <cellStyle name="60% - akcent 3 2 2 2 6" xfId="10896" xr:uid="{00000000-0005-0000-0000-0000C7290000}"/>
    <cellStyle name="60% - akcent 3 2 2 2 7" xfId="10897" xr:uid="{00000000-0005-0000-0000-0000C8290000}"/>
    <cellStyle name="60% - akcent 3 2 2 2 8" xfId="10898" xr:uid="{00000000-0005-0000-0000-0000C9290000}"/>
    <cellStyle name="60% - akcent 3 2 2 2 9" xfId="10899" xr:uid="{00000000-0005-0000-0000-0000CA290000}"/>
    <cellStyle name="60% - akcent 3 2 2 2 9 2" xfId="10900" xr:uid="{00000000-0005-0000-0000-0000CB290000}"/>
    <cellStyle name="60% - akcent 3 2 2 2 9 3" xfId="10901" xr:uid="{00000000-0005-0000-0000-0000CC290000}"/>
    <cellStyle name="60% - akcent 3 2 2 2 9 4" xfId="10902" xr:uid="{00000000-0005-0000-0000-0000CD290000}"/>
    <cellStyle name="60% - akcent 3 2 2 2 9 5" xfId="10903" xr:uid="{00000000-0005-0000-0000-0000CE290000}"/>
    <cellStyle name="60% - akcent 3 2 2 2 9 6" xfId="10904" xr:uid="{00000000-0005-0000-0000-0000CF290000}"/>
    <cellStyle name="60% - akcent 3 2 2 20" xfId="10905" xr:uid="{00000000-0005-0000-0000-0000D0290000}"/>
    <cellStyle name="60% - akcent 3 2 2 3" xfId="10906" xr:uid="{00000000-0005-0000-0000-0000D1290000}"/>
    <cellStyle name="60% - akcent 3 2 2 4" xfId="10907" xr:uid="{00000000-0005-0000-0000-0000D2290000}"/>
    <cellStyle name="60% - akcent 3 2 2 5" xfId="10908" xr:uid="{00000000-0005-0000-0000-0000D3290000}"/>
    <cellStyle name="60% - akcent 3 2 2 6" xfId="10909" xr:uid="{00000000-0005-0000-0000-0000D4290000}"/>
    <cellStyle name="60% - akcent 3 2 2 7" xfId="10910" xr:uid="{00000000-0005-0000-0000-0000D5290000}"/>
    <cellStyle name="60% - akcent 3 2 2 8" xfId="10911" xr:uid="{00000000-0005-0000-0000-0000D6290000}"/>
    <cellStyle name="60% - akcent 3 2 2 9" xfId="10912" xr:uid="{00000000-0005-0000-0000-0000D7290000}"/>
    <cellStyle name="60% - akcent 3 2 20" xfId="10913" xr:uid="{00000000-0005-0000-0000-0000D8290000}"/>
    <cellStyle name="60% - akcent 3 2 21" xfId="10914" xr:uid="{00000000-0005-0000-0000-0000D9290000}"/>
    <cellStyle name="60% - akcent 3 2 21 2" xfId="10915" xr:uid="{00000000-0005-0000-0000-0000DA290000}"/>
    <cellStyle name="60% - akcent 3 2 21 3" xfId="10916" xr:uid="{00000000-0005-0000-0000-0000DB290000}"/>
    <cellStyle name="60% - akcent 3 2 21 4" xfId="10917" xr:uid="{00000000-0005-0000-0000-0000DC290000}"/>
    <cellStyle name="60% - akcent 3 2 21 5" xfId="10918" xr:uid="{00000000-0005-0000-0000-0000DD290000}"/>
    <cellStyle name="60% - akcent 3 2 21 6" xfId="10919" xr:uid="{00000000-0005-0000-0000-0000DE290000}"/>
    <cellStyle name="60% - akcent 3 2 22" xfId="10920" xr:uid="{00000000-0005-0000-0000-0000DF290000}"/>
    <cellStyle name="60% - akcent 3 2 23" xfId="10921" xr:uid="{00000000-0005-0000-0000-0000E0290000}"/>
    <cellStyle name="60% - akcent 3 2 24" xfId="10922" xr:uid="{00000000-0005-0000-0000-0000E1290000}"/>
    <cellStyle name="60% - akcent 3 2 25" xfId="10923" xr:uid="{00000000-0005-0000-0000-0000E2290000}"/>
    <cellStyle name="60% - akcent 3 2 26" xfId="10924" xr:uid="{00000000-0005-0000-0000-0000E3290000}"/>
    <cellStyle name="60% - akcent 3 2 27" xfId="10925" xr:uid="{00000000-0005-0000-0000-0000E4290000}"/>
    <cellStyle name="60% - akcent 3 2 28" xfId="10926" xr:uid="{00000000-0005-0000-0000-0000E5290000}"/>
    <cellStyle name="60% - akcent 3 2 29" xfId="10927" xr:uid="{00000000-0005-0000-0000-0000E6290000}"/>
    <cellStyle name="60% - akcent 3 2 3" xfId="10928" xr:uid="{00000000-0005-0000-0000-0000E7290000}"/>
    <cellStyle name="60% - akcent 3 2 30" xfId="10929" xr:uid="{00000000-0005-0000-0000-0000E8290000}"/>
    <cellStyle name="60% - akcent 3 2 31" xfId="10930" xr:uid="{00000000-0005-0000-0000-0000E9290000}"/>
    <cellStyle name="60% - akcent 3 2 32" xfId="10524" xr:uid="{00000000-0005-0000-0000-0000EA290000}"/>
    <cellStyle name="60% - akcent 3 2 33" xfId="37831" xr:uid="{00000000-0005-0000-0000-0000EB290000}"/>
    <cellStyle name="60% - akcent 3 2 4" xfId="10931" xr:uid="{00000000-0005-0000-0000-0000EC290000}"/>
    <cellStyle name="60% - akcent 3 2 5" xfId="10932" xr:uid="{00000000-0005-0000-0000-0000ED290000}"/>
    <cellStyle name="60% - akcent 3 2 6" xfId="10933" xr:uid="{00000000-0005-0000-0000-0000EE290000}"/>
    <cellStyle name="60% - akcent 3 2 6 10" xfId="10934" xr:uid="{00000000-0005-0000-0000-0000EF290000}"/>
    <cellStyle name="60% - akcent 3 2 6 11" xfId="10935" xr:uid="{00000000-0005-0000-0000-0000F0290000}"/>
    <cellStyle name="60% - akcent 3 2 6 12" xfId="10936" xr:uid="{00000000-0005-0000-0000-0000F1290000}"/>
    <cellStyle name="60% - akcent 3 2 6 13" xfId="10937" xr:uid="{00000000-0005-0000-0000-0000F2290000}"/>
    <cellStyle name="60% - akcent 3 2 6 2" xfId="10938" xr:uid="{00000000-0005-0000-0000-0000F3290000}"/>
    <cellStyle name="60% - akcent 3 2 6 2 10" xfId="10939" xr:uid="{00000000-0005-0000-0000-0000F4290000}"/>
    <cellStyle name="60% - akcent 3 2 6 2 11" xfId="10940" xr:uid="{00000000-0005-0000-0000-0000F5290000}"/>
    <cellStyle name="60% - akcent 3 2 6 2 12" xfId="10941" xr:uid="{00000000-0005-0000-0000-0000F6290000}"/>
    <cellStyle name="60% - akcent 3 2 6 2 13" xfId="10942" xr:uid="{00000000-0005-0000-0000-0000F7290000}"/>
    <cellStyle name="60% - akcent 3 2 6 2 2" xfId="10943" xr:uid="{00000000-0005-0000-0000-0000F8290000}"/>
    <cellStyle name="60% - akcent 3 2 6 2 2 10" xfId="10944" xr:uid="{00000000-0005-0000-0000-0000F9290000}"/>
    <cellStyle name="60% - akcent 3 2 6 2 2 11" xfId="10945" xr:uid="{00000000-0005-0000-0000-0000FA290000}"/>
    <cellStyle name="60% - akcent 3 2 6 2 2 12" xfId="10946" xr:uid="{00000000-0005-0000-0000-0000FB290000}"/>
    <cellStyle name="60% - akcent 3 2 6 2 2 2" xfId="10947" xr:uid="{00000000-0005-0000-0000-0000FC290000}"/>
    <cellStyle name="60% - akcent 3 2 6 2 2 2 10" xfId="10948" xr:uid="{00000000-0005-0000-0000-0000FD290000}"/>
    <cellStyle name="60% - akcent 3 2 6 2 2 2 11" xfId="10949" xr:uid="{00000000-0005-0000-0000-0000FE290000}"/>
    <cellStyle name="60% - akcent 3 2 6 2 2 2 2" xfId="10950" xr:uid="{00000000-0005-0000-0000-0000FF290000}"/>
    <cellStyle name="60% - akcent 3 2 6 2 2 2 2 10" xfId="10951" xr:uid="{00000000-0005-0000-0000-0000002A0000}"/>
    <cellStyle name="60% - akcent 3 2 6 2 2 2 2 11" xfId="10952" xr:uid="{00000000-0005-0000-0000-0000012A0000}"/>
    <cellStyle name="60% - akcent 3 2 6 2 2 2 2 2" xfId="10953" xr:uid="{00000000-0005-0000-0000-0000022A0000}"/>
    <cellStyle name="60% - akcent 3 2 6 2 2 2 2 2 2" xfId="10954" xr:uid="{00000000-0005-0000-0000-0000032A0000}"/>
    <cellStyle name="60% - akcent 3 2 6 2 2 2 2 2 2 2" xfId="10955" xr:uid="{00000000-0005-0000-0000-0000042A0000}"/>
    <cellStyle name="60% - akcent 3 2 6 2 2 2 2 2 2 3" xfId="10956" xr:uid="{00000000-0005-0000-0000-0000052A0000}"/>
    <cellStyle name="60% - akcent 3 2 6 2 2 2 2 2 2 4" xfId="10957" xr:uid="{00000000-0005-0000-0000-0000062A0000}"/>
    <cellStyle name="60% - akcent 3 2 6 2 2 2 2 2 2 5" xfId="10958" xr:uid="{00000000-0005-0000-0000-0000072A0000}"/>
    <cellStyle name="60% - akcent 3 2 6 2 2 2 2 2 2 6" xfId="10959" xr:uid="{00000000-0005-0000-0000-0000082A0000}"/>
    <cellStyle name="60% - akcent 3 2 6 2 2 2 2 2 3" xfId="10960" xr:uid="{00000000-0005-0000-0000-0000092A0000}"/>
    <cellStyle name="60% - akcent 3 2 6 2 2 2 2 2 4" xfId="10961" xr:uid="{00000000-0005-0000-0000-00000A2A0000}"/>
    <cellStyle name="60% - akcent 3 2 6 2 2 2 2 2 5" xfId="10962" xr:uid="{00000000-0005-0000-0000-00000B2A0000}"/>
    <cellStyle name="60% - akcent 3 2 6 2 2 2 2 2 6" xfId="10963" xr:uid="{00000000-0005-0000-0000-00000C2A0000}"/>
    <cellStyle name="60% - akcent 3 2 6 2 2 2 2 2 7" xfId="10964" xr:uid="{00000000-0005-0000-0000-00000D2A0000}"/>
    <cellStyle name="60% - akcent 3 2 6 2 2 2 2 3" xfId="10965" xr:uid="{00000000-0005-0000-0000-00000E2A0000}"/>
    <cellStyle name="60% - akcent 3 2 6 2 2 2 2 4" xfId="10966" xr:uid="{00000000-0005-0000-0000-00000F2A0000}"/>
    <cellStyle name="60% - akcent 3 2 6 2 2 2 2 5" xfId="10967" xr:uid="{00000000-0005-0000-0000-0000102A0000}"/>
    <cellStyle name="60% - akcent 3 2 6 2 2 2 2 6" xfId="10968" xr:uid="{00000000-0005-0000-0000-0000112A0000}"/>
    <cellStyle name="60% - akcent 3 2 6 2 2 2 2 7" xfId="10969" xr:uid="{00000000-0005-0000-0000-0000122A0000}"/>
    <cellStyle name="60% - akcent 3 2 6 2 2 2 2 7 2" xfId="10970" xr:uid="{00000000-0005-0000-0000-0000132A0000}"/>
    <cellStyle name="60% - akcent 3 2 6 2 2 2 2 7 3" xfId="10971" xr:uid="{00000000-0005-0000-0000-0000142A0000}"/>
    <cellStyle name="60% - akcent 3 2 6 2 2 2 2 7 4" xfId="10972" xr:uid="{00000000-0005-0000-0000-0000152A0000}"/>
    <cellStyle name="60% - akcent 3 2 6 2 2 2 2 7 5" xfId="10973" xr:uid="{00000000-0005-0000-0000-0000162A0000}"/>
    <cellStyle name="60% - akcent 3 2 6 2 2 2 2 7 6" xfId="10974" xr:uid="{00000000-0005-0000-0000-0000172A0000}"/>
    <cellStyle name="60% - akcent 3 2 6 2 2 2 2 8" xfId="10975" xr:uid="{00000000-0005-0000-0000-0000182A0000}"/>
    <cellStyle name="60% - akcent 3 2 6 2 2 2 2 9" xfId="10976" xr:uid="{00000000-0005-0000-0000-0000192A0000}"/>
    <cellStyle name="60% - akcent 3 2 6 2 2 2 3" xfId="10977" xr:uid="{00000000-0005-0000-0000-00001A2A0000}"/>
    <cellStyle name="60% - akcent 3 2 6 2 2 2 3 2" xfId="10978" xr:uid="{00000000-0005-0000-0000-00001B2A0000}"/>
    <cellStyle name="60% - akcent 3 2 6 2 2 2 3 2 2" xfId="10979" xr:uid="{00000000-0005-0000-0000-00001C2A0000}"/>
    <cellStyle name="60% - akcent 3 2 6 2 2 2 3 2 3" xfId="10980" xr:uid="{00000000-0005-0000-0000-00001D2A0000}"/>
    <cellStyle name="60% - akcent 3 2 6 2 2 2 3 2 4" xfId="10981" xr:uid="{00000000-0005-0000-0000-00001E2A0000}"/>
    <cellStyle name="60% - akcent 3 2 6 2 2 2 3 2 5" xfId="10982" xr:uid="{00000000-0005-0000-0000-00001F2A0000}"/>
    <cellStyle name="60% - akcent 3 2 6 2 2 2 3 2 6" xfId="10983" xr:uid="{00000000-0005-0000-0000-0000202A0000}"/>
    <cellStyle name="60% - akcent 3 2 6 2 2 2 3 3" xfId="10984" xr:uid="{00000000-0005-0000-0000-0000212A0000}"/>
    <cellStyle name="60% - akcent 3 2 6 2 2 2 3 4" xfId="10985" xr:uid="{00000000-0005-0000-0000-0000222A0000}"/>
    <cellStyle name="60% - akcent 3 2 6 2 2 2 3 5" xfId="10986" xr:uid="{00000000-0005-0000-0000-0000232A0000}"/>
    <cellStyle name="60% - akcent 3 2 6 2 2 2 3 6" xfId="10987" xr:uid="{00000000-0005-0000-0000-0000242A0000}"/>
    <cellStyle name="60% - akcent 3 2 6 2 2 2 3 7" xfId="10988" xr:uid="{00000000-0005-0000-0000-0000252A0000}"/>
    <cellStyle name="60% - akcent 3 2 6 2 2 2 4" xfId="10989" xr:uid="{00000000-0005-0000-0000-0000262A0000}"/>
    <cellStyle name="60% - akcent 3 2 6 2 2 2 5" xfId="10990" xr:uid="{00000000-0005-0000-0000-0000272A0000}"/>
    <cellStyle name="60% - akcent 3 2 6 2 2 2 6" xfId="10991" xr:uid="{00000000-0005-0000-0000-0000282A0000}"/>
    <cellStyle name="60% - akcent 3 2 6 2 2 2 7" xfId="10992" xr:uid="{00000000-0005-0000-0000-0000292A0000}"/>
    <cellStyle name="60% - akcent 3 2 6 2 2 2 7 2" xfId="10993" xr:uid="{00000000-0005-0000-0000-00002A2A0000}"/>
    <cellStyle name="60% - akcent 3 2 6 2 2 2 7 3" xfId="10994" xr:uid="{00000000-0005-0000-0000-00002B2A0000}"/>
    <cellStyle name="60% - akcent 3 2 6 2 2 2 7 4" xfId="10995" xr:uid="{00000000-0005-0000-0000-00002C2A0000}"/>
    <cellStyle name="60% - akcent 3 2 6 2 2 2 7 5" xfId="10996" xr:uid="{00000000-0005-0000-0000-00002D2A0000}"/>
    <cellStyle name="60% - akcent 3 2 6 2 2 2 7 6" xfId="10997" xr:uid="{00000000-0005-0000-0000-00002E2A0000}"/>
    <cellStyle name="60% - akcent 3 2 6 2 2 2 8" xfId="10998" xr:uid="{00000000-0005-0000-0000-00002F2A0000}"/>
    <cellStyle name="60% - akcent 3 2 6 2 2 2 9" xfId="10999" xr:uid="{00000000-0005-0000-0000-0000302A0000}"/>
    <cellStyle name="60% - akcent 3 2 6 2 2 3" xfId="11000" xr:uid="{00000000-0005-0000-0000-0000312A0000}"/>
    <cellStyle name="60% - akcent 3 2 6 2 2 3 2" xfId="11001" xr:uid="{00000000-0005-0000-0000-0000322A0000}"/>
    <cellStyle name="60% - akcent 3 2 6 2 2 3 2 2" xfId="11002" xr:uid="{00000000-0005-0000-0000-0000332A0000}"/>
    <cellStyle name="60% - akcent 3 2 6 2 2 3 2 3" xfId="11003" xr:uid="{00000000-0005-0000-0000-0000342A0000}"/>
    <cellStyle name="60% - akcent 3 2 6 2 2 3 2 4" xfId="11004" xr:uid="{00000000-0005-0000-0000-0000352A0000}"/>
    <cellStyle name="60% - akcent 3 2 6 2 2 3 2 5" xfId="11005" xr:uid="{00000000-0005-0000-0000-0000362A0000}"/>
    <cellStyle name="60% - akcent 3 2 6 2 2 3 2 6" xfId="11006" xr:uid="{00000000-0005-0000-0000-0000372A0000}"/>
    <cellStyle name="60% - akcent 3 2 6 2 2 3 3" xfId="11007" xr:uid="{00000000-0005-0000-0000-0000382A0000}"/>
    <cellStyle name="60% - akcent 3 2 6 2 2 3 4" xfId="11008" xr:uid="{00000000-0005-0000-0000-0000392A0000}"/>
    <cellStyle name="60% - akcent 3 2 6 2 2 3 5" xfId="11009" xr:uid="{00000000-0005-0000-0000-00003A2A0000}"/>
    <cellStyle name="60% - akcent 3 2 6 2 2 3 6" xfId="11010" xr:uid="{00000000-0005-0000-0000-00003B2A0000}"/>
    <cellStyle name="60% - akcent 3 2 6 2 2 3 7" xfId="11011" xr:uid="{00000000-0005-0000-0000-00003C2A0000}"/>
    <cellStyle name="60% - akcent 3 2 6 2 2 4" xfId="11012" xr:uid="{00000000-0005-0000-0000-00003D2A0000}"/>
    <cellStyle name="60% - akcent 3 2 6 2 2 5" xfId="11013" xr:uid="{00000000-0005-0000-0000-00003E2A0000}"/>
    <cellStyle name="60% - akcent 3 2 6 2 2 6" xfId="11014" xr:uid="{00000000-0005-0000-0000-00003F2A0000}"/>
    <cellStyle name="60% - akcent 3 2 6 2 2 7" xfId="11015" xr:uid="{00000000-0005-0000-0000-0000402A0000}"/>
    <cellStyle name="60% - akcent 3 2 6 2 2 8" xfId="11016" xr:uid="{00000000-0005-0000-0000-0000412A0000}"/>
    <cellStyle name="60% - akcent 3 2 6 2 2 8 2" xfId="11017" xr:uid="{00000000-0005-0000-0000-0000422A0000}"/>
    <cellStyle name="60% - akcent 3 2 6 2 2 8 3" xfId="11018" xr:uid="{00000000-0005-0000-0000-0000432A0000}"/>
    <cellStyle name="60% - akcent 3 2 6 2 2 8 4" xfId="11019" xr:uid="{00000000-0005-0000-0000-0000442A0000}"/>
    <cellStyle name="60% - akcent 3 2 6 2 2 8 5" xfId="11020" xr:uid="{00000000-0005-0000-0000-0000452A0000}"/>
    <cellStyle name="60% - akcent 3 2 6 2 2 8 6" xfId="11021" xr:uid="{00000000-0005-0000-0000-0000462A0000}"/>
    <cellStyle name="60% - akcent 3 2 6 2 2 9" xfId="11022" xr:uid="{00000000-0005-0000-0000-0000472A0000}"/>
    <cellStyle name="60% - akcent 3 2 6 2 3" xfId="11023" xr:uid="{00000000-0005-0000-0000-0000482A0000}"/>
    <cellStyle name="60% - akcent 3 2 6 2 4" xfId="11024" xr:uid="{00000000-0005-0000-0000-0000492A0000}"/>
    <cellStyle name="60% - akcent 3 2 6 2 4 10" xfId="11025" xr:uid="{00000000-0005-0000-0000-00004A2A0000}"/>
    <cellStyle name="60% - akcent 3 2 6 2 4 11" xfId="11026" xr:uid="{00000000-0005-0000-0000-00004B2A0000}"/>
    <cellStyle name="60% - akcent 3 2 6 2 4 2" xfId="11027" xr:uid="{00000000-0005-0000-0000-00004C2A0000}"/>
    <cellStyle name="60% - akcent 3 2 6 2 4 2 2" xfId="11028" xr:uid="{00000000-0005-0000-0000-00004D2A0000}"/>
    <cellStyle name="60% - akcent 3 2 6 2 4 2 2 2" xfId="11029" xr:uid="{00000000-0005-0000-0000-00004E2A0000}"/>
    <cellStyle name="60% - akcent 3 2 6 2 4 2 2 3" xfId="11030" xr:uid="{00000000-0005-0000-0000-00004F2A0000}"/>
    <cellStyle name="60% - akcent 3 2 6 2 4 2 2 4" xfId="11031" xr:uid="{00000000-0005-0000-0000-0000502A0000}"/>
    <cellStyle name="60% - akcent 3 2 6 2 4 2 2 5" xfId="11032" xr:uid="{00000000-0005-0000-0000-0000512A0000}"/>
    <cellStyle name="60% - akcent 3 2 6 2 4 2 2 6" xfId="11033" xr:uid="{00000000-0005-0000-0000-0000522A0000}"/>
    <cellStyle name="60% - akcent 3 2 6 2 4 2 3" xfId="11034" xr:uid="{00000000-0005-0000-0000-0000532A0000}"/>
    <cellStyle name="60% - akcent 3 2 6 2 4 2 4" xfId="11035" xr:uid="{00000000-0005-0000-0000-0000542A0000}"/>
    <cellStyle name="60% - akcent 3 2 6 2 4 2 5" xfId="11036" xr:uid="{00000000-0005-0000-0000-0000552A0000}"/>
    <cellStyle name="60% - akcent 3 2 6 2 4 2 6" xfId="11037" xr:uid="{00000000-0005-0000-0000-0000562A0000}"/>
    <cellStyle name="60% - akcent 3 2 6 2 4 2 7" xfId="11038" xr:uid="{00000000-0005-0000-0000-0000572A0000}"/>
    <cellStyle name="60% - akcent 3 2 6 2 4 3" xfId="11039" xr:uid="{00000000-0005-0000-0000-0000582A0000}"/>
    <cellStyle name="60% - akcent 3 2 6 2 4 4" xfId="11040" xr:uid="{00000000-0005-0000-0000-0000592A0000}"/>
    <cellStyle name="60% - akcent 3 2 6 2 4 5" xfId="11041" xr:uid="{00000000-0005-0000-0000-00005A2A0000}"/>
    <cellStyle name="60% - akcent 3 2 6 2 4 6" xfId="11042" xr:uid="{00000000-0005-0000-0000-00005B2A0000}"/>
    <cellStyle name="60% - akcent 3 2 6 2 4 7" xfId="11043" xr:uid="{00000000-0005-0000-0000-00005C2A0000}"/>
    <cellStyle name="60% - akcent 3 2 6 2 4 7 2" xfId="11044" xr:uid="{00000000-0005-0000-0000-00005D2A0000}"/>
    <cellStyle name="60% - akcent 3 2 6 2 4 7 3" xfId="11045" xr:uid="{00000000-0005-0000-0000-00005E2A0000}"/>
    <cellStyle name="60% - akcent 3 2 6 2 4 7 4" xfId="11046" xr:uid="{00000000-0005-0000-0000-00005F2A0000}"/>
    <cellStyle name="60% - akcent 3 2 6 2 4 7 5" xfId="11047" xr:uid="{00000000-0005-0000-0000-0000602A0000}"/>
    <cellStyle name="60% - akcent 3 2 6 2 4 7 6" xfId="11048" xr:uid="{00000000-0005-0000-0000-0000612A0000}"/>
    <cellStyle name="60% - akcent 3 2 6 2 4 8" xfId="11049" xr:uid="{00000000-0005-0000-0000-0000622A0000}"/>
    <cellStyle name="60% - akcent 3 2 6 2 4 9" xfId="11050" xr:uid="{00000000-0005-0000-0000-0000632A0000}"/>
    <cellStyle name="60% - akcent 3 2 6 2 5" xfId="11051" xr:uid="{00000000-0005-0000-0000-0000642A0000}"/>
    <cellStyle name="60% - akcent 3 2 6 2 5 2" xfId="11052" xr:uid="{00000000-0005-0000-0000-0000652A0000}"/>
    <cellStyle name="60% - akcent 3 2 6 2 5 2 2" xfId="11053" xr:uid="{00000000-0005-0000-0000-0000662A0000}"/>
    <cellStyle name="60% - akcent 3 2 6 2 5 2 3" xfId="11054" xr:uid="{00000000-0005-0000-0000-0000672A0000}"/>
    <cellStyle name="60% - akcent 3 2 6 2 5 2 4" xfId="11055" xr:uid="{00000000-0005-0000-0000-0000682A0000}"/>
    <cellStyle name="60% - akcent 3 2 6 2 5 2 5" xfId="11056" xr:uid="{00000000-0005-0000-0000-0000692A0000}"/>
    <cellStyle name="60% - akcent 3 2 6 2 5 2 6" xfId="11057" xr:uid="{00000000-0005-0000-0000-00006A2A0000}"/>
    <cellStyle name="60% - akcent 3 2 6 2 5 3" xfId="11058" xr:uid="{00000000-0005-0000-0000-00006B2A0000}"/>
    <cellStyle name="60% - akcent 3 2 6 2 5 4" xfId="11059" xr:uid="{00000000-0005-0000-0000-00006C2A0000}"/>
    <cellStyle name="60% - akcent 3 2 6 2 5 5" xfId="11060" xr:uid="{00000000-0005-0000-0000-00006D2A0000}"/>
    <cellStyle name="60% - akcent 3 2 6 2 5 6" xfId="11061" xr:uid="{00000000-0005-0000-0000-00006E2A0000}"/>
    <cellStyle name="60% - akcent 3 2 6 2 5 7" xfId="11062" xr:uid="{00000000-0005-0000-0000-00006F2A0000}"/>
    <cellStyle name="60% - akcent 3 2 6 2 6" xfId="11063" xr:uid="{00000000-0005-0000-0000-0000702A0000}"/>
    <cellStyle name="60% - akcent 3 2 6 2 7" xfId="11064" xr:uid="{00000000-0005-0000-0000-0000712A0000}"/>
    <cellStyle name="60% - akcent 3 2 6 2 8" xfId="11065" xr:uid="{00000000-0005-0000-0000-0000722A0000}"/>
    <cellStyle name="60% - akcent 3 2 6 2 9" xfId="11066" xr:uid="{00000000-0005-0000-0000-0000732A0000}"/>
    <cellStyle name="60% - akcent 3 2 6 2 9 2" xfId="11067" xr:uid="{00000000-0005-0000-0000-0000742A0000}"/>
    <cellStyle name="60% - akcent 3 2 6 2 9 3" xfId="11068" xr:uid="{00000000-0005-0000-0000-0000752A0000}"/>
    <cellStyle name="60% - akcent 3 2 6 2 9 4" xfId="11069" xr:uid="{00000000-0005-0000-0000-0000762A0000}"/>
    <cellStyle name="60% - akcent 3 2 6 2 9 5" xfId="11070" xr:uid="{00000000-0005-0000-0000-0000772A0000}"/>
    <cellStyle name="60% - akcent 3 2 6 2 9 6" xfId="11071" xr:uid="{00000000-0005-0000-0000-0000782A0000}"/>
    <cellStyle name="60% - akcent 3 2 6 3" xfId="11072" xr:uid="{00000000-0005-0000-0000-0000792A0000}"/>
    <cellStyle name="60% - akcent 3 2 6 3 10" xfId="11073" xr:uid="{00000000-0005-0000-0000-00007A2A0000}"/>
    <cellStyle name="60% - akcent 3 2 6 3 11" xfId="11074" xr:uid="{00000000-0005-0000-0000-00007B2A0000}"/>
    <cellStyle name="60% - akcent 3 2 6 3 12" xfId="11075" xr:uid="{00000000-0005-0000-0000-00007C2A0000}"/>
    <cellStyle name="60% - akcent 3 2 6 3 2" xfId="11076" xr:uid="{00000000-0005-0000-0000-00007D2A0000}"/>
    <cellStyle name="60% - akcent 3 2 6 3 2 10" xfId="11077" xr:uid="{00000000-0005-0000-0000-00007E2A0000}"/>
    <cellStyle name="60% - akcent 3 2 6 3 2 11" xfId="11078" xr:uid="{00000000-0005-0000-0000-00007F2A0000}"/>
    <cellStyle name="60% - akcent 3 2 6 3 2 2" xfId="11079" xr:uid="{00000000-0005-0000-0000-0000802A0000}"/>
    <cellStyle name="60% - akcent 3 2 6 3 2 2 10" xfId="11080" xr:uid="{00000000-0005-0000-0000-0000812A0000}"/>
    <cellStyle name="60% - akcent 3 2 6 3 2 2 11" xfId="11081" xr:uid="{00000000-0005-0000-0000-0000822A0000}"/>
    <cellStyle name="60% - akcent 3 2 6 3 2 2 2" xfId="11082" xr:uid="{00000000-0005-0000-0000-0000832A0000}"/>
    <cellStyle name="60% - akcent 3 2 6 3 2 2 2 2" xfId="11083" xr:uid="{00000000-0005-0000-0000-0000842A0000}"/>
    <cellStyle name="60% - akcent 3 2 6 3 2 2 2 2 2" xfId="11084" xr:uid="{00000000-0005-0000-0000-0000852A0000}"/>
    <cellStyle name="60% - akcent 3 2 6 3 2 2 2 2 3" xfId="11085" xr:uid="{00000000-0005-0000-0000-0000862A0000}"/>
    <cellStyle name="60% - akcent 3 2 6 3 2 2 2 2 4" xfId="11086" xr:uid="{00000000-0005-0000-0000-0000872A0000}"/>
    <cellStyle name="60% - akcent 3 2 6 3 2 2 2 2 5" xfId="11087" xr:uid="{00000000-0005-0000-0000-0000882A0000}"/>
    <cellStyle name="60% - akcent 3 2 6 3 2 2 2 2 6" xfId="11088" xr:uid="{00000000-0005-0000-0000-0000892A0000}"/>
    <cellStyle name="60% - akcent 3 2 6 3 2 2 2 3" xfId="11089" xr:uid="{00000000-0005-0000-0000-00008A2A0000}"/>
    <cellStyle name="60% - akcent 3 2 6 3 2 2 2 4" xfId="11090" xr:uid="{00000000-0005-0000-0000-00008B2A0000}"/>
    <cellStyle name="60% - akcent 3 2 6 3 2 2 2 5" xfId="11091" xr:uid="{00000000-0005-0000-0000-00008C2A0000}"/>
    <cellStyle name="60% - akcent 3 2 6 3 2 2 2 6" xfId="11092" xr:uid="{00000000-0005-0000-0000-00008D2A0000}"/>
    <cellStyle name="60% - akcent 3 2 6 3 2 2 2 7" xfId="11093" xr:uid="{00000000-0005-0000-0000-00008E2A0000}"/>
    <cellStyle name="60% - akcent 3 2 6 3 2 2 3" xfId="11094" xr:uid="{00000000-0005-0000-0000-00008F2A0000}"/>
    <cellStyle name="60% - akcent 3 2 6 3 2 2 4" xfId="11095" xr:uid="{00000000-0005-0000-0000-0000902A0000}"/>
    <cellStyle name="60% - akcent 3 2 6 3 2 2 5" xfId="11096" xr:uid="{00000000-0005-0000-0000-0000912A0000}"/>
    <cellStyle name="60% - akcent 3 2 6 3 2 2 6" xfId="11097" xr:uid="{00000000-0005-0000-0000-0000922A0000}"/>
    <cellStyle name="60% - akcent 3 2 6 3 2 2 7" xfId="11098" xr:uid="{00000000-0005-0000-0000-0000932A0000}"/>
    <cellStyle name="60% - akcent 3 2 6 3 2 2 7 2" xfId="11099" xr:uid="{00000000-0005-0000-0000-0000942A0000}"/>
    <cellStyle name="60% - akcent 3 2 6 3 2 2 7 3" xfId="11100" xr:uid="{00000000-0005-0000-0000-0000952A0000}"/>
    <cellStyle name="60% - akcent 3 2 6 3 2 2 7 4" xfId="11101" xr:uid="{00000000-0005-0000-0000-0000962A0000}"/>
    <cellStyle name="60% - akcent 3 2 6 3 2 2 7 5" xfId="11102" xr:uid="{00000000-0005-0000-0000-0000972A0000}"/>
    <cellStyle name="60% - akcent 3 2 6 3 2 2 7 6" xfId="11103" xr:uid="{00000000-0005-0000-0000-0000982A0000}"/>
    <cellStyle name="60% - akcent 3 2 6 3 2 2 8" xfId="11104" xr:uid="{00000000-0005-0000-0000-0000992A0000}"/>
    <cellStyle name="60% - akcent 3 2 6 3 2 2 9" xfId="11105" xr:uid="{00000000-0005-0000-0000-00009A2A0000}"/>
    <cellStyle name="60% - akcent 3 2 6 3 2 3" xfId="11106" xr:uid="{00000000-0005-0000-0000-00009B2A0000}"/>
    <cellStyle name="60% - akcent 3 2 6 3 2 3 2" xfId="11107" xr:uid="{00000000-0005-0000-0000-00009C2A0000}"/>
    <cellStyle name="60% - akcent 3 2 6 3 2 3 2 2" xfId="11108" xr:uid="{00000000-0005-0000-0000-00009D2A0000}"/>
    <cellStyle name="60% - akcent 3 2 6 3 2 3 2 3" xfId="11109" xr:uid="{00000000-0005-0000-0000-00009E2A0000}"/>
    <cellStyle name="60% - akcent 3 2 6 3 2 3 2 4" xfId="11110" xr:uid="{00000000-0005-0000-0000-00009F2A0000}"/>
    <cellStyle name="60% - akcent 3 2 6 3 2 3 2 5" xfId="11111" xr:uid="{00000000-0005-0000-0000-0000A02A0000}"/>
    <cellStyle name="60% - akcent 3 2 6 3 2 3 2 6" xfId="11112" xr:uid="{00000000-0005-0000-0000-0000A12A0000}"/>
    <cellStyle name="60% - akcent 3 2 6 3 2 3 3" xfId="11113" xr:uid="{00000000-0005-0000-0000-0000A22A0000}"/>
    <cellStyle name="60% - akcent 3 2 6 3 2 3 4" xfId="11114" xr:uid="{00000000-0005-0000-0000-0000A32A0000}"/>
    <cellStyle name="60% - akcent 3 2 6 3 2 3 5" xfId="11115" xr:uid="{00000000-0005-0000-0000-0000A42A0000}"/>
    <cellStyle name="60% - akcent 3 2 6 3 2 3 6" xfId="11116" xr:uid="{00000000-0005-0000-0000-0000A52A0000}"/>
    <cellStyle name="60% - akcent 3 2 6 3 2 3 7" xfId="11117" xr:uid="{00000000-0005-0000-0000-0000A62A0000}"/>
    <cellStyle name="60% - akcent 3 2 6 3 2 4" xfId="11118" xr:uid="{00000000-0005-0000-0000-0000A72A0000}"/>
    <cellStyle name="60% - akcent 3 2 6 3 2 5" xfId="11119" xr:uid="{00000000-0005-0000-0000-0000A82A0000}"/>
    <cellStyle name="60% - akcent 3 2 6 3 2 6" xfId="11120" xr:uid="{00000000-0005-0000-0000-0000A92A0000}"/>
    <cellStyle name="60% - akcent 3 2 6 3 2 7" xfId="11121" xr:uid="{00000000-0005-0000-0000-0000AA2A0000}"/>
    <cellStyle name="60% - akcent 3 2 6 3 2 7 2" xfId="11122" xr:uid="{00000000-0005-0000-0000-0000AB2A0000}"/>
    <cellStyle name="60% - akcent 3 2 6 3 2 7 3" xfId="11123" xr:uid="{00000000-0005-0000-0000-0000AC2A0000}"/>
    <cellStyle name="60% - akcent 3 2 6 3 2 7 4" xfId="11124" xr:uid="{00000000-0005-0000-0000-0000AD2A0000}"/>
    <cellStyle name="60% - akcent 3 2 6 3 2 7 5" xfId="11125" xr:uid="{00000000-0005-0000-0000-0000AE2A0000}"/>
    <cellStyle name="60% - akcent 3 2 6 3 2 7 6" xfId="11126" xr:uid="{00000000-0005-0000-0000-0000AF2A0000}"/>
    <cellStyle name="60% - akcent 3 2 6 3 2 8" xfId="11127" xr:uid="{00000000-0005-0000-0000-0000B02A0000}"/>
    <cellStyle name="60% - akcent 3 2 6 3 2 9" xfId="11128" xr:uid="{00000000-0005-0000-0000-0000B12A0000}"/>
    <cellStyle name="60% - akcent 3 2 6 3 3" xfId="11129" xr:uid="{00000000-0005-0000-0000-0000B22A0000}"/>
    <cellStyle name="60% - akcent 3 2 6 3 3 2" xfId="11130" xr:uid="{00000000-0005-0000-0000-0000B32A0000}"/>
    <cellStyle name="60% - akcent 3 2 6 3 3 2 2" xfId="11131" xr:uid="{00000000-0005-0000-0000-0000B42A0000}"/>
    <cellStyle name="60% - akcent 3 2 6 3 3 2 3" xfId="11132" xr:uid="{00000000-0005-0000-0000-0000B52A0000}"/>
    <cellStyle name="60% - akcent 3 2 6 3 3 2 4" xfId="11133" xr:uid="{00000000-0005-0000-0000-0000B62A0000}"/>
    <cellStyle name="60% - akcent 3 2 6 3 3 2 5" xfId="11134" xr:uid="{00000000-0005-0000-0000-0000B72A0000}"/>
    <cellStyle name="60% - akcent 3 2 6 3 3 2 6" xfId="11135" xr:uid="{00000000-0005-0000-0000-0000B82A0000}"/>
    <cellStyle name="60% - akcent 3 2 6 3 3 3" xfId="11136" xr:uid="{00000000-0005-0000-0000-0000B92A0000}"/>
    <cellStyle name="60% - akcent 3 2 6 3 3 4" xfId="11137" xr:uid="{00000000-0005-0000-0000-0000BA2A0000}"/>
    <cellStyle name="60% - akcent 3 2 6 3 3 5" xfId="11138" xr:uid="{00000000-0005-0000-0000-0000BB2A0000}"/>
    <cellStyle name="60% - akcent 3 2 6 3 3 6" xfId="11139" xr:uid="{00000000-0005-0000-0000-0000BC2A0000}"/>
    <cellStyle name="60% - akcent 3 2 6 3 3 7" xfId="11140" xr:uid="{00000000-0005-0000-0000-0000BD2A0000}"/>
    <cellStyle name="60% - akcent 3 2 6 3 4" xfId="11141" xr:uid="{00000000-0005-0000-0000-0000BE2A0000}"/>
    <cellStyle name="60% - akcent 3 2 6 3 5" xfId="11142" xr:uid="{00000000-0005-0000-0000-0000BF2A0000}"/>
    <cellStyle name="60% - akcent 3 2 6 3 6" xfId="11143" xr:uid="{00000000-0005-0000-0000-0000C02A0000}"/>
    <cellStyle name="60% - akcent 3 2 6 3 7" xfId="11144" xr:uid="{00000000-0005-0000-0000-0000C12A0000}"/>
    <cellStyle name="60% - akcent 3 2 6 3 8" xfId="11145" xr:uid="{00000000-0005-0000-0000-0000C22A0000}"/>
    <cellStyle name="60% - akcent 3 2 6 3 8 2" xfId="11146" xr:uid="{00000000-0005-0000-0000-0000C32A0000}"/>
    <cellStyle name="60% - akcent 3 2 6 3 8 3" xfId="11147" xr:uid="{00000000-0005-0000-0000-0000C42A0000}"/>
    <cellStyle name="60% - akcent 3 2 6 3 8 4" xfId="11148" xr:uid="{00000000-0005-0000-0000-0000C52A0000}"/>
    <cellStyle name="60% - akcent 3 2 6 3 8 5" xfId="11149" xr:uid="{00000000-0005-0000-0000-0000C62A0000}"/>
    <cellStyle name="60% - akcent 3 2 6 3 8 6" xfId="11150" xr:uid="{00000000-0005-0000-0000-0000C72A0000}"/>
    <cellStyle name="60% - akcent 3 2 6 3 9" xfId="11151" xr:uid="{00000000-0005-0000-0000-0000C82A0000}"/>
    <cellStyle name="60% - akcent 3 2 6 4" xfId="11152" xr:uid="{00000000-0005-0000-0000-0000C92A0000}"/>
    <cellStyle name="60% - akcent 3 2 6 4 10" xfId="11153" xr:uid="{00000000-0005-0000-0000-0000CA2A0000}"/>
    <cellStyle name="60% - akcent 3 2 6 4 11" xfId="11154" xr:uid="{00000000-0005-0000-0000-0000CB2A0000}"/>
    <cellStyle name="60% - akcent 3 2 6 4 2" xfId="11155" xr:uid="{00000000-0005-0000-0000-0000CC2A0000}"/>
    <cellStyle name="60% - akcent 3 2 6 4 2 2" xfId="11156" xr:uid="{00000000-0005-0000-0000-0000CD2A0000}"/>
    <cellStyle name="60% - akcent 3 2 6 4 2 2 2" xfId="11157" xr:uid="{00000000-0005-0000-0000-0000CE2A0000}"/>
    <cellStyle name="60% - akcent 3 2 6 4 2 2 3" xfId="11158" xr:uid="{00000000-0005-0000-0000-0000CF2A0000}"/>
    <cellStyle name="60% - akcent 3 2 6 4 2 2 4" xfId="11159" xr:uid="{00000000-0005-0000-0000-0000D02A0000}"/>
    <cellStyle name="60% - akcent 3 2 6 4 2 2 5" xfId="11160" xr:uid="{00000000-0005-0000-0000-0000D12A0000}"/>
    <cellStyle name="60% - akcent 3 2 6 4 2 2 6" xfId="11161" xr:uid="{00000000-0005-0000-0000-0000D22A0000}"/>
    <cellStyle name="60% - akcent 3 2 6 4 2 3" xfId="11162" xr:uid="{00000000-0005-0000-0000-0000D32A0000}"/>
    <cellStyle name="60% - akcent 3 2 6 4 2 4" xfId="11163" xr:uid="{00000000-0005-0000-0000-0000D42A0000}"/>
    <cellStyle name="60% - akcent 3 2 6 4 2 5" xfId="11164" xr:uid="{00000000-0005-0000-0000-0000D52A0000}"/>
    <cellStyle name="60% - akcent 3 2 6 4 2 6" xfId="11165" xr:uid="{00000000-0005-0000-0000-0000D62A0000}"/>
    <cellStyle name="60% - akcent 3 2 6 4 2 7" xfId="11166" xr:uid="{00000000-0005-0000-0000-0000D72A0000}"/>
    <cellStyle name="60% - akcent 3 2 6 4 3" xfId="11167" xr:uid="{00000000-0005-0000-0000-0000D82A0000}"/>
    <cellStyle name="60% - akcent 3 2 6 4 4" xfId="11168" xr:uid="{00000000-0005-0000-0000-0000D92A0000}"/>
    <cellStyle name="60% - akcent 3 2 6 4 5" xfId="11169" xr:uid="{00000000-0005-0000-0000-0000DA2A0000}"/>
    <cellStyle name="60% - akcent 3 2 6 4 6" xfId="11170" xr:uid="{00000000-0005-0000-0000-0000DB2A0000}"/>
    <cellStyle name="60% - akcent 3 2 6 4 7" xfId="11171" xr:uid="{00000000-0005-0000-0000-0000DC2A0000}"/>
    <cellStyle name="60% - akcent 3 2 6 4 7 2" xfId="11172" xr:uid="{00000000-0005-0000-0000-0000DD2A0000}"/>
    <cellStyle name="60% - akcent 3 2 6 4 7 3" xfId="11173" xr:uid="{00000000-0005-0000-0000-0000DE2A0000}"/>
    <cellStyle name="60% - akcent 3 2 6 4 7 4" xfId="11174" xr:uid="{00000000-0005-0000-0000-0000DF2A0000}"/>
    <cellStyle name="60% - akcent 3 2 6 4 7 5" xfId="11175" xr:uid="{00000000-0005-0000-0000-0000E02A0000}"/>
    <cellStyle name="60% - akcent 3 2 6 4 7 6" xfId="11176" xr:uid="{00000000-0005-0000-0000-0000E12A0000}"/>
    <cellStyle name="60% - akcent 3 2 6 4 8" xfId="11177" xr:uid="{00000000-0005-0000-0000-0000E22A0000}"/>
    <cellStyle name="60% - akcent 3 2 6 4 9" xfId="11178" xr:uid="{00000000-0005-0000-0000-0000E32A0000}"/>
    <cellStyle name="60% - akcent 3 2 6 5" xfId="11179" xr:uid="{00000000-0005-0000-0000-0000E42A0000}"/>
    <cellStyle name="60% - akcent 3 2 6 5 2" xfId="11180" xr:uid="{00000000-0005-0000-0000-0000E52A0000}"/>
    <cellStyle name="60% - akcent 3 2 6 5 2 2" xfId="11181" xr:uid="{00000000-0005-0000-0000-0000E62A0000}"/>
    <cellStyle name="60% - akcent 3 2 6 5 2 3" xfId="11182" xr:uid="{00000000-0005-0000-0000-0000E72A0000}"/>
    <cellStyle name="60% - akcent 3 2 6 5 2 4" xfId="11183" xr:uid="{00000000-0005-0000-0000-0000E82A0000}"/>
    <cellStyle name="60% - akcent 3 2 6 5 2 5" xfId="11184" xr:uid="{00000000-0005-0000-0000-0000E92A0000}"/>
    <cellStyle name="60% - akcent 3 2 6 5 2 6" xfId="11185" xr:uid="{00000000-0005-0000-0000-0000EA2A0000}"/>
    <cellStyle name="60% - akcent 3 2 6 5 3" xfId="11186" xr:uid="{00000000-0005-0000-0000-0000EB2A0000}"/>
    <cellStyle name="60% - akcent 3 2 6 5 4" xfId="11187" xr:uid="{00000000-0005-0000-0000-0000EC2A0000}"/>
    <cellStyle name="60% - akcent 3 2 6 5 5" xfId="11188" xr:uid="{00000000-0005-0000-0000-0000ED2A0000}"/>
    <cellStyle name="60% - akcent 3 2 6 5 6" xfId="11189" xr:uid="{00000000-0005-0000-0000-0000EE2A0000}"/>
    <cellStyle name="60% - akcent 3 2 6 5 7" xfId="11190" xr:uid="{00000000-0005-0000-0000-0000EF2A0000}"/>
    <cellStyle name="60% - akcent 3 2 6 6" xfId="11191" xr:uid="{00000000-0005-0000-0000-0000F02A0000}"/>
    <cellStyle name="60% - akcent 3 2 6 7" xfId="11192" xr:uid="{00000000-0005-0000-0000-0000F12A0000}"/>
    <cellStyle name="60% - akcent 3 2 6 8" xfId="11193" xr:uid="{00000000-0005-0000-0000-0000F22A0000}"/>
    <cellStyle name="60% - akcent 3 2 6 9" xfId="11194" xr:uid="{00000000-0005-0000-0000-0000F32A0000}"/>
    <cellStyle name="60% - akcent 3 2 6 9 2" xfId="11195" xr:uid="{00000000-0005-0000-0000-0000F42A0000}"/>
    <cellStyle name="60% - akcent 3 2 6 9 3" xfId="11196" xr:uid="{00000000-0005-0000-0000-0000F52A0000}"/>
    <cellStyle name="60% - akcent 3 2 6 9 4" xfId="11197" xr:uid="{00000000-0005-0000-0000-0000F62A0000}"/>
    <cellStyle name="60% - akcent 3 2 6 9 5" xfId="11198" xr:uid="{00000000-0005-0000-0000-0000F72A0000}"/>
    <cellStyle name="60% - akcent 3 2 6 9 6" xfId="11199" xr:uid="{00000000-0005-0000-0000-0000F82A0000}"/>
    <cellStyle name="60% - akcent 3 2 7" xfId="11200" xr:uid="{00000000-0005-0000-0000-0000F92A0000}"/>
    <cellStyle name="60% - akcent 3 2 8" xfId="11201" xr:uid="{00000000-0005-0000-0000-0000FA2A0000}"/>
    <cellStyle name="60% - akcent 3 2 8 10" xfId="11202" xr:uid="{00000000-0005-0000-0000-0000FB2A0000}"/>
    <cellStyle name="60% - akcent 3 2 8 11" xfId="11203" xr:uid="{00000000-0005-0000-0000-0000FC2A0000}"/>
    <cellStyle name="60% - akcent 3 2 8 12" xfId="11204" xr:uid="{00000000-0005-0000-0000-0000FD2A0000}"/>
    <cellStyle name="60% - akcent 3 2 8 13" xfId="11205" xr:uid="{00000000-0005-0000-0000-0000FE2A0000}"/>
    <cellStyle name="60% - akcent 3 2 8 2" xfId="11206" xr:uid="{00000000-0005-0000-0000-0000FF2A0000}"/>
    <cellStyle name="60% - akcent 3 2 8 2 10" xfId="11207" xr:uid="{00000000-0005-0000-0000-0000002B0000}"/>
    <cellStyle name="60% - akcent 3 2 8 2 11" xfId="11208" xr:uid="{00000000-0005-0000-0000-0000012B0000}"/>
    <cellStyle name="60% - akcent 3 2 8 2 12" xfId="11209" xr:uid="{00000000-0005-0000-0000-0000022B0000}"/>
    <cellStyle name="60% - akcent 3 2 8 2 2" xfId="11210" xr:uid="{00000000-0005-0000-0000-0000032B0000}"/>
    <cellStyle name="60% - akcent 3 2 8 2 2 10" xfId="11211" xr:uid="{00000000-0005-0000-0000-0000042B0000}"/>
    <cellStyle name="60% - akcent 3 2 8 2 2 11" xfId="11212" xr:uid="{00000000-0005-0000-0000-0000052B0000}"/>
    <cellStyle name="60% - akcent 3 2 8 2 2 2" xfId="11213" xr:uid="{00000000-0005-0000-0000-0000062B0000}"/>
    <cellStyle name="60% - akcent 3 2 8 2 2 2 10" xfId="11214" xr:uid="{00000000-0005-0000-0000-0000072B0000}"/>
    <cellStyle name="60% - akcent 3 2 8 2 2 2 11" xfId="11215" xr:uid="{00000000-0005-0000-0000-0000082B0000}"/>
    <cellStyle name="60% - akcent 3 2 8 2 2 2 2" xfId="11216" xr:uid="{00000000-0005-0000-0000-0000092B0000}"/>
    <cellStyle name="60% - akcent 3 2 8 2 2 2 2 2" xfId="11217" xr:uid="{00000000-0005-0000-0000-00000A2B0000}"/>
    <cellStyle name="60% - akcent 3 2 8 2 2 2 2 2 2" xfId="11218" xr:uid="{00000000-0005-0000-0000-00000B2B0000}"/>
    <cellStyle name="60% - akcent 3 2 8 2 2 2 2 2 3" xfId="11219" xr:uid="{00000000-0005-0000-0000-00000C2B0000}"/>
    <cellStyle name="60% - akcent 3 2 8 2 2 2 2 2 4" xfId="11220" xr:uid="{00000000-0005-0000-0000-00000D2B0000}"/>
    <cellStyle name="60% - akcent 3 2 8 2 2 2 2 2 5" xfId="11221" xr:uid="{00000000-0005-0000-0000-00000E2B0000}"/>
    <cellStyle name="60% - akcent 3 2 8 2 2 2 2 2 6" xfId="11222" xr:uid="{00000000-0005-0000-0000-00000F2B0000}"/>
    <cellStyle name="60% - akcent 3 2 8 2 2 2 2 3" xfId="11223" xr:uid="{00000000-0005-0000-0000-0000102B0000}"/>
    <cellStyle name="60% - akcent 3 2 8 2 2 2 2 4" xfId="11224" xr:uid="{00000000-0005-0000-0000-0000112B0000}"/>
    <cellStyle name="60% - akcent 3 2 8 2 2 2 2 5" xfId="11225" xr:uid="{00000000-0005-0000-0000-0000122B0000}"/>
    <cellStyle name="60% - akcent 3 2 8 2 2 2 2 6" xfId="11226" xr:uid="{00000000-0005-0000-0000-0000132B0000}"/>
    <cellStyle name="60% - akcent 3 2 8 2 2 2 2 7" xfId="11227" xr:uid="{00000000-0005-0000-0000-0000142B0000}"/>
    <cellStyle name="60% - akcent 3 2 8 2 2 2 3" xfId="11228" xr:uid="{00000000-0005-0000-0000-0000152B0000}"/>
    <cellStyle name="60% - akcent 3 2 8 2 2 2 4" xfId="11229" xr:uid="{00000000-0005-0000-0000-0000162B0000}"/>
    <cellStyle name="60% - akcent 3 2 8 2 2 2 5" xfId="11230" xr:uid="{00000000-0005-0000-0000-0000172B0000}"/>
    <cellStyle name="60% - akcent 3 2 8 2 2 2 6" xfId="11231" xr:uid="{00000000-0005-0000-0000-0000182B0000}"/>
    <cellStyle name="60% - akcent 3 2 8 2 2 2 7" xfId="11232" xr:uid="{00000000-0005-0000-0000-0000192B0000}"/>
    <cellStyle name="60% - akcent 3 2 8 2 2 2 7 2" xfId="11233" xr:uid="{00000000-0005-0000-0000-00001A2B0000}"/>
    <cellStyle name="60% - akcent 3 2 8 2 2 2 7 3" xfId="11234" xr:uid="{00000000-0005-0000-0000-00001B2B0000}"/>
    <cellStyle name="60% - akcent 3 2 8 2 2 2 7 4" xfId="11235" xr:uid="{00000000-0005-0000-0000-00001C2B0000}"/>
    <cellStyle name="60% - akcent 3 2 8 2 2 2 7 5" xfId="11236" xr:uid="{00000000-0005-0000-0000-00001D2B0000}"/>
    <cellStyle name="60% - akcent 3 2 8 2 2 2 7 6" xfId="11237" xr:uid="{00000000-0005-0000-0000-00001E2B0000}"/>
    <cellStyle name="60% - akcent 3 2 8 2 2 2 8" xfId="11238" xr:uid="{00000000-0005-0000-0000-00001F2B0000}"/>
    <cellStyle name="60% - akcent 3 2 8 2 2 2 9" xfId="11239" xr:uid="{00000000-0005-0000-0000-0000202B0000}"/>
    <cellStyle name="60% - akcent 3 2 8 2 2 3" xfId="11240" xr:uid="{00000000-0005-0000-0000-0000212B0000}"/>
    <cellStyle name="60% - akcent 3 2 8 2 2 3 2" xfId="11241" xr:uid="{00000000-0005-0000-0000-0000222B0000}"/>
    <cellStyle name="60% - akcent 3 2 8 2 2 3 2 2" xfId="11242" xr:uid="{00000000-0005-0000-0000-0000232B0000}"/>
    <cellStyle name="60% - akcent 3 2 8 2 2 3 2 3" xfId="11243" xr:uid="{00000000-0005-0000-0000-0000242B0000}"/>
    <cellStyle name="60% - akcent 3 2 8 2 2 3 2 4" xfId="11244" xr:uid="{00000000-0005-0000-0000-0000252B0000}"/>
    <cellStyle name="60% - akcent 3 2 8 2 2 3 2 5" xfId="11245" xr:uid="{00000000-0005-0000-0000-0000262B0000}"/>
    <cellStyle name="60% - akcent 3 2 8 2 2 3 2 6" xfId="11246" xr:uid="{00000000-0005-0000-0000-0000272B0000}"/>
    <cellStyle name="60% - akcent 3 2 8 2 2 3 3" xfId="11247" xr:uid="{00000000-0005-0000-0000-0000282B0000}"/>
    <cellStyle name="60% - akcent 3 2 8 2 2 3 4" xfId="11248" xr:uid="{00000000-0005-0000-0000-0000292B0000}"/>
    <cellStyle name="60% - akcent 3 2 8 2 2 3 5" xfId="11249" xr:uid="{00000000-0005-0000-0000-00002A2B0000}"/>
    <cellStyle name="60% - akcent 3 2 8 2 2 3 6" xfId="11250" xr:uid="{00000000-0005-0000-0000-00002B2B0000}"/>
    <cellStyle name="60% - akcent 3 2 8 2 2 3 7" xfId="11251" xr:uid="{00000000-0005-0000-0000-00002C2B0000}"/>
    <cellStyle name="60% - akcent 3 2 8 2 2 4" xfId="11252" xr:uid="{00000000-0005-0000-0000-00002D2B0000}"/>
    <cellStyle name="60% - akcent 3 2 8 2 2 5" xfId="11253" xr:uid="{00000000-0005-0000-0000-00002E2B0000}"/>
    <cellStyle name="60% - akcent 3 2 8 2 2 6" xfId="11254" xr:uid="{00000000-0005-0000-0000-00002F2B0000}"/>
    <cellStyle name="60% - akcent 3 2 8 2 2 7" xfId="11255" xr:uid="{00000000-0005-0000-0000-0000302B0000}"/>
    <cellStyle name="60% - akcent 3 2 8 2 2 7 2" xfId="11256" xr:uid="{00000000-0005-0000-0000-0000312B0000}"/>
    <cellStyle name="60% - akcent 3 2 8 2 2 7 3" xfId="11257" xr:uid="{00000000-0005-0000-0000-0000322B0000}"/>
    <cellStyle name="60% - akcent 3 2 8 2 2 7 4" xfId="11258" xr:uid="{00000000-0005-0000-0000-0000332B0000}"/>
    <cellStyle name="60% - akcent 3 2 8 2 2 7 5" xfId="11259" xr:uid="{00000000-0005-0000-0000-0000342B0000}"/>
    <cellStyle name="60% - akcent 3 2 8 2 2 7 6" xfId="11260" xr:uid="{00000000-0005-0000-0000-0000352B0000}"/>
    <cellStyle name="60% - akcent 3 2 8 2 2 8" xfId="11261" xr:uid="{00000000-0005-0000-0000-0000362B0000}"/>
    <cellStyle name="60% - akcent 3 2 8 2 2 9" xfId="11262" xr:uid="{00000000-0005-0000-0000-0000372B0000}"/>
    <cellStyle name="60% - akcent 3 2 8 2 3" xfId="11263" xr:uid="{00000000-0005-0000-0000-0000382B0000}"/>
    <cellStyle name="60% - akcent 3 2 8 2 3 2" xfId="11264" xr:uid="{00000000-0005-0000-0000-0000392B0000}"/>
    <cellStyle name="60% - akcent 3 2 8 2 3 2 2" xfId="11265" xr:uid="{00000000-0005-0000-0000-00003A2B0000}"/>
    <cellStyle name="60% - akcent 3 2 8 2 3 2 3" xfId="11266" xr:uid="{00000000-0005-0000-0000-00003B2B0000}"/>
    <cellStyle name="60% - akcent 3 2 8 2 3 2 4" xfId="11267" xr:uid="{00000000-0005-0000-0000-00003C2B0000}"/>
    <cellStyle name="60% - akcent 3 2 8 2 3 2 5" xfId="11268" xr:uid="{00000000-0005-0000-0000-00003D2B0000}"/>
    <cellStyle name="60% - akcent 3 2 8 2 3 2 6" xfId="11269" xr:uid="{00000000-0005-0000-0000-00003E2B0000}"/>
    <cellStyle name="60% - akcent 3 2 8 2 3 3" xfId="11270" xr:uid="{00000000-0005-0000-0000-00003F2B0000}"/>
    <cellStyle name="60% - akcent 3 2 8 2 3 4" xfId="11271" xr:uid="{00000000-0005-0000-0000-0000402B0000}"/>
    <cellStyle name="60% - akcent 3 2 8 2 3 5" xfId="11272" xr:uid="{00000000-0005-0000-0000-0000412B0000}"/>
    <cellStyle name="60% - akcent 3 2 8 2 3 6" xfId="11273" xr:uid="{00000000-0005-0000-0000-0000422B0000}"/>
    <cellStyle name="60% - akcent 3 2 8 2 3 7" xfId="11274" xr:uid="{00000000-0005-0000-0000-0000432B0000}"/>
    <cellStyle name="60% - akcent 3 2 8 2 4" xfId="11275" xr:uid="{00000000-0005-0000-0000-0000442B0000}"/>
    <cellStyle name="60% - akcent 3 2 8 2 5" xfId="11276" xr:uid="{00000000-0005-0000-0000-0000452B0000}"/>
    <cellStyle name="60% - akcent 3 2 8 2 6" xfId="11277" xr:uid="{00000000-0005-0000-0000-0000462B0000}"/>
    <cellStyle name="60% - akcent 3 2 8 2 7" xfId="11278" xr:uid="{00000000-0005-0000-0000-0000472B0000}"/>
    <cellStyle name="60% - akcent 3 2 8 2 8" xfId="11279" xr:uid="{00000000-0005-0000-0000-0000482B0000}"/>
    <cellStyle name="60% - akcent 3 2 8 2 8 2" xfId="11280" xr:uid="{00000000-0005-0000-0000-0000492B0000}"/>
    <cellStyle name="60% - akcent 3 2 8 2 8 3" xfId="11281" xr:uid="{00000000-0005-0000-0000-00004A2B0000}"/>
    <cellStyle name="60% - akcent 3 2 8 2 8 4" xfId="11282" xr:uid="{00000000-0005-0000-0000-00004B2B0000}"/>
    <cellStyle name="60% - akcent 3 2 8 2 8 5" xfId="11283" xr:uid="{00000000-0005-0000-0000-00004C2B0000}"/>
    <cellStyle name="60% - akcent 3 2 8 2 8 6" xfId="11284" xr:uid="{00000000-0005-0000-0000-00004D2B0000}"/>
    <cellStyle name="60% - akcent 3 2 8 2 9" xfId="11285" xr:uid="{00000000-0005-0000-0000-00004E2B0000}"/>
    <cellStyle name="60% - akcent 3 2 8 3" xfId="11286" xr:uid="{00000000-0005-0000-0000-00004F2B0000}"/>
    <cellStyle name="60% - akcent 3 2 8 4" xfId="11287" xr:uid="{00000000-0005-0000-0000-0000502B0000}"/>
    <cellStyle name="60% - akcent 3 2 8 4 10" xfId="11288" xr:uid="{00000000-0005-0000-0000-0000512B0000}"/>
    <cellStyle name="60% - akcent 3 2 8 4 11" xfId="11289" xr:uid="{00000000-0005-0000-0000-0000522B0000}"/>
    <cellStyle name="60% - akcent 3 2 8 4 2" xfId="11290" xr:uid="{00000000-0005-0000-0000-0000532B0000}"/>
    <cellStyle name="60% - akcent 3 2 8 4 2 2" xfId="11291" xr:uid="{00000000-0005-0000-0000-0000542B0000}"/>
    <cellStyle name="60% - akcent 3 2 8 4 2 2 2" xfId="11292" xr:uid="{00000000-0005-0000-0000-0000552B0000}"/>
    <cellStyle name="60% - akcent 3 2 8 4 2 2 3" xfId="11293" xr:uid="{00000000-0005-0000-0000-0000562B0000}"/>
    <cellStyle name="60% - akcent 3 2 8 4 2 2 4" xfId="11294" xr:uid="{00000000-0005-0000-0000-0000572B0000}"/>
    <cellStyle name="60% - akcent 3 2 8 4 2 2 5" xfId="11295" xr:uid="{00000000-0005-0000-0000-0000582B0000}"/>
    <cellStyle name="60% - akcent 3 2 8 4 2 2 6" xfId="11296" xr:uid="{00000000-0005-0000-0000-0000592B0000}"/>
    <cellStyle name="60% - akcent 3 2 8 4 2 3" xfId="11297" xr:uid="{00000000-0005-0000-0000-00005A2B0000}"/>
    <cellStyle name="60% - akcent 3 2 8 4 2 4" xfId="11298" xr:uid="{00000000-0005-0000-0000-00005B2B0000}"/>
    <cellStyle name="60% - akcent 3 2 8 4 2 5" xfId="11299" xr:uid="{00000000-0005-0000-0000-00005C2B0000}"/>
    <cellStyle name="60% - akcent 3 2 8 4 2 6" xfId="11300" xr:uid="{00000000-0005-0000-0000-00005D2B0000}"/>
    <cellStyle name="60% - akcent 3 2 8 4 2 7" xfId="11301" xr:uid="{00000000-0005-0000-0000-00005E2B0000}"/>
    <cellStyle name="60% - akcent 3 2 8 4 3" xfId="11302" xr:uid="{00000000-0005-0000-0000-00005F2B0000}"/>
    <cellStyle name="60% - akcent 3 2 8 4 4" xfId="11303" xr:uid="{00000000-0005-0000-0000-0000602B0000}"/>
    <cellStyle name="60% - akcent 3 2 8 4 5" xfId="11304" xr:uid="{00000000-0005-0000-0000-0000612B0000}"/>
    <cellStyle name="60% - akcent 3 2 8 4 6" xfId="11305" xr:uid="{00000000-0005-0000-0000-0000622B0000}"/>
    <cellStyle name="60% - akcent 3 2 8 4 7" xfId="11306" xr:uid="{00000000-0005-0000-0000-0000632B0000}"/>
    <cellStyle name="60% - akcent 3 2 8 4 7 2" xfId="11307" xr:uid="{00000000-0005-0000-0000-0000642B0000}"/>
    <cellStyle name="60% - akcent 3 2 8 4 7 3" xfId="11308" xr:uid="{00000000-0005-0000-0000-0000652B0000}"/>
    <cellStyle name="60% - akcent 3 2 8 4 7 4" xfId="11309" xr:uid="{00000000-0005-0000-0000-0000662B0000}"/>
    <cellStyle name="60% - akcent 3 2 8 4 7 5" xfId="11310" xr:uid="{00000000-0005-0000-0000-0000672B0000}"/>
    <cellStyle name="60% - akcent 3 2 8 4 7 6" xfId="11311" xr:uid="{00000000-0005-0000-0000-0000682B0000}"/>
    <cellStyle name="60% - akcent 3 2 8 4 8" xfId="11312" xr:uid="{00000000-0005-0000-0000-0000692B0000}"/>
    <cellStyle name="60% - akcent 3 2 8 4 9" xfId="11313" xr:uid="{00000000-0005-0000-0000-00006A2B0000}"/>
    <cellStyle name="60% - akcent 3 2 8 5" xfId="11314" xr:uid="{00000000-0005-0000-0000-00006B2B0000}"/>
    <cellStyle name="60% - akcent 3 2 8 5 2" xfId="11315" xr:uid="{00000000-0005-0000-0000-00006C2B0000}"/>
    <cellStyle name="60% - akcent 3 2 8 5 2 2" xfId="11316" xr:uid="{00000000-0005-0000-0000-00006D2B0000}"/>
    <cellStyle name="60% - akcent 3 2 8 5 2 3" xfId="11317" xr:uid="{00000000-0005-0000-0000-00006E2B0000}"/>
    <cellStyle name="60% - akcent 3 2 8 5 2 4" xfId="11318" xr:uid="{00000000-0005-0000-0000-00006F2B0000}"/>
    <cellStyle name="60% - akcent 3 2 8 5 2 5" xfId="11319" xr:uid="{00000000-0005-0000-0000-0000702B0000}"/>
    <cellStyle name="60% - akcent 3 2 8 5 2 6" xfId="11320" xr:uid="{00000000-0005-0000-0000-0000712B0000}"/>
    <cellStyle name="60% - akcent 3 2 8 5 3" xfId="11321" xr:uid="{00000000-0005-0000-0000-0000722B0000}"/>
    <cellStyle name="60% - akcent 3 2 8 5 4" xfId="11322" xr:uid="{00000000-0005-0000-0000-0000732B0000}"/>
    <cellStyle name="60% - akcent 3 2 8 5 5" xfId="11323" xr:uid="{00000000-0005-0000-0000-0000742B0000}"/>
    <cellStyle name="60% - akcent 3 2 8 5 6" xfId="11324" xr:uid="{00000000-0005-0000-0000-0000752B0000}"/>
    <cellStyle name="60% - akcent 3 2 8 5 7" xfId="11325" xr:uid="{00000000-0005-0000-0000-0000762B0000}"/>
    <cellStyle name="60% - akcent 3 2 8 6" xfId="11326" xr:uid="{00000000-0005-0000-0000-0000772B0000}"/>
    <cellStyle name="60% - akcent 3 2 8 7" xfId="11327" xr:uid="{00000000-0005-0000-0000-0000782B0000}"/>
    <cellStyle name="60% - akcent 3 2 8 8" xfId="11328" xr:uid="{00000000-0005-0000-0000-0000792B0000}"/>
    <cellStyle name="60% - akcent 3 2 8 9" xfId="11329" xr:uid="{00000000-0005-0000-0000-00007A2B0000}"/>
    <cellStyle name="60% - akcent 3 2 8 9 2" xfId="11330" xr:uid="{00000000-0005-0000-0000-00007B2B0000}"/>
    <cellStyle name="60% - akcent 3 2 8 9 3" xfId="11331" xr:uid="{00000000-0005-0000-0000-00007C2B0000}"/>
    <cellStyle name="60% - akcent 3 2 8 9 4" xfId="11332" xr:uid="{00000000-0005-0000-0000-00007D2B0000}"/>
    <cellStyle name="60% - akcent 3 2 8 9 5" xfId="11333" xr:uid="{00000000-0005-0000-0000-00007E2B0000}"/>
    <cellStyle name="60% - akcent 3 2 8 9 6" xfId="11334" xr:uid="{00000000-0005-0000-0000-00007F2B0000}"/>
    <cellStyle name="60% - akcent 3 2 9" xfId="11335" xr:uid="{00000000-0005-0000-0000-0000802B0000}"/>
    <cellStyle name="60% - akcent 3 3" xfId="172" xr:uid="{00000000-0005-0000-0000-0000812B0000}"/>
    <cellStyle name="60% - akcent 3 3 2" xfId="11337" xr:uid="{00000000-0005-0000-0000-0000822B0000}"/>
    <cellStyle name="60% - akcent 3 3 3" xfId="11338" xr:uid="{00000000-0005-0000-0000-0000832B0000}"/>
    <cellStyle name="60% - akcent 3 3 4" xfId="11339" xr:uid="{00000000-0005-0000-0000-0000842B0000}"/>
    <cellStyle name="60% - akcent 3 3 5" xfId="11340" xr:uid="{00000000-0005-0000-0000-0000852B0000}"/>
    <cellStyle name="60% - akcent 3 3 6" xfId="11336" xr:uid="{00000000-0005-0000-0000-0000862B0000}"/>
    <cellStyle name="60% - akcent 3 4" xfId="173" xr:uid="{00000000-0005-0000-0000-0000872B0000}"/>
    <cellStyle name="60% - akcent 3 4 2" xfId="11342" xr:uid="{00000000-0005-0000-0000-0000882B0000}"/>
    <cellStyle name="60% - akcent 3 4 3" xfId="11343" xr:uid="{00000000-0005-0000-0000-0000892B0000}"/>
    <cellStyle name="60% - akcent 3 4 4" xfId="11344" xr:uid="{00000000-0005-0000-0000-00008A2B0000}"/>
    <cellStyle name="60% - akcent 3 4 5" xfId="11345" xr:uid="{00000000-0005-0000-0000-00008B2B0000}"/>
    <cellStyle name="60% - akcent 3 4 6" xfId="11341" xr:uid="{00000000-0005-0000-0000-00008C2B0000}"/>
    <cellStyle name="60% - akcent 3 5" xfId="174" xr:uid="{00000000-0005-0000-0000-00008D2B0000}"/>
    <cellStyle name="60% - akcent 3 5 2" xfId="11347" xr:uid="{00000000-0005-0000-0000-00008E2B0000}"/>
    <cellStyle name="60% - akcent 3 5 3" xfId="11348" xr:uid="{00000000-0005-0000-0000-00008F2B0000}"/>
    <cellStyle name="60% - akcent 3 5 4" xfId="11349" xr:uid="{00000000-0005-0000-0000-0000902B0000}"/>
    <cellStyle name="60% - akcent 3 5 5" xfId="11350" xr:uid="{00000000-0005-0000-0000-0000912B0000}"/>
    <cellStyle name="60% - akcent 3 5 6" xfId="11346" xr:uid="{00000000-0005-0000-0000-0000922B0000}"/>
    <cellStyle name="60% - akcent 3 6" xfId="175" xr:uid="{00000000-0005-0000-0000-0000932B0000}"/>
    <cellStyle name="60% - akcent 3 6 2" xfId="11352" xr:uid="{00000000-0005-0000-0000-0000942B0000}"/>
    <cellStyle name="60% - akcent 3 6 3" xfId="11353" xr:uid="{00000000-0005-0000-0000-0000952B0000}"/>
    <cellStyle name="60% - akcent 3 6 4" xfId="11354" xr:uid="{00000000-0005-0000-0000-0000962B0000}"/>
    <cellStyle name="60% - akcent 3 6 5" xfId="11355" xr:uid="{00000000-0005-0000-0000-0000972B0000}"/>
    <cellStyle name="60% - akcent 3 6 6" xfId="11351" xr:uid="{00000000-0005-0000-0000-0000982B0000}"/>
    <cellStyle name="60% - akcent 3 7" xfId="176" xr:uid="{00000000-0005-0000-0000-0000992B0000}"/>
    <cellStyle name="60% - akcent 3 7 2" xfId="11357" xr:uid="{00000000-0005-0000-0000-00009A2B0000}"/>
    <cellStyle name="60% - akcent 3 7 3" xfId="11358" xr:uid="{00000000-0005-0000-0000-00009B2B0000}"/>
    <cellStyle name="60% - akcent 3 7 4" xfId="11359" xr:uid="{00000000-0005-0000-0000-00009C2B0000}"/>
    <cellStyle name="60% - akcent 3 7 5" xfId="11360" xr:uid="{00000000-0005-0000-0000-00009D2B0000}"/>
    <cellStyle name="60% - akcent 3 7 6" xfId="11356" xr:uid="{00000000-0005-0000-0000-00009E2B0000}"/>
    <cellStyle name="60% - akcent 3 8" xfId="11361" xr:uid="{00000000-0005-0000-0000-00009F2B0000}"/>
    <cellStyle name="60% - akcent 3 8 2" xfId="11362" xr:uid="{00000000-0005-0000-0000-0000A02B0000}"/>
    <cellStyle name="60% - akcent 3 8 3" xfId="11363" xr:uid="{00000000-0005-0000-0000-0000A12B0000}"/>
    <cellStyle name="60% - akcent 3 8 4" xfId="11364" xr:uid="{00000000-0005-0000-0000-0000A22B0000}"/>
    <cellStyle name="60% - akcent 3 9" xfId="11365" xr:uid="{00000000-0005-0000-0000-0000A32B0000}"/>
    <cellStyle name="60% - akcent 4 1" xfId="11366" xr:uid="{00000000-0005-0000-0000-0000A42B0000}"/>
    <cellStyle name="60% - akcent 4 10" xfId="11367" xr:uid="{00000000-0005-0000-0000-0000A52B0000}"/>
    <cellStyle name="60% - akcent 4 11" xfId="11368" xr:uid="{00000000-0005-0000-0000-0000A62B0000}"/>
    <cellStyle name="60% - akcent 4 12" xfId="11369" xr:uid="{00000000-0005-0000-0000-0000A72B0000}"/>
    <cellStyle name="60% - akcent 4 13" xfId="11370" xr:uid="{00000000-0005-0000-0000-0000A82B0000}"/>
    <cellStyle name="60% - akcent 4 14" xfId="11371" xr:uid="{00000000-0005-0000-0000-0000A92B0000}"/>
    <cellStyle name="60% - akcent 4 15" xfId="11372" xr:uid="{00000000-0005-0000-0000-0000AA2B0000}"/>
    <cellStyle name="60% - akcent 4 16" xfId="11373" xr:uid="{00000000-0005-0000-0000-0000AB2B0000}"/>
    <cellStyle name="60% - akcent 4 17" xfId="11374" xr:uid="{00000000-0005-0000-0000-0000AC2B0000}"/>
    <cellStyle name="60% - akcent 4 18" xfId="11375" xr:uid="{00000000-0005-0000-0000-0000AD2B0000}"/>
    <cellStyle name="60% - akcent 4 19" xfId="11376" xr:uid="{00000000-0005-0000-0000-0000AE2B0000}"/>
    <cellStyle name="60% - akcent 4 2" xfId="177" xr:uid="{00000000-0005-0000-0000-0000AF2B0000}"/>
    <cellStyle name="60% - akcent 4 2 10" xfId="11378" xr:uid="{00000000-0005-0000-0000-0000B02B0000}"/>
    <cellStyle name="60% - akcent 4 2 11" xfId="11379" xr:uid="{00000000-0005-0000-0000-0000B12B0000}"/>
    <cellStyle name="60% - akcent 4 2 12" xfId="11380" xr:uid="{00000000-0005-0000-0000-0000B22B0000}"/>
    <cellStyle name="60% - akcent 4 2 13" xfId="11381" xr:uid="{00000000-0005-0000-0000-0000B32B0000}"/>
    <cellStyle name="60% - akcent 4 2 13 10" xfId="11382" xr:uid="{00000000-0005-0000-0000-0000B42B0000}"/>
    <cellStyle name="60% - akcent 4 2 13 11" xfId="11383" xr:uid="{00000000-0005-0000-0000-0000B52B0000}"/>
    <cellStyle name="60% - akcent 4 2 13 12" xfId="11384" xr:uid="{00000000-0005-0000-0000-0000B62B0000}"/>
    <cellStyle name="60% - akcent 4 2 13 2" xfId="11385" xr:uid="{00000000-0005-0000-0000-0000B72B0000}"/>
    <cellStyle name="60% - akcent 4 2 13 2 10" xfId="11386" xr:uid="{00000000-0005-0000-0000-0000B82B0000}"/>
    <cellStyle name="60% - akcent 4 2 13 2 11" xfId="11387" xr:uid="{00000000-0005-0000-0000-0000B92B0000}"/>
    <cellStyle name="60% - akcent 4 2 13 2 2" xfId="11388" xr:uid="{00000000-0005-0000-0000-0000BA2B0000}"/>
    <cellStyle name="60% - akcent 4 2 13 2 2 10" xfId="11389" xr:uid="{00000000-0005-0000-0000-0000BB2B0000}"/>
    <cellStyle name="60% - akcent 4 2 13 2 2 11" xfId="11390" xr:uid="{00000000-0005-0000-0000-0000BC2B0000}"/>
    <cellStyle name="60% - akcent 4 2 13 2 2 2" xfId="11391" xr:uid="{00000000-0005-0000-0000-0000BD2B0000}"/>
    <cellStyle name="60% - akcent 4 2 13 2 2 2 2" xfId="11392" xr:uid="{00000000-0005-0000-0000-0000BE2B0000}"/>
    <cellStyle name="60% - akcent 4 2 13 2 2 2 2 2" xfId="11393" xr:uid="{00000000-0005-0000-0000-0000BF2B0000}"/>
    <cellStyle name="60% - akcent 4 2 13 2 2 2 2 3" xfId="11394" xr:uid="{00000000-0005-0000-0000-0000C02B0000}"/>
    <cellStyle name="60% - akcent 4 2 13 2 2 2 2 4" xfId="11395" xr:uid="{00000000-0005-0000-0000-0000C12B0000}"/>
    <cellStyle name="60% - akcent 4 2 13 2 2 2 2 5" xfId="11396" xr:uid="{00000000-0005-0000-0000-0000C22B0000}"/>
    <cellStyle name="60% - akcent 4 2 13 2 2 2 2 6" xfId="11397" xr:uid="{00000000-0005-0000-0000-0000C32B0000}"/>
    <cellStyle name="60% - akcent 4 2 13 2 2 2 3" xfId="11398" xr:uid="{00000000-0005-0000-0000-0000C42B0000}"/>
    <cellStyle name="60% - akcent 4 2 13 2 2 2 4" xfId="11399" xr:uid="{00000000-0005-0000-0000-0000C52B0000}"/>
    <cellStyle name="60% - akcent 4 2 13 2 2 2 5" xfId="11400" xr:uid="{00000000-0005-0000-0000-0000C62B0000}"/>
    <cellStyle name="60% - akcent 4 2 13 2 2 2 6" xfId="11401" xr:uid="{00000000-0005-0000-0000-0000C72B0000}"/>
    <cellStyle name="60% - akcent 4 2 13 2 2 2 7" xfId="11402" xr:uid="{00000000-0005-0000-0000-0000C82B0000}"/>
    <cellStyle name="60% - akcent 4 2 13 2 2 3" xfId="11403" xr:uid="{00000000-0005-0000-0000-0000C92B0000}"/>
    <cellStyle name="60% - akcent 4 2 13 2 2 4" xfId="11404" xr:uid="{00000000-0005-0000-0000-0000CA2B0000}"/>
    <cellStyle name="60% - akcent 4 2 13 2 2 5" xfId="11405" xr:uid="{00000000-0005-0000-0000-0000CB2B0000}"/>
    <cellStyle name="60% - akcent 4 2 13 2 2 6" xfId="11406" xr:uid="{00000000-0005-0000-0000-0000CC2B0000}"/>
    <cellStyle name="60% - akcent 4 2 13 2 2 7" xfId="11407" xr:uid="{00000000-0005-0000-0000-0000CD2B0000}"/>
    <cellStyle name="60% - akcent 4 2 13 2 2 7 2" xfId="11408" xr:uid="{00000000-0005-0000-0000-0000CE2B0000}"/>
    <cellStyle name="60% - akcent 4 2 13 2 2 7 3" xfId="11409" xr:uid="{00000000-0005-0000-0000-0000CF2B0000}"/>
    <cellStyle name="60% - akcent 4 2 13 2 2 7 4" xfId="11410" xr:uid="{00000000-0005-0000-0000-0000D02B0000}"/>
    <cellStyle name="60% - akcent 4 2 13 2 2 7 5" xfId="11411" xr:uid="{00000000-0005-0000-0000-0000D12B0000}"/>
    <cellStyle name="60% - akcent 4 2 13 2 2 7 6" xfId="11412" xr:uid="{00000000-0005-0000-0000-0000D22B0000}"/>
    <cellStyle name="60% - akcent 4 2 13 2 2 8" xfId="11413" xr:uid="{00000000-0005-0000-0000-0000D32B0000}"/>
    <cellStyle name="60% - akcent 4 2 13 2 2 9" xfId="11414" xr:uid="{00000000-0005-0000-0000-0000D42B0000}"/>
    <cellStyle name="60% - akcent 4 2 13 2 3" xfId="11415" xr:uid="{00000000-0005-0000-0000-0000D52B0000}"/>
    <cellStyle name="60% - akcent 4 2 13 2 3 2" xfId="11416" xr:uid="{00000000-0005-0000-0000-0000D62B0000}"/>
    <cellStyle name="60% - akcent 4 2 13 2 3 2 2" xfId="11417" xr:uid="{00000000-0005-0000-0000-0000D72B0000}"/>
    <cellStyle name="60% - akcent 4 2 13 2 3 2 3" xfId="11418" xr:uid="{00000000-0005-0000-0000-0000D82B0000}"/>
    <cellStyle name="60% - akcent 4 2 13 2 3 2 4" xfId="11419" xr:uid="{00000000-0005-0000-0000-0000D92B0000}"/>
    <cellStyle name="60% - akcent 4 2 13 2 3 2 5" xfId="11420" xr:uid="{00000000-0005-0000-0000-0000DA2B0000}"/>
    <cellStyle name="60% - akcent 4 2 13 2 3 2 6" xfId="11421" xr:uid="{00000000-0005-0000-0000-0000DB2B0000}"/>
    <cellStyle name="60% - akcent 4 2 13 2 3 3" xfId="11422" xr:uid="{00000000-0005-0000-0000-0000DC2B0000}"/>
    <cellStyle name="60% - akcent 4 2 13 2 3 4" xfId="11423" xr:uid="{00000000-0005-0000-0000-0000DD2B0000}"/>
    <cellStyle name="60% - akcent 4 2 13 2 3 5" xfId="11424" xr:uid="{00000000-0005-0000-0000-0000DE2B0000}"/>
    <cellStyle name="60% - akcent 4 2 13 2 3 6" xfId="11425" xr:uid="{00000000-0005-0000-0000-0000DF2B0000}"/>
    <cellStyle name="60% - akcent 4 2 13 2 3 7" xfId="11426" xr:uid="{00000000-0005-0000-0000-0000E02B0000}"/>
    <cellStyle name="60% - akcent 4 2 13 2 4" xfId="11427" xr:uid="{00000000-0005-0000-0000-0000E12B0000}"/>
    <cellStyle name="60% - akcent 4 2 13 2 5" xfId="11428" xr:uid="{00000000-0005-0000-0000-0000E22B0000}"/>
    <cellStyle name="60% - akcent 4 2 13 2 6" xfId="11429" xr:uid="{00000000-0005-0000-0000-0000E32B0000}"/>
    <cellStyle name="60% - akcent 4 2 13 2 7" xfId="11430" xr:uid="{00000000-0005-0000-0000-0000E42B0000}"/>
    <cellStyle name="60% - akcent 4 2 13 2 7 2" xfId="11431" xr:uid="{00000000-0005-0000-0000-0000E52B0000}"/>
    <cellStyle name="60% - akcent 4 2 13 2 7 3" xfId="11432" xr:uid="{00000000-0005-0000-0000-0000E62B0000}"/>
    <cellStyle name="60% - akcent 4 2 13 2 7 4" xfId="11433" xr:uid="{00000000-0005-0000-0000-0000E72B0000}"/>
    <cellStyle name="60% - akcent 4 2 13 2 7 5" xfId="11434" xr:uid="{00000000-0005-0000-0000-0000E82B0000}"/>
    <cellStyle name="60% - akcent 4 2 13 2 7 6" xfId="11435" xr:uid="{00000000-0005-0000-0000-0000E92B0000}"/>
    <cellStyle name="60% - akcent 4 2 13 2 8" xfId="11436" xr:uid="{00000000-0005-0000-0000-0000EA2B0000}"/>
    <cellStyle name="60% - akcent 4 2 13 2 9" xfId="11437" xr:uid="{00000000-0005-0000-0000-0000EB2B0000}"/>
    <cellStyle name="60% - akcent 4 2 13 3" xfId="11438" xr:uid="{00000000-0005-0000-0000-0000EC2B0000}"/>
    <cellStyle name="60% - akcent 4 2 13 3 2" xfId="11439" xr:uid="{00000000-0005-0000-0000-0000ED2B0000}"/>
    <cellStyle name="60% - akcent 4 2 13 3 2 2" xfId="11440" xr:uid="{00000000-0005-0000-0000-0000EE2B0000}"/>
    <cellStyle name="60% - akcent 4 2 13 3 2 3" xfId="11441" xr:uid="{00000000-0005-0000-0000-0000EF2B0000}"/>
    <cellStyle name="60% - akcent 4 2 13 3 2 4" xfId="11442" xr:uid="{00000000-0005-0000-0000-0000F02B0000}"/>
    <cellStyle name="60% - akcent 4 2 13 3 2 5" xfId="11443" xr:uid="{00000000-0005-0000-0000-0000F12B0000}"/>
    <cellStyle name="60% - akcent 4 2 13 3 2 6" xfId="11444" xr:uid="{00000000-0005-0000-0000-0000F22B0000}"/>
    <cellStyle name="60% - akcent 4 2 13 3 3" xfId="11445" xr:uid="{00000000-0005-0000-0000-0000F32B0000}"/>
    <cellStyle name="60% - akcent 4 2 13 3 4" xfId="11446" xr:uid="{00000000-0005-0000-0000-0000F42B0000}"/>
    <cellStyle name="60% - akcent 4 2 13 3 5" xfId="11447" xr:uid="{00000000-0005-0000-0000-0000F52B0000}"/>
    <cellStyle name="60% - akcent 4 2 13 3 6" xfId="11448" xr:uid="{00000000-0005-0000-0000-0000F62B0000}"/>
    <cellStyle name="60% - akcent 4 2 13 3 7" xfId="11449" xr:uid="{00000000-0005-0000-0000-0000F72B0000}"/>
    <cellStyle name="60% - akcent 4 2 13 4" xfId="11450" xr:uid="{00000000-0005-0000-0000-0000F82B0000}"/>
    <cellStyle name="60% - akcent 4 2 13 5" xfId="11451" xr:uid="{00000000-0005-0000-0000-0000F92B0000}"/>
    <cellStyle name="60% - akcent 4 2 13 6" xfId="11452" xr:uid="{00000000-0005-0000-0000-0000FA2B0000}"/>
    <cellStyle name="60% - akcent 4 2 13 7" xfId="11453" xr:uid="{00000000-0005-0000-0000-0000FB2B0000}"/>
    <cellStyle name="60% - akcent 4 2 13 8" xfId="11454" xr:uid="{00000000-0005-0000-0000-0000FC2B0000}"/>
    <cellStyle name="60% - akcent 4 2 13 8 2" xfId="11455" xr:uid="{00000000-0005-0000-0000-0000FD2B0000}"/>
    <cellStyle name="60% - akcent 4 2 13 8 3" xfId="11456" xr:uid="{00000000-0005-0000-0000-0000FE2B0000}"/>
    <cellStyle name="60% - akcent 4 2 13 8 4" xfId="11457" xr:uid="{00000000-0005-0000-0000-0000FF2B0000}"/>
    <cellStyle name="60% - akcent 4 2 13 8 5" xfId="11458" xr:uid="{00000000-0005-0000-0000-0000002C0000}"/>
    <cellStyle name="60% - akcent 4 2 13 8 6" xfId="11459" xr:uid="{00000000-0005-0000-0000-0000012C0000}"/>
    <cellStyle name="60% - akcent 4 2 13 9" xfId="11460" xr:uid="{00000000-0005-0000-0000-0000022C0000}"/>
    <cellStyle name="60% - akcent 4 2 14" xfId="11461" xr:uid="{00000000-0005-0000-0000-0000032C0000}"/>
    <cellStyle name="60% - akcent 4 2 14 10" xfId="11462" xr:uid="{00000000-0005-0000-0000-0000042C0000}"/>
    <cellStyle name="60% - akcent 4 2 14 11" xfId="11463" xr:uid="{00000000-0005-0000-0000-0000052C0000}"/>
    <cellStyle name="60% - akcent 4 2 14 2" xfId="11464" xr:uid="{00000000-0005-0000-0000-0000062C0000}"/>
    <cellStyle name="60% - akcent 4 2 14 2 2" xfId="11465" xr:uid="{00000000-0005-0000-0000-0000072C0000}"/>
    <cellStyle name="60% - akcent 4 2 14 2 2 2" xfId="11466" xr:uid="{00000000-0005-0000-0000-0000082C0000}"/>
    <cellStyle name="60% - akcent 4 2 14 2 2 3" xfId="11467" xr:uid="{00000000-0005-0000-0000-0000092C0000}"/>
    <cellStyle name="60% - akcent 4 2 14 2 2 4" xfId="11468" xr:uid="{00000000-0005-0000-0000-00000A2C0000}"/>
    <cellStyle name="60% - akcent 4 2 14 2 2 5" xfId="11469" xr:uid="{00000000-0005-0000-0000-00000B2C0000}"/>
    <cellStyle name="60% - akcent 4 2 14 2 2 6" xfId="11470" xr:uid="{00000000-0005-0000-0000-00000C2C0000}"/>
    <cellStyle name="60% - akcent 4 2 14 2 3" xfId="11471" xr:uid="{00000000-0005-0000-0000-00000D2C0000}"/>
    <cellStyle name="60% - akcent 4 2 14 2 4" xfId="11472" xr:uid="{00000000-0005-0000-0000-00000E2C0000}"/>
    <cellStyle name="60% - akcent 4 2 14 2 5" xfId="11473" xr:uid="{00000000-0005-0000-0000-00000F2C0000}"/>
    <cellStyle name="60% - akcent 4 2 14 2 6" xfId="11474" xr:uid="{00000000-0005-0000-0000-0000102C0000}"/>
    <cellStyle name="60% - akcent 4 2 14 2 7" xfId="11475" xr:uid="{00000000-0005-0000-0000-0000112C0000}"/>
    <cellStyle name="60% - akcent 4 2 14 3" xfId="11476" xr:uid="{00000000-0005-0000-0000-0000122C0000}"/>
    <cellStyle name="60% - akcent 4 2 14 4" xfId="11477" xr:uid="{00000000-0005-0000-0000-0000132C0000}"/>
    <cellStyle name="60% - akcent 4 2 14 5" xfId="11478" xr:uid="{00000000-0005-0000-0000-0000142C0000}"/>
    <cellStyle name="60% - akcent 4 2 14 6" xfId="11479" xr:uid="{00000000-0005-0000-0000-0000152C0000}"/>
    <cellStyle name="60% - akcent 4 2 14 7" xfId="11480" xr:uid="{00000000-0005-0000-0000-0000162C0000}"/>
    <cellStyle name="60% - akcent 4 2 14 7 2" xfId="11481" xr:uid="{00000000-0005-0000-0000-0000172C0000}"/>
    <cellStyle name="60% - akcent 4 2 14 7 3" xfId="11482" xr:uid="{00000000-0005-0000-0000-0000182C0000}"/>
    <cellStyle name="60% - akcent 4 2 14 7 4" xfId="11483" xr:uid="{00000000-0005-0000-0000-0000192C0000}"/>
    <cellStyle name="60% - akcent 4 2 14 7 5" xfId="11484" xr:uid="{00000000-0005-0000-0000-00001A2C0000}"/>
    <cellStyle name="60% - akcent 4 2 14 7 6" xfId="11485" xr:uid="{00000000-0005-0000-0000-00001B2C0000}"/>
    <cellStyle name="60% - akcent 4 2 14 8" xfId="11486" xr:uid="{00000000-0005-0000-0000-00001C2C0000}"/>
    <cellStyle name="60% - akcent 4 2 14 9" xfId="11487" xr:uid="{00000000-0005-0000-0000-00001D2C0000}"/>
    <cellStyle name="60% - akcent 4 2 15" xfId="11488" xr:uid="{00000000-0005-0000-0000-00001E2C0000}"/>
    <cellStyle name="60% - akcent 4 2 15 2" xfId="11489" xr:uid="{00000000-0005-0000-0000-00001F2C0000}"/>
    <cellStyle name="60% - akcent 4 2 15 2 2" xfId="11490" xr:uid="{00000000-0005-0000-0000-0000202C0000}"/>
    <cellStyle name="60% - akcent 4 2 15 2 3" xfId="11491" xr:uid="{00000000-0005-0000-0000-0000212C0000}"/>
    <cellStyle name="60% - akcent 4 2 15 2 4" xfId="11492" xr:uid="{00000000-0005-0000-0000-0000222C0000}"/>
    <cellStyle name="60% - akcent 4 2 15 2 5" xfId="11493" xr:uid="{00000000-0005-0000-0000-0000232C0000}"/>
    <cellStyle name="60% - akcent 4 2 15 2 6" xfId="11494" xr:uid="{00000000-0005-0000-0000-0000242C0000}"/>
    <cellStyle name="60% - akcent 4 2 15 3" xfId="11495" xr:uid="{00000000-0005-0000-0000-0000252C0000}"/>
    <cellStyle name="60% - akcent 4 2 15 4" xfId="11496" xr:uid="{00000000-0005-0000-0000-0000262C0000}"/>
    <cellStyle name="60% - akcent 4 2 15 5" xfId="11497" xr:uid="{00000000-0005-0000-0000-0000272C0000}"/>
    <cellStyle name="60% - akcent 4 2 15 6" xfId="11498" xr:uid="{00000000-0005-0000-0000-0000282C0000}"/>
    <cellStyle name="60% - akcent 4 2 15 7" xfId="11499" xr:uid="{00000000-0005-0000-0000-0000292C0000}"/>
    <cellStyle name="60% - akcent 4 2 16" xfId="11500" xr:uid="{00000000-0005-0000-0000-00002A2C0000}"/>
    <cellStyle name="60% - akcent 4 2 17" xfId="11501" xr:uid="{00000000-0005-0000-0000-00002B2C0000}"/>
    <cellStyle name="60% - akcent 4 2 18" xfId="11502" xr:uid="{00000000-0005-0000-0000-00002C2C0000}"/>
    <cellStyle name="60% - akcent 4 2 19" xfId="11503" xr:uid="{00000000-0005-0000-0000-00002D2C0000}"/>
    <cellStyle name="60% - akcent 4 2 2" xfId="11504" xr:uid="{00000000-0005-0000-0000-00002E2C0000}"/>
    <cellStyle name="60% - akcent 4 2 2 10" xfId="11505" xr:uid="{00000000-0005-0000-0000-00002F2C0000}"/>
    <cellStyle name="60% - akcent 4 2 2 10 10" xfId="11506" xr:uid="{00000000-0005-0000-0000-0000302C0000}"/>
    <cellStyle name="60% - akcent 4 2 2 10 11" xfId="11507" xr:uid="{00000000-0005-0000-0000-0000312C0000}"/>
    <cellStyle name="60% - akcent 4 2 2 10 12" xfId="11508" xr:uid="{00000000-0005-0000-0000-0000322C0000}"/>
    <cellStyle name="60% - akcent 4 2 2 10 2" xfId="11509" xr:uid="{00000000-0005-0000-0000-0000332C0000}"/>
    <cellStyle name="60% - akcent 4 2 2 10 2 10" xfId="11510" xr:uid="{00000000-0005-0000-0000-0000342C0000}"/>
    <cellStyle name="60% - akcent 4 2 2 10 2 11" xfId="11511" xr:uid="{00000000-0005-0000-0000-0000352C0000}"/>
    <cellStyle name="60% - akcent 4 2 2 10 2 2" xfId="11512" xr:uid="{00000000-0005-0000-0000-0000362C0000}"/>
    <cellStyle name="60% - akcent 4 2 2 10 2 2 10" xfId="11513" xr:uid="{00000000-0005-0000-0000-0000372C0000}"/>
    <cellStyle name="60% - akcent 4 2 2 10 2 2 11" xfId="11514" xr:uid="{00000000-0005-0000-0000-0000382C0000}"/>
    <cellStyle name="60% - akcent 4 2 2 10 2 2 2" xfId="11515" xr:uid="{00000000-0005-0000-0000-0000392C0000}"/>
    <cellStyle name="60% - akcent 4 2 2 10 2 2 2 2" xfId="11516" xr:uid="{00000000-0005-0000-0000-00003A2C0000}"/>
    <cellStyle name="60% - akcent 4 2 2 10 2 2 2 2 2" xfId="11517" xr:uid="{00000000-0005-0000-0000-00003B2C0000}"/>
    <cellStyle name="60% - akcent 4 2 2 10 2 2 2 2 3" xfId="11518" xr:uid="{00000000-0005-0000-0000-00003C2C0000}"/>
    <cellStyle name="60% - akcent 4 2 2 10 2 2 2 2 4" xfId="11519" xr:uid="{00000000-0005-0000-0000-00003D2C0000}"/>
    <cellStyle name="60% - akcent 4 2 2 10 2 2 2 2 5" xfId="11520" xr:uid="{00000000-0005-0000-0000-00003E2C0000}"/>
    <cellStyle name="60% - akcent 4 2 2 10 2 2 2 2 6" xfId="11521" xr:uid="{00000000-0005-0000-0000-00003F2C0000}"/>
    <cellStyle name="60% - akcent 4 2 2 10 2 2 2 3" xfId="11522" xr:uid="{00000000-0005-0000-0000-0000402C0000}"/>
    <cellStyle name="60% - akcent 4 2 2 10 2 2 2 4" xfId="11523" xr:uid="{00000000-0005-0000-0000-0000412C0000}"/>
    <cellStyle name="60% - akcent 4 2 2 10 2 2 2 5" xfId="11524" xr:uid="{00000000-0005-0000-0000-0000422C0000}"/>
    <cellStyle name="60% - akcent 4 2 2 10 2 2 2 6" xfId="11525" xr:uid="{00000000-0005-0000-0000-0000432C0000}"/>
    <cellStyle name="60% - akcent 4 2 2 10 2 2 2 7" xfId="11526" xr:uid="{00000000-0005-0000-0000-0000442C0000}"/>
    <cellStyle name="60% - akcent 4 2 2 10 2 2 3" xfId="11527" xr:uid="{00000000-0005-0000-0000-0000452C0000}"/>
    <cellStyle name="60% - akcent 4 2 2 10 2 2 4" xfId="11528" xr:uid="{00000000-0005-0000-0000-0000462C0000}"/>
    <cellStyle name="60% - akcent 4 2 2 10 2 2 5" xfId="11529" xr:uid="{00000000-0005-0000-0000-0000472C0000}"/>
    <cellStyle name="60% - akcent 4 2 2 10 2 2 6" xfId="11530" xr:uid="{00000000-0005-0000-0000-0000482C0000}"/>
    <cellStyle name="60% - akcent 4 2 2 10 2 2 7" xfId="11531" xr:uid="{00000000-0005-0000-0000-0000492C0000}"/>
    <cellStyle name="60% - akcent 4 2 2 10 2 2 7 2" xfId="11532" xr:uid="{00000000-0005-0000-0000-00004A2C0000}"/>
    <cellStyle name="60% - akcent 4 2 2 10 2 2 7 3" xfId="11533" xr:uid="{00000000-0005-0000-0000-00004B2C0000}"/>
    <cellStyle name="60% - akcent 4 2 2 10 2 2 7 4" xfId="11534" xr:uid="{00000000-0005-0000-0000-00004C2C0000}"/>
    <cellStyle name="60% - akcent 4 2 2 10 2 2 7 5" xfId="11535" xr:uid="{00000000-0005-0000-0000-00004D2C0000}"/>
    <cellStyle name="60% - akcent 4 2 2 10 2 2 7 6" xfId="11536" xr:uid="{00000000-0005-0000-0000-00004E2C0000}"/>
    <cellStyle name="60% - akcent 4 2 2 10 2 2 8" xfId="11537" xr:uid="{00000000-0005-0000-0000-00004F2C0000}"/>
    <cellStyle name="60% - akcent 4 2 2 10 2 2 9" xfId="11538" xr:uid="{00000000-0005-0000-0000-0000502C0000}"/>
    <cellStyle name="60% - akcent 4 2 2 10 2 3" xfId="11539" xr:uid="{00000000-0005-0000-0000-0000512C0000}"/>
    <cellStyle name="60% - akcent 4 2 2 10 2 3 2" xfId="11540" xr:uid="{00000000-0005-0000-0000-0000522C0000}"/>
    <cellStyle name="60% - akcent 4 2 2 10 2 3 2 2" xfId="11541" xr:uid="{00000000-0005-0000-0000-0000532C0000}"/>
    <cellStyle name="60% - akcent 4 2 2 10 2 3 2 3" xfId="11542" xr:uid="{00000000-0005-0000-0000-0000542C0000}"/>
    <cellStyle name="60% - akcent 4 2 2 10 2 3 2 4" xfId="11543" xr:uid="{00000000-0005-0000-0000-0000552C0000}"/>
    <cellStyle name="60% - akcent 4 2 2 10 2 3 2 5" xfId="11544" xr:uid="{00000000-0005-0000-0000-0000562C0000}"/>
    <cellStyle name="60% - akcent 4 2 2 10 2 3 2 6" xfId="11545" xr:uid="{00000000-0005-0000-0000-0000572C0000}"/>
    <cellStyle name="60% - akcent 4 2 2 10 2 3 3" xfId="11546" xr:uid="{00000000-0005-0000-0000-0000582C0000}"/>
    <cellStyle name="60% - akcent 4 2 2 10 2 3 4" xfId="11547" xr:uid="{00000000-0005-0000-0000-0000592C0000}"/>
    <cellStyle name="60% - akcent 4 2 2 10 2 3 5" xfId="11548" xr:uid="{00000000-0005-0000-0000-00005A2C0000}"/>
    <cellStyle name="60% - akcent 4 2 2 10 2 3 6" xfId="11549" xr:uid="{00000000-0005-0000-0000-00005B2C0000}"/>
    <cellStyle name="60% - akcent 4 2 2 10 2 3 7" xfId="11550" xr:uid="{00000000-0005-0000-0000-00005C2C0000}"/>
    <cellStyle name="60% - akcent 4 2 2 10 2 4" xfId="11551" xr:uid="{00000000-0005-0000-0000-00005D2C0000}"/>
    <cellStyle name="60% - akcent 4 2 2 10 2 5" xfId="11552" xr:uid="{00000000-0005-0000-0000-00005E2C0000}"/>
    <cellStyle name="60% - akcent 4 2 2 10 2 6" xfId="11553" xr:uid="{00000000-0005-0000-0000-00005F2C0000}"/>
    <cellStyle name="60% - akcent 4 2 2 10 2 7" xfId="11554" xr:uid="{00000000-0005-0000-0000-0000602C0000}"/>
    <cellStyle name="60% - akcent 4 2 2 10 2 7 2" xfId="11555" xr:uid="{00000000-0005-0000-0000-0000612C0000}"/>
    <cellStyle name="60% - akcent 4 2 2 10 2 7 3" xfId="11556" xr:uid="{00000000-0005-0000-0000-0000622C0000}"/>
    <cellStyle name="60% - akcent 4 2 2 10 2 7 4" xfId="11557" xr:uid="{00000000-0005-0000-0000-0000632C0000}"/>
    <cellStyle name="60% - akcent 4 2 2 10 2 7 5" xfId="11558" xr:uid="{00000000-0005-0000-0000-0000642C0000}"/>
    <cellStyle name="60% - akcent 4 2 2 10 2 7 6" xfId="11559" xr:uid="{00000000-0005-0000-0000-0000652C0000}"/>
    <cellStyle name="60% - akcent 4 2 2 10 2 8" xfId="11560" xr:uid="{00000000-0005-0000-0000-0000662C0000}"/>
    <cellStyle name="60% - akcent 4 2 2 10 2 9" xfId="11561" xr:uid="{00000000-0005-0000-0000-0000672C0000}"/>
    <cellStyle name="60% - akcent 4 2 2 10 3" xfId="11562" xr:uid="{00000000-0005-0000-0000-0000682C0000}"/>
    <cellStyle name="60% - akcent 4 2 2 10 3 2" xfId="11563" xr:uid="{00000000-0005-0000-0000-0000692C0000}"/>
    <cellStyle name="60% - akcent 4 2 2 10 3 2 2" xfId="11564" xr:uid="{00000000-0005-0000-0000-00006A2C0000}"/>
    <cellStyle name="60% - akcent 4 2 2 10 3 2 3" xfId="11565" xr:uid="{00000000-0005-0000-0000-00006B2C0000}"/>
    <cellStyle name="60% - akcent 4 2 2 10 3 2 4" xfId="11566" xr:uid="{00000000-0005-0000-0000-00006C2C0000}"/>
    <cellStyle name="60% - akcent 4 2 2 10 3 2 5" xfId="11567" xr:uid="{00000000-0005-0000-0000-00006D2C0000}"/>
    <cellStyle name="60% - akcent 4 2 2 10 3 2 6" xfId="11568" xr:uid="{00000000-0005-0000-0000-00006E2C0000}"/>
    <cellStyle name="60% - akcent 4 2 2 10 3 3" xfId="11569" xr:uid="{00000000-0005-0000-0000-00006F2C0000}"/>
    <cellStyle name="60% - akcent 4 2 2 10 3 4" xfId="11570" xr:uid="{00000000-0005-0000-0000-0000702C0000}"/>
    <cellStyle name="60% - akcent 4 2 2 10 3 5" xfId="11571" xr:uid="{00000000-0005-0000-0000-0000712C0000}"/>
    <cellStyle name="60% - akcent 4 2 2 10 3 6" xfId="11572" xr:uid="{00000000-0005-0000-0000-0000722C0000}"/>
    <cellStyle name="60% - akcent 4 2 2 10 3 7" xfId="11573" xr:uid="{00000000-0005-0000-0000-0000732C0000}"/>
    <cellStyle name="60% - akcent 4 2 2 10 4" xfId="11574" xr:uid="{00000000-0005-0000-0000-0000742C0000}"/>
    <cellStyle name="60% - akcent 4 2 2 10 5" xfId="11575" xr:uid="{00000000-0005-0000-0000-0000752C0000}"/>
    <cellStyle name="60% - akcent 4 2 2 10 6" xfId="11576" xr:uid="{00000000-0005-0000-0000-0000762C0000}"/>
    <cellStyle name="60% - akcent 4 2 2 10 7" xfId="11577" xr:uid="{00000000-0005-0000-0000-0000772C0000}"/>
    <cellStyle name="60% - akcent 4 2 2 10 8" xfId="11578" xr:uid="{00000000-0005-0000-0000-0000782C0000}"/>
    <cellStyle name="60% - akcent 4 2 2 10 8 2" xfId="11579" xr:uid="{00000000-0005-0000-0000-0000792C0000}"/>
    <cellStyle name="60% - akcent 4 2 2 10 8 3" xfId="11580" xr:uid="{00000000-0005-0000-0000-00007A2C0000}"/>
    <cellStyle name="60% - akcent 4 2 2 10 8 4" xfId="11581" xr:uid="{00000000-0005-0000-0000-00007B2C0000}"/>
    <cellStyle name="60% - akcent 4 2 2 10 8 5" xfId="11582" xr:uid="{00000000-0005-0000-0000-00007C2C0000}"/>
    <cellStyle name="60% - akcent 4 2 2 10 8 6" xfId="11583" xr:uid="{00000000-0005-0000-0000-00007D2C0000}"/>
    <cellStyle name="60% - akcent 4 2 2 10 9" xfId="11584" xr:uid="{00000000-0005-0000-0000-00007E2C0000}"/>
    <cellStyle name="60% - akcent 4 2 2 11" xfId="11585" xr:uid="{00000000-0005-0000-0000-00007F2C0000}"/>
    <cellStyle name="60% - akcent 4 2 2 11 10" xfId="11586" xr:uid="{00000000-0005-0000-0000-0000802C0000}"/>
    <cellStyle name="60% - akcent 4 2 2 11 11" xfId="11587" xr:uid="{00000000-0005-0000-0000-0000812C0000}"/>
    <cellStyle name="60% - akcent 4 2 2 11 2" xfId="11588" xr:uid="{00000000-0005-0000-0000-0000822C0000}"/>
    <cellStyle name="60% - akcent 4 2 2 11 2 2" xfId="11589" xr:uid="{00000000-0005-0000-0000-0000832C0000}"/>
    <cellStyle name="60% - akcent 4 2 2 11 2 2 2" xfId="11590" xr:uid="{00000000-0005-0000-0000-0000842C0000}"/>
    <cellStyle name="60% - akcent 4 2 2 11 2 2 3" xfId="11591" xr:uid="{00000000-0005-0000-0000-0000852C0000}"/>
    <cellStyle name="60% - akcent 4 2 2 11 2 2 4" xfId="11592" xr:uid="{00000000-0005-0000-0000-0000862C0000}"/>
    <cellStyle name="60% - akcent 4 2 2 11 2 2 5" xfId="11593" xr:uid="{00000000-0005-0000-0000-0000872C0000}"/>
    <cellStyle name="60% - akcent 4 2 2 11 2 2 6" xfId="11594" xr:uid="{00000000-0005-0000-0000-0000882C0000}"/>
    <cellStyle name="60% - akcent 4 2 2 11 2 3" xfId="11595" xr:uid="{00000000-0005-0000-0000-0000892C0000}"/>
    <cellStyle name="60% - akcent 4 2 2 11 2 4" xfId="11596" xr:uid="{00000000-0005-0000-0000-00008A2C0000}"/>
    <cellStyle name="60% - akcent 4 2 2 11 2 5" xfId="11597" xr:uid="{00000000-0005-0000-0000-00008B2C0000}"/>
    <cellStyle name="60% - akcent 4 2 2 11 2 6" xfId="11598" xr:uid="{00000000-0005-0000-0000-00008C2C0000}"/>
    <cellStyle name="60% - akcent 4 2 2 11 2 7" xfId="11599" xr:uid="{00000000-0005-0000-0000-00008D2C0000}"/>
    <cellStyle name="60% - akcent 4 2 2 11 3" xfId="11600" xr:uid="{00000000-0005-0000-0000-00008E2C0000}"/>
    <cellStyle name="60% - akcent 4 2 2 11 4" xfId="11601" xr:uid="{00000000-0005-0000-0000-00008F2C0000}"/>
    <cellStyle name="60% - akcent 4 2 2 11 5" xfId="11602" xr:uid="{00000000-0005-0000-0000-0000902C0000}"/>
    <cellStyle name="60% - akcent 4 2 2 11 6" xfId="11603" xr:uid="{00000000-0005-0000-0000-0000912C0000}"/>
    <cellStyle name="60% - akcent 4 2 2 11 7" xfId="11604" xr:uid="{00000000-0005-0000-0000-0000922C0000}"/>
    <cellStyle name="60% - akcent 4 2 2 11 7 2" xfId="11605" xr:uid="{00000000-0005-0000-0000-0000932C0000}"/>
    <cellStyle name="60% - akcent 4 2 2 11 7 3" xfId="11606" xr:uid="{00000000-0005-0000-0000-0000942C0000}"/>
    <cellStyle name="60% - akcent 4 2 2 11 7 4" xfId="11607" xr:uid="{00000000-0005-0000-0000-0000952C0000}"/>
    <cellStyle name="60% - akcent 4 2 2 11 7 5" xfId="11608" xr:uid="{00000000-0005-0000-0000-0000962C0000}"/>
    <cellStyle name="60% - akcent 4 2 2 11 7 6" xfId="11609" xr:uid="{00000000-0005-0000-0000-0000972C0000}"/>
    <cellStyle name="60% - akcent 4 2 2 11 8" xfId="11610" xr:uid="{00000000-0005-0000-0000-0000982C0000}"/>
    <cellStyle name="60% - akcent 4 2 2 11 9" xfId="11611" xr:uid="{00000000-0005-0000-0000-0000992C0000}"/>
    <cellStyle name="60% - akcent 4 2 2 12" xfId="11612" xr:uid="{00000000-0005-0000-0000-00009A2C0000}"/>
    <cellStyle name="60% - akcent 4 2 2 12 2" xfId="11613" xr:uid="{00000000-0005-0000-0000-00009B2C0000}"/>
    <cellStyle name="60% - akcent 4 2 2 12 2 2" xfId="11614" xr:uid="{00000000-0005-0000-0000-00009C2C0000}"/>
    <cellStyle name="60% - akcent 4 2 2 12 2 3" xfId="11615" xr:uid="{00000000-0005-0000-0000-00009D2C0000}"/>
    <cellStyle name="60% - akcent 4 2 2 12 2 4" xfId="11616" xr:uid="{00000000-0005-0000-0000-00009E2C0000}"/>
    <cellStyle name="60% - akcent 4 2 2 12 2 5" xfId="11617" xr:uid="{00000000-0005-0000-0000-00009F2C0000}"/>
    <cellStyle name="60% - akcent 4 2 2 12 2 6" xfId="11618" xr:uid="{00000000-0005-0000-0000-0000A02C0000}"/>
    <cellStyle name="60% - akcent 4 2 2 12 3" xfId="11619" xr:uid="{00000000-0005-0000-0000-0000A12C0000}"/>
    <cellStyle name="60% - akcent 4 2 2 12 4" xfId="11620" xr:uid="{00000000-0005-0000-0000-0000A22C0000}"/>
    <cellStyle name="60% - akcent 4 2 2 12 5" xfId="11621" xr:uid="{00000000-0005-0000-0000-0000A32C0000}"/>
    <cellStyle name="60% - akcent 4 2 2 12 6" xfId="11622" xr:uid="{00000000-0005-0000-0000-0000A42C0000}"/>
    <cellStyle name="60% - akcent 4 2 2 12 7" xfId="11623" xr:uid="{00000000-0005-0000-0000-0000A52C0000}"/>
    <cellStyle name="60% - akcent 4 2 2 13" xfId="11624" xr:uid="{00000000-0005-0000-0000-0000A62C0000}"/>
    <cellStyle name="60% - akcent 4 2 2 14" xfId="11625" xr:uid="{00000000-0005-0000-0000-0000A72C0000}"/>
    <cellStyle name="60% - akcent 4 2 2 15" xfId="11626" xr:uid="{00000000-0005-0000-0000-0000A82C0000}"/>
    <cellStyle name="60% - akcent 4 2 2 16" xfId="11627" xr:uid="{00000000-0005-0000-0000-0000A92C0000}"/>
    <cellStyle name="60% - akcent 4 2 2 17" xfId="11628" xr:uid="{00000000-0005-0000-0000-0000AA2C0000}"/>
    <cellStyle name="60% - akcent 4 2 2 18" xfId="11629" xr:uid="{00000000-0005-0000-0000-0000AB2C0000}"/>
    <cellStyle name="60% - akcent 4 2 2 18 2" xfId="11630" xr:uid="{00000000-0005-0000-0000-0000AC2C0000}"/>
    <cellStyle name="60% - akcent 4 2 2 18 3" xfId="11631" xr:uid="{00000000-0005-0000-0000-0000AD2C0000}"/>
    <cellStyle name="60% - akcent 4 2 2 18 4" xfId="11632" xr:uid="{00000000-0005-0000-0000-0000AE2C0000}"/>
    <cellStyle name="60% - akcent 4 2 2 18 5" xfId="11633" xr:uid="{00000000-0005-0000-0000-0000AF2C0000}"/>
    <cellStyle name="60% - akcent 4 2 2 18 6" xfId="11634" xr:uid="{00000000-0005-0000-0000-0000B02C0000}"/>
    <cellStyle name="60% - akcent 4 2 2 19" xfId="11635" xr:uid="{00000000-0005-0000-0000-0000B12C0000}"/>
    <cellStyle name="60% - akcent 4 2 2 2" xfId="11636" xr:uid="{00000000-0005-0000-0000-0000B22C0000}"/>
    <cellStyle name="60% - akcent 4 2 2 2 10" xfId="11637" xr:uid="{00000000-0005-0000-0000-0000B32C0000}"/>
    <cellStyle name="60% - akcent 4 2 2 2 11" xfId="11638" xr:uid="{00000000-0005-0000-0000-0000B42C0000}"/>
    <cellStyle name="60% - akcent 4 2 2 2 2" xfId="11639" xr:uid="{00000000-0005-0000-0000-0000B52C0000}"/>
    <cellStyle name="60% - akcent 4 2 2 2 2 10" xfId="11640" xr:uid="{00000000-0005-0000-0000-0000B62C0000}"/>
    <cellStyle name="60% - akcent 4 2 2 2 2 2" xfId="11641" xr:uid="{00000000-0005-0000-0000-0000B72C0000}"/>
    <cellStyle name="60% - akcent 4 2 2 2 2 2 2" xfId="11642" xr:uid="{00000000-0005-0000-0000-0000B82C0000}"/>
    <cellStyle name="60% - akcent 4 2 2 2 2 2 2 2" xfId="11643" xr:uid="{00000000-0005-0000-0000-0000B92C0000}"/>
    <cellStyle name="60% - akcent 4 2 2 2 2 2 2 2 2" xfId="11644" xr:uid="{00000000-0005-0000-0000-0000BA2C0000}"/>
    <cellStyle name="60% - akcent 4 2 2 2 2 2 2 2 2 2" xfId="11645" xr:uid="{00000000-0005-0000-0000-0000BB2C0000}"/>
    <cellStyle name="60% - akcent 4 2 2 2 2 2 2 2 2 3" xfId="11646" xr:uid="{00000000-0005-0000-0000-0000BC2C0000}"/>
    <cellStyle name="60% - akcent 4 2 2 2 2 2 2 2 2 4" xfId="11647" xr:uid="{00000000-0005-0000-0000-0000BD2C0000}"/>
    <cellStyle name="60% - akcent 4 2 2 2 2 2 2 2 3" xfId="11648" xr:uid="{00000000-0005-0000-0000-0000BE2C0000}"/>
    <cellStyle name="60% - akcent 4 2 2 2 2 2 2 2 4" xfId="11649" xr:uid="{00000000-0005-0000-0000-0000BF2C0000}"/>
    <cellStyle name="60% - akcent 4 2 2 2 2 2 2 2 5" xfId="11650" xr:uid="{00000000-0005-0000-0000-0000C02C0000}"/>
    <cellStyle name="60% - akcent 4 2 2 2 2 2 2 3" xfId="11651" xr:uid="{00000000-0005-0000-0000-0000C12C0000}"/>
    <cellStyle name="60% - akcent 4 2 2 2 2 2 2 4" xfId="11652" xr:uid="{00000000-0005-0000-0000-0000C22C0000}"/>
    <cellStyle name="60% - akcent 4 2 2 2 2 2 2 5" xfId="11653" xr:uid="{00000000-0005-0000-0000-0000C32C0000}"/>
    <cellStyle name="60% - akcent 4 2 2 2 2 2 2 6" xfId="11654" xr:uid="{00000000-0005-0000-0000-0000C42C0000}"/>
    <cellStyle name="60% - akcent 4 2 2 2 2 2 2 7" xfId="11655" xr:uid="{00000000-0005-0000-0000-0000C52C0000}"/>
    <cellStyle name="60% - akcent 4 2 2 2 2 2 2 7 2" xfId="11656" xr:uid="{00000000-0005-0000-0000-0000C62C0000}"/>
    <cellStyle name="60% - akcent 4 2 2 2 2 2 2 7 3" xfId="11657" xr:uid="{00000000-0005-0000-0000-0000C72C0000}"/>
    <cellStyle name="60% - akcent 4 2 2 2 2 2 2 7 4" xfId="11658" xr:uid="{00000000-0005-0000-0000-0000C82C0000}"/>
    <cellStyle name="60% - akcent 4 2 2 2 2 2 2 7 5" xfId="11659" xr:uid="{00000000-0005-0000-0000-0000C92C0000}"/>
    <cellStyle name="60% - akcent 4 2 2 2 2 2 2 7 6" xfId="11660" xr:uid="{00000000-0005-0000-0000-0000CA2C0000}"/>
    <cellStyle name="60% - akcent 4 2 2 2 2 2 2 8" xfId="11661" xr:uid="{00000000-0005-0000-0000-0000CB2C0000}"/>
    <cellStyle name="60% - akcent 4 2 2 2 2 2 2 9" xfId="11662" xr:uid="{00000000-0005-0000-0000-0000CC2C0000}"/>
    <cellStyle name="60% - akcent 4 2 2 2 2 2 3" xfId="11663" xr:uid="{00000000-0005-0000-0000-0000CD2C0000}"/>
    <cellStyle name="60% - akcent 4 2 2 2 2 2 3 2" xfId="11664" xr:uid="{00000000-0005-0000-0000-0000CE2C0000}"/>
    <cellStyle name="60% - akcent 4 2 2 2 2 2 3 2 2" xfId="11665" xr:uid="{00000000-0005-0000-0000-0000CF2C0000}"/>
    <cellStyle name="60% - akcent 4 2 2 2 2 2 3 2 3" xfId="11666" xr:uid="{00000000-0005-0000-0000-0000D02C0000}"/>
    <cellStyle name="60% - akcent 4 2 2 2 2 2 3 2 4" xfId="11667" xr:uid="{00000000-0005-0000-0000-0000D12C0000}"/>
    <cellStyle name="60% - akcent 4 2 2 2 2 2 3 2 5" xfId="11668" xr:uid="{00000000-0005-0000-0000-0000D22C0000}"/>
    <cellStyle name="60% - akcent 4 2 2 2 2 2 3 2 6" xfId="11669" xr:uid="{00000000-0005-0000-0000-0000D32C0000}"/>
    <cellStyle name="60% - akcent 4 2 2 2 2 2 3 3" xfId="11670" xr:uid="{00000000-0005-0000-0000-0000D42C0000}"/>
    <cellStyle name="60% - akcent 4 2 2 2 2 2 3 4" xfId="11671" xr:uid="{00000000-0005-0000-0000-0000D52C0000}"/>
    <cellStyle name="60% - akcent 4 2 2 2 2 2 3 5" xfId="11672" xr:uid="{00000000-0005-0000-0000-0000D62C0000}"/>
    <cellStyle name="60% - akcent 4 2 2 2 2 2 3 6" xfId="11673" xr:uid="{00000000-0005-0000-0000-0000D72C0000}"/>
    <cellStyle name="60% - akcent 4 2 2 2 2 2 3 7" xfId="11674" xr:uid="{00000000-0005-0000-0000-0000D82C0000}"/>
    <cellStyle name="60% - akcent 4 2 2 2 2 2 4" xfId="11675" xr:uid="{00000000-0005-0000-0000-0000D92C0000}"/>
    <cellStyle name="60% - akcent 4 2 2 2 2 2 5" xfId="11676" xr:uid="{00000000-0005-0000-0000-0000DA2C0000}"/>
    <cellStyle name="60% - akcent 4 2 2 2 2 2 6" xfId="11677" xr:uid="{00000000-0005-0000-0000-0000DB2C0000}"/>
    <cellStyle name="60% - akcent 4 2 2 2 2 2 7" xfId="11678" xr:uid="{00000000-0005-0000-0000-0000DC2C0000}"/>
    <cellStyle name="60% - akcent 4 2 2 2 2 2 7 2" xfId="11679" xr:uid="{00000000-0005-0000-0000-0000DD2C0000}"/>
    <cellStyle name="60% - akcent 4 2 2 2 2 2 7 3" xfId="11680" xr:uid="{00000000-0005-0000-0000-0000DE2C0000}"/>
    <cellStyle name="60% - akcent 4 2 2 2 2 2 7 4" xfId="11681" xr:uid="{00000000-0005-0000-0000-0000DF2C0000}"/>
    <cellStyle name="60% - akcent 4 2 2 2 2 2 7 5" xfId="11682" xr:uid="{00000000-0005-0000-0000-0000E02C0000}"/>
    <cellStyle name="60% - akcent 4 2 2 2 2 2 7 6" xfId="11683" xr:uid="{00000000-0005-0000-0000-0000E12C0000}"/>
    <cellStyle name="60% - akcent 4 2 2 2 2 2 8" xfId="11684" xr:uid="{00000000-0005-0000-0000-0000E22C0000}"/>
    <cellStyle name="60% - akcent 4 2 2 2 2 2 9" xfId="11685" xr:uid="{00000000-0005-0000-0000-0000E32C0000}"/>
    <cellStyle name="60% - akcent 4 2 2 2 2 3" xfId="11686" xr:uid="{00000000-0005-0000-0000-0000E42C0000}"/>
    <cellStyle name="60% - akcent 4 2 2 2 2 3 2" xfId="11687" xr:uid="{00000000-0005-0000-0000-0000E52C0000}"/>
    <cellStyle name="60% - akcent 4 2 2 2 2 3 2 2" xfId="11688" xr:uid="{00000000-0005-0000-0000-0000E62C0000}"/>
    <cellStyle name="60% - akcent 4 2 2 2 2 3 2 3" xfId="11689" xr:uid="{00000000-0005-0000-0000-0000E72C0000}"/>
    <cellStyle name="60% - akcent 4 2 2 2 2 3 2 4" xfId="11690" xr:uid="{00000000-0005-0000-0000-0000E82C0000}"/>
    <cellStyle name="60% - akcent 4 2 2 2 2 3 2 5" xfId="11691" xr:uid="{00000000-0005-0000-0000-0000E92C0000}"/>
    <cellStyle name="60% - akcent 4 2 2 2 2 3 2 6" xfId="11692" xr:uid="{00000000-0005-0000-0000-0000EA2C0000}"/>
    <cellStyle name="60% - akcent 4 2 2 2 2 3 3" xfId="11693" xr:uid="{00000000-0005-0000-0000-0000EB2C0000}"/>
    <cellStyle name="60% - akcent 4 2 2 2 2 3 4" xfId="11694" xr:uid="{00000000-0005-0000-0000-0000EC2C0000}"/>
    <cellStyle name="60% - akcent 4 2 2 2 2 3 5" xfId="11695" xr:uid="{00000000-0005-0000-0000-0000ED2C0000}"/>
    <cellStyle name="60% - akcent 4 2 2 2 2 3 6" xfId="11696" xr:uid="{00000000-0005-0000-0000-0000EE2C0000}"/>
    <cellStyle name="60% - akcent 4 2 2 2 2 3 7" xfId="11697" xr:uid="{00000000-0005-0000-0000-0000EF2C0000}"/>
    <cellStyle name="60% - akcent 4 2 2 2 2 4" xfId="11698" xr:uid="{00000000-0005-0000-0000-0000F02C0000}"/>
    <cellStyle name="60% - akcent 4 2 2 2 2 5" xfId="11699" xr:uid="{00000000-0005-0000-0000-0000F12C0000}"/>
    <cellStyle name="60% - akcent 4 2 2 2 2 6" xfId="11700" xr:uid="{00000000-0005-0000-0000-0000F22C0000}"/>
    <cellStyle name="60% - akcent 4 2 2 2 2 7" xfId="11701" xr:uid="{00000000-0005-0000-0000-0000F32C0000}"/>
    <cellStyle name="60% - akcent 4 2 2 2 2 8" xfId="11702" xr:uid="{00000000-0005-0000-0000-0000F42C0000}"/>
    <cellStyle name="60% - akcent 4 2 2 2 2 8 2" xfId="11703" xr:uid="{00000000-0005-0000-0000-0000F52C0000}"/>
    <cellStyle name="60% - akcent 4 2 2 2 2 8 3" xfId="11704" xr:uid="{00000000-0005-0000-0000-0000F62C0000}"/>
    <cellStyle name="60% - akcent 4 2 2 2 2 8 4" xfId="11705" xr:uid="{00000000-0005-0000-0000-0000F72C0000}"/>
    <cellStyle name="60% - akcent 4 2 2 2 2 8 5" xfId="11706" xr:uid="{00000000-0005-0000-0000-0000F82C0000}"/>
    <cellStyle name="60% - akcent 4 2 2 2 2 8 6" xfId="11707" xr:uid="{00000000-0005-0000-0000-0000F92C0000}"/>
    <cellStyle name="60% - akcent 4 2 2 2 2 9" xfId="11708" xr:uid="{00000000-0005-0000-0000-0000FA2C0000}"/>
    <cellStyle name="60% - akcent 4 2 2 2 3" xfId="11709" xr:uid="{00000000-0005-0000-0000-0000FB2C0000}"/>
    <cellStyle name="60% - akcent 4 2 2 2 4" xfId="11710" xr:uid="{00000000-0005-0000-0000-0000FC2C0000}"/>
    <cellStyle name="60% - akcent 4 2 2 2 4 10" xfId="11711" xr:uid="{00000000-0005-0000-0000-0000FD2C0000}"/>
    <cellStyle name="60% - akcent 4 2 2 2 4 11" xfId="11712" xr:uid="{00000000-0005-0000-0000-0000FE2C0000}"/>
    <cellStyle name="60% - akcent 4 2 2 2 4 2" xfId="11713" xr:uid="{00000000-0005-0000-0000-0000FF2C0000}"/>
    <cellStyle name="60% - akcent 4 2 2 2 4 2 2" xfId="11714" xr:uid="{00000000-0005-0000-0000-0000002D0000}"/>
    <cellStyle name="60% - akcent 4 2 2 2 4 2 2 2" xfId="11715" xr:uid="{00000000-0005-0000-0000-0000012D0000}"/>
    <cellStyle name="60% - akcent 4 2 2 2 4 2 2 3" xfId="11716" xr:uid="{00000000-0005-0000-0000-0000022D0000}"/>
    <cellStyle name="60% - akcent 4 2 2 2 4 2 2 4" xfId="11717" xr:uid="{00000000-0005-0000-0000-0000032D0000}"/>
    <cellStyle name="60% - akcent 4 2 2 2 4 2 2 5" xfId="11718" xr:uid="{00000000-0005-0000-0000-0000042D0000}"/>
    <cellStyle name="60% - akcent 4 2 2 2 4 2 2 6" xfId="11719" xr:uid="{00000000-0005-0000-0000-0000052D0000}"/>
    <cellStyle name="60% - akcent 4 2 2 2 4 2 3" xfId="11720" xr:uid="{00000000-0005-0000-0000-0000062D0000}"/>
    <cellStyle name="60% - akcent 4 2 2 2 4 2 4" xfId="11721" xr:uid="{00000000-0005-0000-0000-0000072D0000}"/>
    <cellStyle name="60% - akcent 4 2 2 2 4 2 5" xfId="11722" xr:uid="{00000000-0005-0000-0000-0000082D0000}"/>
    <cellStyle name="60% - akcent 4 2 2 2 4 2 6" xfId="11723" xr:uid="{00000000-0005-0000-0000-0000092D0000}"/>
    <cellStyle name="60% - akcent 4 2 2 2 4 2 7" xfId="11724" xr:uid="{00000000-0005-0000-0000-00000A2D0000}"/>
    <cellStyle name="60% - akcent 4 2 2 2 4 3" xfId="11725" xr:uid="{00000000-0005-0000-0000-00000B2D0000}"/>
    <cellStyle name="60% - akcent 4 2 2 2 4 4" xfId="11726" xr:uid="{00000000-0005-0000-0000-00000C2D0000}"/>
    <cellStyle name="60% - akcent 4 2 2 2 4 5" xfId="11727" xr:uid="{00000000-0005-0000-0000-00000D2D0000}"/>
    <cellStyle name="60% - akcent 4 2 2 2 4 6" xfId="11728" xr:uid="{00000000-0005-0000-0000-00000E2D0000}"/>
    <cellStyle name="60% - akcent 4 2 2 2 4 7" xfId="11729" xr:uid="{00000000-0005-0000-0000-00000F2D0000}"/>
    <cellStyle name="60% - akcent 4 2 2 2 4 7 2" xfId="11730" xr:uid="{00000000-0005-0000-0000-0000102D0000}"/>
    <cellStyle name="60% - akcent 4 2 2 2 4 7 3" xfId="11731" xr:uid="{00000000-0005-0000-0000-0000112D0000}"/>
    <cellStyle name="60% - akcent 4 2 2 2 4 7 4" xfId="11732" xr:uid="{00000000-0005-0000-0000-0000122D0000}"/>
    <cellStyle name="60% - akcent 4 2 2 2 4 7 5" xfId="11733" xr:uid="{00000000-0005-0000-0000-0000132D0000}"/>
    <cellStyle name="60% - akcent 4 2 2 2 4 7 6" xfId="11734" xr:uid="{00000000-0005-0000-0000-0000142D0000}"/>
    <cellStyle name="60% - akcent 4 2 2 2 4 8" xfId="11735" xr:uid="{00000000-0005-0000-0000-0000152D0000}"/>
    <cellStyle name="60% - akcent 4 2 2 2 4 9" xfId="11736" xr:uid="{00000000-0005-0000-0000-0000162D0000}"/>
    <cellStyle name="60% - akcent 4 2 2 2 5" xfId="11737" xr:uid="{00000000-0005-0000-0000-0000172D0000}"/>
    <cellStyle name="60% - akcent 4 2 2 2 5 2" xfId="11738" xr:uid="{00000000-0005-0000-0000-0000182D0000}"/>
    <cellStyle name="60% - akcent 4 2 2 2 5 2 2" xfId="11739" xr:uid="{00000000-0005-0000-0000-0000192D0000}"/>
    <cellStyle name="60% - akcent 4 2 2 2 5 2 3" xfId="11740" xr:uid="{00000000-0005-0000-0000-00001A2D0000}"/>
    <cellStyle name="60% - akcent 4 2 2 2 5 2 4" xfId="11741" xr:uid="{00000000-0005-0000-0000-00001B2D0000}"/>
    <cellStyle name="60% - akcent 4 2 2 2 5 2 5" xfId="11742" xr:uid="{00000000-0005-0000-0000-00001C2D0000}"/>
    <cellStyle name="60% - akcent 4 2 2 2 5 2 6" xfId="11743" xr:uid="{00000000-0005-0000-0000-00001D2D0000}"/>
    <cellStyle name="60% - akcent 4 2 2 2 5 3" xfId="11744" xr:uid="{00000000-0005-0000-0000-00001E2D0000}"/>
    <cellStyle name="60% - akcent 4 2 2 2 5 4" xfId="11745" xr:uid="{00000000-0005-0000-0000-00001F2D0000}"/>
    <cellStyle name="60% - akcent 4 2 2 2 5 5" xfId="11746" xr:uid="{00000000-0005-0000-0000-0000202D0000}"/>
    <cellStyle name="60% - akcent 4 2 2 2 5 6" xfId="11747" xr:uid="{00000000-0005-0000-0000-0000212D0000}"/>
    <cellStyle name="60% - akcent 4 2 2 2 5 7" xfId="11748" xr:uid="{00000000-0005-0000-0000-0000222D0000}"/>
    <cellStyle name="60% - akcent 4 2 2 2 6" xfId="11749" xr:uid="{00000000-0005-0000-0000-0000232D0000}"/>
    <cellStyle name="60% - akcent 4 2 2 2 7" xfId="11750" xr:uid="{00000000-0005-0000-0000-0000242D0000}"/>
    <cellStyle name="60% - akcent 4 2 2 2 8" xfId="11751" xr:uid="{00000000-0005-0000-0000-0000252D0000}"/>
    <cellStyle name="60% - akcent 4 2 2 2 9" xfId="11752" xr:uid="{00000000-0005-0000-0000-0000262D0000}"/>
    <cellStyle name="60% - akcent 4 2 2 2 9 2" xfId="11753" xr:uid="{00000000-0005-0000-0000-0000272D0000}"/>
    <cellStyle name="60% - akcent 4 2 2 2 9 3" xfId="11754" xr:uid="{00000000-0005-0000-0000-0000282D0000}"/>
    <cellStyle name="60% - akcent 4 2 2 2 9 4" xfId="11755" xr:uid="{00000000-0005-0000-0000-0000292D0000}"/>
    <cellStyle name="60% - akcent 4 2 2 2 9 5" xfId="11756" xr:uid="{00000000-0005-0000-0000-00002A2D0000}"/>
    <cellStyle name="60% - akcent 4 2 2 2 9 6" xfId="11757" xr:uid="{00000000-0005-0000-0000-00002B2D0000}"/>
    <cellStyle name="60% - akcent 4 2 2 20" xfId="11758" xr:uid="{00000000-0005-0000-0000-00002C2D0000}"/>
    <cellStyle name="60% - akcent 4 2 2 3" xfId="11759" xr:uid="{00000000-0005-0000-0000-00002D2D0000}"/>
    <cellStyle name="60% - akcent 4 2 2 4" xfId="11760" xr:uid="{00000000-0005-0000-0000-00002E2D0000}"/>
    <cellStyle name="60% - akcent 4 2 2 5" xfId="11761" xr:uid="{00000000-0005-0000-0000-00002F2D0000}"/>
    <cellStyle name="60% - akcent 4 2 2 6" xfId="11762" xr:uid="{00000000-0005-0000-0000-0000302D0000}"/>
    <cellStyle name="60% - akcent 4 2 2 7" xfId="11763" xr:uid="{00000000-0005-0000-0000-0000312D0000}"/>
    <cellStyle name="60% - akcent 4 2 2 8" xfId="11764" xr:uid="{00000000-0005-0000-0000-0000322D0000}"/>
    <cellStyle name="60% - akcent 4 2 2 9" xfId="11765" xr:uid="{00000000-0005-0000-0000-0000332D0000}"/>
    <cellStyle name="60% - akcent 4 2 20" xfId="11766" xr:uid="{00000000-0005-0000-0000-0000342D0000}"/>
    <cellStyle name="60% - akcent 4 2 21" xfId="11767" xr:uid="{00000000-0005-0000-0000-0000352D0000}"/>
    <cellStyle name="60% - akcent 4 2 21 2" xfId="11768" xr:uid="{00000000-0005-0000-0000-0000362D0000}"/>
    <cellStyle name="60% - akcent 4 2 21 3" xfId="11769" xr:uid="{00000000-0005-0000-0000-0000372D0000}"/>
    <cellStyle name="60% - akcent 4 2 21 4" xfId="11770" xr:uid="{00000000-0005-0000-0000-0000382D0000}"/>
    <cellStyle name="60% - akcent 4 2 21 5" xfId="11771" xr:uid="{00000000-0005-0000-0000-0000392D0000}"/>
    <cellStyle name="60% - akcent 4 2 21 6" xfId="11772" xr:uid="{00000000-0005-0000-0000-00003A2D0000}"/>
    <cellStyle name="60% - akcent 4 2 22" xfId="11773" xr:uid="{00000000-0005-0000-0000-00003B2D0000}"/>
    <cellStyle name="60% - akcent 4 2 23" xfId="11774" xr:uid="{00000000-0005-0000-0000-00003C2D0000}"/>
    <cellStyle name="60% - akcent 4 2 24" xfId="11775" xr:uid="{00000000-0005-0000-0000-00003D2D0000}"/>
    <cellStyle name="60% - akcent 4 2 25" xfId="11776" xr:uid="{00000000-0005-0000-0000-00003E2D0000}"/>
    <cellStyle name="60% - akcent 4 2 26" xfId="11777" xr:uid="{00000000-0005-0000-0000-00003F2D0000}"/>
    <cellStyle name="60% - akcent 4 2 27" xfId="11778" xr:uid="{00000000-0005-0000-0000-0000402D0000}"/>
    <cellStyle name="60% - akcent 4 2 28" xfId="11779" xr:uid="{00000000-0005-0000-0000-0000412D0000}"/>
    <cellStyle name="60% - akcent 4 2 29" xfId="11780" xr:uid="{00000000-0005-0000-0000-0000422D0000}"/>
    <cellStyle name="60% - akcent 4 2 3" xfId="11781" xr:uid="{00000000-0005-0000-0000-0000432D0000}"/>
    <cellStyle name="60% - akcent 4 2 30" xfId="11782" xr:uid="{00000000-0005-0000-0000-0000442D0000}"/>
    <cellStyle name="60% - akcent 4 2 31" xfId="11783" xr:uid="{00000000-0005-0000-0000-0000452D0000}"/>
    <cellStyle name="60% - akcent 4 2 32" xfId="11377" xr:uid="{00000000-0005-0000-0000-0000462D0000}"/>
    <cellStyle name="60% - akcent 4 2 33" xfId="37832" xr:uid="{00000000-0005-0000-0000-0000472D0000}"/>
    <cellStyle name="60% - akcent 4 2 4" xfId="11784" xr:uid="{00000000-0005-0000-0000-0000482D0000}"/>
    <cellStyle name="60% - akcent 4 2 5" xfId="11785" xr:uid="{00000000-0005-0000-0000-0000492D0000}"/>
    <cellStyle name="60% - akcent 4 2 6" xfId="11786" xr:uid="{00000000-0005-0000-0000-00004A2D0000}"/>
    <cellStyle name="60% - akcent 4 2 6 10" xfId="11787" xr:uid="{00000000-0005-0000-0000-00004B2D0000}"/>
    <cellStyle name="60% - akcent 4 2 6 11" xfId="11788" xr:uid="{00000000-0005-0000-0000-00004C2D0000}"/>
    <cellStyle name="60% - akcent 4 2 6 12" xfId="11789" xr:uid="{00000000-0005-0000-0000-00004D2D0000}"/>
    <cellStyle name="60% - akcent 4 2 6 13" xfId="11790" xr:uid="{00000000-0005-0000-0000-00004E2D0000}"/>
    <cellStyle name="60% - akcent 4 2 6 2" xfId="11791" xr:uid="{00000000-0005-0000-0000-00004F2D0000}"/>
    <cellStyle name="60% - akcent 4 2 6 2 10" xfId="11792" xr:uid="{00000000-0005-0000-0000-0000502D0000}"/>
    <cellStyle name="60% - akcent 4 2 6 2 11" xfId="11793" xr:uid="{00000000-0005-0000-0000-0000512D0000}"/>
    <cellStyle name="60% - akcent 4 2 6 2 12" xfId="11794" xr:uid="{00000000-0005-0000-0000-0000522D0000}"/>
    <cellStyle name="60% - akcent 4 2 6 2 13" xfId="11795" xr:uid="{00000000-0005-0000-0000-0000532D0000}"/>
    <cellStyle name="60% - akcent 4 2 6 2 2" xfId="11796" xr:uid="{00000000-0005-0000-0000-0000542D0000}"/>
    <cellStyle name="60% - akcent 4 2 6 2 2 10" xfId="11797" xr:uid="{00000000-0005-0000-0000-0000552D0000}"/>
    <cellStyle name="60% - akcent 4 2 6 2 2 11" xfId="11798" xr:uid="{00000000-0005-0000-0000-0000562D0000}"/>
    <cellStyle name="60% - akcent 4 2 6 2 2 12" xfId="11799" xr:uid="{00000000-0005-0000-0000-0000572D0000}"/>
    <cellStyle name="60% - akcent 4 2 6 2 2 2" xfId="11800" xr:uid="{00000000-0005-0000-0000-0000582D0000}"/>
    <cellStyle name="60% - akcent 4 2 6 2 2 2 10" xfId="11801" xr:uid="{00000000-0005-0000-0000-0000592D0000}"/>
    <cellStyle name="60% - akcent 4 2 6 2 2 2 11" xfId="11802" xr:uid="{00000000-0005-0000-0000-00005A2D0000}"/>
    <cellStyle name="60% - akcent 4 2 6 2 2 2 2" xfId="11803" xr:uid="{00000000-0005-0000-0000-00005B2D0000}"/>
    <cellStyle name="60% - akcent 4 2 6 2 2 2 2 10" xfId="11804" xr:uid="{00000000-0005-0000-0000-00005C2D0000}"/>
    <cellStyle name="60% - akcent 4 2 6 2 2 2 2 11" xfId="11805" xr:uid="{00000000-0005-0000-0000-00005D2D0000}"/>
    <cellStyle name="60% - akcent 4 2 6 2 2 2 2 2" xfId="11806" xr:uid="{00000000-0005-0000-0000-00005E2D0000}"/>
    <cellStyle name="60% - akcent 4 2 6 2 2 2 2 2 2" xfId="11807" xr:uid="{00000000-0005-0000-0000-00005F2D0000}"/>
    <cellStyle name="60% - akcent 4 2 6 2 2 2 2 2 2 2" xfId="11808" xr:uid="{00000000-0005-0000-0000-0000602D0000}"/>
    <cellStyle name="60% - akcent 4 2 6 2 2 2 2 2 2 3" xfId="11809" xr:uid="{00000000-0005-0000-0000-0000612D0000}"/>
    <cellStyle name="60% - akcent 4 2 6 2 2 2 2 2 2 4" xfId="11810" xr:uid="{00000000-0005-0000-0000-0000622D0000}"/>
    <cellStyle name="60% - akcent 4 2 6 2 2 2 2 2 2 5" xfId="11811" xr:uid="{00000000-0005-0000-0000-0000632D0000}"/>
    <cellStyle name="60% - akcent 4 2 6 2 2 2 2 2 2 6" xfId="11812" xr:uid="{00000000-0005-0000-0000-0000642D0000}"/>
    <cellStyle name="60% - akcent 4 2 6 2 2 2 2 2 3" xfId="11813" xr:uid="{00000000-0005-0000-0000-0000652D0000}"/>
    <cellStyle name="60% - akcent 4 2 6 2 2 2 2 2 4" xfId="11814" xr:uid="{00000000-0005-0000-0000-0000662D0000}"/>
    <cellStyle name="60% - akcent 4 2 6 2 2 2 2 2 5" xfId="11815" xr:uid="{00000000-0005-0000-0000-0000672D0000}"/>
    <cellStyle name="60% - akcent 4 2 6 2 2 2 2 2 6" xfId="11816" xr:uid="{00000000-0005-0000-0000-0000682D0000}"/>
    <cellStyle name="60% - akcent 4 2 6 2 2 2 2 2 7" xfId="11817" xr:uid="{00000000-0005-0000-0000-0000692D0000}"/>
    <cellStyle name="60% - akcent 4 2 6 2 2 2 2 3" xfId="11818" xr:uid="{00000000-0005-0000-0000-00006A2D0000}"/>
    <cellStyle name="60% - akcent 4 2 6 2 2 2 2 4" xfId="11819" xr:uid="{00000000-0005-0000-0000-00006B2D0000}"/>
    <cellStyle name="60% - akcent 4 2 6 2 2 2 2 5" xfId="11820" xr:uid="{00000000-0005-0000-0000-00006C2D0000}"/>
    <cellStyle name="60% - akcent 4 2 6 2 2 2 2 6" xfId="11821" xr:uid="{00000000-0005-0000-0000-00006D2D0000}"/>
    <cellStyle name="60% - akcent 4 2 6 2 2 2 2 7" xfId="11822" xr:uid="{00000000-0005-0000-0000-00006E2D0000}"/>
    <cellStyle name="60% - akcent 4 2 6 2 2 2 2 7 2" xfId="11823" xr:uid="{00000000-0005-0000-0000-00006F2D0000}"/>
    <cellStyle name="60% - akcent 4 2 6 2 2 2 2 7 3" xfId="11824" xr:uid="{00000000-0005-0000-0000-0000702D0000}"/>
    <cellStyle name="60% - akcent 4 2 6 2 2 2 2 7 4" xfId="11825" xr:uid="{00000000-0005-0000-0000-0000712D0000}"/>
    <cellStyle name="60% - akcent 4 2 6 2 2 2 2 7 5" xfId="11826" xr:uid="{00000000-0005-0000-0000-0000722D0000}"/>
    <cellStyle name="60% - akcent 4 2 6 2 2 2 2 7 6" xfId="11827" xr:uid="{00000000-0005-0000-0000-0000732D0000}"/>
    <cellStyle name="60% - akcent 4 2 6 2 2 2 2 8" xfId="11828" xr:uid="{00000000-0005-0000-0000-0000742D0000}"/>
    <cellStyle name="60% - akcent 4 2 6 2 2 2 2 9" xfId="11829" xr:uid="{00000000-0005-0000-0000-0000752D0000}"/>
    <cellStyle name="60% - akcent 4 2 6 2 2 2 3" xfId="11830" xr:uid="{00000000-0005-0000-0000-0000762D0000}"/>
    <cellStyle name="60% - akcent 4 2 6 2 2 2 3 2" xfId="11831" xr:uid="{00000000-0005-0000-0000-0000772D0000}"/>
    <cellStyle name="60% - akcent 4 2 6 2 2 2 3 2 2" xfId="11832" xr:uid="{00000000-0005-0000-0000-0000782D0000}"/>
    <cellStyle name="60% - akcent 4 2 6 2 2 2 3 2 3" xfId="11833" xr:uid="{00000000-0005-0000-0000-0000792D0000}"/>
    <cellStyle name="60% - akcent 4 2 6 2 2 2 3 2 4" xfId="11834" xr:uid="{00000000-0005-0000-0000-00007A2D0000}"/>
    <cellStyle name="60% - akcent 4 2 6 2 2 2 3 2 5" xfId="11835" xr:uid="{00000000-0005-0000-0000-00007B2D0000}"/>
    <cellStyle name="60% - akcent 4 2 6 2 2 2 3 2 6" xfId="11836" xr:uid="{00000000-0005-0000-0000-00007C2D0000}"/>
    <cellStyle name="60% - akcent 4 2 6 2 2 2 3 3" xfId="11837" xr:uid="{00000000-0005-0000-0000-00007D2D0000}"/>
    <cellStyle name="60% - akcent 4 2 6 2 2 2 3 4" xfId="11838" xr:uid="{00000000-0005-0000-0000-00007E2D0000}"/>
    <cellStyle name="60% - akcent 4 2 6 2 2 2 3 5" xfId="11839" xr:uid="{00000000-0005-0000-0000-00007F2D0000}"/>
    <cellStyle name="60% - akcent 4 2 6 2 2 2 3 6" xfId="11840" xr:uid="{00000000-0005-0000-0000-0000802D0000}"/>
    <cellStyle name="60% - akcent 4 2 6 2 2 2 3 7" xfId="11841" xr:uid="{00000000-0005-0000-0000-0000812D0000}"/>
    <cellStyle name="60% - akcent 4 2 6 2 2 2 4" xfId="11842" xr:uid="{00000000-0005-0000-0000-0000822D0000}"/>
    <cellStyle name="60% - akcent 4 2 6 2 2 2 5" xfId="11843" xr:uid="{00000000-0005-0000-0000-0000832D0000}"/>
    <cellStyle name="60% - akcent 4 2 6 2 2 2 6" xfId="11844" xr:uid="{00000000-0005-0000-0000-0000842D0000}"/>
    <cellStyle name="60% - akcent 4 2 6 2 2 2 7" xfId="11845" xr:uid="{00000000-0005-0000-0000-0000852D0000}"/>
    <cellStyle name="60% - akcent 4 2 6 2 2 2 7 2" xfId="11846" xr:uid="{00000000-0005-0000-0000-0000862D0000}"/>
    <cellStyle name="60% - akcent 4 2 6 2 2 2 7 3" xfId="11847" xr:uid="{00000000-0005-0000-0000-0000872D0000}"/>
    <cellStyle name="60% - akcent 4 2 6 2 2 2 7 4" xfId="11848" xr:uid="{00000000-0005-0000-0000-0000882D0000}"/>
    <cellStyle name="60% - akcent 4 2 6 2 2 2 7 5" xfId="11849" xr:uid="{00000000-0005-0000-0000-0000892D0000}"/>
    <cellStyle name="60% - akcent 4 2 6 2 2 2 7 6" xfId="11850" xr:uid="{00000000-0005-0000-0000-00008A2D0000}"/>
    <cellStyle name="60% - akcent 4 2 6 2 2 2 8" xfId="11851" xr:uid="{00000000-0005-0000-0000-00008B2D0000}"/>
    <cellStyle name="60% - akcent 4 2 6 2 2 2 9" xfId="11852" xr:uid="{00000000-0005-0000-0000-00008C2D0000}"/>
    <cellStyle name="60% - akcent 4 2 6 2 2 3" xfId="11853" xr:uid="{00000000-0005-0000-0000-00008D2D0000}"/>
    <cellStyle name="60% - akcent 4 2 6 2 2 3 2" xfId="11854" xr:uid="{00000000-0005-0000-0000-00008E2D0000}"/>
    <cellStyle name="60% - akcent 4 2 6 2 2 3 2 2" xfId="11855" xr:uid="{00000000-0005-0000-0000-00008F2D0000}"/>
    <cellStyle name="60% - akcent 4 2 6 2 2 3 2 3" xfId="11856" xr:uid="{00000000-0005-0000-0000-0000902D0000}"/>
    <cellStyle name="60% - akcent 4 2 6 2 2 3 2 4" xfId="11857" xr:uid="{00000000-0005-0000-0000-0000912D0000}"/>
    <cellStyle name="60% - akcent 4 2 6 2 2 3 2 5" xfId="11858" xr:uid="{00000000-0005-0000-0000-0000922D0000}"/>
    <cellStyle name="60% - akcent 4 2 6 2 2 3 2 6" xfId="11859" xr:uid="{00000000-0005-0000-0000-0000932D0000}"/>
    <cellStyle name="60% - akcent 4 2 6 2 2 3 3" xfId="11860" xr:uid="{00000000-0005-0000-0000-0000942D0000}"/>
    <cellStyle name="60% - akcent 4 2 6 2 2 3 4" xfId="11861" xr:uid="{00000000-0005-0000-0000-0000952D0000}"/>
    <cellStyle name="60% - akcent 4 2 6 2 2 3 5" xfId="11862" xr:uid="{00000000-0005-0000-0000-0000962D0000}"/>
    <cellStyle name="60% - akcent 4 2 6 2 2 3 6" xfId="11863" xr:uid="{00000000-0005-0000-0000-0000972D0000}"/>
    <cellStyle name="60% - akcent 4 2 6 2 2 3 7" xfId="11864" xr:uid="{00000000-0005-0000-0000-0000982D0000}"/>
    <cellStyle name="60% - akcent 4 2 6 2 2 4" xfId="11865" xr:uid="{00000000-0005-0000-0000-0000992D0000}"/>
    <cellStyle name="60% - akcent 4 2 6 2 2 5" xfId="11866" xr:uid="{00000000-0005-0000-0000-00009A2D0000}"/>
    <cellStyle name="60% - akcent 4 2 6 2 2 6" xfId="11867" xr:uid="{00000000-0005-0000-0000-00009B2D0000}"/>
    <cellStyle name="60% - akcent 4 2 6 2 2 7" xfId="11868" xr:uid="{00000000-0005-0000-0000-00009C2D0000}"/>
    <cellStyle name="60% - akcent 4 2 6 2 2 8" xfId="11869" xr:uid="{00000000-0005-0000-0000-00009D2D0000}"/>
    <cellStyle name="60% - akcent 4 2 6 2 2 8 2" xfId="11870" xr:uid="{00000000-0005-0000-0000-00009E2D0000}"/>
    <cellStyle name="60% - akcent 4 2 6 2 2 8 3" xfId="11871" xr:uid="{00000000-0005-0000-0000-00009F2D0000}"/>
    <cellStyle name="60% - akcent 4 2 6 2 2 8 4" xfId="11872" xr:uid="{00000000-0005-0000-0000-0000A02D0000}"/>
    <cellStyle name="60% - akcent 4 2 6 2 2 8 5" xfId="11873" xr:uid="{00000000-0005-0000-0000-0000A12D0000}"/>
    <cellStyle name="60% - akcent 4 2 6 2 2 8 6" xfId="11874" xr:uid="{00000000-0005-0000-0000-0000A22D0000}"/>
    <cellStyle name="60% - akcent 4 2 6 2 2 9" xfId="11875" xr:uid="{00000000-0005-0000-0000-0000A32D0000}"/>
    <cellStyle name="60% - akcent 4 2 6 2 3" xfId="11876" xr:uid="{00000000-0005-0000-0000-0000A42D0000}"/>
    <cellStyle name="60% - akcent 4 2 6 2 4" xfId="11877" xr:uid="{00000000-0005-0000-0000-0000A52D0000}"/>
    <cellStyle name="60% - akcent 4 2 6 2 4 10" xfId="11878" xr:uid="{00000000-0005-0000-0000-0000A62D0000}"/>
    <cellStyle name="60% - akcent 4 2 6 2 4 11" xfId="11879" xr:uid="{00000000-0005-0000-0000-0000A72D0000}"/>
    <cellStyle name="60% - akcent 4 2 6 2 4 2" xfId="11880" xr:uid="{00000000-0005-0000-0000-0000A82D0000}"/>
    <cellStyle name="60% - akcent 4 2 6 2 4 2 2" xfId="11881" xr:uid="{00000000-0005-0000-0000-0000A92D0000}"/>
    <cellStyle name="60% - akcent 4 2 6 2 4 2 2 2" xfId="11882" xr:uid="{00000000-0005-0000-0000-0000AA2D0000}"/>
    <cellStyle name="60% - akcent 4 2 6 2 4 2 2 3" xfId="11883" xr:uid="{00000000-0005-0000-0000-0000AB2D0000}"/>
    <cellStyle name="60% - akcent 4 2 6 2 4 2 2 4" xfId="11884" xr:uid="{00000000-0005-0000-0000-0000AC2D0000}"/>
    <cellStyle name="60% - akcent 4 2 6 2 4 2 2 5" xfId="11885" xr:uid="{00000000-0005-0000-0000-0000AD2D0000}"/>
    <cellStyle name="60% - akcent 4 2 6 2 4 2 2 6" xfId="11886" xr:uid="{00000000-0005-0000-0000-0000AE2D0000}"/>
    <cellStyle name="60% - akcent 4 2 6 2 4 2 3" xfId="11887" xr:uid="{00000000-0005-0000-0000-0000AF2D0000}"/>
    <cellStyle name="60% - akcent 4 2 6 2 4 2 4" xfId="11888" xr:uid="{00000000-0005-0000-0000-0000B02D0000}"/>
    <cellStyle name="60% - akcent 4 2 6 2 4 2 5" xfId="11889" xr:uid="{00000000-0005-0000-0000-0000B12D0000}"/>
    <cellStyle name="60% - akcent 4 2 6 2 4 2 6" xfId="11890" xr:uid="{00000000-0005-0000-0000-0000B22D0000}"/>
    <cellStyle name="60% - akcent 4 2 6 2 4 2 7" xfId="11891" xr:uid="{00000000-0005-0000-0000-0000B32D0000}"/>
    <cellStyle name="60% - akcent 4 2 6 2 4 3" xfId="11892" xr:uid="{00000000-0005-0000-0000-0000B42D0000}"/>
    <cellStyle name="60% - akcent 4 2 6 2 4 4" xfId="11893" xr:uid="{00000000-0005-0000-0000-0000B52D0000}"/>
    <cellStyle name="60% - akcent 4 2 6 2 4 5" xfId="11894" xr:uid="{00000000-0005-0000-0000-0000B62D0000}"/>
    <cellStyle name="60% - akcent 4 2 6 2 4 6" xfId="11895" xr:uid="{00000000-0005-0000-0000-0000B72D0000}"/>
    <cellStyle name="60% - akcent 4 2 6 2 4 7" xfId="11896" xr:uid="{00000000-0005-0000-0000-0000B82D0000}"/>
    <cellStyle name="60% - akcent 4 2 6 2 4 7 2" xfId="11897" xr:uid="{00000000-0005-0000-0000-0000B92D0000}"/>
    <cellStyle name="60% - akcent 4 2 6 2 4 7 3" xfId="11898" xr:uid="{00000000-0005-0000-0000-0000BA2D0000}"/>
    <cellStyle name="60% - akcent 4 2 6 2 4 7 4" xfId="11899" xr:uid="{00000000-0005-0000-0000-0000BB2D0000}"/>
    <cellStyle name="60% - akcent 4 2 6 2 4 7 5" xfId="11900" xr:uid="{00000000-0005-0000-0000-0000BC2D0000}"/>
    <cellStyle name="60% - akcent 4 2 6 2 4 7 6" xfId="11901" xr:uid="{00000000-0005-0000-0000-0000BD2D0000}"/>
    <cellStyle name="60% - akcent 4 2 6 2 4 8" xfId="11902" xr:uid="{00000000-0005-0000-0000-0000BE2D0000}"/>
    <cellStyle name="60% - akcent 4 2 6 2 4 9" xfId="11903" xr:uid="{00000000-0005-0000-0000-0000BF2D0000}"/>
    <cellStyle name="60% - akcent 4 2 6 2 5" xfId="11904" xr:uid="{00000000-0005-0000-0000-0000C02D0000}"/>
    <cellStyle name="60% - akcent 4 2 6 2 5 2" xfId="11905" xr:uid="{00000000-0005-0000-0000-0000C12D0000}"/>
    <cellStyle name="60% - akcent 4 2 6 2 5 2 2" xfId="11906" xr:uid="{00000000-0005-0000-0000-0000C22D0000}"/>
    <cellStyle name="60% - akcent 4 2 6 2 5 2 3" xfId="11907" xr:uid="{00000000-0005-0000-0000-0000C32D0000}"/>
    <cellStyle name="60% - akcent 4 2 6 2 5 2 4" xfId="11908" xr:uid="{00000000-0005-0000-0000-0000C42D0000}"/>
    <cellStyle name="60% - akcent 4 2 6 2 5 2 5" xfId="11909" xr:uid="{00000000-0005-0000-0000-0000C52D0000}"/>
    <cellStyle name="60% - akcent 4 2 6 2 5 2 6" xfId="11910" xr:uid="{00000000-0005-0000-0000-0000C62D0000}"/>
    <cellStyle name="60% - akcent 4 2 6 2 5 3" xfId="11911" xr:uid="{00000000-0005-0000-0000-0000C72D0000}"/>
    <cellStyle name="60% - akcent 4 2 6 2 5 4" xfId="11912" xr:uid="{00000000-0005-0000-0000-0000C82D0000}"/>
    <cellStyle name="60% - akcent 4 2 6 2 5 5" xfId="11913" xr:uid="{00000000-0005-0000-0000-0000C92D0000}"/>
    <cellStyle name="60% - akcent 4 2 6 2 5 6" xfId="11914" xr:uid="{00000000-0005-0000-0000-0000CA2D0000}"/>
    <cellStyle name="60% - akcent 4 2 6 2 5 7" xfId="11915" xr:uid="{00000000-0005-0000-0000-0000CB2D0000}"/>
    <cellStyle name="60% - akcent 4 2 6 2 6" xfId="11916" xr:uid="{00000000-0005-0000-0000-0000CC2D0000}"/>
    <cellStyle name="60% - akcent 4 2 6 2 7" xfId="11917" xr:uid="{00000000-0005-0000-0000-0000CD2D0000}"/>
    <cellStyle name="60% - akcent 4 2 6 2 8" xfId="11918" xr:uid="{00000000-0005-0000-0000-0000CE2D0000}"/>
    <cellStyle name="60% - akcent 4 2 6 2 9" xfId="11919" xr:uid="{00000000-0005-0000-0000-0000CF2D0000}"/>
    <cellStyle name="60% - akcent 4 2 6 2 9 2" xfId="11920" xr:uid="{00000000-0005-0000-0000-0000D02D0000}"/>
    <cellStyle name="60% - akcent 4 2 6 2 9 3" xfId="11921" xr:uid="{00000000-0005-0000-0000-0000D12D0000}"/>
    <cellStyle name="60% - akcent 4 2 6 2 9 4" xfId="11922" xr:uid="{00000000-0005-0000-0000-0000D22D0000}"/>
    <cellStyle name="60% - akcent 4 2 6 2 9 5" xfId="11923" xr:uid="{00000000-0005-0000-0000-0000D32D0000}"/>
    <cellStyle name="60% - akcent 4 2 6 2 9 6" xfId="11924" xr:uid="{00000000-0005-0000-0000-0000D42D0000}"/>
    <cellStyle name="60% - akcent 4 2 6 3" xfId="11925" xr:uid="{00000000-0005-0000-0000-0000D52D0000}"/>
    <cellStyle name="60% - akcent 4 2 6 3 10" xfId="11926" xr:uid="{00000000-0005-0000-0000-0000D62D0000}"/>
    <cellStyle name="60% - akcent 4 2 6 3 11" xfId="11927" xr:uid="{00000000-0005-0000-0000-0000D72D0000}"/>
    <cellStyle name="60% - akcent 4 2 6 3 12" xfId="11928" xr:uid="{00000000-0005-0000-0000-0000D82D0000}"/>
    <cellStyle name="60% - akcent 4 2 6 3 2" xfId="11929" xr:uid="{00000000-0005-0000-0000-0000D92D0000}"/>
    <cellStyle name="60% - akcent 4 2 6 3 2 10" xfId="11930" xr:uid="{00000000-0005-0000-0000-0000DA2D0000}"/>
    <cellStyle name="60% - akcent 4 2 6 3 2 11" xfId="11931" xr:uid="{00000000-0005-0000-0000-0000DB2D0000}"/>
    <cellStyle name="60% - akcent 4 2 6 3 2 2" xfId="11932" xr:uid="{00000000-0005-0000-0000-0000DC2D0000}"/>
    <cellStyle name="60% - akcent 4 2 6 3 2 2 10" xfId="11933" xr:uid="{00000000-0005-0000-0000-0000DD2D0000}"/>
    <cellStyle name="60% - akcent 4 2 6 3 2 2 11" xfId="11934" xr:uid="{00000000-0005-0000-0000-0000DE2D0000}"/>
    <cellStyle name="60% - akcent 4 2 6 3 2 2 2" xfId="11935" xr:uid="{00000000-0005-0000-0000-0000DF2D0000}"/>
    <cellStyle name="60% - akcent 4 2 6 3 2 2 2 2" xfId="11936" xr:uid="{00000000-0005-0000-0000-0000E02D0000}"/>
    <cellStyle name="60% - akcent 4 2 6 3 2 2 2 2 2" xfId="11937" xr:uid="{00000000-0005-0000-0000-0000E12D0000}"/>
    <cellStyle name="60% - akcent 4 2 6 3 2 2 2 2 3" xfId="11938" xr:uid="{00000000-0005-0000-0000-0000E22D0000}"/>
    <cellStyle name="60% - akcent 4 2 6 3 2 2 2 2 4" xfId="11939" xr:uid="{00000000-0005-0000-0000-0000E32D0000}"/>
    <cellStyle name="60% - akcent 4 2 6 3 2 2 2 2 5" xfId="11940" xr:uid="{00000000-0005-0000-0000-0000E42D0000}"/>
    <cellStyle name="60% - akcent 4 2 6 3 2 2 2 2 6" xfId="11941" xr:uid="{00000000-0005-0000-0000-0000E52D0000}"/>
    <cellStyle name="60% - akcent 4 2 6 3 2 2 2 3" xfId="11942" xr:uid="{00000000-0005-0000-0000-0000E62D0000}"/>
    <cellStyle name="60% - akcent 4 2 6 3 2 2 2 4" xfId="11943" xr:uid="{00000000-0005-0000-0000-0000E72D0000}"/>
    <cellStyle name="60% - akcent 4 2 6 3 2 2 2 5" xfId="11944" xr:uid="{00000000-0005-0000-0000-0000E82D0000}"/>
    <cellStyle name="60% - akcent 4 2 6 3 2 2 2 6" xfId="11945" xr:uid="{00000000-0005-0000-0000-0000E92D0000}"/>
    <cellStyle name="60% - akcent 4 2 6 3 2 2 2 7" xfId="11946" xr:uid="{00000000-0005-0000-0000-0000EA2D0000}"/>
    <cellStyle name="60% - akcent 4 2 6 3 2 2 3" xfId="11947" xr:uid="{00000000-0005-0000-0000-0000EB2D0000}"/>
    <cellStyle name="60% - akcent 4 2 6 3 2 2 4" xfId="11948" xr:uid="{00000000-0005-0000-0000-0000EC2D0000}"/>
    <cellStyle name="60% - akcent 4 2 6 3 2 2 5" xfId="11949" xr:uid="{00000000-0005-0000-0000-0000ED2D0000}"/>
    <cellStyle name="60% - akcent 4 2 6 3 2 2 6" xfId="11950" xr:uid="{00000000-0005-0000-0000-0000EE2D0000}"/>
    <cellStyle name="60% - akcent 4 2 6 3 2 2 7" xfId="11951" xr:uid="{00000000-0005-0000-0000-0000EF2D0000}"/>
    <cellStyle name="60% - akcent 4 2 6 3 2 2 7 2" xfId="11952" xr:uid="{00000000-0005-0000-0000-0000F02D0000}"/>
    <cellStyle name="60% - akcent 4 2 6 3 2 2 7 3" xfId="11953" xr:uid="{00000000-0005-0000-0000-0000F12D0000}"/>
    <cellStyle name="60% - akcent 4 2 6 3 2 2 7 4" xfId="11954" xr:uid="{00000000-0005-0000-0000-0000F22D0000}"/>
    <cellStyle name="60% - akcent 4 2 6 3 2 2 7 5" xfId="11955" xr:uid="{00000000-0005-0000-0000-0000F32D0000}"/>
    <cellStyle name="60% - akcent 4 2 6 3 2 2 7 6" xfId="11956" xr:uid="{00000000-0005-0000-0000-0000F42D0000}"/>
    <cellStyle name="60% - akcent 4 2 6 3 2 2 8" xfId="11957" xr:uid="{00000000-0005-0000-0000-0000F52D0000}"/>
    <cellStyle name="60% - akcent 4 2 6 3 2 2 9" xfId="11958" xr:uid="{00000000-0005-0000-0000-0000F62D0000}"/>
    <cellStyle name="60% - akcent 4 2 6 3 2 3" xfId="11959" xr:uid="{00000000-0005-0000-0000-0000F72D0000}"/>
    <cellStyle name="60% - akcent 4 2 6 3 2 3 2" xfId="11960" xr:uid="{00000000-0005-0000-0000-0000F82D0000}"/>
    <cellStyle name="60% - akcent 4 2 6 3 2 3 2 2" xfId="11961" xr:uid="{00000000-0005-0000-0000-0000F92D0000}"/>
    <cellStyle name="60% - akcent 4 2 6 3 2 3 2 3" xfId="11962" xr:uid="{00000000-0005-0000-0000-0000FA2D0000}"/>
    <cellStyle name="60% - akcent 4 2 6 3 2 3 2 4" xfId="11963" xr:uid="{00000000-0005-0000-0000-0000FB2D0000}"/>
    <cellStyle name="60% - akcent 4 2 6 3 2 3 2 5" xfId="11964" xr:uid="{00000000-0005-0000-0000-0000FC2D0000}"/>
    <cellStyle name="60% - akcent 4 2 6 3 2 3 2 6" xfId="11965" xr:uid="{00000000-0005-0000-0000-0000FD2D0000}"/>
    <cellStyle name="60% - akcent 4 2 6 3 2 3 3" xfId="11966" xr:uid="{00000000-0005-0000-0000-0000FE2D0000}"/>
    <cellStyle name="60% - akcent 4 2 6 3 2 3 4" xfId="11967" xr:uid="{00000000-0005-0000-0000-0000FF2D0000}"/>
    <cellStyle name="60% - akcent 4 2 6 3 2 3 5" xfId="11968" xr:uid="{00000000-0005-0000-0000-0000002E0000}"/>
    <cellStyle name="60% - akcent 4 2 6 3 2 3 6" xfId="11969" xr:uid="{00000000-0005-0000-0000-0000012E0000}"/>
    <cellStyle name="60% - akcent 4 2 6 3 2 3 7" xfId="11970" xr:uid="{00000000-0005-0000-0000-0000022E0000}"/>
    <cellStyle name="60% - akcent 4 2 6 3 2 4" xfId="11971" xr:uid="{00000000-0005-0000-0000-0000032E0000}"/>
    <cellStyle name="60% - akcent 4 2 6 3 2 5" xfId="11972" xr:uid="{00000000-0005-0000-0000-0000042E0000}"/>
    <cellStyle name="60% - akcent 4 2 6 3 2 6" xfId="11973" xr:uid="{00000000-0005-0000-0000-0000052E0000}"/>
    <cellStyle name="60% - akcent 4 2 6 3 2 7" xfId="11974" xr:uid="{00000000-0005-0000-0000-0000062E0000}"/>
    <cellStyle name="60% - akcent 4 2 6 3 2 7 2" xfId="11975" xr:uid="{00000000-0005-0000-0000-0000072E0000}"/>
    <cellStyle name="60% - akcent 4 2 6 3 2 7 3" xfId="11976" xr:uid="{00000000-0005-0000-0000-0000082E0000}"/>
    <cellStyle name="60% - akcent 4 2 6 3 2 7 4" xfId="11977" xr:uid="{00000000-0005-0000-0000-0000092E0000}"/>
    <cellStyle name="60% - akcent 4 2 6 3 2 7 5" xfId="11978" xr:uid="{00000000-0005-0000-0000-00000A2E0000}"/>
    <cellStyle name="60% - akcent 4 2 6 3 2 7 6" xfId="11979" xr:uid="{00000000-0005-0000-0000-00000B2E0000}"/>
    <cellStyle name="60% - akcent 4 2 6 3 2 8" xfId="11980" xr:uid="{00000000-0005-0000-0000-00000C2E0000}"/>
    <cellStyle name="60% - akcent 4 2 6 3 2 9" xfId="11981" xr:uid="{00000000-0005-0000-0000-00000D2E0000}"/>
    <cellStyle name="60% - akcent 4 2 6 3 3" xfId="11982" xr:uid="{00000000-0005-0000-0000-00000E2E0000}"/>
    <cellStyle name="60% - akcent 4 2 6 3 3 2" xfId="11983" xr:uid="{00000000-0005-0000-0000-00000F2E0000}"/>
    <cellStyle name="60% - akcent 4 2 6 3 3 2 2" xfId="11984" xr:uid="{00000000-0005-0000-0000-0000102E0000}"/>
    <cellStyle name="60% - akcent 4 2 6 3 3 2 3" xfId="11985" xr:uid="{00000000-0005-0000-0000-0000112E0000}"/>
    <cellStyle name="60% - akcent 4 2 6 3 3 2 4" xfId="11986" xr:uid="{00000000-0005-0000-0000-0000122E0000}"/>
    <cellStyle name="60% - akcent 4 2 6 3 3 2 5" xfId="11987" xr:uid="{00000000-0005-0000-0000-0000132E0000}"/>
    <cellStyle name="60% - akcent 4 2 6 3 3 2 6" xfId="11988" xr:uid="{00000000-0005-0000-0000-0000142E0000}"/>
    <cellStyle name="60% - akcent 4 2 6 3 3 3" xfId="11989" xr:uid="{00000000-0005-0000-0000-0000152E0000}"/>
    <cellStyle name="60% - akcent 4 2 6 3 3 4" xfId="11990" xr:uid="{00000000-0005-0000-0000-0000162E0000}"/>
    <cellStyle name="60% - akcent 4 2 6 3 3 5" xfId="11991" xr:uid="{00000000-0005-0000-0000-0000172E0000}"/>
    <cellStyle name="60% - akcent 4 2 6 3 3 6" xfId="11992" xr:uid="{00000000-0005-0000-0000-0000182E0000}"/>
    <cellStyle name="60% - akcent 4 2 6 3 3 7" xfId="11993" xr:uid="{00000000-0005-0000-0000-0000192E0000}"/>
    <cellStyle name="60% - akcent 4 2 6 3 4" xfId="11994" xr:uid="{00000000-0005-0000-0000-00001A2E0000}"/>
    <cellStyle name="60% - akcent 4 2 6 3 5" xfId="11995" xr:uid="{00000000-0005-0000-0000-00001B2E0000}"/>
    <cellStyle name="60% - akcent 4 2 6 3 6" xfId="11996" xr:uid="{00000000-0005-0000-0000-00001C2E0000}"/>
    <cellStyle name="60% - akcent 4 2 6 3 7" xfId="11997" xr:uid="{00000000-0005-0000-0000-00001D2E0000}"/>
    <cellStyle name="60% - akcent 4 2 6 3 8" xfId="11998" xr:uid="{00000000-0005-0000-0000-00001E2E0000}"/>
    <cellStyle name="60% - akcent 4 2 6 3 8 2" xfId="11999" xr:uid="{00000000-0005-0000-0000-00001F2E0000}"/>
    <cellStyle name="60% - akcent 4 2 6 3 8 3" xfId="12000" xr:uid="{00000000-0005-0000-0000-0000202E0000}"/>
    <cellStyle name="60% - akcent 4 2 6 3 8 4" xfId="12001" xr:uid="{00000000-0005-0000-0000-0000212E0000}"/>
    <cellStyle name="60% - akcent 4 2 6 3 8 5" xfId="12002" xr:uid="{00000000-0005-0000-0000-0000222E0000}"/>
    <cellStyle name="60% - akcent 4 2 6 3 8 6" xfId="12003" xr:uid="{00000000-0005-0000-0000-0000232E0000}"/>
    <cellStyle name="60% - akcent 4 2 6 3 9" xfId="12004" xr:uid="{00000000-0005-0000-0000-0000242E0000}"/>
    <cellStyle name="60% - akcent 4 2 6 4" xfId="12005" xr:uid="{00000000-0005-0000-0000-0000252E0000}"/>
    <cellStyle name="60% - akcent 4 2 6 4 10" xfId="12006" xr:uid="{00000000-0005-0000-0000-0000262E0000}"/>
    <cellStyle name="60% - akcent 4 2 6 4 11" xfId="12007" xr:uid="{00000000-0005-0000-0000-0000272E0000}"/>
    <cellStyle name="60% - akcent 4 2 6 4 2" xfId="12008" xr:uid="{00000000-0005-0000-0000-0000282E0000}"/>
    <cellStyle name="60% - akcent 4 2 6 4 2 2" xfId="12009" xr:uid="{00000000-0005-0000-0000-0000292E0000}"/>
    <cellStyle name="60% - akcent 4 2 6 4 2 2 2" xfId="12010" xr:uid="{00000000-0005-0000-0000-00002A2E0000}"/>
    <cellStyle name="60% - akcent 4 2 6 4 2 2 3" xfId="12011" xr:uid="{00000000-0005-0000-0000-00002B2E0000}"/>
    <cellStyle name="60% - akcent 4 2 6 4 2 2 4" xfId="12012" xr:uid="{00000000-0005-0000-0000-00002C2E0000}"/>
    <cellStyle name="60% - akcent 4 2 6 4 2 2 5" xfId="12013" xr:uid="{00000000-0005-0000-0000-00002D2E0000}"/>
    <cellStyle name="60% - akcent 4 2 6 4 2 2 6" xfId="12014" xr:uid="{00000000-0005-0000-0000-00002E2E0000}"/>
    <cellStyle name="60% - akcent 4 2 6 4 2 3" xfId="12015" xr:uid="{00000000-0005-0000-0000-00002F2E0000}"/>
    <cellStyle name="60% - akcent 4 2 6 4 2 4" xfId="12016" xr:uid="{00000000-0005-0000-0000-0000302E0000}"/>
    <cellStyle name="60% - akcent 4 2 6 4 2 5" xfId="12017" xr:uid="{00000000-0005-0000-0000-0000312E0000}"/>
    <cellStyle name="60% - akcent 4 2 6 4 2 6" xfId="12018" xr:uid="{00000000-0005-0000-0000-0000322E0000}"/>
    <cellStyle name="60% - akcent 4 2 6 4 2 7" xfId="12019" xr:uid="{00000000-0005-0000-0000-0000332E0000}"/>
    <cellStyle name="60% - akcent 4 2 6 4 3" xfId="12020" xr:uid="{00000000-0005-0000-0000-0000342E0000}"/>
    <cellStyle name="60% - akcent 4 2 6 4 4" xfId="12021" xr:uid="{00000000-0005-0000-0000-0000352E0000}"/>
    <cellStyle name="60% - akcent 4 2 6 4 5" xfId="12022" xr:uid="{00000000-0005-0000-0000-0000362E0000}"/>
    <cellStyle name="60% - akcent 4 2 6 4 6" xfId="12023" xr:uid="{00000000-0005-0000-0000-0000372E0000}"/>
    <cellStyle name="60% - akcent 4 2 6 4 7" xfId="12024" xr:uid="{00000000-0005-0000-0000-0000382E0000}"/>
    <cellStyle name="60% - akcent 4 2 6 4 7 2" xfId="12025" xr:uid="{00000000-0005-0000-0000-0000392E0000}"/>
    <cellStyle name="60% - akcent 4 2 6 4 7 3" xfId="12026" xr:uid="{00000000-0005-0000-0000-00003A2E0000}"/>
    <cellStyle name="60% - akcent 4 2 6 4 7 4" xfId="12027" xr:uid="{00000000-0005-0000-0000-00003B2E0000}"/>
    <cellStyle name="60% - akcent 4 2 6 4 7 5" xfId="12028" xr:uid="{00000000-0005-0000-0000-00003C2E0000}"/>
    <cellStyle name="60% - akcent 4 2 6 4 7 6" xfId="12029" xr:uid="{00000000-0005-0000-0000-00003D2E0000}"/>
    <cellStyle name="60% - akcent 4 2 6 4 8" xfId="12030" xr:uid="{00000000-0005-0000-0000-00003E2E0000}"/>
    <cellStyle name="60% - akcent 4 2 6 4 9" xfId="12031" xr:uid="{00000000-0005-0000-0000-00003F2E0000}"/>
    <cellStyle name="60% - akcent 4 2 6 5" xfId="12032" xr:uid="{00000000-0005-0000-0000-0000402E0000}"/>
    <cellStyle name="60% - akcent 4 2 6 5 2" xfId="12033" xr:uid="{00000000-0005-0000-0000-0000412E0000}"/>
    <cellStyle name="60% - akcent 4 2 6 5 2 2" xfId="12034" xr:uid="{00000000-0005-0000-0000-0000422E0000}"/>
    <cellStyle name="60% - akcent 4 2 6 5 2 3" xfId="12035" xr:uid="{00000000-0005-0000-0000-0000432E0000}"/>
    <cellStyle name="60% - akcent 4 2 6 5 2 4" xfId="12036" xr:uid="{00000000-0005-0000-0000-0000442E0000}"/>
    <cellStyle name="60% - akcent 4 2 6 5 2 5" xfId="12037" xr:uid="{00000000-0005-0000-0000-0000452E0000}"/>
    <cellStyle name="60% - akcent 4 2 6 5 2 6" xfId="12038" xr:uid="{00000000-0005-0000-0000-0000462E0000}"/>
    <cellStyle name="60% - akcent 4 2 6 5 3" xfId="12039" xr:uid="{00000000-0005-0000-0000-0000472E0000}"/>
    <cellStyle name="60% - akcent 4 2 6 5 4" xfId="12040" xr:uid="{00000000-0005-0000-0000-0000482E0000}"/>
    <cellStyle name="60% - akcent 4 2 6 5 5" xfId="12041" xr:uid="{00000000-0005-0000-0000-0000492E0000}"/>
    <cellStyle name="60% - akcent 4 2 6 5 6" xfId="12042" xr:uid="{00000000-0005-0000-0000-00004A2E0000}"/>
    <cellStyle name="60% - akcent 4 2 6 5 7" xfId="12043" xr:uid="{00000000-0005-0000-0000-00004B2E0000}"/>
    <cellStyle name="60% - akcent 4 2 6 6" xfId="12044" xr:uid="{00000000-0005-0000-0000-00004C2E0000}"/>
    <cellStyle name="60% - akcent 4 2 6 7" xfId="12045" xr:uid="{00000000-0005-0000-0000-00004D2E0000}"/>
    <cellStyle name="60% - akcent 4 2 6 8" xfId="12046" xr:uid="{00000000-0005-0000-0000-00004E2E0000}"/>
    <cellStyle name="60% - akcent 4 2 6 9" xfId="12047" xr:uid="{00000000-0005-0000-0000-00004F2E0000}"/>
    <cellStyle name="60% - akcent 4 2 6 9 2" xfId="12048" xr:uid="{00000000-0005-0000-0000-0000502E0000}"/>
    <cellStyle name="60% - akcent 4 2 6 9 3" xfId="12049" xr:uid="{00000000-0005-0000-0000-0000512E0000}"/>
    <cellStyle name="60% - akcent 4 2 6 9 4" xfId="12050" xr:uid="{00000000-0005-0000-0000-0000522E0000}"/>
    <cellStyle name="60% - akcent 4 2 6 9 5" xfId="12051" xr:uid="{00000000-0005-0000-0000-0000532E0000}"/>
    <cellStyle name="60% - akcent 4 2 6 9 6" xfId="12052" xr:uid="{00000000-0005-0000-0000-0000542E0000}"/>
    <cellStyle name="60% - akcent 4 2 7" xfId="12053" xr:uid="{00000000-0005-0000-0000-0000552E0000}"/>
    <cellStyle name="60% - akcent 4 2 8" xfId="12054" xr:uid="{00000000-0005-0000-0000-0000562E0000}"/>
    <cellStyle name="60% - akcent 4 2 8 10" xfId="12055" xr:uid="{00000000-0005-0000-0000-0000572E0000}"/>
    <cellStyle name="60% - akcent 4 2 8 11" xfId="12056" xr:uid="{00000000-0005-0000-0000-0000582E0000}"/>
    <cellStyle name="60% - akcent 4 2 8 12" xfId="12057" xr:uid="{00000000-0005-0000-0000-0000592E0000}"/>
    <cellStyle name="60% - akcent 4 2 8 13" xfId="12058" xr:uid="{00000000-0005-0000-0000-00005A2E0000}"/>
    <cellStyle name="60% - akcent 4 2 8 2" xfId="12059" xr:uid="{00000000-0005-0000-0000-00005B2E0000}"/>
    <cellStyle name="60% - akcent 4 2 8 2 10" xfId="12060" xr:uid="{00000000-0005-0000-0000-00005C2E0000}"/>
    <cellStyle name="60% - akcent 4 2 8 2 11" xfId="12061" xr:uid="{00000000-0005-0000-0000-00005D2E0000}"/>
    <cellStyle name="60% - akcent 4 2 8 2 12" xfId="12062" xr:uid="{00000000-0005-0000-0000-00005E2E0000}"/>
    <cellStyle name="60% - akcent 4 2 8 2 2" xfId="12063" xr:uid="{00000000-0005-0000-0000-00005F2E0000}"/>
    <cellStyle name="60% - akcent 4 2 8 2 2 10" xfId="12064" xr:uid="{00000000-0005-0000-0000-0000602E0000}"/>
    <cellStyle name="60% - akcent 4 2 8 2 2 11" xfId="12065" xr:uid="{00000000-0005-0000-0000-0000612E0000}"/>
    <cellStyle name="60% - akcent 4 2 8 2 2 2" xfId="12066" xr:uid="{00000000-0005-0000-0000-0000622E0000}"/>
    <cellStyle name="60% - akcent 4 2 8 2 2 2 10" xfId="12067" xr:uid="{00000000-0005-0000-0000-0000632E0000}"/>
    <cellStyle name="60% - akcent 4 2 8 2 2 2 11" xfId="12068" xr:uid="{00000000-0005-0000-0000-0000642E0000}"/>
    <cellStyle name="60% - akcent 4 2 8 2 2 2 2" xfId="12069" xr:uid="{00000000-0005-0000-0000-0000652E0000}"/>
    <cellStyle name="60% - akcent 4 2 8 2 2 2 2 2" xfId="12070" xr:uid="{00000000-0005-0000-0000-0000662E0000}"/>
    <cellStyle name="60% - akcent 4 2 8 2 2 2 2 2 2" xfId="12071" xr:uid="{00000000-0005-0000-0000-0000672E0000}"/>
    <cellStyle name="60% - akcent 4 2 8 2 2 2 2 2 3" xfId="12072" xr:uid="{00000000-0005-0000-0000-0000682E0000}"/>
    <cellStyle name="60% - akcent 4 2 8 2 2 2 2 2 4" xfId="12073" xr:uid="{00000000-0005-0000-0000-0000692E0000}"/>
    <cellStyle name="60% - akcent 4 2 8 2 2 2 2 2 5" xfId="12074" xr:uid="{00000000-0005-0000-0000-00006A2E0000}"/>
    <cellStyle name="60% - akcent 4 2 8 2 2 2 2 2 6" xfId="12075" xr:uid="{00000000-0005-0000-0000-00006B2E0000}"/>
    <cellStyle name="60% - akcent 4 2 8 2 2 2 2 3" xfId="12076" xr:uid="{00000000-0005-0000-0000-00006C2E0000}"/>
    <cellStyle name="60% - akcent 4 2 8 2 2 2 2 4" xfId="12077" xr:uid="{00000000-0005-0000-0000-00006D2E0000}"/>
    <cellStyle name="60% - akcent 4 2 8 2 2 2 2 5" xfId="12078" xr:uid="{00000000-0005-0000-0000-00006E2E0000}"/>
    <cellStyle name="60% - akcent 4 2 8 2 2 2 2 6" xfId="12079" xr:uid="{00000000-0005-0000-0000-00006F2E0000}"/>
    <cellStyle name="60% - akcent 4 2 8 2 2 2 2 7" xfId="12080" xr:uid="{00000000-0005-0000-0000-0000702E0000}"/>
    <cellStyle name="60% - akcent 4 2 8 2 2 2 3" xfId="12081" xr:uid="{00000000-0005-0000-0000-0000712E0000}"/>
    <cellStyle name="60% - akcent 4 2 8 2 2 2 4" xfId="12082" xr:uid="{00000000-0005-0000-0000-0000722E0000}"/>
    <cellStyle name="60% - akcent 4 2 8 2 2 2 5" xfId="12083" xr:uid="{00000000-0005-0000-0000-0000732E0000}"/>
    <cellStyle name="60% - akcent 4 2 8 2 2 2 6" xfId="12084" xr:uid="{00000000-0005-0000-0000-0000742E0000}"/>
    <cellStyle name="60% - akcent 4 2 8 2 2 2 7" xfId="12085" xr:uid="{00000000-0005-0000-0000-0000752E0000}"/>
    <cellStyle name="60% - akcent 4 2 8 2 2 2 7 2" xfId="12086" xr:uid="{00000000-0005-0000-0000-0000762E0000}"/>
    <cellStyle name="60% - akcent 4 2 8 2 2 2 7 3" xfId="12087" xr:uid="{00000000-0005-0000-0000-0000772E0000}"/>
    <cellStyle name="60% - akcent 4 2 8 2 2 2 7 4" xfId="12088" xr:uid="{00000000-0005-0000-0000-0000782E0000}"/>
    <cellStyle name="60% - akcent 4 2 8 2 2 2 7 5" xfId="12089" xr:uid="{00000000-0005-0000-0000-0000792E0000}"/>
    <cellStyle name="60% - akcent 4 2 8 2 2 2 7 6" xfId="12090" xr:uid="{00000000-0005-0000-0000-00007A2E0000}"/>
    <cellStyle name="60% - akcent 4 2 8 2 2 2 8" xfId="12091" xr:uid="{00000000-0005-0000-0000-00007B2E0000}"/>
    <cellStyle name="60% - akcent 4 2 8 2 2 2 9" xfId="12092" xr:uid="{00000000-0005-0000-0000-00007C2E0000}"/>
    <cellStyle name="60% - akcent 4 2 8 2 2 3" xfId="12093" xr:uid="{00000000-0005-0000-0000-00007D2E0000}"/>
    <cellStyle name="60% - akcent 4 2 8 2 2 3 2" xfId="12094" xr:uid="{00000000-0005-0000-0000-00007E2E0000}"/>
    <cellStyle name="60% - akcent 4 2 8 2 2 3 2 2" xfId="12095" xr:uid="{00000000-0005-0000-0000-00007F2E0000}"/>
    <cellStyle name="60% - akcent 4 2 8 2 2 3 2 3" xfId="12096" xr:uid="{00000000-0005-0000-0000-0000802E0000}"/>
    <cellStyle name="60% - akcent 4 2 8 2 2 3 2 4" xfId="12097" xr:uid="{00000000-0005-0000-0000-0000812E0000}"/>
    <cellStyle name="60% - akcent 4 2 8 2 2 3 2 5" xfId="12098" xr:uid="{00000000-0005-0000-0000-0000822E0000}"/>
    <cellStyle name="60% - akcent 4 2 8 2 2 3 2 6" xfId="12099" xr:uid="{00000000-0005-0000-0000-0000832E0000}"/>
    <cellStyle name="60% - akcent 4 2 8 2 2 3 3" xfId="12100" xr:uid="{00000000-0005-0000-0000-0000842E0000}"/>
    <cellStyle name="60% - akcent 4 2 8 2 2 3 4" xfId="12101" xr:uid="{00000000-0005-0000-0000-0000852E0000}"/>
    <cellStyle name="60% - akcent 4 2 8 2 2 3 5" xfId="12102" xr:uid="{00000000-0005-0000-0000-0000862E0000}"/>
    <cellStyle name="60% - akcent 4 2 8 2 2 3 6" xfId="12103" xr:uid="{00000000-0005-0000-0000-0000872E0000}"/>
    <cellStyle name="60% - akcent 4 2 8 2 2 3 7" xfId="12104" xr:uid="{00000000-0005-0000-0000-0000882E0000}"/>
    <cellStyle name="60% - akcent 4 2 8 2 2 4" xfId="12105" xr:uid="{00000000-0005-0000-0000-0000892E0000}"/>
    <cellStyle name="60% - akcent 4 2 8 2 2 5" xfId="12106" xr:uid="{00000000-0005-0000-0000-00008A2E0000}"/>
    <cellStyle name="60% - akcent 4 2 8 2 2 6" xfId="12107" xr:uid="{00000000-0005-0000-0000-00008B2E0000}"/>
    <cellStyle name="60% - akcent 4 2 8 2 2 7" xfId="12108" xr:uid="{00000000-0005-0000-0000-00008C2E0000}"/>
    <cellStyle name="60% - akcent 4 2 8 2 2 7 2" xfId="12109" xr:uid="{00000000-0005-0000-0000-00008D2E0000}"/>
    <cellStyle name="60% - akcent 4 2 8 2 2 7 3" xfId="12110" xr:uid="{00000000-0005-0000-0000-00008E2E0000}"/>
    <cellStyle name="60% - akcent 4 2 8 2 2 7 4" xfId="12111" xr:uid="{00000000-0005-0000-0000-00008F2E0000}"/>
    <cellStyle name="60% - akcent 4 2 8 2 2 7 5" xfId="12112" xr:uid="{00000000-0005-0000-0000-0000902E0000}"/>
    <cellStyle name="60% - akcent 4 2 8 2 2 7 6" xfId="12113" xr:uid="{00000000-0005-0000-0000-0000912E0000}"/>
    <cellStyle name="60% - akcent 4 2 8 2 2 8" xfId="12114" xr:uid="{00000000-0005-0000-0000-0000922E0000}"/>
    <cellStyle name="60% - akcent 4 2 8 2 2 9" xfId="12115" xr:uid="{00000000-0005-0000-0000-0000932E0000}"/>
    <cellStyle name="60% - akcent 4 2 8 2 3" xfId="12116" xr:uid="{00000000-0005-0000-0000-0000942E0000}"/>
    <cellStyle name="60% - akcent 4 2 8 2 3 2" xfId="12117" xr:uid="{00000000-0005-0000-0000-0000952E0000}"/>
    <cellStyle name="60% - akcent 4 2 8 2 3 2 2" xfId="12118" xr:uid="{00000000-0005-0000-0000-0000962E0000}"/>
    <cellStyle name="60% - akcent 4 2 8 2 3 2 3" xfId="12119" xr:uid="{00000000-0005-0000-0000-0000972E0000}"/>
    <cellStyle name="60% - akcent 4 2 8 2 3 2 4" xfId="12120" xr:uid="{00000000-0005-0000-0000-0000982E0000}"/>
    <cellStyle name="60% - akcent 4 2 8 2 3 2 5" xfId="12121" xr:uid="{00000000-0005-0000-0000-0000992E0000}"/>
    <cellStyle name="60% - akcent 4 2 8 2 3 2 6" xfId="12122" xr:uid="{00000000-0005-0000-0000-00009A2E0000}"/>
    <cellStyle name="60% - akcent 4 2 8 2 3 3" xfId="12123" xr:uid="{00000000-0005-0000-0000-00009B2E0000}"/>
    <cellStyle name="60% - akcent 4 2 8 2 3 4" xfId="12124" xr:uid="{00000000-0005-0000-0000-00009C2E0000}"/>
    <cellStyle name="60% - akcent 4 2 8 2 3 5" xfId="12125" xr:uid="{00000000-0005-0000-0000-00009D2E0000}"/>
    <cellStyle name="60% - akcent 4 2 8 2 3 6" xfId="12126" xr:uid="{00000000-0005-0000-0000-00009E2E0000}"/>
    <cellStyle name="60% - akcent 4 2 8 2 3 7" xfId="12127" xr:uid="{00000000-0005-0000-0000-00009F2E0000}"/>
    <cellStyle name="60% - akcent 4 2 8 2 4" xfId="12128" xr:uid="{00000000-0005-0000-0000-0000A02E0000}"/>
    <cellStyle name="60% - akcent 4 2 8 2 5" xfId="12129" xr:uid="{00000000-0005-0000-0000-0000A12E0000}"/>
    <cellStyle name="60% - akcent 4 2 8 2 6" xfId="12130" xr:uid="{00000000-0005-0000-0000-0000A22E0000}"/>
    <cellStyle name="60% - akcent 4 2 8 2 7" xfId="12131" xr:uid="{00000000-0005-0000-0000-0000A32E0000}"/>
    <cellStyle name="60% - akcent 4 2 8 2 8" xfId="12132" xr:uid="{00000000-0005-0000-0000-0000A42E0000}"/>
    <cellStyle name="60% - akcent 4 2 8 2 8 2" xfId="12133" xr:uid="{00000000-0005-0000-0000-0000A52E0000}"/>
    <cellStyle name="60% - akcent 4 2 8 2 8 3" xfId="12134" xr:uid="{00000000-0005-0000-0000-0000A62E0000}"/>
    <cellStyle name="60% - akcent 4 2 8 2 8 4" xfId="12135" xr:uid="{00000000-0005-0000-0000-0000A72E0000}"/>
    <cellStyle name="60% - akcent 4 2 8 2 8 5" xfId="12136" xr:uid="{00000000-0005-0000-0000-0000A82E0000}"/>
    <cellStyle name="60% - akcent 4 2 8 2 8 6" xfId="12137" xr:uid="{00000000-0005-0000-0000-0000A92E0000}"/>
    <cellStyle name="60% - akcent 4 2 8 2 9" xfId="12138" xr:uid="{00000000-0005-0000-0000-0000AA2E0000}"/>
    <cellStyle name="60% - akcent 4 2 8 3" xfId="12139" xr:uid="{00000000-0005-0000-0000-0000AB2E0000}"/>
    <cellStyle name="60% - akcent 4 2 8 4" xfId="12140" xr:uid="{00000000-0005-0000-0000-0000AC2E0000}"/>
    <cellStyle name="60% - akcent 4 2 8 4 10" xfId="12141" xr:uid="{00000000-0005-0000-0000-0000AD2E0000}"/>
    <cellStyle name="60% - akcent 4 2 8 4 11" xfId="12142" xr:uid="{00000000-0005-0000-0000-0000AE2E0000}"/>
    <cellStyle name="60% - akcent 4 2 8 4 2" xfId="12143" xr:uid="{00000000-0005-0000-0000-0000AF2E0000}"/>
    <cellStyle name="60% - akcent 4 2 8 4 2 2" xfId="12144" xr:uid="{00000000-0005-0000-0000-0000B02E0000}"/>
    <cellStyle name="60% - akcent 4 2 8 4 2 2 2" xfId="12145" xr:uid="{00000000-0005-0000-0000-0000B12E0000}"/>
    <cellStyle name="60% - akcent 4 2 8 4 2 2 3" xfId="12146" xr:uid="{00000000-0005-0000-0000-0000B22E0000}"/>
    <cellStyle name="60% - akcent 4 2 8 4 2 2 4" xfId="12147" xr:uid="{00000000-0005-0000-0000-0000B32E0000}"/>
    <cellStyle name="60% - akcent 4 2 8 4 2 2 5" xfId="12148" xr:uid="{00000000-0005-0000-0000-0000B42E0000}"/>
    <cellStyle name="60% - akcent 4 2 8 4 2 2 6" xfId="12149" xr:uid="{00000000-0005-0000-0000-0000B52E0000}"/>
    <cellStyle name="60% - akcent 4 2 8 4 2 3" xfId="12150" xr:uid="{00000000-0005-0000-0000-0000B62E0000}"/>
    <cellStyle name="60% - akcent 4 2 8 4 2 4" xfId="12151" xr:uid="{00000000-0005-0000-0000-0000B72E0000}"/>
    <cellStyle name="60% - akcent 4 2 8 4 2 5" xfId="12152" xr:uid="{00000000-0005-0000-0000-0000B82E0000}"/>
    <cellStyle name="60% - akcent 4 2 8 4 2 6" xfId="12153" xr:uid="{00000000-0005-0000-0000-0000B92E0000}"/>
    <cellStyle name="60% - akcent 4 2 8 4 2 7" xfId="12154" xr:uid="{00000000-0005-0000-0000-0000BA2E0000}"/>
    <cellStyle name="60% - akcent 4 2 8 4 3" xfId="12155" xr:uid="{00000000-0005-0000-0000-0000BB2E0000}"/>
    <cellStyle name="60% - akcent 4 2 8 4 4" xfId="12156" xr:uid="{00000000-0005-0000-0000-0000BC2E0000}"/>
    <cellStyle name="60% - akcent 4 2 8 4 5" xfId="12157" xr:uid="{00000000-0005-0000-0000-0000BD2E0000}"/>
    <cellStyle name="60% - akcent 4 2 8 4 6" xfId="12158" xr:uid="{00000000-0005-0000-0000-0000BE2E0000}"/>
    <cellStyle name="60% - akcent 4 2 8 4 7" xfId="12159" xr:uid="{00000000-0005-0000-0000-0000BF2E0000}"/>
    <cellStyle name="60% - akcent 4 2 8 4 7 2" xfId="12160" xr:uid="{00000000-0005-0000-0000-0000C02E0000}"/>
    <cellStyle name="60% - akcent 4 2 8 4 7 3" xfId="12161" xr:uid="{00000000-0005-0000-0000-0000C12E0000}"/>
    <cellStyle name="60% - akcent 4 2 8 4 7 4" xfId="12162" xr:uid="{00000000-0005-0000-0000-0000C22E0000}"/>
    <cellStyle name="60% - akcent 4 2 8 4 7 5" xfId="12163" xr:uid="{00000000-0005-0000-0000-0000C32E0000}"/>
    <cellStyle name="60% - akcent 4 2 8 4 7 6" xfId="12164" xr:uid="{00000000-0005-0000-0000-0000C42E0000}"/>
    <cellStyle name="60% - akcent 4 2 8 4 8" xfId="12165" xr:uid="{00000000-0005-0000-0000-0000C52E0000}"/>
    <cellStyle name="60% - akcent 4 2 8 4 9" xfId="12166" xr:uid="{00000000-0005-0000-0000-0000C62E0000}"/>
    <cellStyle name="60% - akcent 4 2 8 5" xfId="12167" xr:uid="{00000000-0005-0000-0000-0000C72E0000}"/>
    <cellStyle name="60% - akcent 4 2 8 5 2" xfId="12168" xr:uid="{00000000-0005-0000-0000-0000C82E0000}"/>
    <cellStyle name="60% - akcent 4 2 8 5 2 2" xfId="12169" xr:uid="{00000000-0005-0000-0000-0000C92E0000}"/>
    <cellStyle name="60% - akcent 4 2 8 5 2 3" xfId="12170" xr:uid="{00000000-0005-0000-0000-0000CA2E0000}"/>
    <cellStyle name="60% - akcent 4 2 8 5 2 4" xfId="12171" xr:uid="{00000000-0005-0000-0000-0000CB2E0000}"/>
    <cellStyle name="60% - akcent 4 2 8 5 2 5" xfId="12172" xr:uid="{00000000-0005-0000-0000-0000CC2E0000}"/>
    <cellStyle name="60% - akcent 4 2 8 5 2 6" xfId="12173" xr:uid="{00000000-0005-0000-0000-0000CD2E0000}"/>
    <cellStyle name="60% - akcent 4 2 8 5 3" xfId="12174" xr:uid="{00000000-0005-0000-0000-0000CE2E0000}"/>
    <cellStyle name="60% - akcent 4 2 8 5 4" xfId="12175" xr:uid="{00000000-0005-0000-0000-0000CF2E0000}"/>
    <cellStyle name="60% - akcent 4 2 8 5 5" xfId="12176" xr:uid="{00000000-0005-0000-0000-0000D02E0000}"/>
    <cellStyle name="60% - akcent 4 2 8 5 6" xfId="12177" xr:uid="{00000000-0005-0000-0000-0000D12E0000}"/>
    <cellStyle name="60% - akcent 4 2 8 5 7" xfId="12178" xr:uid="{00000000-0005-0000-0000-0000D22E0000}"/>
    <cellStyle name="60% - akcent 4 2 8 6" xfId="12179" xr:uid="{00000000-0005-0000-0000-0000D32E0000}"/>
    <cellStyle name="60% - akcent 4 2 8 7" xfId="12180" xr:uid="{00000000-0005-0000-0000-0000D42E0000}"/>
    <cellStyle name="60% - akcent 4 2 8 8" xfId="12181" xr:uid="{00000000-0005-0000-0000-0000D52E0000}"/>
    <cellStyle name="60% - akcent 4 2 8 9" xfId="12182" xr:uid="{00000000-0005-0000-0000-0000D62E0000}"/>
    <cellStyle name="60% - akcent 4 2 8 9 2" xfId="12183" xr:uid="{00000000-0005-0000-0000-0000D72E0000}"/>
    <cellStyle name="60% - akcent 4 2 8 9 3" xfId="12184" xr:uid="{00000000-0005-0000-0000-0000D82E0000}"/>
    <cellStyle name="60% - akcent 4 2 8 9 4" xfId="12185" xr:uid="{00000000-0005-0000-0000-0000D92E0000}"/>
    <cellStyle name="60% - akcent 4 2 8 9 5" xfId="12186" xr:uid="{00000000-0005-0000-0000-0000DA2E0000}"/>
    <cellStyle name="60% - akcent 4 2 8 9 6" xfId="12187" xr:uid="{00000000-0005-0000-0000-0000DB2E0000}"/>
    <cellStyle name="60% - akcent 4 2 9" xfId="12188" xr:uid="{00000000-0005-0000-0000-0000DC2E0000}"/>
    <cellStyle name="60% - akcent 4 3" xfId="178" xr:uid="{00000000-0005-0000-0000-0000DD2E0000}"/>
    <cellStyle name="60% - akcent 4 3 2" xfId="12190" xr:uid="{00000000-0005-0000-0000-0000DE2E0000}"/>
    <cellStyle name="60% - akcent 4 3 3" xfId="12191" xr:uid="{00000000-0005-0000-0000-0000DF2E0000}"/>
    <cellStyle name="60% - akcent 4 3 4" xfId="12192" xr:uid="{00000000-0005-0000-0000-0000E02E0000}"/>
    <cellStyle name="60% - akcent 4 3 5" xfId="12193" xr:uid="{00000000-0005-0000-0000-0000E12E0000}"/>
    <cellStyle name="60% - akcent 4 3 6" xfId="12189" xr:uid="{00000000-0005-0000-0000-0000E22E0000}"/>
    <cellStyle name="60% - akcent 4 4" xfId="179" xr:uid="{00000000-0005-0000-0000-0000E32E0000}"/>
    <cellStyle name="60% - akcent 4 4 2" xfId="12195" xr:uid="{00000000-0005-0000-0000-0000E42E0000}"/>
    <cellStyle name="60% - akcent 4 4 3" xfId="12196" xr:uid="{00000000-0005-0000-0000-0000E52E0000}"/>
    <cellStyle name="60% - akcent 4 4 4" xfId="12197" xr:uid="{00000000-0005-0000-0000-0000E62E0000}"/>
    <cellStyle name="60% - akcent 4 4 5" xfId="12198" xr:uid="{00000000-0005-0000-0000-0000E72E0000}"/>
    <cellStyle name="60% - akcent 4 4 6" xfId="12194" xr:uid="{00000000-0005-0000-0000-0000E82E0000}"/>
    <cellStyle name="60% - akcent 4 5" xfId="180" xr:uid="{00000000-0005-0000-0000-0000E92E0000}"/>
    <cellStyle name="60% - akcent 4 5 2" xfId="12200" xr:uid="{00000000-0005-0000-0000-0000EA2E0000}"/>
    <cellStyle name="60% - akcent 4 5 3" xfId="12201" xr:uid="{00000000-0005-0000-0000-0000EB2E0000}"/>
    <cellStyle name="60% - akcent 4 5 4" xfId="12202" xr:uid="{00000000-0005-0000-0000-0000EC2E0000}"/>
    <cellStyle name="60% - akcent 4 5 5" xfId="12203" xr:uid="{00000000-0005-0000-0000-0000ED2E0000}"/>
    <cellStyle name="60% - akcent 4 5 6" xfId="12199" xr:uid="{00000000-0005-0000-0000-0000EE2E0000}"/>
    <cellStyle name="60% - akcent 4 6" xfId="181" xr:uid="{00000000-0005-0000-0000-0000EF2E0000}"/>
    <cellStyle name="60% - akcent 4 6 2" xfId="12205" xr:uid="{00000000-0005-0000-0000-0000F02E0000}"/>
    <cellStyle name="60% - akcent 4 6 3" xfId="12206" xr:uid="{00000000-0005-0000-0000-0000F12E0000}"/>
    <cellStyle name="60% - akcent 4 6 4" xfId="12207" xr:uid="{00000000-0005-0000-0000-0000F22E0000}"/>
    <cellStyle name="60% - akcent 4 6 5" xfId="12208" xr:uid="{00000000-0005-0000-0000-0000F32E0000}"/>
    <cellStyle name="60% - akcent 4 6 6" xfId="12204" xr:uid="{00000000-0005-0000-0000-0000F42E0000}"/>
    <cellStyle name="60% - akcent 4 7" xfId="182" xr:uid="{00000000-0005-0000-0000-0000F52E0000}"/>
    <cellStyle name="60% - akcent 4 7 2" xfId="12210" xr:uid="{00000000-0005-0000-0000-0000F62E0000}"/>
    <cellStyle name="60% - akcent 4 7 3" xfId="12211" xr:uid="{00000000-0005-0000-0000-0000F72E0000}"/>
    <cellStyle name="60% - akcent 4 7 4" xfId="12212" xr:uid="{00000000-0005-0000-0000-0000F82E0000}"/>
    <cellStyle name="60% - akcent 4 7 5" xfId="12213" xr:uid="{00000000-0005-0000-0000-0000F92E0000}"/>
    <cellStyle name="60% - akcent 4 7 6" xfId="12209" xr:uid="{00000000-0005-0000-0000-0000FA2E0000}"/>
    <cellStyle name="60% - akcent 4 8" xfId="12214" xr:uid="{00000000-0005-0000-0000-0000FB2E0000}"/>
    <cellStyle name="60% - akcent 4 8 2" xfId="12215" xr:uid="{00000000-0005-0000-0000-0000FC2E0000}"/>
    <cellStyle name="60% - akcent 4 8 3" xfId="12216" xr:uid="{00000000-0005-0000-0000-0000FD2E0000}"/>
    <cellStyle name="60% - akcent 4 8 4" xfId="12217" xr:uid="{00000000-0005-0000-0000-0000FE2E0000}"/>
    <cellStyle name="60% - akcent 4 9" xfId="12218" xr:uid="{00000000-0005-0000-0000-0000FF2E0000}"/>
    <cellStyle name="60% - akcent 5 1" xfId="12219" xr:uid="{00000000-0005-0000-0000-0000002F0000}"/>
    <cellStyle name="60% - akcent 5 10" xfId="12220" xr:uid="{00000000-0005-0000-0000-0000012F0000}"/>
    <cellStyle name="60% - akcent 5 11" xfId="12221" xr:uid="{00000000-0005-0000-0000-0000022F0000}"/>
    <cellStyle name="60% - akcent 5 12" xfId="12222" xr:uid="{00000000-0005-0000-0000-0000032F0000}"/>
    <cellStyle name="60% - akcent 5 13" xfId="12223" xr:uid="{00000000-0005-0000-0000-0000042F0000}"/>
    <cellStyle name="60% - akcent 5 14" xfId="12224" xr:uid="{00000000-0005-0000-0000-0000052F0000}"/>
    <cellStyle name="60% - akcent 5 15" xfId="12225" xr:uid="{00000000-0005-0000-0000-0000062F0000}"/>
    <cellStyle name="60% - akcent 5 16" xfId="12226" xr:uid="{00000000-0005-0000-0000-0000072F0000}"/>
    <cellStyle name="60% - akcent 5 17" xfId="12227" xr:uid="{00000000-0005-0000-0000-0000082F0000}"/>
    <cellStyle name="60% - akcent 5 18" xfId="12228" xr:uid="{00000000-0005-0000-0000-0000092F0000}"/>
    <cellStyle name="60% - akcent 5 19" xfId="12229" xr:uid="{00000000-0005-0000-0000-00000A2F0000}"/>
    <cellStyle name="60% - akcent 5 2" xfId="183" xr:uid="{00000000-0005-0000-0000-00000B2F0000}"/>
    <cellStyle name="60% - akcent 5 2 10" xfId="12231" xr:uid="{00000000-0005-0000-0000-00000C2F0000}"/>
    <cellStyle name="60% - akcent 5 2 11" xfId="12232" xr:uid="{00000000-0005-0000-0000-00000D2F0000}"/>
    <cellStyle name="60% - akcent 5 2 12" xfId="12233" xr:uid="{00000000-0005-0000-0000-00000E2F0000}"/>
    <cellStyle name="60% - akcent 5 2 13" xfId="12234" xr:uid="{00000000-0005-0000-0000-00000F2F0000}"/>
    <cellStyle name="60% - akcent 5 2 13 10" xfId="12235" xr:uid="{00000000-0005-0000-0000-0000102F0000}"/>
    <cellStyle name="60% - akcent 5 2 13 11" xfId="12236" xr:uid="{00000000-0005-0000-0000-0000112F0000}"/>
    <cellStyle name="60% - akcent 5 2 13 12" xfId="12237" xr:uid="{00000000-0005-0000-0000-0000122F0000}"/>
    <cellStyle name="60% - akcent 5 2 13 2" xfId="12238" xr:uid="{00000000-0005-0000-0000-0000132F0000}"/>
    <cellStyle name="60% - akcent 5 2 13 2 10" xfId="12239" xr:uid="{00000000-0005-0000-0000-0000142F0000}"/>
    <cellStyle name="60% - akcent 5 2 13 2 11" xfId="12240" xr:uid="{00000000-0005-0000-0000-0000152F0000}"/>
    <cellStyle name="60% - akcent 5 2 13 2 2" xfId="12241" xr:uid="{00000000-0005-0000-0000-0000162F0000}"/>
    <cellStyle name="60% - akcent 5 2 13 2 2 10" xfId="12242" xr:uid="{00000000-0005-0000-0000-0000172F0000}"/>
    <cellStyle name="60% - akcent 5 2 13 2 2 11" xfId="12243" xr:uid="{00000000-0005-0000-0000-0000182F0000}"/>
    <cellStyle name="60% - akcent 5 2 13 2 2 2" xfId="12244" xr:uid="{00000000-0005-0000-0000-0000192F0000}"/>
    <cellStyle name="60% - akcent 5 2 13 2 2 2 2" xfId="12245" xr:uid="{00000000-0005-0000-0000-00001A2F0000}"/>
    <cellStyle name="60% - akcent 5 2 13 2 2 2 2 2" xfId="12246" xr:uid="{00000000-0005-0000-0000-00001B2F0000}"/>
    <cellStyle name="60% - akcent 5 2 13 2 2 2 2 3" xfId="12247" xr:uid="{00000000-0005-0000-0000-00001C2F0000}"/>
    <cellStyle name="60% - akcent 5 2 13 2 2 2 2 4" xfId="12248" xr:uid="{00000000-0005-0000-0000-00001D2F0000}"/>
    <cellStyle name="60% - akcent 5 2 13 2 2 2 2 5" xfId="12249" xr:uid="{00000000-0005-0000-0000-00001E2F0000}"/>
    <cellStyle name="60% - akcent 5 2 13 2 2 2 2 6" xfId="12250" xr:uid="{00000000-0005-0000-0000-00001F2F0000}"/>
    <cellStyle name="60% - akcent 5 2 13 2 2 2 3" xfId="12251" xr:uid="{00000000-0005-0000-0000-0000202F0000}"/>
    <cellStyle name="60% - akcent 5 2 13 2 2 2 4" xfId="12252" xr:uid="{00000000-0005-0000-0000-0000212F0000}"/>
    <cellStyle name="60% - akcent 5 2 13 2 2 2 5" xfId="12253" xr:uid="{00000000-0005-0000-0000-0000222F0000}"/>
    <cellStyle name="60% - akcent 5 2 13 2 2 2 6" xfId="12254" xr:uid="{00000000-0005-0000-0000-0000232F0000}"/>
    <cellStyle name="60% - akcent 5 2 13 2 2 2 7" xfId="12255" xr:uid="{00000000-0005-0000-0000-0000242F0000}"/>
    <cellStyle name="60% - akcent 5 2 13 2 2 3" xfId="12256" xr:uid="{00000000-0005-0000-0000-0000252F0000}"/>
    <cellStyle name="60% - akcent 5 2 13 2 2 4" xfId="12257" xr:uid="{00000000-0005-0000-0000-0000262F0000}"/>
    <cellStyle name="60% - akcent 5 2 13 2 2 5" xfId="12258" xr:uid="{00000000-0005-0000-0000-0000272F0000}"/>
    <cellStyle name="60% - akcent 5 2 13 2 2 6" xfId="12259" xr:uid="{00000000-0005-0000-0000-0000282F0000}"/>
    <cellStyle name="60% - akcent 5 2 13 2 2 7" xfId="12260" xr:uid="{00000000-0005-0000-0000-0000292F0000}"/>
    <cellStyle name="60% - akcent 5 2 13 2 2 7 2" xfId="12261" xr:uid="{00000000-0005-0000-0000-00002A2F0000}"/>
    <cellStyle name="60% - akcent 5 2 13 2 2 7 3" xfId="12262" xr:uid="{00000000-0005-0000-0000-00002B2F0000}"/>
    <cellStyle name="60% - akcent 5 2 13 2 2 7 4" xfId="12263" xr:uid="{00000000-0005-0000-0000-00002C2F0000}"/>
    <cellStyle name="60% - akcent 5 2 13 2 2 7 5" xfId="12264" xr:uid="{00000000-0005-0000-0000-00002D2F0000}"/>
    <cellStyle name="60% - akcent 5 2 13 2 2 7 6" xfId="12265" xr:uid="{00000000-0005-0000-0000-00002E2F0000}"/>
    <cellStyle name="60% - akcent 5 2 13 2 2 8" xfId="12266" xr:uid="{00000000-0005-0000-0000-00002F2F0000}"/>
    <cellStyle name="60% - akcent 5 2 13 2 2 9" xfId="12267" xr:uid="{00000000-0005-0000-0000-0000302F0000}"/>
    <cellStyle name="60% - akcent 5 2 13 2 3" xfId="12268" xr:uid="{00000000-0005-0000-0000-0000312F0000}"/>
    <cellStyle name="60% - akcent 5 2 13 2 3 2" xfId="12269" xr:uid="{00000000-0005-0000-0000-0000322F0000}"/>
    <cellStyle name="60% - akcent 5 2 13 2 3 2 2" xfId="12270" xr:uid="{00000000-0005-0000-0000-0000332F0000}"/>
    <cellStyle name="60% - akcent 5 2 13 2 3 2 3" xfId="12271" xr:uid="{00000000-0005-0000-0000-0000342F0000}"/>
    <cellStyle name="60% - akcent 5 2 13 2 3 2 4" xfId="12272" xr:uid="{00000000-0005-0000-0000-0000352F0000}"/>
    <cellStyle name="60% - akcent 5 2 13 2 3 2 5" xfId="12273" xr:uid="{00000000-0005-0000-0000-0000362F0000}"/>
    <cellStyle name="60% - akcent 5 2 13 2 3 2 6" xfId="12274" xr:uid="{00000000-0005-0000-0000-0000372F0000}"/>
    <cellStyle name="60% - akcent 5 2 13 2 3 3" xfId="12275" xr:uid="{00000000-0005-0000-0000-0000382F0000}"/>
    <cellStyle name="60% - akcent 5 2 13 2 3 4" xfId="12276" xr:uid="{00000000-0005-0000-0000-0000392F0000}"/>
    <cellStyle name="60% - akcent 5 2 13 2 3 5" xfId="12277" xr:uid="{00000000-0005-0000-0000-00003A2F0000}"/>
    <cellStyle name="60% - akcent 5 2 13 2 3 6" xfId="12278" xr:uid="{00000000-0005-0000-0000-00003B2F0000}"/>
    <cellStyle name="60% - akcent 5 2 13 2 3 7" xfId="12279" xr:uid="{00000000-0005-0000-0000-00003C2F0000}"/>
    <cellStyle name="60% - akcent 5 2 13 2 4" xfId="12280" xr:uid="{00000000-0005-0000-0000-00003D2F0000}"/>
    <cellStyle name="60% - akcent 5 2 13 2 5" xfId="12281" xr:uid="{00000000-0005-0000-0000-00003E2F0000}"/>
    <cellStyle name="60% - akcent 5 2 13 2 6" xfId="12282" xr:uid="{00000000-0005-0000-0000-00003F2F0000}"/>
    <cellStyle name="60% - akcent 5 2 13 2 7" xfId="12283" xr:uid="{00000000-0005-0000-0000-0000402F0000}"/>
    <cellStyle name="60% - akcent 5 2 13 2 7 2" xfId="12284" xr:uid="{00000000-0005-0000-0000-0000412F0000}"/>
    <cellStyle name="60% - akcent 5 2 13 2 7 3" xfId="12285" xr:uid="{00000000-0005-0000-0000-0000422F0000}"/>
    <cellStyle name="60% - akcent 5 2 13 2 7 4" xfId="12286" xr:uid="{00000000-0005-0000-0000-0000432F0000}"/>
    <cellStyle name="60% - akcent 5 2 13 2 7 5" xfId="12287" xr:uid="{00000000-0005-0000-0000-0000442F0000}"/>
    <cellStyle name="60% - akcent 5 2 13 2 7 6" xfId="12288" xr:uid="{00000000-0005-0000-0000-0000452F0000}"/>
    <cellStyle name="60% - akcent 5 2 13 2 8" xfId="12289" xr:uid="{00000000-0005-0000-0000-0000462F0000}"/>
    <cellStyle name="60% - akcent 5 2 13 2 9" xfId="12290" xr:uid="{00000000-0005-0000-0000-0000472F0000}"/>
    <cellStyle name="60% - akcent 5 2 13 3" xfId="12291" xr:uid="{00000000-0005-0000-0000-0000482F0000}"/>
    <cellStyle name="60% - akcent 5 2 13 3 2" xfId="12292" xr:uid="{00000000-0005-0000-0000-0000492F0000}"/>
    <cellStyle name="60% - akcent 5 2 13 3 2 2" xfId="12293" xr:uid="{00000000-0005-0000-0000-00004A2F0000}"/>
    <cellStyle name="60% - akcent 5 2 13 3 2 3" xfId="12294" xr:uid="{00000000-0005-0000-0000-00004B2F0000}"/>
    <cellStyle name="60% - akcent 5 2 13 3 2 4" xfId="12295" xr:uid="{00000000-0005-0000-0000-00004C2F0000}"/>
    <cellStyle name="60% - akcent 5 2 13 3 2 5" xfId="12296" xr:uid="{00000000-0005-0000-0000-00004D2F0000}"/>
    <cellStyle name="60% - akcent 5 2 13 3 2 6" xfId="12297" xr:uid="{00000000-0005-0000-0000-00004E2F0000}"/>
    <cellStyle name="60% - akcent 5 2 13 3 3" xfId="12298" xr:uid="{00000000-0005-0000-0000-00004F2F0000}"/>
    <cellStyle name="60% - akcent 5 2 13 3 4" xfId="12299" xr:uid="{00000000-0005-0000-0000-0000502F0000}"/>
    <cellStyle name="60% - akcent 5 2 13 3 5" xfId="12300" xr:uid="{00000000-0005-0000-0000-0000512F0000}"/>
    <cellStyle name="60% - akcent 5 2 13 3 6" xfId="12301" xr:uid="{00000000-0005-0000-0000-0000522F0000}"/>
    <cellStyle name="60% - akcent 5 2 13 3 7" xfId="12302" xr:uid="{00000000-0005-0000-0000-0000532F0000}"/>
    <cellStyle name="60% - akcent 5 2 13 4" xfId="12303" xr:uid="{00000000-0005-0000-0000-0000542F0000}"/>
    <cellStyle name="60% - akcent 5 2 13 5" xfId="12304" xr:uid="{00000000-0005-0000-0000-0000552F0000}"/>
    <cellStyle name="60% - akcent 5 2 13 6" xfId="12305" xr:uid="{00000000-0005-0000-0000-0000562F0000}"/>
    <cellStyle name="60% - akcent 5 2 13 7" xfId="12306" xr:uid="{00000000-0005-0000-0000-0000572F0000}"/>
    <cellStyle name="60% - akcent 5 2 13 8" xfId="12307" xr:uid="{00000000-0005-0000-0000-0000582F0000}"/>
    <cellStyle name="60% - akcent 5 2 13 8 2" xfId="12308" xr:uid="{00000000-0005-0000-0000-0000592F0000}"/>
    <cellStyle name="60% - akcent 5 2 13 8 3" xfId="12309" xr:uid="{00000000-0005-0000-0000-00005A2F0000}"/>
    <cellStyle name="60% - akcent 5 2 13 8 4" xfId="12310" xr:uid="{00000000-0005-0000-0000-00005B2F0000}"/>
    <cellStyle name="60% - akcent 5 2 13 8 5" xfId="12311" xr:uid="{00000000-0005-0000-0000-00005C2F0000}"/>
    <cellStyle name="60% - akcent 5 2 13 8 6" xfId="12312" xr:uid="{00000000-0005-0000-0000-00005D2F0000}"/>
    <cellStyle name="60% - akcent 5 2 13 9" xfId="12313" xr:uid="{00000000-0005-0000-0000-00005E2F0000}"/>
    <cellStyle name="60% - akcent 5 2 14" xfId="12314" xr:uid="{00000000-0005-0000-0000-00005F2F0000}"/>
    <cellStyle name="60% - akcent 5 2 14 10" xfId="12315" xr:uid="{00000000-0005-0000-0000-0000602F0000}"/>
    <cellStyle name="60% - akcent 5 2 14 11" xfId="12316" xr:uid="{00000000-0005-0000-0000-0000612F0000}"/>
    <cellStyle name="60% - akcent 5 2 14 2" xfId="12317" xr:uid="{00000000-0005-0000-0000-0000622F0000}"/>
    <cellStyle name="60% - akcent 5 2 14 2 2" xfId="12318" xr:uid="{00000000-0005-0000-0000-0000632F0000}"/>
    <cellStyle name="60% - akcent 5 2 14 2 2 2" xfId="12319" xr:uid="{00000000-0005-0000-0000-0000642F0000}"/>
    <cellStyle name="60% - akcent 5 2 14 2 2 3" xfId="12320" xr:uid="{00000000-0005-0000-0000-0000652F0000}"/>
    <cellStyle name="60% - akcent 5 2 14 2 2 4" xfId="12321" xr:uid="{00000000-0005-0000-0000-0000662F0000}"/>
    <cellStyle name="60% - akcent 5 2 14 2 2 5" xfId="12322" xr:uid="{00000000-0005-0000-0000-0000672F0000}"/>
    <cellStyle name="60% - akcent 5 2 14 2 2 6" xfId="12323" xr:uid="{00000000-0005-0000-0000-0000682F0000}"/>
    <cellStyle name="60% - akcent 5 2 14 2 3" xfId="12324" xr:uid="{00000000-0005-0000-0000-0000692F0000}"/>
    <cellStyle name="60% - akcent 5 2 14 2 4" xfId="12325" xr:uid="{00000000-0005-0000-0000-00006A2F0000}"/>
    <cellStyle name="60% - akcent 5 2 14 2 5" xfId="12326" xr:uid="{00000000-0005-0000-0000-00006B2F0000}"/>
    <cellStyle name="60% - akcent 5 2 14 2 6" xfId="12327" xr:uid="{00000000-0005-0000-0000-00006C2F0000}"/>
    <cellStyle name="60% - akcent 5 2 14 2 7" xfId="12328" xr:uid="{00000000-0005-0000-0000-00006D2F0000}"/>
    <cellStyle name="60% - akcent 5 2 14 3" xfId="12329" xr:uid="{00000000-0005-0000-0000-00006E2F0000}"/>
    <cellStyle name="60% - akcent 5 2 14 4" xfId="12330" xr:uid="{00000000-0005-0000-0000-00006F2F0000}"/>
    <cellStyle name="60% - akcent 5 2 14 5" xfId="12331" xr:uid="{00000000-0005-0000-0000-0000702F0000}"/>
    <cellStyle name="60% - akcent 5 2 14 6" xfId="12332" xr:uid="{00000000-0005-0000-0000-0000712F0000}"/>
    <cellStyle name="60% - akcent 5 2 14 7" xfId="12333" xr:uid="{00000000-0005-0000-0000-0000722F0000}"/>
    <cellStyle name="60% - akcent 5 2 14 7 2" xfId="12334" xr:uid="{00000000-0005-0000-0000-0000732F0000}"/>
    <cellStyle name="60% - akcent 5 2 14 7 3" xfId="12335" xr:uid="{00000000-0005-0000-0000-0000742F0000}"/>
    <cellStyle name="60% - akcent 5 2 14 7 4" xfId="12336" xr:uid="{00000000-0005-0000-0000-0000752F0000}"/>
    <cellStyle name="60% - akcent 5 2 14 7 5" xfId="12337" xr:uid="{00000000-0005-0000-0000-0000762F0000}"/>
    <cellStyle name="60% - akcent 5 2 14 7 6" xfId="12338" xr:uid="{00000000-0005-0000-0000-0000772F0000}"/>
    <cellStyle name="60% - akcent 5 2 14 8" xfId="12339" xr:uid="{00000000-0005-0000-0000-0000782F0000}"/>
    <cellStyle name="60% - akcent 5 2 14 9" xfId="12340" xr:uid="{00000000-0005-0000-0000-0000792F0000}"/>
    <cellStyle name="60% - akcent 5 2 15" xfId="12341" xr:uid="{00000000-0005-0000-0000-00007A2F0000}"/>
    <cellStyle name="60% - akcent 5 2 15 2" xfId="12342" xr:uid="{00000000-0005-0000-0000-00007B2F0000}"/>
    <cellStyle name="60% - akcent 5 2 15 2 2" xfId="12343" xr:uid="{00000000-0005-0000-0000-00007C2F0000}"/>
    <cellStyle name="60% - akcent 5 2 15 2 3" xfId="12344" xr:uid="{00000000-0005-0000-0000-00007D2F0000}"/>
    <cellStyle name="60% - akcent 5 2 15 2 4" xfId="12345" xr:uid="{00000000-0005-0000-0000-00007E2F0000}"/>
    <cellStyle name="60% - akcent 5 2 15 2 5" xfId="12346" xr:uid="{00000000-0005-0000-0000-00007F2F0000}"/>
    <cellStyle name="60% - akcent 5 2 15 2 6" xfId="12347" xr:uid="{00000000-0005-0000-0000-0000802F0000}"/>
    <cellStyle name="60% - akcent 5 2 15 3" xfId="12348" xr:uid="{00000000-0005-0000-0000-0000812F0000}"/>
    <cellStyle name="60% - akcent 5 2 15 4" xfId="12349" xr:uid="{00000000-0005-0000-0000-0000822F0000}"/>
    <cellStyle name="60% - akcent 5 2 15 5" xfId="12350" xr:uid="{00000000-0005-0000-0000-0000832F0000}"/>
    <cellStyle name="60% - akcent 5 2 15 6" xfId="12351" xr:uid="{00000000-0005-0000-0000-0000842F0000}"/>
    <cellStyle name="60% - akcent 5 2 15 7" xfId="12352" xr:uid="{00000000-0005-0000-0000-0000852F0000}"/>
    <cellStyle name="60% - akcent 5 2 16" xfId="12353" xr:uid="{00000000-0005-0000-0000-0000862F0000}"/>
    <cellStyle name="60% - akcent 5 2 17" xfId="12354" xr:uid="{00000000-0005-0000-0000-0000872F0000}"/>
    <cellStyle name="60% - akcent 5 2 18" xfId="12355" xr:uid="{00000000-0005-0000-0000-0000882F0000}"/>
    <cellStyle name="60% - akcent 5 2 19" xfId="12356" xr:uid="{00000000-0005-0000-0000-0000892F0000}"/>
    <cellStyle name="60% - akcent 5 2 2" xfId="12357" xr:uid="{00000000-0005-0000-0000-00008A2F0000}"/>
    <cellStyle name="60% - akcent 5 2 20" xfId="12358" xr:uid="{00000000-0005-0000-0000-00008B2F0000}"/>
    <cellStyle name="60% - akcent 5 2 21" xfId="12359" xr:uid="{00000000-0005-0000-0000-00008C2F0000}"/>
    <cellStyle name="60% - akcent 5 2 21 2" xfId="12360" xr:uid="{00000000-0005-0000-0000-00008D2F0000}"/>
    <cellStyle name="60% - akcent 5 2 21 3" xfId="12361" xr:uid="{00000000-0005-0000-0000-00008E2F0000}"/>
    <cellStyle name="60% - akcent 5 2 21 4" xfId="12362" xr:uid="{00000000-0005-0000-0000-00008F2F0000}"/>
    <cellStyle name="60% - akcent 5 2 21 5" xfId="12363" xr:uid="{00000000-0005-0000-0000-0000902F0000}"/>
    <cellStyle name="60% - akcent 5 2 21 6" xfId="12364" xr:uid="{00000000-0005-0000-0000-0000912F0000}"/>
    <cellStyle name="60% - akcent 5 2 22" xfId="12365" xr:uid="{00000000-0005-0000-0000-0000922F0000}"/>
    <cellStyle name="60% - akcent 5 2 23" xfId="12366" xr:uid="{00000000-0005-0000-0000-0000932F0000}"/>
    <cellStyle name="60% - akcent 5 2 24" xfId="12367" xr:uid="{00000000-0005-0000-0000-0000942F0000}"/>
    <cellStyle name="60% - akcent 5 2 25" xfId="12368" xr:uid="{00000000-0005-0000-0000-0000952F0000}"/>
    <cellStyle name="60% - akcent 5 2 26" xfId="12369" xr:uid="{00000000-0005-0000-0000-0000962F0000}"/>
    <cellStyle name="60% - akcent 5 2 27" xfId="12370" xr:uid="{00000000-0005-0000-0000-0000972F0000}"/>
    <cellStyle name="60% - akcent 5 2 28" xfId="12371" xr:uid="{00000000-0005-0000-0000-0000982F0000}"/>
    <cellStyle name="60% - akcent 5 2 29" xfId="12372" xr:uid="{00000000-0005-0000-0000-0000992F0000}"/>
    <cellStyle name="60% - akcent 5 2 3" xfId="12373" xr:uid="{00000000-0005-0000-0000-00009A2F0000}"/>
    <cellStyle name="60% - akcent 5 2 30" xfId="12374" xr:uid="{00000000-0005-0000-0000-00009B2F0000}"/>
    <cellStyle name="60% - akcent 5 2 31" xfId="12375" xr:uid="{00000000-0005-0000-0000-00009C2F0000}"/>
    <cellStyle name="60% - akcent 5 2 32" xfId="12230" xr:uid="{00000000-0005-0000-0000-00009D2F0000}"/>
    <cellStyle name="60% - akcent 5 2 33" xfId="37833" xr:uid="{00000000-0005-0000-0000-00009E2F0000}"/>
    <cellStyle name="60% - akcent 5 2 4" xfId="12376" xr:uid="{00000000-0005-0000-0000-00009F2F0000}"/>
    <cellStyle name="60% - akcent 5 2 5" xfId="12377" xr:uid="{00000000-0005-0000-0000-0000A02F0000}"/>
    <cellStyle name="60% - akcent 5 2 6" xfId="12378" xr:uid="{00000000-0005-0000-0000-0000A12F0000}"/>
    <cellStyle name="60% - akcent 5 2 6 10" xfId="12379" xr:uid="{00000000-0005-0000-0000-0000A22F0000}"/>
    <cellStyle name="60% - akcent 5 2 6 11" xfId="12380" xr:uid="{00000000-0005-0000-0000-0000A32F0000}"/>
    <cellStyle name="60% - akcent 5 2 6 12" xfId="12381" xr:uid="{00000000-0005-0000-0000-0000A42F0000}"/>
    <cellStyle name="60% - akcent 5 2 6 13" xfId="12382" xr:uid="{00000000-0005-0000-0000-0000A52F0000}"/>
    <cellStyle name="60% - akcent 5 2 6 2" xfId="12383" xr:uid="{00000000-0005-0000-0000-0000A62F0000}"/>
    <cellStyle name="60% - akcent 5 2 6 2 10" xfId="12384" xr:uid="{00000000-0005-0000-0000-0000A72F0000}"/>
    <cellStyle name="60% - akcent 5 2 6 2 11" xfId="12385" xr:uid="{00000000-0005-0000-0000-0000A82F0000}"/>
    <cellStyle name="60% - akcent 5 2 6 2 12" xfId="12386" xr:uid="{00000000-0005-0000-0000-0000A92F0000}"/>
    <cellStyle name="60% - akcent 5 2 6 2 2" xfId="12387" xr:uid="{00000000-0005-0000-0000-0000AA2F0000}"/>
    <cellStyle name="60% - akcent 5 2 6 2 2 10" xfId="12388" xr:uid="{00000000-0005-0000-0000-0000AB2F0000}"/>
    <cellStyle name="60% - akcent 5 2 6 2 2 11" xfId="12389" xr:uid="{00000000-0005-0000-0000-0000AC2F0000}"/>
    <cellStyle name="60% - akcent 5 2 6 2 2 2" xfId="12390" xr:uid="{00000000-0005-0000-0000-0000AD2F0000}"/>
    <cellStyle name="60% - akcent 5 2 6 2 2 2 10" xfId="12391" xr:uid="{00000000-0005-0000-0000-0000AE2F0000}"/>
    <cellStyle name="60% - akcent 5 2 6 2 2 2 11" xfId="12392" xr:uid="{00000000-0005-0000-0000-0000AF2F0000}"/>
    <cellStyle name="60% - akcent 5 2 6 2 2 2 2" xfId="12393" xr:uid="{00000000-0005-0000-0000-0000B02F0000}"/>
    <cellStyle name="60% - akcent 5 2 6 2 2 2 2 2" xfId="12394" xr:uid="{00000000-0005-0000-0000-0000B12F0000}"/>
    <cellStyle name="60% - akcent 5 2 6 2 2 2 2 2 2" xfId="12395" xr:uid="{00000000-0005-0000-0000-0000B22F0000}"/>
    <cellStyle name="60% - akcent 5 2 6 2 2 2 2 2 3" xfId="12396" xr:uid="{00000000-0005-0000-0000-0000B32F0000}"/>
    <cellStyle name="60% - akcent 5 2 6 2 2 2 2 2 4" xfId="12397" xr:uid="{00000000-0005-0000-0000-0000B42F0000}"/>
    <cellStyle name="60% - akcent 5 2 6 2 2 2 2 2 5" xfId="12398" xr:uid="{00000000-0005-0000-0000-0000B52F0000}"/>
    <cellStyle name="60% - akcent 5 2 6 2 2 2 2 2 6" xfId="12399" xr:uid="{00000000-0005-0000-0000-0000B62F0000}"/>
    <cellStyle name="60% - akcent 5 2 6 2 2 2 2 3" xfId="12400" xr:uid="{00000000-0005-0000-0000-0000B72F0000}"/>
    <cellStyle name="60% - akcent 5 2 6 2 2 2 2 4" xfId="12401" xr:uid="{00000000-0005-0000-0000-0000B82F0000}"/>
    <cellStyle name="60% - akcent 5 2 6 2 2 2 2 5" xfId="12402" xr:uid="{00000000-0005-0000-0000-0000B92F0000}"/>
    <cellStyle name="60% - akcent 5 2 6 2 2 2 2 6" xfId="12403" xr:uid="{00000000-0005-0000-0000-0000BA2F0000}"/>
    <cellStyle name="60% - akcent 5 2 6 2 2 2 2 7" xfId="12404" xr:uid="{00000000-0005-0000-0000-0000BB2F0000}"/>
    <cellStyle name="60% - akcent 5 2 6 2 2 2 3" xfId="12405" xr:uid="{00000000-0005-0000-0000-0000BC2F0000}"/>
    <cellStyle name="60% - akcent 5 2 6 2 2 2 4" xfId="12406" xr:uid="{00000000-0005-0000-0000-0000BD2F0000}"/>
    <cellStyle name="60% - akcent 5 2 6 2 2 2 5" xfId="12407" xr:uid="{00000000-0005-0000-0000-0000BE2F0000}"/>
    <cellStyle name="60% - akcent 5 2 6 2 2 2 6" xfId="12408" xr:uid="{00000000-0005-0000-0000-0000BF2F0000}"/>
    <cellStyle name="60% - akcent 5 2 6 2 2 2 7" xfId="12409" xr:uid="{00000000-0005-0000-0000-0000C02F0000}"/>
    <cellStyle name="60% - akcent 5 2 6 2 2 2 7 2" xfId="12410" xr:uid="{00000000-0005-0000-0000-0000C12F0000}"/>
    <cellStyle name="60% - akcent 5 2 6 2 2 2 7 3" xfId="12411" xr:uid="{00000000-0005-0000-0000-0000C22F0000}"/>
    <cellStyle name="60% - akcent 5 2 6 2 2 2 7 4" xfId="12412" xr:uid="{00000000-0005-0000-0000-0000C32F0000}"/>
    <cellStyle name="60% - akcent 5 2 6 2 2 2 7 5" xfId="12413" xr:uid="{00000000-0005-0000-0000-0000C42F0000}"/>
    <cellStyle name="60% - akcent 5 2 6 2 2 2 7 6" xfId="12414" xr:uid="{00000000-0005-0000-0000-0000C52F0000}"/>
    <cellStyle name="60% - akcent 5 2 6 2 2 2 8" xfId="12415" xr:uid="{00000000-0005-0000-0000-0000C62F0000}"/>
    <cellStyle name="60% - akcent 5 2 6 2 2 2 9" xfId="12416" xr:uid="{00000000-0005-0000-0000-0000C72F0000}"/>
    <cellStyle name="60% - akcent 5 2 6 2 2 3" xfId="12417" xr:uid="{00000000-0005-0000-0000-0000C82F0000}"/>
    <cellStyle name="60% - akcent 5 2 6 2 2 3 2" xfId="12418" xr:uid="{00000000-0005-0000-0000-0000C92F0000}"/>
    <cellStyle name="60% - akcent 5 2 6 2 2 3 2 2" xfId="12419" xr:uid="{00000000-0005-0000-0000-0000CA2F0000}"/>
    <cellStyle name="60% - akcent 5 2 6 2 2 3 2 3" xfId="12420" xr:uid="{00000000-0005-0000-0000-0000CB2F0000}"/>
    <cellStyle name="60% - akcent 5 2 6 2 2 3 2 4" xfId="12421" xr:uid="{00000000-0005-0000-0000-0000CC2F0000}"/>
    <cellStyle name="60% - akcent 5 2 6 2 2 3 2 5" xfId="12422" xr:uid="{00000000-0005-0000-0000-0000CD2F0000}"/>
    <cellStyle name="60% - akcent 5 2 6 2 2 3 2 6" xfId="12423" xr:uid="{00000000-0005-0000-0000-0000CE2F0000}"/>
    <cellStyle name="60% - akcent 5 2 6 2 2 3 3" xfId="12424" xr:uid="{00000000-0005-0000-0000-0000CF2F0000}"/>
    <cellStyle name="60% - akcent 5 2 6 2 2 3 4" xfId="12425" xr:uid="{00000000-0005-0000-0000-0000D02F0000}"/>
    <cellStyle name="60% - akcent 5 2 6 2 2 3 5" xfId="12426" xr:uid="{00000000-0005-0000-0000-0000D12F0000}"/>
    <cellStyle name="60% - akcent 5 2 6 2 2 3 6" xfId="12427" xr:uid="{00000000-0005-0000-0000-0000D22F0000}"/>
    <cellStyle name="60% - akcent 5 2 6 2 2 3 7" xfId="12428" xr:uid="{00000000-0005-0000-0000-0000D32F0000}"/>
    <cellStyle name="60% - akcent 5 2 6 2 2 4" xfId="12429" xr:uid="{00000000-0005-0000-0000-0000D42F0000}"/>
    <cellStyle name="60% - akcent 5 2 6 2 2 5" xfId="12430" xr:uid="{00000000-0005-0000-0000-0000D52F0000}"/>
    <cellStyle name="60% - akcent 5 2 6 2 2 6" xfId="12431" xr:uid="{00000000-0005-0000-0000-0000D62F0000}"/>
    <cellStyle name="60% - akcent 5 2 6 2 2 7" xfId="12432" xr:uid="{00000000-0005-0000-0000-0000D72F0000}"/>
    <cellStyle name="60% - akcent 5 2 6 2 2 7 2" xfId="12433" xr:uid="{00000000-0005-0000-0000-0000D82F0000}"/>
    <cellStyle name="60% - akcent 5 2 6 2 2 7 3" xfId="12434" xr:uid="{00000000-0005-0000-0000-0000D92F0000}"/>
    <cellStyle name="60% - akcent 5 2 6 2 2 7 4" xfId="12435" xr:uid="{00000000-0005-0000-0000-0000DA2F0000}"/>
    <cellStyle name="60% - akcent 5 2 6 2 2 7 5" xfId="12436" xr:uid="{00000000-0005-0000-0000-0000DB2F0000}"/>
    <cellStyle name="60% - akcent 5 2 6 2 2 7 6" xfId="12437" xr:uid="{00000000-0005-0000-0000-0000DC2F0000}"/>
    <cellStyle name="60% - akcent 5 2 6 2 2 8" xfId="12438" xr:uid="{00000000-0005-0000-0000-0000DD2F0000}"/>
    <cellStyle name="60% - akcent 5 2 6 2 2 9" xfId="12439" xr:uid="{00000000-0005-0000-0000-0000DE2F0000}"/>
    <cellStyle name="60% - akcent 5 2 6 2 3" xfId="12440" xr:uid="{00000000-0005-0000-0000-0000DF2F0000}"/>
    <cellStyle name="60% - akcent 5 2 6 2 3 2" xfId="12441" xr:uid="{00000000-0005-0000-0000-0000E02F0000}"/>
    <cellStyle name="60% - akcent 5 2 6 2 3 2 2" xfId="12442" xr:uid="{00000000-0005-0000-0000-0000E12F0000}"/>
    <cellStyle name="60% - akcent 5 2 6 2 3 2 3" xfId="12443" xr:uid="{00000000-0005-0000-0000-0000E22F0000}"/>
    <cellStyle name="60% - akcent 5 2 6 2 3 2 4" xfId="12444" xr:uid="{00000000-0005-0000-0000-0000E32F0000}"/>
    <cellStyle name="60% - akcent 5 2 6 2 3 2 5" xfId="12445" xr:uid="{00000000-0005-0000-0000-0000E42F0000}"/>
    <cellStyle name="60% - akcent 5 2 6 2 3 2 6" xfId="12446" xr:uid="{00000000-0005-0000-0000-0000E52F0000}"/>
    <cellStyle name="60% - akcent 5 2 6 2 3 3" xfId="12447" xr:uid="{00000000-0005-0000-0000-0000E62F0000}"/>
    <cellStyle name="60% - akcent 5 2 6 2 3 4" xfId="12448" xr:uid="{00000000-0005-0000-0000-0000E72F0000}"/>
    <cellStyle name="60% - akcent 5 2 6 2 3 5" xfId="12449" xr:uid="{00000000-0005-0000-0000-0000E82F0000}"/>
    <cellStyle name="60% - akcent 5 2 6 2 3 6" xfId="12450" xr:uid="{00000000-0005-0000-0000-0000E92F0000}"/>
    <cellStyle name="60% - akcent 5 2 6 2 3 7" xfId="12451" xr:uid="{00000000-0005-0000-0000-0000EA2F0000}"/>
    <cellStyle name="60% - akcent 5 2 6 2 4" xfId="12452" xr:uid="{00000000-0005-0000-0000-0000EB2F0000}"/>
    <cellStyle name="60% - akcent 5 2 6 2 5" xfId="12453" xr:uid="{00000000-0005-0000-0000-0000EC2F0000}"/>
    <cellStyle name="60% - akcent 5 2 6 2 6" xfId="12454" xr:uid="{00000000-0005-0000-0000-0000ED2F0000}"/>
    <cellStyle name="60% - akcent 5 2 6 2 7" xfId="12455" xr:uid="{00000000-0005-0000-0000-0000EE2F0000}"/>
    <cellStyle name="60% - akcent 5 2 6 2 8" xfId="12456" xr:uid="{00000000-0005-0000-0000-0000EF2F0000}"/>
    <cellStyle name="60% - akcent 5 2 6 2 8 2" xfId="12457" xr:uid="{00000000-0005-0000-0000-0000F02F0000}"/>
    <cellStyle name="60% - akcent 5 2 6 2 8 3" xfId="12458" xr:uid="{00000000-0005-0000-0000-0000F12F0000}"/>
    <cellStyle name="60% - akcent 5 2 6 2 8 4" xfId="12459" xr:uid="{00000000-0005-0000-0000-0000F22F0000}"/>
    <cellStyle name="60% - akcent 5 2 6 2 8 5" xfId="12460" xr:uid="{00000000-0005-0000-0000-0000F32F0000}"/>
    <cellStyle name="60% - akcent 5 2 6 2 8 6" xfId="12461" xr:uid="{00000000-0005-0000-0000-0000F42F0000}"/>
    <cellStyle name="60% - akcent 5 2 6 2 9" xfId="12462" xr:uid="{00000000-0005-0000-0000-0000F52F0000}"/>
    <cellStyle name="60% - akcent 5 2 6 3" xfId="12463" xr:uid="{00000000-0005-0000-0000-0000F62F0000}"/>
    <cellStyle name="60% - akcent 5 2 6 4" xfId="12464" xr:uid="{00000000-0005-0000-0000-0000F72F0000}"/>
    <cellStyle name="60% - akcent 5 2 6 4 10" xfId="12465" xr:uid="{00000000-0005-0000-0000-0000F82F0000}"/>
    <cellStyle name="60% - akcent 5 2 6 4 11" xfId="12466" xr:uid="{00000000-0005-0000-0000-0000F92F0000}"/>
    <cellStyle name="60% - akcent 5 2 6 4 2" xfId="12467" xr:uid="{00000000-0005-0000-0000-0000FA2F0000}"/>
    <cellStyle name="60% - akcent 5 2 6 4 2 2" xfId="12468" xr:uid="{00000000-0005-0000-0000-0000FB2F0000}"/>
    <cellStyle name="60% - akcent 5 2 6 4 2 2 2" xfId="12469" xr:uid="{00000000-0005-0000-0000-0000FC2F0000}"/>
    <cellStyle name="60% - akcent 5 2 6 4 2 2 3" xfId="12470" xr:uid="{00000000-0005-0000-0000-0000FD2F0000}"/>
    <cellStyle name="60% - akcent 5 2 6 4 2 2 4" xfId="12471" xr:uid="{00000000-0005-0000-0000-0000FE2F0000}"/>
    <cellStyle name="60% - akcent 5 2 6 4 2 2 5" xfId="12472" xr:uid="{00000000-0005-0000-0000-0000FF2F0000}"/>
    <cellStyle name="60% - akcent 5 2 6 4 2 2 6" xfId="12473" xr:uid="{00000000-0005-0000-0000-000000300000}"/>
    <cellStyle name="60% - akcent 5 2 6 4 2 3" xfId="12474" xr:uid="{00000000-0005-0000-0000-000001300000}"/>
    <cellStyle name="60% - akcent 5 2 6 4 2 4" xfId="12475" xr:uid="{00000000-0005-0000-0000-000002300000}"/>
    <cellStyle name="60% - akcent 5 2 6 4 2 5" xfId="12476" xr:uid="{00000000-0005-0000-0000-000003300000}"/>
    <cellStyle name="60% - akcent 5 2 6 4 2 6" xfId="12477" xr:uid="{00000000-0005-0000-0000-000004300000}"/>
    <cellStyle name="60% - akcent 5 2 6 4 2 7" xfId="12478" xr:uid="{00000000-0005-0000-0000-000005300000}"/>
    <cellStyle name="60% - akcent 5 2 6 4 3" xfId="12479" xr:uid="{00000000-0005-0000-0000-000006300000}"/>
    <cellStyle name="60% - akcent 5 2 6 4 4" xfId="12480" xr:uid="{00000000-0005-0000-0000-000007300000}"/>
    <cellStyle name="60% - akcent 5 2 6 4 5" xfId="12481" xr:uid="{00000000-0005-0000-0000-000008300000}"/>
    <cellStyle name="60% - akcent 5 2 6 4 6" xfId="12482" xr:uid="{00000000-0005-0000-0000-000009300000}"/>
    <cellStyle name="60% - akcent 5 2 6 4 7" xfId="12483" xr:uid="{00000000-0005-0000-0000-00000A300000}"/>
    <cellStyle name="60% - akcent 5 2 6 4 7 2" xfId="12484" xr:uid="{00000000-0005-0000-0000-00000B300000}"/>
    <cellStyle name="60% - akcent 5 2 6 4 7 3" xfId="12485" xr:uid="{00000000-0005-0000-0000-00000C300000}"/>
    <cellStyle name="60% - akcent 5 2 6 4 7 4" xfId="12486" xr:uid="{00000000-0005-0000-0000-00000D300000}"/>
    <cellStyle name="60% - akcent 5 2 6 4 7 5" xfId="12487" xr:uid="{00000000-0005-0000-0000-00000E300000}"/>
    <cellStyle name="60% - akcent 5 2 6 4 7 6" xfId="12488" xr:uid="{00000000-0005-0000-0000-00000F300000}"/>
    <cellStyle name="60% - akcent 5 2 6 4 8" xfId="12489" xr:uid="{00000000-0005-0000-0000-000010300000}"/>
    <cellStyle name="60% - akcent 5 2 6 4 9" xfId="12490" xr:uid="{00000000-0005-0000-0000-000011300000}"/>
    <cellStyle name="60% - akcent 5 2 6 5" xfId="12491" xr:uid="{00000000-0005-0000-0000-000012300000}"/>
    <cellStyle name="60% - akcent 5 2 6 5 2" xfId="12492" xr:uid="{00000000-0005-0000-0000-000013300000}"/>
    <cellStyle name="60% - akcent 5 2 6 5 2 2" xfId="12493" xr:uid="{00000000-0005-0000-0000-000014300000}"/>
    <cellStyle name="60% - akcent 5 2 6 5 2 3" xfId="12494" xr:uid="{00000000-0005-0000-0000-000015300000}"/>
    <cellStyle name="60% - akcent 5 2 6 5 2 4" xfId="12495" xr:uid="{00000000-0005-0000-0000-000016300000}"/>
    <cellStyle name="60% - akcent 5 2 6 5 2 5" xfId="12496" xr:uid="{00000000-0005-0000-0000-000017300000}"/>
    <cellStyle name="60% - akcent 5 2 6 5 2 6" xfId="12497" xr:uid="{00000000-0005-0000-0000-000018300000}"/>
    <cellStyle name="60% - akcent 5 2 6 5 3" xfId="12498" xr:uid="{00000000-0005-0000-0000-000019300000}"/>
    <cellStyle name="60% - akcent 5 2 6 5 4" xfId="12499" xr:uid="{00000000-0005-0000-0000-00001A300000}"/>
    <cellStyle name="60% - akcent 5 2 6 5 5" xfId="12500" xr:uid="{00000000-0005-0000-0000-00001B300000}"/>
    <cellStyle name="60% - akcent 5 2 6 5 6" xfId="12501" xr:uid="{00000000-0005-0000-0000-00001C300000}"/>
    <cellStyle name="60% - akcent 5 2 6 5 7" xfId="12502" xr:uid="{00000000-0005-0000-0000-00001D300000}"/>
    <cellStyle name="60% - akcent 5 2 6 6" xfId="12503" xr:uid="{00000000-0005-0000-0000-00001E300000}"/>
    <cellStyle name="60% - akcent 5 2 6 7" xfId="12504" xr:uid="{00000000-0005-0000-0000-00001F300000}"/>
    <cellStyle name="60% - akcent 5 2 6 8" xfId="12505" xr:uid="{00000000-0005-0000-0000-000020300000}"/>
    <cellStyle name="60% - akcent 5 2 6 9" xfId="12506" xr:uid="{00000000-0005-0000-0000-000021300000}"/>
    <cellStyle name="60% - akcent 5 2 6 9 2" xfId="12507" xr:uid="{00000000-0005-0000-0000-000022300000}"/>
    <cellStyle name="60% - akcent 5 2 6 9 3" xfId="12508" xr:uid="{00000000-0005-0000-0000-000023300000}"/>
    <cellStyle name="60% - akcent 5 2 6 9 4" xfId="12509" xr:uid="{00000000-0005-0000-0000-000024300000}"/>
    <cellStyle name="60% - akcent 5 2 6 9 5" xfId="12510" xr:uid="{00000000-0005-0000-0000-000025300000}"/>
    <cellStyle name="60% - akcent 5 2 6 9 6" xfId="12511" xr:uid="{00000000-0005-0000-0000-000026300000}"/>
    <cellStyle name="60% - akcent 5 2 7" xfId="12512" xr:uid="{00000000-0005-0000-0000-000027300000}"/>
    <cellStyle name="60% - akcent 5 2 8" xfId="12513" xr:uid="{00000000-0005-0000-0000-000028300000}"/>
    <cellStyle name="60% - akcent 5 2 9" xfId="12514" xr:uid="{00000000-0005-0000-0000-000029300000}"/>
    <cellStyle name="60% - akcent 5 3" xfId="184" xr:uid="{00000000-0005-0000-0000-00002A300000}"/>
    <cellStyle name="60% - akcent 5 3 2" xfId="12516" xr:uid="{00000000-0005-0000-0000-00002B300000}"/>
    <cellStyle name="60% - akcent 5 3 3" xfId="12517" xr:uid="{00000000-0005-0000-0000-00002C300000}"/>
    <cellStyle name="60% - akcent 5 3 4" xfId="12518" xr:uid="{00000000-0005-0000-0000-00002D300000}"/>
    <cellStyle name="60% - akcent 5 3 5" xfId="12515" xr:uid="{00000000-0005-0000-0000-00002E300000}"/>
    <cellStyle name="60% - akcent 5 4" xfId="185" xr:uid="{00000000-0005-0000-0000-00002F300000}"/>
    <cellStyle name="60% - akcent 5 4 2" xfId="12520" xr:uid="{00000000-0005-0000-0000-000030300000}"/>
    <cellStyle name="60% - akcent 5 4 3" xfId="12521" xr:uid="{00000000-0005-0000-0000-000031300000}"/>
    <cellStyle name="60% - akcent 5 4 4" xfId="12522" xr:uid="{00000000-0005-0000-0000-000032300000}"/>
    <cellStyle name="60% - akcent 5 4 5" xfId="12519" xr:uid="{00000000-0005-0000-0000-000033300000}"/>
    <cellStyle name="60% - akcent 5 5" xfId="186" xr:uid="{00000000-0005-0000-0000-000034300000}"/>
    <cellStyle name="60% - akcent 5 5 2" xfId="12524" xr:uid="{00000000-0005-0000-0000-000035300000}"/>
    <cellStyle name="60% - akcent 5 5 3" xfId="12525" xr:uid="{00000000-0005-0000-0000-000036300000}"/>
    <cellStyle name="60% - akcent 5 5 4" xfId="12526" xr:uid="{00000000-0005-0000-0000-000037300000}"/>
    <cellStyle name="60% - akcent 5 5 5" xfId="12523" xr:uid="{00000000-0005-0000-0000-000038300000}"/>
    <cellStyle name="60% - akcent 5 6" xfId="187" xr:uid="{00000000-0005-0000-0000-000039300000}"/>
    <cellStyle name="60% - akcent 5 6 2" xfId="12528" xr:uid="{00000000-0005-0000-0000-00003A300000}"/>
    <cellStyle name="60% - akcent 5 6 3" xfId="12529" xr:uid="{00000000-0005-0000-0000-00003B300000}"/>
    <cellStyle name="60% - akcent 5 6 4" xfId="12530" xr:uid="{00000000-0005-0000-0000-00003C300000}"/>
    <cellStyle name="60% - akcent 5 6 5" xfId="12527" xr:uid="{00000000-0005-0000-0000-00003D300000}"/>
    <cellStyle name="60% - akcent 5 7" xfId="188" xr:uid="{00000000-0005-0000-0000-00003E300000}"/>
    <cellStyle name="60% - akcent 5 7 2" xfId="12532" xr:uid="{00000000-0005-0000-0000-00003F300000}"/>
    <cellStyle name="60% - akcent 5 7 3" xfId="12533" xr:uid="{00000000-0005-0000-0000-000040300000}"/>
    <cellStyle name="60% - akcent 5 7 4" xfId="12534" xr:uid="{00000000-0005-0000-0000-000041300000}"/>
    <cellStyle name="60% - akcent 5 7 5" xfId="12531" xr:uid="{00000000-0005-0000-0000-000042300000}"/>
    <cellStyle name="60% - akcent 5 8" xfId="12535" xr:uid="{00000000-0005-0000-0000-000043300000}"/>
    <cellStyle name="60% - akcent 5 8 2" xfId="12536" xr:uid="{00000000-0005-0000-0000-000044300000}"/>
    <cellStyle name="60% - akcent 5 8 3" xfId="12537" xr:uid="{00000000-0005-0000-0000-000045300000}"/>
    <cellStyle name="60% - akcent 5 8 4" xfId="12538" xr:uid="{00000000-0005-0000-0000-000046300000}"/>
    <cellStyle name="60% - akcent 5 9" xfId="12539" xr:uid="{00000000-0005-0000-0000-000047300000}"/>
    <cellStyle name="60% - akcent 6 1" xfId="12540" xr:uid="{00000000-0005-0000-0000-000048300000}"/>
    <cellStyle name="60% - akcent 6 10" xfId="12541" xr:uid="{00000000-0005-0000-0000-000049300000}"/>
    <cellStyle name="60% - akcent 6 11" xfId="12542" xr:uid="{00000000-0005-0000-0000-00004A300000}"/>
    <cellStyle name="60% - akcent 6 12" xfId="12543" xr:uid="{00000000-0005-0000-0000-00004B300000}"/>
    <cellStyle name="60% - akcent 6 13" xfId="12544" xr:uid="{00000000-0005-0000-0000-00004C300000}"/>
    <cellStyle name="60% - akcent 6 14" xfId="12545" xr:uid="{00000000-0005-0000-0000-00004D300000}"/>
    <cellStyle name="60% - akcent 6 15" xfId="12546" xr:uid="{00000000-0005-0000-0000-00004E300000}"/>
    <cellStyle name="60% - akcent 6 16" xfId="12547" xr:uid="{00000000-0005-0000-0000-00004F300000}"/>
    <cellStyle name="60% - akcent 6 17" xfId="12548" xr:uid="{00000000-0005-0000-0000-000050300000}"/>
    <cellStyle name="60% - akcent 6 18" xfId="12549" xr:uid="{00000000-0005-0000-0000-000051300000}"/>
    <cellStyle name="60% - akcent 6 19" xfId="12550" xr:uid="{00000000-0005-0000-0000-000052300000}"/>
    <cellStyle name="60% - akcent 6 2" xfId="189" xr:uid="{00000000-0005-0000-0000-000053300000}"/>
    <cellStyle name="60% - akcent 6 2 10" xfId="12552" xr:uid="{00000000-0005-0000-0000-000054300000}"/>
    <cellStyle name="60% - akcent 6 2 11" xfId="12553" xr:uid="{00000000-0005-0000-0000-000055300000}"/>
    <cellStyle name="60% - akcent 6 2 12" xfId="12554" xr:uid="{00000000-0005-0000-0000-000056300000}"/>
    <cellStyle name="60% - akcent 6 2 13" xfId="12555" xr:uid="{00000000-0005-0000-0000-000057300000}"/>
    <cellStyle name="60% - akcent 6 2 13 10" xfId="12556" xr:uid="{00000000-0005-0000-0000-000058300000}"/>
    <cellStyle name="60% - akcent 6 2 13 11" xfId="12557" xr:uid="{00000000-0005-0000-0000-000059300000}"/>
    <cellStyle name="60% - akcent 6 2 13 12" xfId="12558" xr:uid="{00000000-0005-0000-0000-00005A300000}"/>
    <cellStyle name="60% - akcent 6 2 13 2" xfId="12559" xr:uid="{00000000-0005-0000-0000-00005B300000}"/>
    <cellStyle name="60% - akcent 6 2 13 2 10" xfId="12560" xr:uid="{00000000-0005-0000-0000-00005C300000}"/>
    <cellStyle name="60% - akcent 6 2 13 2 11" xfId="12561" xr:uid="{00000000-0005-0000-0000-00005D300000}"/>
    <cellStyle name="60% - akcent 6 2 13 2 2" xfId="12562" xr:uid="{00000000-0005-0000-0000-00005E300000}"/>
    <cellStyle name="60% - akcent 6 2 13 2 2 10" xfId="12563" xr:uid="{00000000-0005-0000-0000-00005F300000}"/>
    <cellStyle name="60% - akcent 6 2 13 2 2 11" xfId="12564" xr:uid="{00000000-0005-0000-0000-000060300000}"/>
    <cellStyle name="60% - akcent 6 2 13 2 2 2" xfId="12565" xr:uid="{00000000-0005-0000-0000-000061300000}"/>
    <cellStyle name="60% - akcent 6 2 13 2 2 2 2" xfId="12566" xr:uid="{00000000-0005-0000-0000-000062300000}"/>
    <cellStyle name="60% - akcent 6 2 13 2 2 2 2 2" xfId="12567" xr:uid="{00000000-0005-0000-0000-000063300000}"/>
    <cellStyle name="60% - akcent 6 2 13 2 2 2 2 3" xfId="12568" xr:uid="{00000000-0005-0000-0000-000064300000}"/>
    <cellStyle name="60% - akcent 6 2 13 2 2 2 2 4" xfId="12569" xr:uid="{00000000-0005-0000-0000-000065300000}"/>
    <cellStyle name="60% - akcent 6 2 13 2 2 2 2 5" xfId="12570" xr:uid="{00000000-0005-0000-0000-000066300000}"/>
    <cellStyle name="60% - akcent 6 2 13 2 2 2 2 6" xfId="12571" xr:uid="{00000000-0005-0000-0000-000067300000}"/>
    <cellStyle name="60% - akcent 6 2 13 2 2 2 3" xfId="12572" xr:uid="{00000000-0005-0000-0000-000068300000}"/>
    <cellStyle name="60% - akcent 6 2 13 2 2 2 4" xfId="12573" xr:uid="{00000000-0005-0000-0000-000069300000}"/>
    <cellStyle name="60% - akcent 6 2 13 2 2 2 5" xfId="12574" xr:uid="{00000000-0005-0000-0000-00006A300000}"/>
    <cellStyle name="60% - akcent 6 2 13 2 2 2 6" xfId="12575" xr:uid="{00000000-0005-0000-0000-00006B300000}"/>
    <cellStyle name="60% - akcent 6 2 13 2 2 2 7" xfId="12576" xr:uid="{00000000-0005-0000-0000-00006C300000}"/>
    <cellStyle name="60% - akcent 6 2 13 2 2 3" xfId="12577" xr:uid="{00000000-0005-0000-0000-00006D300000}"/>
    <cellStyle name="60% - akcent 6 2 13 2 2 4" xfId="12578" xr:uid="{00000000-0005-0000-0000-00006E300000}"/>
    <cellStyle name="60% - akcent 6 2 13 2 2 5" xfId="12579" xr:uid="{00000000-0005-0000-0000-00006F300000}"/>
    <cellStyle name="60% - akcent 6 2 13 2 2 6" xfId="12580" xr:uid="{00000000-0005-0000-0000-000070300000}"/>
    <cellStyle name="60% - akcent 6 2 13 2 2 7" xfId="12581" xr:uid="{00000000-0005-0000-0000-000071300000}"/>
    <cellStyle name="60% - akcent 6 2 13 2 2 7 2" xfId="12582" xr:uid="{00000000-0005-0000-0000-000072300000}"/>
    <cellStyle name="60% - akcent 6 2 13 2 2 7 3" xfId="12583" xr:uid="{00000000-0005-0000-0000-000073300000}"/>
    <cellStyle name="60% - akcent 6 2 13 2 2 7 4" xfId="12584" xr:uid="{00000000-0005-0000-0000-000074300000}"/>
    <cellStyle name="60% - akcent 6 2 13 2 2 7 5" xfId="12585" xr:uid="{00000000-0005-0000-0000-000075300000}"/>
    <cellStyle name="60% - akcent 6 2 13 2 2 7 6" xfId="12586" xr:uid="{00000000-0005-0000-0000-000076300000}"/>
    <cellStyle name="60% - akcent 6 2 13 2 2 8" xfId="12587" xr:uid="{00000000-0005-0000-0000-000077300000}"/>
    <cellStyle name="60% - akcent 6 2 13 2 2 9" xfId="12588" xr:uid="{00000000-0005-0000-0000-000078300000}"/>
    <cellStyle name="60% - akcent 6 2 13 2 3" xfId="12589" xr:uid="{00000000-0005-0000-0000-000079300000}"/>
    <cellStyle name="60% - akcent 6 2 13 2 3 2" xfId="12590" xr:uid="{00000000-0005-0000-0000-00007A300000}"/>
    <cellStyle name="60% - akcent 6 2 13 2 3 2 2" xfId="12591" xr:uid="{00000000-0005-0000-0000-00007B300000}"/>
    <cellStyle name="60% - akcent 6 2 13 2 3 2 3" xfId="12592" xr:uid="{00000000-0005-0000-0000-00007C300000}"/>
    <cellStyle name="60% - akcent 6 2 13 2 3 2 4" xfId="12593" xr:uid="{00000000-0005-0000-0000-00007D300000}"/>
    <cellStyle name="60% - akcent 6 2 13 2 3 2 5" xfId="12594" xr:uid="{00000000-0005-0000-0000-00007E300000}"/>
    <cellStyle name="60% - akcent 6 2 13 2 3 2 6" xfId="12595" xr:uid="{00000000-0005-0000-0000-00007F300000}"/>
    <cellStyle name="60% - akcent 6 2 13 2 3 3" xfId="12596" xr:uid="{00000000-0005-0000-0000-000080300000}"/>
    <cellStyle name="60% - akcent 6 2 13 2 3 4" xfId="12597" xr:uid="{00000000-0005-0000-0000-000081300000}"/>
    <cellStyle name="60% - akcent 6 2 13 2 3 5" xfId="12598" xr:uid="{00000000-0005-0000-0000-000082300000}"/>
    <cellStyle name="60% - akcent 6 2 13 2 3 6" xfId="12599" xr:uid="{00000000-0005-0000-0000-000083300000}"/>
    <cellStyle name="60% - akcent 6 2 13 2 3 7" xfId="12600" xr:uid="{00000000-0005-0000-0000-000084300000}"/>
    <cellStyle name="60% - akcent 6 2 13 2 4" xfId="12601" xr:uid="{00000000-0005-0000-0000-000085300000}"/>
    <cellStyle name="60% - akcent 6 2 13 2 5" xfId="12602" xr:uid="{00000000-0005-0000-0000-000086300000}"/>
    <cellStyle name="60% - akcent 6 2 13 2 6" xfId="12603" xr:uid="{00000000-0005-0000-0000-000087300000}"/>
    <cellStyle name="60% - akcent 6 2 13 2 7" xfId="12604" xr:uid="{00000000-0005-0000-0000-000088300000}"/>
    <cellStyle name="60% - akcent 6 2 13 2 7 2" xfId="12605" xr:uid="{00000000-0005-0000-0000-000089300000}"/>
    <cellStyle name="60% - akcent 6 2 13 2 7 3" xfId="12606" xr:uid="{00000000-0005-0000-0000-00008A300000}"/>
    <cellStyle name="60% - akcent 6 2 13 2 7 4" xfId="12607" xr:uid="{00000000-0005-0000-0000-00008B300000}"/>
    <cellStyle name="60% - akcent 6 2 13 2 7 5" xfId="12608" xr:uid="{00000000-0005-0000-0000-00008C300000}"/>
    <cellStyle name="60% - akcent 6 2 13 2 7 6" xfId="12609" xr:uid="{00000000-0005-0000-0000-00008D300000}"/>
    <cellStyle name="60% - akcent 6 2 13 2 8" xfId="12610" xr:uid="{00000000-0005-0000-0000-00008E300000}"/>
    <cellStyle name="60% - akcent 6 2 13 2 9" xfId="12611" xr:uid="{00000000-0005-0000-0000-00008F300000}"/>
    <cellStyle name="60% - akcent 6 2 13 3" xfId="12612" xr:uid="{00000000-0005-0000-0000-000090300000}"/>
    <cellStyle name="60% - akcent 6 2 13 3 2" xfId="12613" xr:uid="{00000000-0005-0000-0000-000091300000}"/>
    <cellStyle name="60% - akcent 6 2 13 3 2 2" xfId="12614" xr:uid="{00000000-0005-0000-0000-000092300000}"/>
    <cellStyle name="60% - akcent 6 2 13 3 2 3" xfId="12615" xr:uid="{00000000-0005-0000-0000-000093300000}"/>
    <cellStyle name="60% - akcent 6 2 13 3 2 4" xfId="12616" xr:uid="{00000000-0005-0000-0000-000094300000}"/>
    <cellStyle name="60% - akcent 6 2 13 3 2 5" xfId="12617" xr:uid="{00000000-0005-0000-0000-000095300000}"/>
    <cellStyle name="60% - akcent 6 2 13 3 2 6" xfId="12618" xr:uid="{00000000-0005-0000-0000-000096300000}"/>
    <cellStyle name="60% - akcent 6 2 13 3 3" xfId="12619" xr:uid="{00000000-0005-0000-0000-000097300000}"/>
    <cellStyle name="60% - akcent 6 2 13 3 4" xfId="12620" xr:uid="{00000000-0005-0000-0000-000098300000}"/>
    <cellStyle name="60% - akcent 6 2 13 3 5" xfId="12621" xr:uid="{00000000-0005-0000-0000-000099300000}"/>
    <cellStyle name="60% - akcent 6 2 13 3 6" xfId="12622" xr:uid="{00000000-0005-0000-0000-00009A300000}"/>
    <cellStyle name="60% - akcent 6 2 13 3 7" xfId="12623" xr:uid="{00000000-0005-0000-0000-00009B300000}"/>
    <cellStyle name="60% - akcent 6 2 13 4" xfId="12624" xr:uid="{00000000-0005-0000-0000-00009C300000}"/>
    <cellStyle name="60% - akcent 6 2 13 5" xfId="12625" xr:uid="{00000000-0005-0000-0000-00009D300000}"/>
    <cellStyle name="60% - akcent 6 2 13 6" xfId="12626" xr:uid="{00000000-0005-0000-0000-00009E300000}"/>
    <cellStyle name="60% - akcent 6 2 13 7" xfId="12627" xr:uid="{00000000-0005-0000-0000-00009F300000}"/>
    <cellStyle name="60% - akcent 6 2 13 8" xfId="12628" xr:uid="{00000000-0005-0000-0000-0000A0300000}"/>
    <cellStyle name="60% - akcent 6 2 13 8 2" xfId="12629" xr:uid="{00000000-0005-0000-0000-0000A1300000}"/>
    <cellStyle name="60% - akcent 6 2 13 8 3" xfId="12630" xr:uid="{00000000-0005-0000-0000-0000A2300000}"/>
    <cellStyle name="60% - akcent 6 2 13 8 4" xfId="12631" xr:uid="{00000000-0005-0000-0000-0000A3300000}"/>
    <cellStyle name="60% - akcent 6 2 13 8 5" xfId="12632" xr:uid="{00000000-0005-0000-0000-0000A4300000}"/>
    <cellStyle name="60% - akcent 6 2 13 8 6" xfId="12633" xr:uid="{00000000-0005-0000-0000-0000A5300000}"/>
    <cellStyle name="60% - akcent 6 2 13 9" xfId="12634" xr:uid="{00000000-0005-0000-0000-0000A6300000}"/>
    <cellStyle name="60% - akcent 6 2 14" xfId="12635" xr:uid="{00000000-0005-0000-0000-0000A7300000}"/>
    <cellStyle name="60% - akcent 6 2 14 10" xfId="12636" xr:uid="{00000000-0005-0000-0000-0000A8300000}"/>
    <cellStyle name="60% - akcent 6 2 14 11" xfId="12637" xr:uid="{00000000-0005-0000-0000-0000A9300000}"/>
    <cellStyle name="60% - akcent 6 2 14 2" xfId="12638" xr:uid="{00000000-0005-0000-0000-0000AA300000}"/>
    <cellStyle name="60% - akcent 6 2 14 2 2" xfId="12639" xr:uid="{00000000-0005-0000-0000-0000AB300000}"/>
    <cellStyle name="60% - akcent 6 2 14 2 2 2" xfId="12640" xr:uid="{00000000-0005-0000-0000-0000AC300000}"/>
    <cellStyle name="60% - akcent 6 2 14 2 2 3" xfId="12641" xr:uid="{00000000-0005-0000-0000-0000AD300000}"/>
    <cellStyle name="60% - akcent 6 2 14 2 2 4" xfId="12642" xr:uid="{00000000-0005-0000-0000-0000AE300000}"/>
    <cellStyle name="60% - akcent 6 2 14 2 2 5" xfId="12643" xr:uid="{00000000-0005-0000-0000-0000AF300000}"/>
    <cellStyle name="60% - akcent 6 2 14 2 2 6" xfId="12644" xr:uid="{00000000-0005-0000-0000-0000B0300000}"/>
    <cellStyle name="60% - akcent 6 2 14 2 3" xfId="12645" xr:uid="{00000000-0005-0000-0000-0000B1300000}"/>
    <cellStyle name="60% - akcent 6 2 14 2 4" xfId="12646" xr:uid="{00000000-0005-0000-0000-0000B2300000}"/>
    <cellStyle name="60% - akcent 6 2 14 2 5" xfId="12647" xr:uid="{00000000-0005-0000-0000-0000B3300000}"/>
    <cellStyle name="60% - akcent 6 2 14 2 6" xfId="12648" xr:uid="{00000000-0005-0000-0000-0000B4300000}"/>
    <cellStyle name="60% - akcent 6 2 14 2 7" xfId="12649" xr:uid="{00000000-0005-0000-0000-0000B5300000}"/>
    <cellStyle name="60% - akcent 6 2 14 3" xfId="12650" xr:uid="{00000000-0005-0000-0000-0000B6300000}"/>
    <cellStyle name="60% - akcent 6 2 14 4" xfId="12651" xr:uid="{00000000-0005-0000-0000-0000B7300000}"/>
    <cellStyle name="60% - akcent 6 2 14 5" xfId="12652" xr:uid="{00000000-0005-0000-0000-0000B8300000}"/>
    <cellStyle name="60% - akcent 6 2 14 6" xfId="12653" xr:uid="{00000000-0005-0000-0000-0000B9300000}"/>
    <cellStyle name="60% - akcent 6 2 14 7" xfId="12654" xr:uid="{00000000-0005-0000-0000-0000BA300000}"/>
    <cellStyle name="60% - akcent 6 2 14 7 2" xfId="12655" xr:uid="{00000000-0005-0000-0000-0000BB300000}"/>
    <cellStyle name="60% - akcent 6 2 14 7 3" xfId="12656" xr:uid="{00000000-0005-0000-0000-0000BC300000}"/>
    <cellStyle name="60% - akcent 6 2 14 7 4" xfId="12657" xr:uid="{00000000-0005-0000-0000-0000BD300000}"/>
    <cellStyle name="60% - akcent 6 2 14 7 5" xfId="12658" xr:uid="{00000000-0005-0000-0000-0000BE300000}"/>
    <cellStyle name="60% - akcent 6 2 14 7 6" xfId="12659" xr:uid="{00000000-0005-0000-0000-0000BF300000}"/>
    <cellStyle name="60% - akcent 6 2 14 8" xfId="12660" xr:uid="{00000000-0005-0000-0000-0000C0300000}"/>
    <cellStyle name="60% - akcent 6 2 14 9" xfId="12661" xr:uid="{00000000-0005-0000-0000-0000C1300000}"/>
    <cellStyle name="60% - akcent 6 2 15" xfId="12662" xr:uid="{00000000-0005-0000-0000-0000C2300000}"/>
    <cellStyle name="60% - akcent 6 2 15 2" xfId="12663" xr:uid="{00000000-0005-0000-0000-0000C3300000}"/>
    <cellStyle name="60% - akcent 6 2 15 2 2" xfId="12664" xr:uid="{00000000-0005-0000-0000-0000C4300000}"/>
    <cellStyle name="60% - akcent 6 2 15 2 3" xfId="12665" xr:uid="{00000000-0005-0000-0000-0000C5300000}"/>
    <cellStyle name="60% - akcent 6 2 15 2 4" xfId="12666" xr:uid="{00000000-0005-0000-0000-0000C6300000}"/>
    <cellStyle name="60% - akcent 6 2 15 2 5" xfId="12667" xr:uid="{00000000-0005-0000-0000-0000C7300000}"/>
    <cellStyle name="60% - akcent 6 2 15 2 6" xfId="12668" xr:uid="{00000000-0005-0000-0000-0000C8300000}"/>
    <cellStyle name="60% - akcent 6 2 15 3" xfId="12669" xr:uid="{00000000-0005-0000-0000-0000C9300000}"/>
    <cellStyle name="60% - akcent 6 2 15 4" xfId="12670" xr:uid="{00000000-0005-0000-0000-0000CA300000}"/>
    <cellStyle name="60% - akcent 6 2 15 5" xfId="12671" xr:uid="{00000000-0005-0000-0000-0000CB300000}"/>
    <cellStyle name="60% - akcent 6 2 15 6" xfId="12672" xr:uid="{00000000-0005-0000-0000-0000CC300000}"/>
    <cellStyle name="60% - akcent 6 2 15 7" xfId="12673" xr:uid="{00000000-0005-0000-0000-0000CD300000}"/>
    <cellStyle name="60% - akcent 6 2 16" xfId="12674" xr:uid="{00000000-0005-0000-0000-0000CE300000}"/>
    <cellStyle name="60% - akcent 6 2 17" xfId="12675" xr:uid="{00000000-0005-0000-0000-0000CF300000}"/>
    <cellStyle name="60% - akcent 6 2 18" xfId="12676" xr:uid="{00000000-0005-0000-0000-0000D0300000}"/>
    <cellStyle name="60% - akcent 6 2 19" xfId="12677" xr:uid="{00000000-0005-0000-0000-0000D1300000}"/>
    <cellStyle name="60% - akcent 6 2 2" xfId="12678" xr:uid="{00000000-0005-0000-0000-0000D2300000}"/>
    <cellStyle name="60% - akcent 6 2 2 10" xfId="12679" xr:uid="{00000000-0005-0000-0000-0000D3300000}"/>
    <cellStyle name="60% - akcent 6 2 2 10 10" xfId="12680" xr:uid="{00000000-0005-0000-0000-0000D4300000}"/>
    <cellStyle name="60% - akcent 6 2 2 10 11" xfId="12681" xr:uid="{00000000-0005-0000-0000-0000D5300000}"/>
    <cellStyle name="60% - akcent 6 2 2 10 12" xfId="12682" xr:uid="{00000000-0005-0000-0000-0000D6300000}"/>
    <cellStyle name="60% - akcent 6 2 2 10 2" xfId="12683" xr:uid="{00000000-0005-0000-0000-0000D7300000}"/>
    <cellStyle name="60% - akcent 6 2 2 10 2 10" xfId="12684" xr:uid="{00000000-0005-0000-0000-0000D8300000}"/>
    <cellStyle name="60% - akcent 6 2 2 10 2 11" xfId="12685" xr:uid="{00000000-0005-0000-0000-0000D9300000}"/>
    <cellStyle name="60% - akcent 6 2 2 10 2 2" xfId="12686" xr:uid="{00000000-0005-0000-0000-0000DA300000}"/>
    <cellStyle name="60% - akcent 6 2 2 10 2 2 10" xfId="12687" xr:uid="{00000000-0005-0000-0000-0000DB300000}"/>
    <cellStyle name="60% - akcent 6 2 2 10 2 2 11" xfId="12688" xr:uid="{00000000-0005-0000-0000-0000DC300000}"/>
    <cellStyle name="60% - akcent 6 2 2 10 2 2 2" xfId="12689" xr:uid="{00000000-0005-0000-0000-0000DD300000}"/>
    <cellStyle name="60% - akcent 6 2 2 10 2 2 2 2" xfId="12690" xr:uid="{00000000-0005-0000-0000-0000DE300000}"/>
    <cellStyle name="60% - akcent 6 2 2 10 2 2 2 2 2" xfId="12691" xr:uid="{00000000-0005-0000-0000-0000DF300000}"/>
    <cellStyle name="60% - akcent 6 2 2 10 2 2 2 2 3" xfId="12692" xr:uid="{00000000-0005-0000-0000-0000E0300000}"/>
    <cellStyle name="60% - akcent 6 2 2 10 2 2 2 2 4" xfId="12693" xr:uid="{00000000-0005-0000-0000-0000E1300000}"/>
    <cellStyle name="60% - akcent 6 2 2 10 2 2 2 2 5" xfId="12694" xr:uid="{00000000-0005-0000-0000-0000E2300000}"/>
    <cellStyle name="60% - akcent 6 2 2 10 2 2 2 2 6" xfId="12695" xr:uid="{00000000-0005-0000-0000-0000E3300000}"/>
    <cellStyle name="60% - akcent 6 2 2 10 2 2 2 3" xfId="12696" xr:uid="{00000000-0005-0000-0000-0000E4300000}"/>
    <cellStyle name="60% - akcent 6 2 2 10 2 2 2 4" xfId="12697" xr:uid="{00000000-0005-0000-0000-0000E5300000}"/>
    <cellStyle name="60% - akcent 6 2 2 10 2 2 2 5" xfId="12698" xr:uid="{00000000-0005-0000-0000-0000E6300000}"/>
    <cellStyle name="60% - akcent 6 2 2 10 2 2 2 6" xfId="12699" xr:uid="{00000000-0005-0000-0000-0000E7300000}"/>
    <cellStyle name="60% - akcent 6 2 2 10 2 2 2 7" xfId="12700" xr:uid="{00000000-0005-0000-0000-0000E8300000}"/>
    <cellStyle name="60% - akcent 6 2 2 10 2 2 3" xfId="12701" xr:uid="{00000000-0005-0000-0000-0000E9300000}"/>
    <cellStyle name="60% - akcent 6 2 2 10 2 2 4" xfId="12702" xr:uid="{00000000-0005-0000-0000-0000EA300000}"/>
    <cellStyle name="60% - akcent 6 2 2 10 2 2 5" xfId="12703" xr:uid="{00000000-0005-0000-0000-0000EB300000}"/>
    <cellStyle name="60% - akcent 6 2 2 10 2 2 6" xfId="12704" xr:uid="{00000000-0005-0000-0000-0000EC300000}"/>
    <cellStyle name="60% - akcent 6 2 2 10 2 2 7" xfId="12705" xr:uid="{00000000-0005-0000-0000-0000ED300000}"/>
    <cellStyle name="60% - akcent 6 2 2 10 2 2 7 2" xfId="12706" xr:uid="{00000000-0005-0000-0000-0000EE300000}"/>
    <cellStyle name="60% - akcent 6 2 2 10 2 2 7 3" xfId="12707" xr:uid="{00000000-0005-0000-0000-0000EF300000}"/>
    <cellStyle name="60% - akcent 6 2 2 10 2 2 7 4" xfId="12708" xr:uid="{00000000-0005-0000-0000-0000F0300000}"/>
    <cellStyle name="60% - akcent 6 2 2 10 2 2 7 5" xfId="12709" xr:uid="{00000000-0005-0000-0000-0000F1300000}"/>
    <cellStyle name="60% - akcent 6 2 2 10 2 2 7 6" xfId="12710" xr:uid="{00000000-0005-0000-0000-0000F2300000}"/>
    <cellStyle name="60% - akcent 6 2 2 10 2 2 8" xfId="12711" xr:uid="{00000000-0005-0000-0000-0000F3300000}"/>
    <cellStyle name="60% - akcent 6 2 2 10 2 2 9" xfId="12712" xr:uid="{00000000-0005-0000-0000-0000F4300000}"/>
    <cellStyle name="60% - akcent 6 2 2 10 2 3" xfId="12713" xr:uid="{00000000-0005-0000-0000-0000F5300000}"/>
    <cellStyle name="60% - akcent 6 2 2 10 2 3 2" xfId="12714" xr:uid="{00000000-0005-0000-0000-0000F6300000}"/>
    <cellStyle name="60% - akcent 6 2 2 10 2 3 2 2" xfId="12715" xr:uid="{00000000-0005-0000-0000-0000F7300000}"/>
    <cellStyle name="60% - akcent 6 2 2 10 2 3 2 3" xfId="12716" xr:uid="{00000000-0005-0000-0000-0000F8300000}"/>
    <cellStyle name="60% - akcent 6 2 2 10 2 3 2 4" xfId="12717" xr:uid="{00000000-0005-0000-0000-0000F9300000}"/>
    <cellStyle name="60% - akcent 6 2 2 10 2 3 2 5" xfId="12718" xr:uid="{00000000-0005-0000-0000-0000FA300000}"/>
    <cellStyle name="60% - akcent 6 2 2 10 2 3 2 6" xfId="12719" xr:uid="{00000000-0005-0000-0000-0000FB300000}"/>
    <cellStyle name="60% - akcent 6 2 2 10 2 3 3" xfId="12720" xr:uid="{00000000-0005-0000-0000-0000FC300000}"/>
    <cellStyle name="60% - akcent 6 2 2 10 2 3 4" xfId="12721" xr:uid="{00000000-0005-0000-0000-0000FD300000}"/>
    <cellStyle name="60% - akcent 6 2 2 10 2 3 5" xfId="12722" xr:uid="{00000000-0005-0000-0000-0000FE300000}"/>
    <cellStyle name="60% - akcent 6 2 2 10 2 3 6" xfId="12723" xr:uid="{00000000-0005-0000-0000-0000FF300000}"/>
    <cellStyle name="60% - akcent 6 2 2 10 2 3 7" xfId="12724" xr:uid="{00000000-0005-0000-0000-000000310000}"/>
    <cellStyle name="60% - akcent 6 2 2 10 2 4" xfId="12725" xr:uid="{00000000-0005-0000-0000-000001310000}"/>
    <cellStyle name="60% - akcent 6 2 2 10 2 5" xfId="12726" xr:uid="{00000000-0005-0000-0000-000002310000}"/>
    <cellStyle name="60% - akcent 6 2 2 10 2 6" xfId="12727" xr:uid="{00000000-0005-0000-0000-000003310000}"/>
    <cellStyle name="60% - akcent 6 2 2 10 2 7" xfId="12728" xr:uid="{00000000-0005-0000-0000-000004310000}"/>
    <cellStyle name="60% - akcent 6 2 2 10 2 7 2" xfId="12729" xr:uid="{00000000-0005-0000-0000-000005310000}"/>
    <cellStyle name="60% - akcent 6 2 2 10 2 7 3" xfId="12730" xr:uid="{00000000-0005-0000-0000-000006310000}"/>
    <cellStyle name="60% - akcent 6 2 2 10 2 7 4" xfId="12731" xr:uid="{00000000-0005-0000-0000-000007310000}"/>
    <cellStyle name="60% - akcent 6 2 2 10 2 7 5" xfId="12732" xr:uid="{00000000-0005-0000-0000-000008310000}"/>
    <cellStyle name="60% - akcent 6 2 2 10 2 7 6" xfId="12733" xr:uid="{00000000-0005-0000-0000-000009310000}"/>
    <cellStyle name="60% - akcent 6 2 2 10 2 8" xfId="12734" xr:uid="{00000000-0005-0000-0000-00000A310000}"/>
    <cellStyle name="60% - akcent 6 2 2 10 2 9" xfId="12735" xr:uid="{00000000-0005-0000-0000-00000B310000}"/>
    <cellStyle name="60% - akcent 6 2 2 10 3" xfId="12736" xr:uid="{00000000-0005-0000-0000-00000C310000}"/>
    <cellStyle name="60% - akcent 6 2 2 10 3 2" xfId="12737" xr:uid="{00000000-0005-0000-0000-00000D310000}"/>
    <cellStyle name="60% - akcent 6 2 2 10 3 2 2" xfId="12738" xr:uid="{00000000-0005-0000-0000-00000E310000}"/>
    <cellStyle name="60% - akcent 6 2 2 10 3 2 3" xfId="12739" xr:uid="{00000000-0005-0000-0000-00000F310000}"/>
    <cellStyle name="60% - akcent 6 2 2 10 3 2 4" xfId="12740" xr:uid="{00000000-0005-0000-0000-000010310000}"/>
    <cellStyle name="60% - akcent 6 2 2 10 3 2 5" xfId="12741" xr:uid="{00000000-0005-0000-0000-000011310000}"/>
    <cellStyle name="60% - akcent 6 2 2 10 3 2 6" xfId="12742" xr:uid="{00000000-0005-0000-0000-000012310000}"/>
    <cellStyle name="60% - akcent 6 2 2 10 3 3" xfId="12743" xr:uid="{00000000-0005-0000-0000-000013310000}"/>
    <cellStyle name="60% - akcent 6 2 2 10 3 4" xfId="12744" xr:uid="{00000000-0005-0000-0000-000014310000}"/>
    <cellStyle name="60% - akcent 6 2 2 10 3 5" xfId="12745" xr:uid="{00000000-0005-0000-0000-000015310000}"/>
    <cellStyle name="60% - akcent 6 2 2 10 3 6" xfId="12746" xr:uid="{00000000-0005-0000-0000-000016310000}"/>
    <cellStyle name="60% - akcent 6 2 2 10 3 7" xfId="12747" xr:uid="{00000000-0005-0000-0000-000017310000}"/>
    <cellStyle name="60% - akcent 6 2 2 10 4" xfId="12748" xr:uid="{00000000-0005-0000-0000-000018310000}"/>
    <cellStyle name="60% - akcent 6 2 2 10 5" xfId="12749" xr:uid="{00000000-0005-0000-0000-000019310000}"/>
    <cellStyle name="60% - akcent 6 2 2 10 6" xfId="12750" xr:uid="{00000000-0005-0000-0000-00001A310000}"/>
    <cellStyle name="60% - akcent 6 2 2 10 7" xfId="12751" xr:uid="{00000000-0005-0000-0000-00001B310000}"/>
    <cellStyle name="60% - akcent 6 2 2 10 8" xfId="12752" xr:uid="{00000000-0005-0000-0000-00001C310000}"/>
    <cellStyle name="60% - akcent 6 2 2 10 8 2" xfId="12753" xr:uid="{00000000-0005-0000-0000-00001D310000}"/>
    <cellStyle name="60% - akcent 6 2 2 10 8 3" xfId="12754" xr:uid="{00000000-0005-0000-0000-00001E310000}"/>
    <cellStyle name="60% - akcent 6 2 2 10 8 4" xfId="12755" xr:uid="{00000000-0005-0000-0000-00001F310000}"/>
    <cellStyle name="60% - akcent 6 2 2 10 8 5" xfId="12756" xr:uid="{00000000-0005-0000-0000-000020310000}"/>
    <cellStyle name="60% - akcent 6 2 2 10 8 6" xfId="12757" xr:uid="{00000000-0005-0000-0000-000021310000}"/>
    <cellStyle name="60% - akcent 6 2 2 10 9" xfId="12758" xr:uid="{00000000-0005-0000-0000-000022310000}"/>
    <cellStyle name="60% - akcent 6 2 2 11" xfId="12759" xr:uid="{00000000-0005-0000-0000-000023310000}"/>
    <cellStyle name="60% - akcent 6 2 2 11 10" xfId="12760" xr:uid="{00000000-0005-0000-0000-000024310000}"/>
    <cellStyle name="60% - akcent 6 2 2 11 11" xfId="12761" xr:uid="{00000000-0005-0000-0000-000025310000}"/>
    <cellStyle name="60% - akcent 6 2 2 11 2" xfId="12762" xr:uid="{00000000-0005-0000-0000-000026310000}"/>
    <cellStyle name="60% - akcent 6 2 2 11 2 2" xfId="12763" xr:uid="{00000000-0005-0000-0000-000027310000}"/>
    <cellStyle name="60% - akcent 6 2 2 11 2 2 2" xfId="12764" xr:uid="{00000000-0005-0000-0000-000028310000}"/>
    <cellStyle name="60% - akcent 6 2 2 11 2 2 3" xfId="12765" xr:uid="{00000000-0005-0000-0000-000029310000}"/>
    <cellStyle name="60% - akcent 6 2 2 11 2 2 4" xfId="12766" xr:uid="{00000000-0005-0000-0000-00002A310000}"/>
    <cellStyle name="60% - akcent 6 2 2 11 2 2 5" xfId="12767" xr:uid="{00000000-0005-0000-0000-00002B310000}"/>
    <cellStyle name="60% - akcent 6 2 2 11 2 2 6" xfId="12768" xr:uid="{00000000-0005-0000-0000-00002C310000}"/>
    <cellStyle name="60% - akcent 6 2 2 11 2 3" xfId="12769" xr:uid="{00000000-0005-0000-0000-00002D310000}"/>
    <cellStyle name="60% - akcent 6 2 2 11 2 4" xfId="12770" xr:uid="{00000000-0005-0000-0000-00002E310000}"/>
    <cellStyle name="60% - akcent 6 2 2 11 2 5" xfId="12771" xr:uid="{00000000-0005-0000-0000-00002F310000}"/>
    <cellStyle name="60% - akcent 6 2 2 11 2 6" xfId="12772" xr:uid="{00000000-0005-0000-0000-000030310000}"/>
    <cellStyle name="60% - akcent 6 2 2 11 2 7" xfId="12773" xr:uid="{00000000-0005-0000-0000-000031310000}"/>
    <cellStyle name="60% - akcent 6 2 2 11 3" xfId="12774" xr:uid="{00000000-0005-0000-0000-000032310000}"/>
    <cellStyle name="60% - akcent 6 2 2 11 4" xfId="12775" xr:uid="{00000000-0005-0000-0000-000033310000}"/>
    <cellStyle name="60% - akcent 6 2 2 11 5" xfId="12776" xr:uid="{00000000-0005-0000-0000-000034310000}"/>
    <cellStyle name="60% - akcent 6 2 2 11 6" xfId="12777" xr:uid="{00000000-0005-0000-0000-000035310000}"/>
    <cellStyle name="60% - akcent 6 2 2 11 7" xfId="12778" xr:uid="{00000000-0005-0000-0000-000036310000}"/>
    <cellStyle name="60% - akcent 6 2 2 11 7 2" xfId="12779" xr:uid="{00000000-0005-0000-0000-000037310000}"/>
    <cellStyle name="60% - akcent 6 2 2 11 7 3" xfId="12780" xr:uid="{00000000-0005-0000-0000-000038310000}"/>
    <cellStyle name="60% - akcent 6 2 2 11 7 4" xfId="12781" xr:uid="{00000000-0005-0000-0000-000039310000}"/>
    <cellStyle name="60% - akcent 6 2 2 11 7 5" xfId="12782" xr:uid="{00000000-0005-0000-0000-00003A310000}"/>
    <cellStyle name="60% - akcent 6 2 2 11 7 6" xfId="12783" xr:uid="{00000000-0005-0000-0000-00003B310000}"/>
    <cellStyle name="60% - akcent 6 2 2 11 8" xfId="12784" xr:uid="{00000000-0005-0000-0000-00003C310000}"/>
    <cellStyle name="60% - akcent 6 2 2 11 9" xfId="12785" xr:uid="{00000000-0005-0000-0000-00003D310000}"/>
    <cellStyle name="60% - akcent 6 2 2 12" xfId="12786" xr:uid="{00000000-0005-0000-0000-00003E310000}"/>
    <cellStyle name="60% - akcent 6 2 2 12 2" xfId="12787" xr:uid="{00000000-0005-0000-0000-00003F310000}"/>
    <cellStyle name="60% - akcent 6 2 2 12 2 2" xfId="12788" xr:uid="{00000000-0005-0000-0000-000040310000}"/>
    <cellStyle name="60% - akcent 6 2 2 12 2 3" xfId="12789" xr:uid="{00000000-0005-0000-0000-000041310000}"/>
    <cellStyle name="60% - akcent 6 2 2 12 2 4" xfId="12790" xr:uid="{00000000-0005-0000-0000-000042310000}"/>
    <cellStyle name="60% - akcent 6 2 2 12 2 5" xfId="12791" xr:uid="{00000000-0005-0000-0000-000043310000}"/>
    <cellStyle name="60% - akcent 6 2 2 12 2 6" xfId="12792" xr:uid="{00000000-0005-0000-0000-000044310000}"/>
    <cellStyle name="60% - akcent 6 2 2 12 3" xfId="12793" xr:uid="{00000000-0005-0000-0000-000045310000}"/>
    <cellStyle name="60% - akcent 6 2 2 12 4" xfId="12794" xr:uid="{00000000-0005-0000-0000-000046310000}"/>
    <cellStyle name="60% - akcent 6 2 2 12 5" xfId="12795" xr:uid="{00000000-0005-0000-0000-000047310000}"/>
    <cellStyle name="60% - akcent 6 2 2 12 6" xfId="12796" xr:uid="{00000000-0005-0000-0000-000048310000}"/>
    <cellStyle name="60% - akcent 6 2 2 12 7" xfId="12797" xr:uid="{00000000-0005-0000-0000-000049310000}"/>
    <cellStyle name="60% - akcent 6 2 2 13" xfId="12798" xr:uid="{00000000-0005-0000-0000-00004A310000}"/>
    <cellStyle name="60% - akcent 6 2 2 14" xfId="12799" xr:uid="{00000000-0005-0000-0000-00004B310000}"/>
    <cellStyle name="60% - akcent 6 2 2 15" xfId="12800" xr:uid="{00000000-0005-0000-0000-00004C310000}"/>
    <cellStyle name="60% - akcent 6 2 2 16" xfId="12801" xr:uid="{00000000-0005-0000-0000-00004D310000}"/>
    <cellStyle name="60% - akcent 6 2 2 17" xfId="12802" xr:uid="{00000000-0005-0000-0000-00004E310000}"/>
    <cellStyle name="60% - akcent 6 2 2 18" xfId="12803" xr:uid="{00000000-0005-0000-0000-00004F310000}"/>
    <cellStyle name="60% - akcent 6 2 2 18 2" xfId="12804" xr:uid="{00000000-0005-0000-0000-000050310000}"/>
    <cellStyle name="60% - akcent 6 2 2 18 3" xfId="12805" xr:uid="{00000000-0005-0000-0000-000051310000}"/>
    <cellStyle name="60% - akcent 6 2 2 18 4" xfId="12806" xr:uid="{00000000-0005-0000-0000-000052310000}"/>
    <cellStyle name="60% - akcent 6 2 2 18 5" xfId="12807" xr:uid="{00000000-0005-0000-0000-000053310000}"/>
    <cellStyle name="60% - akcent 6 2 2 18 6" xfId="12808" xr:uid="{00000000-0005-0000-0000-000054310000}"/>
    <cellStyle name="60% - akcent 6 2 2 19" xfId="12809" xr:uid="{00000000-0005-0000-0000-000055310000}"/>
    <cellStyle name="60% - akcent 6 2 2 2" xfId="12810" xr:uid="{00000000-0005-0000-0000-000056310000}"/>
    <cellStyle name="60% - akcent 6 2 2 2 10" xfId="12811" xr:uid="{00000000-0005-0000-0000-000057310000}"/>
    <cellStyle name="60% - akcent 6 2 2 2 11" xfId="12812" xr:uid="{00000000-0005-0000-0000-000058310000}"/>
    <cellStyle name="60% - akcent 6 2 2 2 2" xfId="12813" xr:uid="{00000000-0005-0000-0000-000059310000}"/>
    <cellStyle name="60% - akcent 6 2 2 2 2 10" xfId="12814" xr:uid="{00000000-0005-0000-0000-00005A310000}"/>
    <cellStyle name="60% - akcent 6 2 2 2 2 2" xfId="12815" xr:uid="{00000000-0005-0000-0000-00005B310000}"/>
    <cellStyle name="60% - akcent 6 2 2 2 2 2 2" xfId="12816" xr:uid="{00000000-0005-0000-0000-00005C310000}"/>
    <cellStyle name="60% - akcent 6 2 2 2 2 2 2 2" xfId="12817" xr:uid="{00000000-0005-0000-0000-00005D310000}"/>
    <cellStyle name="60% - akcent 6 2 2 2 2 2 2 2 2" xfId="12818" xr:uid="{00000000-0005-0000-0000-00005E310000}"/>
    <cellStyle name="60% - akcent 6 2 2 2 2 2 2 2 2 2" xfId="12819" xr:uid="{00000000-0005-0000-0000-00005F310000}"/>
    <cellStyle name="60% - akcent 6 2 2 2 2 2 2 2 2 3" xfId="12820" xr:uid="{00000000-0005-0000-0000-000060310000}"/>
    <cellStyle name="60% - akcent 6 2 2 2 2 2 2 2 2 4" xfId="12821" xr:uid="{00000000-0005-0000-0000-000061310000}"/>
    <cellStyle name="60% - akcent 6 2 2 2 2 2 2 2 3" xfId="12822" xr:uid="{00000000-0005-0000-0000-000062310000}"/>
    <cellStyle name="60% - akcent 6 2 2 2 2 2 2 2 4" xfId="12823" xr:uid="{00000000-0005-0000-0000-000063310000}"/>
    <cellStyle name="60% - akcent 6 2 2 2 2 2 2 2 5" xfId="12824" xr:uid="{00000000-0005-0000-0000-000064310000}"/>
    <cellStyle name="60% - akcent 6 2 2 2 2 2 2 3" xfId="12825" xr:uid="{00000000-0005-0000-0000-000065310000}"/>
    <cellStyle name="60% - akcent 6 2 2 2 2 2 2 4" xfId="12826" xr:uid="{00000000-0005-0000-0000-000066310000}"/>
    <cellStyle name="60% - akcent 6 2 2 2 2 2 2 5" xfId="12827" xr:uid="{00000000-0005-0000-0000-000067310000}"/>
    <cellStyle name="60% - akcent 6 2 2 2 2 2 2 6" xfId="12828" xr:uid="{00000000-0005-0000-0000-000068310000}"/>
    <cellStyle name="60% - akcent 6 2 2 2 2 2 2 7" xfId="12829" xr:uid="{00000000-0005-0000-0000-000069310000}"/>
    <cellStyle name="60% - akcent 6 2 2 2 2 2 2 7 2" xfId="12830" xr:uid="{00000000-0005-0000-0000-00006A310000}"/>
    <cellStyle name="60% - akcent 6 2 2 2 2 2 2 7 3" xfId="12831" xr:uid="{00000000-0005-0000-0000-00006B310000}"/>
    <cellStyle name="60% - akcent 6 2 2 2 2 2 2 7 4" xfId="12832" xr:uid="{00000000-0005-0000-0000-00006C310000}"/>
    <cellStyle name="60% - akcent 6 2 2 2 2 2 2 7 5" xfId="12833" xr:uid="{00000000-0005-0000-0000-00006D310000}"/>
    <cellStyle name="60% - akcent 6 2 2 2 2 2 2 7 6" xfId="12834" xr:uid="{00000000-0005-0000-0000-00006E310000}"/>
    <cellStyle name="60% - akcent 6 2 2 2 2 2 2 8" xfId="12835" xr:uid="{00000000-0005-0000-0000-00006F310000}"/>
    <cellStyle name="60% - akcent 6 2 2 2 2 2 2 9" xfId="12836" xr:uid="{00000000-0005-0000-0000-000070310000}"/>
    <cellStyle name="60% - akcent 6 2 2 2 2 2 3" xfId="12837" xr:uid="{00000000-0005-0000-0000-000071310000}"/>
    <cellStyle name="60% - akcent 6 2 2 2 2 2 3 2" xfId="12838" xr:uid="{00000000-0005-0000-0000-000072310000}"/>
    <cellStyle name="60% - akcent 6 2 2 2 2 2 3 2 2" xfId="12839" xr:uid="{00000000-0005-0000-0000-000073310000}"/>
    <cellStyle name="60% - akcent 6 2 2 2 2 2 3 2 3" xfId="12840" xr:uid="{00000000-0005-0000-0000-000074310000}"/>
    <cellStyle name="60% - akcent 6 2 2 2 2 2 3 2 4" xfId="12841" xr:uid="{00000000-0005-0000-0000-000075310000}"/>
    <cellStyle name="60% - akcent 6 2 2 2 2 2 3 2 5" xfId="12842" xr:uid="{00000000-0005-0000-0000-000076310000}"/>
    <cellStyle name="60% - akcent 6 2 2 2 2 2 3 2 6" xfId="12843" xr:uid="{00000000-0005-0000-0000-000077310000}"/>
    <cellStyle name="60% - akcent 6 2 2 2 2 2 3 3" xfId="12844" xr:uid="{00000000-0005-0000-0000-000078310000}"/>
    <cellStyle name="60% - akcent 6 2 2 2 2 2 3 4" xfId="12845" xr:uid="{00000000-0005-0000-0000-000079310000}"/>
    <cellStyle name="60% - akcent 6 2 2 2 2 2 3 5" xfId="12846" xr:uid="{00000000-0005-0000-0000-00007A310000}"/>
    <cellStyle name="60% - akcent 6 2 2 2 2 2 3 6" xfId="12847" xr:uid="{00000000-0005-0000-0000-00007B310000}"/>
    <cellStyle name="60% - akcent 6 2 2 2 2 2 3 7" xfId="12848" xr:uid="{00000000-0005-0000-0000-00007C310000}"/>
    <cellStyle name="60% - akcent 6 2 2 2 2 2 4" xfId="12849" xr:uid="{00000000-0005-0000-0000-00007D310000}"/>
    <cellStyle name="60% - akcent 6 2 2 2 2 2 5" xfId="12850" xr:uid="{00000000-0005-0000-0000-00007E310000}"/>
    <cellStyle name="60% - akcent 6 2 2 2 2 2 6" xfId="12851" xr:uid="{00000000-0005-0000-0000-00007F310000}"/>
    <cellStyle name="60% - akcent 6 2 2 2 2 2 7" xfId="12852" xr:uid="{00000000-0005-0000-0000-000080310000}"/>
    <cellStyle name="60% - akcent 6 2 2 2 2 2 7 2" xfId="12853" xr:uid="{00000000-0005-0000-0000-000081310000}"/>
    <cellStyle name="60% - akcent 6 2 2 2 2 2 7 3" xfId="12854" xr:uid="{00000000-0005-0000-0000-000082310000}"/>
    <cellStyle name="60% - akcent 6 2 2 2 2 2 7 4" xfId="12855" xr:uid="{00000000-0005-0000-0000-000083310000}"/>
    <cellStyle name="60% - akcent 6 2 2 2 2 2 7 5" xfId="12856" xr:uid="{00000000-0005-0000-0000-000084310000}"/>
    <cellStyle name="60% - akcent 6 2 2 2 2 2 7 6" xfId="12857" xr:uid="{00000000-0005-0000-0000-000085310000}"/>
    <cellStyle name="60% - akcent 6 2 2 2 2 2 8" xfId="12858" xr:uid="{00000000-0005-0000-0000-000086310000}"/>
    <cellStyle name="60% - akcent 6 2 2 2 2 2 9" xfId="12859" xr:uid="{00000000-0005-0000-0000-000087310000}"/>
    <cellStyle name="60% - akcent 6 2 2 2 2 3" xfId="12860" xr:uid="{00000000-0005-0000-0000-000088310000}"/>
    <cellStyle name="60% - akcent 6 2 2 2 2 3 2" xfId="12861" xr:uid="{00000000-0005-0000-0000-000089310000}"/>
    <cellStyle name="60% - akcent 6 2 2 2 2 3 2 2" xfId="12862" xr:uid="{00000000-0005-0000-0000-00008A310000}"/>
    <cellStyle name="60% - akcent 6 2 2 2 2 3 2 3" xfId="12863" xr:uid="{00000000-0005-0000-0000-00008B310000}"/>
    <cellStyle name="60% - akcent 6 2 2 2 2 3 2 4" xfId="12864" xr:uid="{00000000-0005-0000-0000-00008C310000}"/>
    <cellStyle name="60% - akcent 6 2 2 2 2 3 2 5" xfId="12865" xr:uid="{00000000-0005-0000-0000-00008D310000}"/>
    <cellStyle name="60% - akcent 6 2 2 2 2 3 2 6" xfId="12866" xr:uid="{00000000-0005-0000-0000-00008E310000}"/>
    <cellStyle name="60% - akcent 6 2 2 2 2 3 3" xfId="12867" xr:uid="{00000000-0005-0000-0000-00008F310000}"/>
    <cellStyle name="60% - akcent 6 2 2 2 2 3 4" xfId="12868" xr:uid="{00000000-0005-0000-0000-000090310000}"/>
    <cellStyle name="60% - akcent 6 2 2 2 2 3 5" xfId="12869" xr:uid="{00000000-0005-0000-0000-000091310000}"/>
    <cellStyle name="60% - akcent 6 2 2 2 2 3 6" xfId="12870" xr:uid="{00000000-0005-0000-0000-000092310000}"/>
    <cellStyle name="60% - akcent 6 2 2 2 2 3 7" xfId="12871" xr:uid="{00000000-0005-0000-0000-000093310000}"/>
    <cellStyle name="60% - akcent 6 2 2 2 2 4" xfId="12872" xr:uid="{00000000-0005-0000-0000-000094310000}"/>
    <cellStyle name="60% - akcent 6 2 2 2 2 5" xfId="12873" xr:uid="{00000000-0005-0000-0000-000095310000}"/>
    <cellStyle name="60% - akcent 6 2 2 2 2 6" xfId="12874" xr:uid="{00000000-0005-0000-0000-000096310000}"/>
    <cellStyle name="60% - akcent 6 2 2 2 2 7" xfId="12875" xr:uid="{00000000-0005-0000-0000-000097310000}"/>
    <cellStyle name="60% - akcent 6 2 2 2 2 8" xfId="12876" xr:uid="{00000000-0005-0000-0000-000098310000}"/>
    <cellStyle name="60% - akcent 6 2 2 2 2 8 2" xfId="12877" xr:uid="{00000000-0005-0000-0000-000099310000}"/>
    <cellStyle name="60% - akcent 6 2 2 2 2 8 3" xfId="12878" xr:uid="{00000000-0005-0000-0000-00009A310000}"/>
    <cellStyle name="60% - akcent 6 2 2 2 2 8 4" xfId="12879" xr:uid="{00000000-0005-0000-0000-00009B310000}"/>
    <cellStyle name="60% - akcent 6 2 2 2 2 8 5" xfId="12880" xr:uid="{00000000-0005-0000-0000-00009C310000}"/>
    <cellStyle name="60% - akcent 6 2 2 2 2 8 6" xfId="12881" xr:uid="{00000000-0005-0000-0000-00009D310000}"/>
    <cellStyle name="60% - akcent 6 2 2 2 2 9" xfId="12882" xr:uid="{00000000-0005-0000-0000-00009E310000}"/>
    <cellStyle name="60% - akcent 6 2 2 2 3" xfId="12883" xr:uid="{00000000-0005-0000-0000-00009F310000}"/>
    <cellStyle name="60% - akcent 6 2 2 2 4" xfId="12884" xr:uid="{00000000-0005-0000-0000-0000A0310000}"/>
    <cellStyle name="60% - akcent 6 2 2 2 4 10" xfId="12885" xr:uid="{00000000-0005-0000-0000-0000A1310000}"/>
    <cellStyle name="60% - akcent 6 2 2 2 4 11" xfId="12886" xr:uid="{00000000-0005-0000-0000-0000A2310000}"/>
    <cellStyle name="60% - akcent 6 2 2 2 4 2" xfId="12887" xr:uid="{00000000-0005-0000-0000-0000A3310000}"/>
    <cellStyle name="60% - akcent 6 2 2 2 4 2 2" xfId="12888" xr:uid="{00000000-0005-0000-0000-0000A4310000}"/>
    <cellStyle name="60% - akcent 6 2 2 2 4 2 2 2" xfId="12889" xr:uid="{00000000-0005-0000-0000-0000A5310000}"/>
    <cellStyle name="60% - akcent 6 2 2 2 4 2 2 3" xfId="12890" xr:uid="{00000000-0005-0000-0000-0000A6310000}"/>
    <cellStyle name="60% - akcent 6 2 2 2 4 2 2 4" xfId="12891" xr:uid="{00000000-0005-0000-0000-0000A7310000}"/>
    <cellStyle name="60% - akcent 6 2 2 2 4 2 2 5" xfId="12892" xr:uid="{00000000-0005-0000-0000-0000A8310000}"/>
    <cellStyle name="60% - akcent 6 2 2 2 4 2 2 6" xfId="12893" xr:uid="{00000000-0005-0000-0000-0000A9310000}"/>
    <cellStyle name="60% - akcent 6 2 2 2 4 2 3" xfId="12894" xr:uid="{00000000-0005-0000-0000-0000AA310000}"/>
    <cellStyle name="60% - akcent 6 2 2 2 4 2 4" xfId="12895" xr:uid="{00000000-0005-0000-0000-0000AB310000}"/>
    <cellStyle name="60% - akcent 6 2 2 2 4 2 5" xfId="12896" xr:uid="{00000000-0005-0000-0000-0000AC310000}"/>
    <cellStyle name="60% - akcent 6 2 2 2 4 2 6" xfId="12897" xr:uid="{00000000-0005-0000-0000-0000AD310000}"/>
    <cellStyle name="60% - akcent 6 2 2 2 4 2 7" xfId="12898" xr:uid="{00000000-0005-0000-0000-0000AE310000}"/>
    <cellStyle name="60% - akcent 6 2 2 2 4 3" xfId="12899" xr:uid="{00000000-0005-0000-0000-0000AF310000}"/>
    <cellStyle name="60% - akcent 6 2 2 2 4 4" xfId="12900" xr:uid="{00000000-0005-0000-0000-0000B0310000}"/>
    <cellStyle name="60% - akcent 6 2 2 2 4 5" xfId="12901" xr:uid="{00000000-0005-0000-0000-0000B1310000}"/>
    <cellStyle name="60% - akcent 6 2 2 2 4 6" xfId="12902" xr:uid="{00000000-0005-0000-0000-0000B2310000}"/>
    <cellStyle name="60% - akcent 6 2 2 2 4 7" xfId="12903" xr:uid="{00000000-0005-0000-0000-0000B3310000}"/>
    <cellStyle name="60% - akcent 6 2 2 2 4 7 2" xfId="12904" xr:uid="{00000000-0005-0000-0000-0000B4310000}"/>
    <cellStyle name="60% - akcent 6 2 2 2 4 7 3" xfId="12905" xr:uid="{00000000-0005-0000-0000-0000B5310000}"/>
    <cellStyle name="60% - akcent 6 2 2 2 4 7 4" xfId="12906" xr:uid="{00000000-0005-0000-0000-0000B6310000}"/>
    <cellStyle name="60% - akcent 6 2 2 2 4 7 5" xfId="12907" xr:uid="{00000000-0005-0000-0000-0000B7310000}"/>
    <cellStyle name="60% - akcent 6 2 2 2 4 7 6" xfId="12908" xr:uid="{00000000-0005-0000-0000-0000B8310000}"/>
    <cellStyle name="60% - akcent 6 2 2 2 4 8" xfId="12909" xr:uid="{00000000-0005-0000-0000-0000B9310000}"/>
    <cellStyle name="60% - akcent 6 2 2 2 4 9" xfId="12910" xr:uid="{00000000-0005-0000-0000-0000BA310000}"/>
    <cellStyle name="60% - akcent 6 2 2 2 5" xfId="12911" xr:uid="{00000000-0005-0000-0000-0000BB310000}"/>
    <cellStyle name="60% - akcent 6 2 2 2 5 2" xfId="12912" xr:uid="{00000000-0005-0000-0000-0000BC310000}"/>
    <cellStyle name="60% - akcent 6 2 2 2 5 2 2" xfId="12913" xr:uid="{00000000-0005-0000-0000-0000BD310000}"/>
    <cellStyle name="60% - akcent 6 2 2 2 5 2 3" xfId="12914" xr:uid="{00000000-0005-0000-0000-0000BE310000}"/>
    <cellStyle name="60% - akcent 6 2 2 2 5 2 4" xfId="12915" xr:uid="{00000000-0005-0000-0000-0000BF310000}"/>
    <cellStyle name="60% - akcent 6 2 2 2 5 2 5" xfId="12916" xr:uid="{00000000-0005-0000-0000-0000C0310000}"/>
    <cellStyle name="60% - akcent 6 2 2 2 5 2 6" xfId="12917" xr:uid="{00000000-0005-0000-0000-0000C1310000}"/>
    <cellStyle name="60% - akcent 6 2 2 2 5 3" xfId="12918" xr:uid="{00000000-0005-0000-0000-0000C2310000}"/>
    <cellStyle name="60% - akcent 6 2 2 2 5 4" xfId="12919" xr:uid="{00000000-0005-0000-0000-0000C3310000}"/>
    <cellStyle name="60% - akcent 6 2 2 2 5 5" xfId="12920" xr:uid="{00000000-0005-0000-0000-0000C4310000}"/>
    <cellStyle name="60% - akcent 6 2 2 2 5 6" xfId="12921" xr:uid="{00000000-0005-0000-0000-0000C5310000}"/>
    <cellStyle name="60% - akcent 6 2 2 2 5 7" xfId="12922" xr:uid="{00000000-0005-0000-0000-0000C6310000}"/>
    <cellStyle name="60% - akcent 6 2 2 2 6" xfId="12923" xr:uid="{00000000-0005-0000-0000-0000C7310000}"/>
    <cellStyle name="60% - akcent 6 2 2 2 7" xfId="12924" xr:uid="{00000000-0005-0000-0000-0000C8310000}"/>
    <cellStyle name="60% - akcent 6 2 2 2 8" xfId="12925" xr:uid="{00000000-0005-0000-0000-0000C9310000}"/>
    <cellStyle name="60% - akcent 6 2 2 2 9" xfId="12926" xr:uid="{00000000-0005-0000-0000-0000CA310000}"/>
    <cellStyle name="60% - akcent 6 2 2 2 9 2" xfId="12927" xr:uid="{00000000-0005-0000-0000-0000CB310000}"/>
    <cellStyle name="60% - akcent 6 2 2 2 9 3" xfId="12928" xr:uid="{00000000-0005-0000-0000-0000CC310000}"/>
    <cellStyle name="60% - akcent 6 2 2 2 9 4" xfId="12929" xr:uid="{00000000-0005-0000-0000-0000CD310000}"/>
    <cellStyle name="60% - akcent 6 2 2 2 9 5" xfId="12930" xr:uid="{00000000-0005-0000-0000-0000CE310000}"/>
    <cellStyle name="60% - akcent 6 2 2 2 9 6" xfId="12931" xr:uid="{00000000-0005-0000-0000-0000CF310000}"/>
    <cellStyle name="60% - akcent 6 2 2 20" xfId="12932" xr:uid="{00000000-0005-0000-0000-0000D0310000}"/>
    <cellStyle name="60% - akcent 6 2 2 3" xfId="12933" xr:uid="{00000000-0005-0000-0000-0000D1310000}"/>
    <cellStyle name="60% - akcent 6 2 2 4" xfId="12934" xr:uid="{00000000-0005-0000-0000-0000D2310000}"/>
    <cellStyle name="60% - akcent 6 2 2 5" xfId="12935" xr:uid="{00000000-0005-0000-0000-0000D3310000}"/>
    <cellStyle name="60% - akcent 6 2 2 6" xfId="12936" xr:uid="{00000000-0005-0000-0000-0000D4310000}"/>
    <cellStyle name="60% - akcent 6 2 2 7" xfId="12937" xr:uid="{00000000-0005-0000-0000-0000D5310000}"/>
    <cellStyle name="60% - akcent 6 2 2 8" xfId="12938" xr:uid="{00000000-0005-0000-0000-0000D6310000}"/>
    <cellStyle name="60% - akcent 6 2 2 9" xfId="12939" xr:uid="{00000000-0005-0000-0000-0000D7310000}"/>
    <cellStyle name="60% - akcent 6 2 20" xfId="12940" xr:uid="{00000000-0005-0000-0000-0000D8310000}"/>
    <cellStyle name="60% - akcent 6 2 21" xfId="12941" xr:uid="{00000000-0005-0000-0000-0000D9310000}"/>
    <cellStyle name="60% - akcent 6 2 21 2" xfId="12942" xr:uid="{00000000-0005-0000-0000-0000DA310000}"/>
    <cellStyle name="60% - akcent 6 2 21 3" xfId="12943" xr:uid="{00000000-0005-0000-0000-0000DB310000}"/>
    <cellStyle name="60% - akcent 6 2 21 4" xfId="12944" xr:uid="{00000000-0005-0000-0000-0000DC310000}"/>
    <cellStyle name="60% - akcent 6 2 21 5" xfId="12945" xr:uid="{00000000-0005-0000-0000-0000DD310000}"/>
    <cellStyle name="60% - akcent 6 2 21 6" xfId="12946" xr:uid="{00000000-0005-0000-0000-0000DE310000}"/>
    <cellStyle name="60% - akcent 6 2 22" xfId="12947" xr:uid="{00000000-0005-0000-0000-0000DF310000}"/>
    <cellStyle name="60% - akcent 6 2 23" xfId="12948" xr:uid="{00000000-0005-0000-0000-0000E0310000}"/>
    <cellStyle name="60% - akcent 6 2 24" xfId="12949" xr:uid="{00000000-0005-0000-0000-0000E1310000}"/>
    <cellStyle name="60% - akcent 6 2 25" xfId="12950" xr:uid="{00000000-0005-0000-0000-0000E2310000}"/>
    <cellStyle name="60% - akcent 6 2 26" xfId="12951" xr:uid="{00000000-0005-0000-0000-0000E3310000}"/>
    <cellStyle name="60% - akcent 6 2 27" xfId="12952" xr:uid="{00000000-0005-0000-0000-0000E4310000}"/>
    <cellStyle name="60% - akcent 6 2 28" xfId="12953" xr:uid="{00000000-0005-0000-0000-0000E5310000}"/>
    <cellStyle name="60% - akcent 6 2 29" xfId="12954" xr:uid="{00000000-0005-0000-0000-0000E6310000}"/>
    <cellStyle name="60% - akcent 6 2 3" xfId="12955" xr:uid="{00000000-0005-0000-0000-0000E7310000}"/>
    <cellStyle name="60% - akcent 6 2 30" xfId="12956" xr:uid="{00000000-0005-0000-0000-0000E8310000}"/>
    <cellStyle name="60% - akcent 6 2 31" xfId="12957" xr:uid="{00000000-0005-0000-0000-0000E9310000}"/>
    <cellStyle name="60% - akcent 6 2 32" xfId="12551" xr:uid="{00000000-0005-0000-0000-0000EA310000}"/>
    <cellStyle name="60% - akcent 6 2 33" xfId="37834" xr:uid="{00000000-0005-0000-0000-0000EB310000}"/>
    <cellStyle name="60% - akcent 6 2 4" xfId="12958" xr:uid="{00000000-0005-0000-0000-0000EC310000}"/>
    <cellStyle name="60% - akcent 6 2 5" xfId="12959" xr:uid="{00000000-0005-0000-0000-0000ED310000}"/>
    <cellStyle name="60% - akcent 6 2 6" xfId="12960" xr:uid="{00000000-0005-0000-0000-0000EE310000}"/>
    <cellStyle name="60% - akcent 6 2 6 10" xfId="12961" xr:uid="{00000000-0005-0000-0000-0000EF310000}"/>
    <cellStyle name="60% - akcent 6 2 6 11" xfId="12962" xr:uid="{00000000-0005-0000-0000-0000F0310000}"/>
    <cellStyle name="60% - akcent 6 2 6 12" xfId="12963" xr:uid="{00000000-0005-0000-0000-0000F1310000}"/>
    <cellStyle name="60% - akcent 6 2 6 13" xfId="12964" xr:uid="{00000000-0005-0000-0000-0000F2310000}"/>
    <cellStyle name="60% - akcent 6 2 6 2" xfId="12965" xr:uid="{00000000-0005-0000-0000-0000F3310000}"/>
    <cellStyle name="60% - akcent 6 2 6 2 10" xfId="12966" xr:uid="{00000000-0005-0000-0000-0000F4310000}"/>
    <cellStyle name="60% - akcent 6 2 6 2 11" xfId="12967" xr:uid="{00000000-0005-0000-0000-0000F5310000}"/>
    <cellStyle name="60% - akcent 6 2 6 2 12" xfId="12968" xr:uid="{00000000-0005-0000-0000-0000F6310000}"/>
    <cellStyle name="60% - akcent 6 2 6 2 13" xfId="12969" xr:uid="{00000000-0005-0000-0000-0000F7310000}"/>
    <cellStyle name="60% - akcent 6 2 6 2 2" xfId="12970" xr:uid="{00000000-0005-0000-0000-0000F8310000}"/>
    <cellStyle name="60% - akcent 6 2 6 2 2 10" xfId="12971" xr:uid="{00000000-0005-0000-0000-0000F9310000}"/>
    <cellStyle name="60% - akcent 6 2 6 2 2 11" xfId="12972" xr:uid="{00000000-0005-0000-0000-0000FA310000}"/>
    <cellStyle name="60% - akcent 6 2 6 2 2 12" xfId="12973" xr:uid="{00000000-0005-0000-0000-0000FB310000}"/>
    <cellStyle name="60% - akcent 6 2 6 2 2 2" xfId="12974" xr:uid="{00000000-0005-0000-0000-0000FC310000}"/>
    <cellStyle name="60% - akcent 6 2 6 2 2 2 10" xfId="12975" xr:uid="{00000000-0005-0000-0000-0000FD310000}"/>
    <cellStyle name="60% - akcent 6 2 6 2 2 2 11" xfId="12976" xr:uid="{00000000-0005-0000-0000-0000FE310000}"/>
    <cellStyle name="60% - akcent 6 2 6 2 2 2 2" xfId="12977" xr:uid="{00000000-0005-0000-0000-0000FF310000}"/>
    <cellStyle name="60% - akcent 6 2 6 2 2 2 2 10" xfId="12978" xr:uid="{00000000-0005-0000-0000-000000320000}"/>
    <cellStyle name="60% - akcent 6 2 6 2 2 2 2 11" xfId="12979" xr:uid="{00000000-0005-0000-0000-000001320000}"/>
    <cellStyle name="60% - akcent 6 2 6 2 2 2 2 2" xfId="12980" xr:uid="{00000000-0005-0000-0000-000002320000}"/>
    <cellStyle name="60% - akcent 6 2 6 2 2 2 2 2 2" xfId="12981" xr:uid="{00000000-0005-0000-0000-000003320000}"/>
    <cellStyle name="60% - akcent 6 2 6 2 2 2 2 2 2 2" xfId="12982" xr:uid="{00000000-0005-0000-0000-000004320000}"/>
    <cellStyle name="60% - akcent 6 2 6 2 2 2 2 2 2 3" xfId="12983" xr:uid="{00000000-0005-0000-0000-000005320000}"/>
    <cellStyle name="60% - akcent 6 2 6 2 2 2 2 2 2 4" xfId="12984" xr:uid="{00000000-0005-0000-0000-000006320000}"/>
    <cellStyle name="60% - akcent 6 2 6 2 2 2 2 2 2 5" xfId="12985" xr:uid="{00000000-0005-0000-0000-000007320000}"/>
    <cellStyle name="60% - akcent 6 2 6 2 2 2 2 2 2 6" xfId="12986" xr:uid="{00000000-0005-0000-0000-000008320000}"/>
    <cellStyle name="60% - akcent 6 2 6 2 2 2 2 2 3" xfId="12987" xr:uid="{00000000-0005-0000-0000-000009320000}"/>
    <cellStyle name="60% - akcent 6 2 6 2 2 2 2 2 4" xfId="12988" xr:uid="{00000000-0005-0000-0000-00000A320000}"/>
    <cellStyle name="60% - akcent 6 2 6 2 2 2 2 2 5" xfId="12989" xr:uid="{00000000-0005-0000-0000-00000B320000}"/>
    <cellStyle name="60% - akcent 6 2 6 2 2 2 2 2 6" xfId="12990" xr:uid="{00000000-0005-0000-0000-00000C320000}"/>
    <cellStyle name="60% - akcent 6 2 6 2 2 2 2 2 7" xfId="12991" xr:uid="{00000000-0005-0000-0000-00000D320000}"/>
    <cellStyle name="60% - akcent 6 2 6 2 2 2 2 3" xfId="12992" xr:uid="{00000000-0005-0000-0000-00000E320000}"/>
    <cellStyle name="60% - akcent 6 2 6 2 2 2 2 4" xfId="12993" xr:uid="{00000000-0005-0000-0000-00000F320000}"/>
    <cellStyle name="60% - akcent 6 2 6 2 2 2 2 5" xfId="12994" xr:uid="{00000000-0005-0000-0000-000010320000}"/>
    <cellStyle name="60% - akcent 6 2 6 2 2 2 2 6" xfId="12995" xr:uid="{00000000-0005-0000-0000-000011320000}"/>
    <cellStyle name="60% - akcent 6 2 6 2 2 2 2 7" xfId="12996" xr:uid="{00000000-0005-0000-0000-000012320000}"/>
    <cellStyle name="60% - akcent 6 2 6 2 2 2 2 7 2" xfId="12997" xr:uid="{00000000-0005-0000-0000-000013320000}"/>
    <cellStyle name="60% - akcent 6 2 6 2 2 2 2 7 3" xfId="12998" xr:uid="{00000000-0005-0000-0000-000014320000}"/>
    <cellStyle name="60% - akcent 6 2 6 2 2 2 2 7 4" xfId="12999" xr:uid="{00000000-0005-0000-0000-000015320000}"/>
    <cellStyle name="60% - akcent 6 2 6 2 2 2 2 7 5" xfId="13000" xr:uid="{00000000-0005-0000-0000-000016320000}"/>
    <cellStyle name="60% - akcent 6 2 6 2 2 2 2 7 6" xfId="13001" xr:uid="{00000000-0005-0000-0000-000017320000}"/>
    <cellStyle name="60% - akcent 6 2 6 2 2 2 2 8" xfId="13002" xr:uid="{00000000-0005-0000-0000-000018320000}"/>
    <cellStyle name="60% - akcent 6 2 6 2 2 2 2 9" xfId="13003" xr:uid="{00000000-0005-0000-0000-000019320000}"/>
    <cellStyle name="60% - akcent 6 2 6 2 2 2 3" xfId="13004" xr:uid="{00000000-0005-0000-0000-00001A320000}"/>
    <cellStyle name="60% - akcent 6 2 6 2 2 2 3 2" xfId="13005" xr:uid="{00000000-0005-0000-0000-00001B320000}"/>
    <cellStyle name="60% - akcent 6 2 6 2 2 2 3 2 2" xfId="13006" xr:uid="{00000000-0005-0000-0000-00001C320000}"/>
    <cellStyle name="60% - akcent 6 2 6 2 2 2 3 2 3" xfId="13007" xr:uid="{00000000-0005-0000-0000-00001D320000}"/>
    <cellStyle name="60% - akcent 6 2 6 2 2 2 3 2 4" xfId="13008" xr:uid="{00000000-0005-0000-0000-00001E320000}"/>
    <cellStyle name="60% - akcent 6 2 6 2 2 2 3 2 5" xfId="13009" xr:uid="{00000000-0005-0000-0000-00001F320000}"/>
    <cellStyle name="60% - akcent 6 2 6 2 2 2 3 2 6" xfId="13010" xr:uid="{00000000-0005-0000-0000-000020320000}"/>
    <cellStyle name="60% - akcent 6 2 6 2 2 2 3 3" xfId="13011" xr:uid="{00000000-0005-0000-0000-000021320000}"/>
    <cellStyle name="60% - akcent 6 2 6 2 2 2 3 4" xfId="13012" xr:uid="{00000000-0005-0000-0000-000022320000}"/>
    <cellStyle name="60% - akcent 6 2 6 2 2 2 3 5" xfId="13013" xr:uid="{00000000-0005-0000-0000-000023320000}"/>
    <cellStyle name="60% - akcent 6 2 6 2 2 2 3 6" xfId="13014" xr:uid="{00000000-0005-0000-0000-000024320000}"/>
    <cellStyle name="60% - akcent 6 2 6 2 2 2 3 7" xfId="13015" xr:uid="{00000000-0005-0000-0000-000025320000}"/>
    <cellStyle name="60% - akcent 6 2 6 2 2 2 4" xfId="13016" xr:uid="{00000000-0005-0000-0000-000026320000}"/>
    <cellStyle name="60% - akcent 6 2 6 2 2 2 5" xfId="13017" xr:uid="{00000000-0005-0000-0000-000027320000}"/>
    <cellStyle name="60% - akcent 6 2 6 2 2 2 6" xfId="13018" xr:uid="{00000000-0005-0000-0000-000028320000}"/>
    <cellStyle name="60% - akcent 6 2 6 2 2 2 7" xfId="13019" xr:uid="{00000000-0005-0000-0000-000029320000}"/>
    <cellStyle name="60% - akcent 6 2 6 2 2 2 7 2" xfId="13020" xr:uid="{00000000-0005-0000-0000-00002A320000}"/>
    <cellStyle name="60% - akcent 6 2 6 2 2 2 7 3" xfId="13021" xr:uid="{00000000-0005-0000-0000-00002B320000}"/>
    <cellStyle name="60% - akcent 6 2 6 2 2 2 7 4" xfId="13022" xr:uid="{00000000-0005-0000-0000-00002C320000}"/>
    <cellStyle name="60% - akcent 6 2 6 2 2 2 7 5" xfId="13023" xr:uid="{00000000-0005-0000-0000-00002D320000}"/>
    <cellStyle name="60% - akcent 6 2 6 2 2 2 7 6" xfId="13024" xr:uid="{00000000-0005-0000-0000-00002E320000}"/>
    <cellStyle name="60% - akcent 6 2 6 2 2 2 8" xfId="13025" xr:uid="{00000000-0005-0000-0000-00002F320000}"/>
    <cellStyle name="60% - akcent 6 2 6 2 2 2 9" xfId="13026" xr:uid="{00000000-0005-0000-0000-000030320000}"/>
    <cellStyle name="60% - akcent 6 2 6 2 2 3" xfId="13027" xr:uid="{00000000-0005-0000-0000-000031320000}"/>
    <cellStyle name="60% - akcent 6 2 6 2 2 3 2" xfId="13028" xr:uid="{00000000-0005-0000-0000-000032320000}"/>
    <cellStyle name="60% - akcent 6 2 6 2 2 3 2 2" xfId="13029" xr:uid="{00000000-0005-0000-0000-000033320000}"/>
    <cellStyle name="60% - akcent 6 2 6 2 2 3 2 3" xfId="13030" xr:uid="{00000000-0005-0000-0000-000034320000}"/>
    <cellStyle name="60% - akcent 6 2 6 2 2 3 2 4" xfId="13031" xr:uid="{00000000-0005-0000-0000-000035320000}"/>
    <cellStyle name="60% - akcent 6 2 6 2 2 3 2 5" xfId="13032" xr:uid="{00000000-0005-0000-0000-000036320000}"/>
    <cellStyle name="60% - akcent 6 2 6 2 2 3 2 6" xfId="13033" xr:uid="{00000000-0005-0000-0000-000037320000}"/>
    <cellStyle name="60% - akcent 6 2 6 2 2 3 3" xfId="13034" xr:uid="{00000000-0005-0000-0000-000038320000}"/>
    <cellStyle name="60% - akcent 6 2 6 2 2 3 4" xfId="13035" xr:uid="{00000000-0005-0000-0000-000039320000}"/>
    <cellStyle name="60% - akcent 6 2 6 2 2 3 5" xfId="13036" xr:uid="{00000000-0005-0000-0000-00003A320000}"/>
    <cellStyle name="60% - akcent 6 2 6 2 2 3 6" xfId="13037" xr:uid="{00000000-0005-0000-0000-00003B320000}"/>
    <cellStyle name="60% - akcent 6 2 6 2 2 3 7" xfId="13038" xr:uid="{00000000-0005-0000-0000-00003C320000}"/>
    <cellStyle name="60% - akcent 6 2 6 2 2 4" xfId="13039" xr:uid="{00000000-0005-0000-0000-00003D320000}"/>
    <cellStyle name="60% - akcent 6 2 6 2 2 5" xfId="13040" xr:uid="{00000000-0005-0000-0000-00003E320000}"/>
    <cellStyle name="60% - akcent 6 2 6 2 2 6" xfId="13041" xr:uid="{00000000-0005-0000-0000-00003F320000}"/>
    <cellStyle name="60% - akcent 6 2 6 2 2 7" xfId="13042" xr:uid="{00000000-0005-0000-0000-000040320000}"/>
    <cellStyle name="60% - akcent 6 2 6 2 2 8" xfId="13043" xr:uid="{00000000-0005-0000-0000-000041320000}"/>
    <cellStyle name="60% - akcent 6 2 6 2 2 8 2" xfId="13044" xr:uid="{00000000-0005-0000-0000-000042320000}"/>
    <cellStyle name="60% - akcent 6 2 6 2 2 8 3" xfId="13045" xr:uid="{00000000-0005-0000-0000-000043320000}"/>
    <cellStyle name="60% - akcent 6 2 6 2 2 8 4" xfId="13046" xr:uid="{00000000-0005-0000-0000-000044320000}"/>
    <cellStyle name="60% - akcent 6 2 6 2 2 8 5" xfId="13047" xr:uid="{00000000-0005-0000-0000-000045320000}"/>
    <cellStyle name="60% - akcent 6 2 6 2 2 8 6" xfId="13048" xr:uid="{00000000-0005-0000-0000-000046320000}"/>
    <cellStyle name="60% - akcent 6 2 6 2 2 9" xfId="13049" xr:uid="{00000000-0005-0000-0000-000047320000}"/>
    <cellStyle name="60% - akcent 6 2 6 2 3" xfId="13050" xr:uid="{00000000-0005-0000-0000-000048320000}"/>
    <cellStyle name="60% - akcent 6 2 6 2 4" xfId="13051" xr:uid="{00000000-0005-0000-0000-000049320000}"/>
    <cellStyle name="60% - akcent 6 2 6 2 4 10" xfId="13052" xr:uid="{00000000-0005-0000-0000-00004A320000}"/>
    <cellStyle name="60% - akcent 6 2 6 2 4 11" xfId="13053" xr:uid="{00000000-0005-0000-0000-00004B320000}"/>
    <cellStyle name="60% - akcent 6 2 6 2 4 2" xfId="13054" xr:uid="{00000000-0005-0000-0000-00004C320000}"/>
    <cellStyle name="60% - akcent 6 2 6 2 4 2 2" xfId="13055" xr:uid="{00000000-0005-0000-0000-00004D320000}"/>
    <cellStyle name="60% - akcent 6 2 6 2 4 2 2 2" xfId="13056" xr:uid="{00000000-0005-0000-0000-00004E320000}"/>
    <cellStyle name="60% - akcent 6 2 6 2 4 2 2 3" xfId="13057" xr:uid="{00000000-0005-0000-0000-00004F320000}"/>
    <cellStyle name="60% - akcent 6 2 6 2 4 2 2 4" xfId="13058" xr:uid="{00000000-0005-0000-0000-000050320000}"/>
    <cellStyle name="60% - akcent 6 2 6 2 4 2 2 5" xfId="13059" xr:uid="{00000000-0005-0000-0000-000051320000}"/>
    <cellStyle name="60% - akcent 6 2 6 2 4 2 2 6" xfId="13060" xr:uid="{00000000-0005-0000-0000-000052320000}"/>
    <cellStyle name="60% - akcent 6 2 6 2 4 2 3" xfId="13061" xr:uid="{00000000-0005-0000-0000-000053320000}"/>
    <cellStyle name="60% - akcent 6 2 6 2 4 2 4" xfId="13062" xr:uid="{00000000-0005-0000-0000-000054320000}"/>
    <cellStyle name="60% - akcent 6 2 6 2 4 2 5" xfId="13063" xr:uid="{00000000-0005-0000-0000-000055320000}"/>
    <cellStyle name="60% - akcent 6 2 6 2 4 2 6" xfId="13064" xr:uid="{00000000-0005-0000-0000-000056320000}"/>
    <cellStyle name="60% - akcent 6 2 6 2 4 2 7" xfId="13065" xr:uid="{00000000-0005-0000-0000-000057320000}"/>
    <cellStyle name="60% - akcent 6 2 6 2 4 3" xfId="13066" xr:uid="{00000000-0005-0000-0000-000058320000}"/>
    <cellStyle name="60% - akcent 6 2 6 2 4 4" xfId="13067" xr:uid="{00000000-0005-0000-0000-000059320000}"/>
    <cellStyle name="60% - akcent 6 2 6 2 4 5" xfId="13068" xr:uid="{00000000-0005-0000-0000-00005A320000}"/>
    <cellStyle name="60% - akcent 6 2 6 2 4 6" xfId="13069" xr:uid="{00000000-0005-0000-0000-00005B320000}"/>
    <cellStyle name="60% - akcent 6 2 6 2 4 7" xfId="13070" xr:uid="{00000000-0005-0000-0000-00005C320000}"/>
    <cellStyle name="60% - akcent 6 2 6 2 4 7 2" xfId="13071" xr:uid="{00000000-0005-0000-0000-00005D320000}"/>
    <cellStyle name="60% - akcent 6 2 6 2 4 7 3" xfId="13072" xr:uid="{00000000-0005-0000-0000-00005E320000}"/>
    <cellStyle name="60% - akcent 6 2 6 2 4 7 4" xfId="13073" xr:uid="{00000000-0005-0000-0000-00005F320000}"/>
    <cellStyle name="60% - akcent 6 2 6 2 4 7 5" xfId="13074" xr:uid="{00000000-0005-0000-0000-000060320000}"/>
    <cellStyle name="60% - akcent 6 2 6 2 4 7 6" xfId="13075" xr:uid="{00000000-0005-0000-0000-000061320000}"/>
    <cellStyle name="60% - akcent 6 2 6 2 4 8" xfId="13076" xr:uid="{00000000-0005-0000-0000-000062320000}"/>
    <cellStyle name="60% - akcent 6 2 6 2 4 9" xfId="13077" xr:uid="{00000000-0005-0000-0000-000063320000}"/>
    <cellStyle name="60% - akcent 6 2 6 2 5" xfId="13078" xr:uid="{00000000-0005-0000-0000-000064320000}"/>
    <cellStyle name="60% - akcent 6 2 6 2 5 2" xfId="13079" xr:uid="{00000000-0005-0000-0000-000065320000}"/>
    <cellStyle name="60% - akcent 6 2 6 2 5 2 2" xfId="13080" xr:uid="{00000000-0005-0000-0000-000066320000}"/>
    <cellStyle name="60% - akcent 6 2 6 2 5 2 3" xfId="13081" xr:uid="{00000000-0005-0000-0000-000067320000}"/>
    <cellStyle name="60% - akcent 6 2 6 2 5 2 4" xfId="13082" xr:uid="{00000000-0005-0000-0000-000068320000}"/>
    <cellStyle name="60% - akcent 6 2 6 2 5 2 5" xfId="13083" xr:uid="{00000000-0005-0000-0000-000069320000}"/>
    <cellStyle name="60% - akcent 6 2 6 2 5 2 6" xfId="13084" xr:uid="{00000000-0005-0000-0000-00006A320000}"/>
    <cellStyle name="60% - akcent 6 2 6 2 5 3" xfId="13085" xr:uid="{00000000-0005-0000-0000-00006B320000}"/>
    <cellStyle name="60% - akcent 6 2 6 2 5 4" xfId="13086" xr:uid="{00000000-0005-0000-0000-00006C320000}"/>
    <cellStyle name="60% - akcent 6 2 6 2 5 5" xfId="13087" xr:uid="{00000000-0005-0000-0000-00006D320000}"/>
    <cellStyle name="60% - akcent 6 2 6 2 5 6" xfId="13088" xr:uid="{00000000-0005-0000-0000-00006E320000}"/>
    <cellStyle name="60% - akcent 6 2 6 2 5 7" xfId="13089" xr:uid="{00000000-0005-0000-0000-00006F320000}"/>
    <cellStyle name="60% - akcent 6 2 6 2 6" xfId="13090" xr:uid="{00000000-0005-0000-0000-000070320000}"/>
    <cellStyle name="60% - akcent 6 2 6 2 7" xfId="13091" xr:uid="{00000000-0005-0000-0000-000071320000}"/>
    <cellStyle name="60% - akcent 6 2 6 2 8" xfId="13092" xr:uid="{00000000-0005-0000-0000-000072320000}"/>
    <cellStyle name="60% - akcent 6 2 6 2 9" xfId="13093" xr:uid="{00000000-0005-0000-0000-000073320000}"/>
    <cellStyle name="60% - akcent 6 2 6 2 9 2" xfId="13094" xr:uid="{00000000-0005-0000-0000-000074320000}"/>
    <cellStyle name="60% - akcent 6 2 6 2 9 3" xfId="13095" xr:uid="{00000000-0005-0000-0000-000075320000}"/>
    <cellStyle name="60% - akcent 6 2 6 2 9 4" xfId="13096" xr:uid="{00000000-0005-0000-0000-000076320000}"/>
    <cellStyle name="60% - akcent 6 2 6 2 9 5" xfId="13097" xr:uid="{00000000-0005-0000-0000-000077320000}"/>
    <cellStyle name="60% - akcent 6 2 6 2 9 6" xfId="13098" xr:uid="{00000000-0005-0000-0000-000078320000}"/>
    <cellStyle name="60% - akcent 6 2 6 3" xfId="13099" xr:uid="{00000000-0005-0000-0000-000079320000}"/>
    <cellStyle name="60% - akcent 6 2 6 3 10" xfId="13100" xr:uid="{00000000-0005-0000-0000-00007A320000}"/>
    <cellStyle name="60% - akcent 6 2 6 3 11" xfId="13101" xr:uid="{00000000-0005-0000-0000-00007B320000}"/>
    <cellStyle name="60% - akcent 6 2 6 3 12" xfId="13102" xr:uid="{00000000-0005-0000-0000-00007C320000}"/>
    <cellStyle name="60% - akcent 6 2 6 3 2" xfId="13103" xr:uid="{00000000-0005-0000-0000-00007D320000}"/>
    <cellStyle name="60% - akcent 6 2 6 3 2 10" xfId="13104" xr:uid="{00000000-0005-0000-0000-00007E320000}"/>
    <cellStyle name="60% - akcent 6 2 6 3 2 11" xfId="13105" xr:uid="{00000000-0005-0000-0000-00007F320000}"/>
    <cellStyle name="60% - akcent 6 2 6 3 2 2" xfId="13106" xr:uid="{00000000-0005-0000-0000-000080320000}"/>
    <cellStyle name="60% - akcent 6 2 6 3 2 2 10" xfId="13107" xr:uid="{00000000-0005-0000-0000-000081320000}"/>
    <cellStyle name="60% - akcent 6 2 6 3 2 2 11" xfId="13108" xr:uid="{00000000-0005-0000-0000-000082320000}"/>
    <cellStyle name="60% - akcent 6 2 6 3 2 2 2" xfId="13109" xr:uid="{00000000-0005-0000-0000-000083320000}"/>
    <cellStyle name="60% - akcent 6 2 6 3 2 2 2 2" xfId="13110" xr:uid="{00000000-0005-0000-0000-000084320000}"/>
    <cellStyle name="60% - akcent 6 2 6 3 2 2 2 2 2" xfId="13111" xr:uid="{00000000-0005-0000-0000-000085320000}"/>
    <cellStyle name="60% - akcent 6 2 6 3 2 2 2 2 3" xfId="13112" xr:uid="{00000000-0005-0000-0000-000086320000}"/>
    <cellStyle name="60% - akcent 6 2 6 3 2 2 2 2 4" xfId="13113" xr:uid="{00000000-0005-0000-0000-000087320000}"/>
    <cellStyle name="60% - akcent 6 2 6 3 2 2 2 2 5" xfId="13114" xr:uid="{00000000-0005-0000-0000-000088320000}"/>
    <cellStyle name="60% - akcent 6 2 6 3 2 2 2 2 6" xfId="13115" xr:uid="{00000000-0005-0000-0000-000089320000}"/>
    <cellStyle name="60% - akcent 6 2 6 3 2 2 2 3" xfId="13116" xr:uid="{00000000-0005-0000-0000-00008A320000}"/>
    <cellStyle name="60% - akcent 6 2 6 3 2 2 2 4" xfId="13117" xr:uid="{00000000-0005-0000-0000-00008B320000}"/>
    <cellStyle name="60% - akcent 6 2 6 3 2 2 2 5" xfId="13118" xr:uid="{00000000-0005-0000-0000-00008C320000}"/>
    <cellStyle name="60% - akcent 6 2 6 3 2 2 2 6" xfId="13119" xr:uid="{00000000-0005-0000-0000-00008D320000}"/>
    <cellStyle name="60% - akcent 6 2 6 3 2 2 2 7" xfId="13120" xr:uid="{00000000-0005-0000-0000-00008E320000}"/>
    <cellStyle name="60% - akcent 6 2 6 3 2 2 3" xfId="13121" xr:uid="{00000000-0005-0000-0000-00008F320000}"/>
    <cellStyle name="60% - akcent 6 2 6 3 2 2 4" xfId="13122" xr:uid="{00000000-0005-0000-0000-000090320000}"/>
    <cellStyle name="60% - akcent 6 2 6 3 2 2 5" xfId="13123" xr:uid="{00000000-0005-0000-0000-000091320000}"/>
    <cellStyle name="60% - akcent 6 2 6 3 2 2 6" xfId="13124" xr:uid="{00000000-0005-0000-0000-000092320000}"/>
    <cellStyle name="60% - akcent 6 2 6 3 2 2 7" xfId="13125" xr:uid="{00000000-0005-0000-0000-000093320000}"/>
    <cellStyle name="60% - akcent 6 2 6 3 2 2 7 2" xfId="13126" xr:uid="{00000000-0005-0000-0000-000094320000}"/>
    <cellStyle name="60% - akcent 6 2 6 3 2 2 7 3" xfId="13127" xr:uid="{00000000-0005-0000-0000-000095320000}"/>
    <cellStyle name="60% - akcent 6 2 6 3 2 2 7 4" xfId="13128" xr:uid="{00000000-0005-0000-0000-000096320000}"/>
    <cellStyle name="60% - akcent 6 2 6 3 2 2 7 5" xfId="13129" xr:uid="{00000000-0005-0000-0000-000097320000}"/>
    <cellStyle name="60% - akcent 6 2 6 3 2 2 7 6" xfId="13130" xr:uid="{00000000-0005-0000-0000-000098320000}"/>
    <cellStyle name="60% - akcent 6 2 6 3 2 2 8" xfId="13131" xr:uid="{00000000-0005-0000-0000-000099320000}"/>
    <cellStyle name="60% - akcent 6 2 6 3 2 2 9" xfId="13132" xr:uid="{00000000-0005-0000-0000-00009A320000}"/>
    <cellStyle name="60% - akcent 6 2 6 3 2 3" xfId="13133" xr:uid="{00000000-0005-0000-0000-00009B320000}"/>
    <cellStyle name="60% - akcent 6 2 6 3 2 3 2" xfId="13134" xr:uid="{00000000-0005-0000-0000-00009C320000}"/>
    <cellStyle name="60% - akcent 6 2 6 3 2 3 2 2" xfId="13135" xr:uid="{00000000-0005-0000-0000-00009D320000}"/>
    <cellStyle name="60% - akcent 6 2 6 3 2 3 2 3" xfId="13136" xr:uid="{00000000-0005-0000-0000-00009E320000}"/>
    <cellStyle name="60% - akcent 6 2 6 3 2 3 2 4" xfId="13137" xr:uid="{00000000-0005-0000-0000-00009F320000}"/>
    <cellStyle name="60% - akcent 6 2 6 3 2 3 2 5" xfId="13138" xr:uid="{00000000-0005-0000-0000-0000A0320000}"/>
    <cellStyle name="60% - akcent 6 2 6 3 2 3 2 6" xfId="13139" xr:uid="{00000000-0005-0000-0000-0000A1320000}"/>
    <cellStyle name="60% - akcent 6 2 6 3 2 3 3" xfId="13140" xr:uid="{00000000-0005-0000-0000-0000A2320000}"/>
    <cellStyle name="60% - akcent 6 2 6 3 2 3 4" xfId="13141" xr:uid="{00000000-0005-0000-0000-0000A3320000}"/>
    <cellStyle name="60% - akcent 6 2 6 3 2 3 5" xfId="13142" xr:uid="{00000000-0005-0000-0000-0000A4320000}"/>
    <cellStyle name="60% - akcent 6 2 6 3 2 3 6" xfId="13143" xr:uid="{00000000-0005-0000-0000-0000A5320000}"/>
    <cellStyle name="60% - akcent 6 2 6 3 2 3 7" xfId="13144" xr:uid="{00000000-0005-0000-0000-0000A6320000}"/>
    <cellStyle name="60% - akcent 6 2 6 3 2 4" xfId="13145" xr:uid="{00000000-0005-0000-0000-0000A7320000}"/>
    <cellStyle name="60% - akcent 6 2 6 3 2 5" xfId="13146" xr:uid="{00000000-0005-0000-0000-0000A8320000}"/>
    <cellStyle name="60% - akcent 6 2 6 3 2 6" xfId="13147" xr:uid="{00000000-0005-0000-0000-0000A9320000}"/>
    <cellStyle name="60% - akcent 6 2 6 3 2 7" xfId="13148" xr:uid="{00000000-0005-0000-0000-0000AA320000}"/>
    <cellStyle name="60% - akcent 6 2 6 3 2 7 2" xfId="13149" xr:uid="{00000000-0005-0000-0000-0000AB320000}"/>
    <cellStyle name="60% - akcent 6 2 6 3 2 7 3" xfId="13150" xr:uid="{00000000-0005-0000-0000-0000AC320000}"/>
    <cellStyle name="60% - akcent 6 2 6 3 2 7 4" xfId="13151" xr:uid="{00000000-0005-0000-0000-0000AD320000}"/>
    <cellStyle name="60% - akcent 6 2 6 3 2 7 5" xfId="13152" xr:uid="{00000000-0005-0000-0000-0000AE320000}"/>
    <cellStyle name="60% - akcent 6 2 6 3 2 7 6" xfId="13153" xr:uid="{00000000-0005-0000-0000-0000AF320000}"/>
    <cellStyle name="60% - akcent 6 2 6 3 2 8" xfId="13154" xr:uid="{00000000-0005-0000-0000-0000B0320000}"/>
    <cellStyle name="60% - akcent 6 2 6 3 2 9" xfId="13155" xr:uid="{00000000-0005-0000-0000-0000B1320000}"/>
    <cellStyle name="60% - akcent 6 2 6 3 3" xfId="13156" xr:uid="{00000000-0005-0000-0000-0000B2320000}"/>
    <cellStyle name="60% - akcent 6 2 6 3 3 2" xfId="13157" xr:uid="{00000000-0005-0000-0000-0000B3320000}"/>
    <cellStyle name="60% - akcent 6 2 6 3 3 2 2" xfId="13158" xr:uid="{00000000-0005-0000-0000-0000B4320000}"/>
    <cellStyle name="60% - akcent 6 2 6 3 3 2 3" xfId="13159" xr:uid="{00000000-0005-0000-0000-0000B5320000}"/>
    <cellStyle name="60% - akcent 6 2 6 3 3 2 4" xfId="13160" xr:uid="{00000000-0005-0000-0000-0000B6320000}"/>
    <cellStyle name="60% - akcent 6 2 6 3 3 2 5" xfId="13161" xr:uid="{00000000-0005-0000-0000-0000B7320000}"/>
    <cellStyle name="60% - akcent 6 2 6 3 3 2 6" xfId="13162" xr:uid="{00000000-0005-0000-0000-0000B8320000}"/>
    <cellStyle name="60% - akcent 6 2 6 3 3 3" xfId="13163" xr:uid="{00000000-0005-0000-0000-0000B9320000}"/>
    <cellStyle name="60% - akcent 6 2 6 3 3 4" xfId="13164" xr:uid="{00000000-0005-0000-0000-0000BA320000}"/>
    <cellStyle name="60% - akcent 6 2 6 3 3 5" xfId="13165" xr:uid="{00000000-0005-0000-0000-0000BB320000}"/>
    <cellStyle name="60% - akcent 6 2 6 3 3 6" xfId="13166" xr:uid="{00000000-0005-0000-0000-0000BC320000}"/>
    <cellStyle name="60% - akcent 6 2 6 3 3 7" xfId="13167" xr:uid="{00000000-0005-0000-0000-0000BD320000}"/>
    <cellStyle name="60% - akcent 6 2 6 3 4" xfId="13168" xr:uid="{00000000-0005-0000-0000-0000BE320000}"/>
    <cellStyle name="60% - akcent 6 2 6 3 5" xfId="13169" xr:uid="{00000000-0005-0000-0000-0000BF320000}"/>
    <cellStyle name="60% - akcent 6 2 6 3 6" xfId="13170" xr:uid="{00000000-0005-0000-0000-0000C0320000}"/>
    <cellStyle name="60% - akcent 6 2 6 3 7" xfId="13171" xr:uid="{00000000-0005-0000-0000-0000C1320000}"/>
    <cellStyle name="60% - akcent 6 2 6 3 8" xfId="13172" xr:uid="{00000000-0005-0000-0000-0000C2320000}"/>
    <cellStyle name="60% - akcent 6 2 6 3 8 2" xfId="13173" xr:uid="{00000000-0005-0000-0000-0000C3320000}"/>
    <cellStyle name="60% - akcent 6 2 6 3 8 3" xfId="13174" xr:uid="{00000000-0005-0000-0000-0000C4320000}"/>
    <cellStyle name="60% - akcent 6 2 6 3 8 4" xfId="13175" xr:uid="{00000000-0005-0000-0000-0000C5320000}"/>
    <cellStyle name="60% - akcent 6 2 6 3 8 5" xfId="13176" xr:uid="{00000000-0005-0000-0000-0000C6320000}"/>
    <cellStyle name="60% - akcent 6 2 6 3 8 6" xfId="13177" xr:uid="{00000000-0005-0000-0000-0000C7320000}"/>
    <cellStyle name="60% - akcent 6 2 6 3 9" xfId="13178" xr:uid="{00000000-0005-0000-0000-0000C8320000}"/>
    <cellStyle name="60% - akcent 6 2 6 4" xfId="13179" xr:uid="{00000000-0005-0000-0000-0000C9320000}"/>
    <cellStyle name="60% - akcent 6 2 6 4 10" xfId="13180" xr:uid="{00000000-0005-0000-0000-0000CA320000}"/>
    <cellStyle name="60% - akcent 6 2 6 4 11" xfId="13181" xr:uid="{00000000-0005-0000-0000-0000CB320000}"/>
    <cellStyle name="60% - akcent 6 2 6 4 2" xfId="13182" xr:uid="{00000000-0005-0000-0000-0000CC320000}"/>
    <cellStyle name="60% - akcent 6 2 6 4 2 2" xfId="13183" xr:uid="{00000000-0005-0000-0000-0000CD320000}"/>
    <cellStyle name="60% - akcent 6 2 6 4 2 2 2" xfId="13184" xr:uid="{00000000-0005-0000-0000-0000CE320000}"/>
    <cellStyle name="60% - akcent 6 2 6 4 2 2 3" xfId="13185" xr:uid="{00000000-0005-0000-0000-0000CF320000}"/>
    <cellStyle name="60% - akcent 6 2 6 4 2 2 4" xfId="13186" xr:uid="{00000000-0005-0000-0000-0000D0320000}"/>
    <cellStyle name="60% - akcent 6 2 6 4 2 2 5" xfId="13187" xr:uid="{00000000-0005-0000-0000-0000D1320000}"/>
    <cellStyle name="60% - akcent 6 2 6 4 2 2 6" xfId="13188" xr:uid="{00000000-0005-0000-0000-0000D2320000}"/>
    <cellStyle name="60% - akcent 6 2 6 4 2 3" xfId="13189" xr:uid="{00000000-0005-0000-0000-0000D3320000}"/>
    <cellStyle name="60% - akcent 6 2 6 4 2 4" xfId="13190" xr:uid="{00000000-0005-0000-0000-0000D4320000}"/>
    <cellStyle name="60% - akcent 6 2 6 4 2 5" xfId="13191" xr:uid="{00000000-0005-0000-0000-0000D5320000}"/>
    <cellStyle name="60% - akcent 6 2 6 4 2 6" xfId="13192" xr:uid="{00000000-0005-0000-0000-0000D6320000}"/>
    <cellStyle name="60% - akcent 6 2 6 4 2 7" xfId="13193" xr:uid="{00000000-0005-0000-0000-0000D7320000}"/>
    <cellStyle name="60% - akcent 6 2 6 4 3" xfId="13194" xr:uid="{00000000-0005-0000-0000-0000D8320000}"/>
    <cellStyle name="60% - akcent 6 2 6 4 4" xfId="13195" xr:uid="{00000000-0005-0000-0000-0000D9320000}"/>
    <cellStyle name="60% - akcent 6 2 6 4 5" xfId="13196" xr:uid="{00000000-0005-0000-0000-0000DA320000}"/>
    <cellStyle name="60% - akcent 6 2 6 4 6" xfId="13197" xr:uid="{00000000-0005-0000-0000-0000DB320000}"/>
    <cellStyle name="60% - akcent 6 2 6 4 7" xfId="13198" xr:uid="{00000000-0005-0000-0000-0000DC320000}"/>
    <cellStyle name="60% - akcent 6 2 6 4 7 2" xfId="13199" xr:uid="{00000000-0005-0000-0000-0000DD320000}"/>
    <cellStyle name="60% - akcent 6 2 6 4 7 3" xfId="13200" xr:uid="{00000000-0005-0000-0000-0000DE320000}"/>
    <cellStyle name="60% - akcent 6 2 6 4 7 4" xfId="13201" xr:uid="{00000000-0005-0000-0000-0000DF320000}"/>
    <cellStyle name="60% - akcent 6 2 6 4 7 5" xfId="13202" xr:uid="{00000000-0005-0000-0000-0000E0320000}"/>
    <cellStyle name="60% - akcent 6 2 6 4 7 6" xfId="13203" xr:uid="{00000000-0005-0000-0000-0000E1320000}"/>
    <cellStyle name="60% - akcent 6 2 6 4 8" xfId="13204" xr:uid="{00000000-0005-0000-0000-0000E2320000}"/>
    <cellStyle name="60% - akcent 6 2 6 4 9" xfId="13205" xr:uid="{00000000-0005-0000-0000-0000E3320000}"/>
    <cellStyle name="60% - akcent 6 2 6 5" xfId="13206" xr:uid="{00000000-0005-0000-0000-0000E4320000}"/>
    <cellStyle name="60% - akcent 6 2 6 5 2" xfId="13207" xr:uid="{00000000-0005-0000-0000-0000E5320000}"/>
    <cellStyle name="60% - akcent 6 2 6 5 2 2" xfId="13208" xr:uid="{00000000-0005-0000-0000-0000E6320000}"/>
    <cellStyle name="60% - akcent 6 2 6 5 2 3" xfId="13209" xr:uid="{00000000-0005-0000-0000-0000E7320000}"/>
    <cellStyle name="60% - akcent 6 2 6 5 2 4" xfId="13210" xr:uid="{00000000-0005-0000-0000-0000E8320000}"/>
    <cellStyle name="60% - akcent 6 2 6 5 2 5" xfId="13211" xr:uid="{00000000-0005-0000-0000-0000E9320000}"/>
    <cellStyle name="60% - akcent 6 2 6 5 2 6" xfId="13212" xr:uid="{00000000-0005-0000-0000-0000EA320000}"/>
    <cellStyle name="60% - akcent 6 2 6 5 3" xfId="13213" xr:uid="{00000000-0005-0000-0000-0000EB320000}"/>
    <cellStyle name="60% - akcent 6 2 6 5 4" xfId="13214" xr:uid="{00000000-0005-0000-0000-0000EC320000}"/>
    <cellStyle name="60% - akcent 6 2 6 5 5" xfId="13215" xr:uid="{00000000-0005-0000-0000-0000ED320000}"/>
    <cellStyle name="60% - akcent 6 2 6 5 6" xfId="13216" xr:uid="{00000000-0005-0000-0000-0000EE320000}"/>
    <cellStyle name="60% - akcent 6 2 6 5 7" xfId="13217" xr:uid="{00000000-0005-0000-0000-0000EF320000}"/>
    <cellStyle name="60% - akcent 6 2 6 6" xfId="13218" xr:uid="{00000000-0005-0000-0000-0000F0320000}"/>
    <cellStyle name="60% - akcent 6 2 6 7" xfId="13219" xr:uid="{00000000-0005-0000-0000-0000F1320000}"/>
    <cellStyle name="60% - akcent 6 2 6 8" xfId="13220" xr:uid="{00000000-0005-0000-0000-0000F2320000}"/>
    <cellStyle name="60% - akcent 6 2 6 9" xfId="13221" xr:uid="{00000000-0005-0000-0000-0000F3320000}"/>
    <cellStyle name="60% - akcent 6 2 6 9 2" xfId="13222" xr:uid="{00000000-0005-0000-0000-0000F4320000}"/>
    <cellStyle name="60% - akcent 6 2 6 9 3" xfId="13223" xr:uid="{00000000-0005-0000-0000-0000F5320000}"/>
    <cellStyle name="60% - akcent 6 2 6 9 4" xfId="13224" xr:uid="{00000000-0005-0000-0000-0000F6320000}"/>
    <cellStyle name="60% - akcent 6 2 6 9 5" xfId="13225" xr:uid="{00000000-0005-0000-0000-0000F7320000}"/>
    <cellStyle name="60% - akcent 6 2 6 9 6" xfId="13226" xr:uid="{00000000-0005-0000-0000-0000F8320000}"/>
    <cellStyle name="60% - akcent 6 2 7" xfId="13227" xr:uid="{00000000-0005-0000-0000-0000F9320000}"/>
    <cellStyle name="60% - akcent 6 2 8" xfId="13228" xr:uid="{00000000-0005-0000-0000-0000FA320000}"/>
    <cellStyle name="60% - akcent 6 2 8 10" xfId="13229" xr:uid="{00000000-0005-0000-0000-0000FB320000}"/>
    <cellStyle name="60% - akcent 6 2 8 11" xfId="13230" xr:uid="{00000000-0005-0000-0000-0000FC320000}"/>
    <cellStyle name="60% - akcent 6 2 8 12" xfId="13231" xr:uid="{00000000-0005-0000-0000-0000FD320000}"/>
    <cellStyle name="60% - akcent 6 2 8 13" xfId="13232" xr:uid="{00000000-0005-0000-0000-0000FE320000}"/>
    <cellStyle name="60% - akcent 6 2 8 2" xfId="13233" xr:uid="{00000000-0005-0000-0000-0000FF320000}"/>
    <cellStyle name="60% - akcent 6 2 8 2 10" xfId="13234" xr:uid="{00000000-0005-0000-0000-000000330000}"/>
    <cellStyle name="60% - akcent 6 2 8 2 11" xfId="13235" xr:uid="{00000000-0005-0000-0000-000001330000}"/>
    <cellStyle name="60% - akcent 6 2 8 2 12" xfId="13236" xr:uid="{00000000-0005-0000-0000-000002330000}"/>
    <cellStyle name="60% - akcent 6 2 8 2 2" xfId="13237" xr:uid="{00000000-0005-0000-0000-000003330000}"/>
    <cellStyle name="60% - akcent 6 2 8 2 2 10" xfId="13238" xr:uid="{00000000-0005-0000-0000-000004330000}"/>
    <cellStyle name="60% - akcent 6 2 8 2 2 11" xfId="13239" xr:uid="{00000000-0005-0000-0000-000005330000}"/>
    <cellStyle name="60% - akcent 6 2 8 2 2 2" xfId="13240" xr:uid="{00000000-0005-0000-0000-000006330000}"/>
    <cellStyle name="60% - akcent 6 2 8 2 2 2 10" xfId="13241" xr:uid="{00000000-0005-0000-0000-000007330000}"/>
    <cellStyle name="60% - akcent 6 2 8 2 2 2 11" xfId="13242" xr:uid="{00000000-0005-0000-0000-000008330000}"/>
    <cellStyle name="60% - akcent 6 2 8 2 2 2 2" xfId="13243" xr:uid="{00000000-0005-0000-0000-000009330000}"/>
    <cellStyle name="60% - akcent 6 2 8 2 2 2 2 2" xfId="13244" xr:uid="{00000000-0005-0000-0000-00000A330000}"/>
    <cellStyle name="60% - akcent 6 2 8 2 2 2 2 2 2" xfId="13245" xr:uid="{00000000-0005-0000-0000-00000B330000}"/>
    <cellStyle name="60% - akcent 6 2 8 2 2 2 2 2 3" xfId="13246" xr:uid="{00000000-0005-0000-0000-00000C330000}"/>
    <cellStyle name="60% - akcent 6 2 8 2 2 2 2 2 4" xfId="13247" xr:uid="{00000000-0005-0000-0000-00000D330000}"/>
    <cellStyle name="60% - akcent 6 2 8 2 2 2 2 2 5" xfId="13248" xr:uid="{00000000-0005-0000-0000-00000E330000}"/>
    <cellStyle name="60% - akcent 6 2 8 2 2 2 2 2 6" xfId="13249" xr:uid="{00000000-0005-0000-0000-00000F330000}"/>
    <cellStyle name="60% - akcent 6 2 8 2 2 2 2 3" xfId="13250" xr:uid="{00000000-0005-0000-0000-000010330000}"/>
    <cellStyle name="60% - akcent 6 2 8 2 2 2 2 4" xfId="13251" xr:uid="{00000000-0005-0000-0000-000011330000}"/>
    <cellStyle name="60% - akcent 6 2 8 2 2 2 2 5" xfId="13252" xr:uid="{00000000-0005-0000-0000-000012330000}"/>
    <cellStyle name="60% - akcent 6 2 8 2 2 2 2 6" xfId="13253" xr:uid="{00000000-0005-0000-0000-000013330000}"/>
    <cellStyle name="60% - akcent 6 2 8 2 2 2 2 7" xfId="13254" xr:uid="{00000000-0005-0000-0000-000014330000}"/>
    <cellStyle name="60% - akcent 6 2 8 2 2 2 3" xfId="13255" xr:uid="{00000000-0005-0000-0000-000015330000}"/>
    <cellStyle name="60% - akcent 6 2 8 2 2 2 4" xfId="13256" xr:uid="{00000000-0005-0000-0000-000016330000}"/>
    <cellStyle name="60% - akcent 6 2 8 2 2 2 5" xfId="13257" xr:uid="{00000000-0005-0000-0000-000017330000}"/>
    <cellStyle name="60% - akcent 6 2 8 2 2 2 6" xfId="13258" xr:uid="{00000000-0005-0000-0000-000018330000}"/>
    <cellStyle name="60% - akcent 6 2 8 2 2 2 7" xfId="13259" xr:uid="{00000000-0005-0000-0000-000019330000}"/>
    <cellStyle name="60% - akcent 6 2 8 2 2 2 7 2" xfId="13260" xr:uid="{00000000-0005-0000-0000-00001A330000}"/>
    <cellStyle name="60% - akcent 6 2 8 2 2 2 7 3" xfId="13261" xr:uid="{00000000-0005-0000-0000-00001B330000}"/>
    <cellStyle name="60% - akcent 6 2 8 2 2 2 7 4" xfId="13262" xr:uid="{00000000-0005-0000-0000-00001C330000}"/>
    <cellStyle name="60% - akcent 6 2 8 2 2 2 7 5" xfId="13263" xr:uid="{00000000-0005-0000-0000-00001D330000}"/>
    <cellStyle name="60% - akcent 6 2 8 2 2 2 7 6" xfId="13264" xr:uid="{00000000-0005-0000-0000-00001E330000}"/>
    <cellStyle name="60% - akcent 6 2 8 2 2 2 8" xfId="13265" xr:uid="{00000000-0005-0000-0000-00001F330000}"/>
    <cellStyle name="60% - akcent 6 2 8 2 2 2 9" xfId="13266" xr:uid="{00000000-0005-0000-0000-000020330000}"/>
    <cellStyle name="60% - akcent 6 2 8 2 2 3" xfId="13267" xr:uid="{00000000-0005-0000-0000-000021330000}"/>
    <cellStyle name="60% - akcent 6 2 8 2 2 3 2" xfId="13268" xr:uid="{00000000-0005-0000-0000-000022330000}"/>
    <cellStyle name="60% - akcent 6 2 8 2 2 3 2 2" xfId="13269" xr:uid="{00000000-0005-0000-0000-000023330000}"/>
    <cellStyle name="60% - akcent 6 2 8 2 2 3 2 3" xfId="13270" xr:uid="{00000000-0005-0000-0000-000024330000}"/>
    <cellStyle name="60% - akcent 6 2 8 2 2 3 2 4" xfId="13271" xr:uid="{00000000-0005-0000-0000-000025330000}"/>
    <cellStyle name="60% - akcent 6 2 8 2 2 3 2 5" xfId="13272" xr:uid="{00000000-0005-0000-0000-000026330000}"/>
    <cellStyle name="60% - akcent 6 2 8 2 2 3 2 6" xfId="13273" xr:uid="{00000000-0005-0000-0000-000027330000}"/>
    <cellStyle name="60% - akcent 6 2 8 2 2 3 3" xfId="13274" xr:uid="{00000000-0005-0000-0000-000028330000}"/>
    <cellStyle name="60% - akcent 6 2 8 2 2 3 4" xfId="13275" xr:uid="{00000000-0005-0000-0000-000029330000}"/>
    <cellStyle name="60% - akcent 6 2 8 2 2 3 5" xfId="13276" xr:uid="{00000000-0005-0000-0000-00002A330000}"/>
    <cellStyle name="60% - akcent 6 2 8 2 2 3 6" xfId="13277" xr:uid="{00000000-0005-0000-0000-00002B330000}"/>
    <cellStyle name="60% - akcent 6 2 8 2 2 3 7" xfId="13278" xr:uid="{00000000-0005-0000-0000-00002C330000}"/>
    <cellStyle name="60% - akcent 6 2 8 2 2 4" xfId="13279" xr:uid="{00000000-0005-0000-0000-00002D330000}"/>
    <cellStyle name="60% - akcent 6 2 8 2 2 5" xfId="13280" xr:uid="{00000000-0005-0000-0000-00002E330000}"/>
    <cellStyle name="60% - akcent 6 2 8 2 2 6" xfId="13281" xr:uid="{00000000-0005-0000-0000-00002F330000}"/>
    <cellStyle name="60% - akcent 6 2 8 2 2 7" xfId="13282" xr:uid="{00000000-0005-0000-0000-000030330000}"/>
    <cellStyle name="60% - akcent 6 2 8 2 2 7 2" xfId="13283" xr:uid="{00000000-0005-0000-0000-000031330000}"/>
    <cellStyle name="60% - akcent 6 2 8 2 2 7 3" xfId="13284" xr:uid="{00000000-0005-0000-0000-000032330000}"/>
    <cellStyle name="60% - akcent 6 2 8 2 2 7 4" xfId="13285" xr:uid="{00000000-0005-0000-0000-000033330000}"/>
    <cellStyle name="60% - akcent 6 2 8 2 2 7 5" xfId="13286" xr:uid="{00000000-0005-0000-0000-000034330000}"/>
    <cellStyle name="60% - akcent 6 2 8 2 2 7 6" xfId="13287" xr:uid="{00000000-0005-0000-0000-000035330000}"/>
    <cellStyle name="60% - akcent 6 2 8 2 2 8" xfId="13288" xr:uid="{00000000-0005-0000-0000-000036330000}"/>
    <cellStyle name="60% - akcent 6 2 8 2 2 9" xfId="13289" xr:uid="{00000000-0005-0000-0000-000037330000}"/>
    <cellStyle name="60% - akcent 6 2 8 2 3" xfId="13290" xr:uid="{00000000-0005-0000-0000-000038330000}"/>
    <cellStyle name="60% - akcent 6 2 8 2 3 2" xfId="13291" xr:uid="{00000000-0005-0000-0000-000039330000}"/>
    <cellStyle name="60% - akcent 6 2 8 2 3 2 2" xfId="13292" xr:uid="{00000000-0005-0000-0000-00003A330000}"/>
    <cellStyle name="60% - akcent 6 2 8 2 3 2 3" xfId="13293" xr:uid="{00000000-0005-0000-0000-00003B330000}"/>
    <cellStyle name="60% - akcent 6 2 8 2 3 2 4" xfId="13294" xr:uid="{00000000-0005-0000-0000-00003C330000}"/>
    <cellStyle name="60% - akcent 6 2 8 2 3 2 5" xfId="13295" xr:uid="{00000000-0005-0000-0000-00003D330000}"/>
    <cellStyle name="60% - akcent 6 2 8 2 3 2 6" xfId="13296" xr:uid="{00000000-0005-0000-0000-00003E330000}"/>
    <cellStyle name="60% - akcent 6 2 8 2 3 3" xfId="13297" xr:uid="{00000000-0005-0000-0000-00003F330000}"/>
    <cellStyle name="60% - akcent 6 2 8 2 3 4" xfId="13298" xr:uid="{00000000-0005-0000-0000-000040330000}"/>
    <cellStyle name="60% - akcent 6 2 8 2 3 5" xfId="13299" xr:uid="{00000000-0005-0000-0000-000041330000}"/>
    <cellStyle name="60% - akcent 6 2 8 2 3 6" xfId="13300" xr:uid="{00000000-0005-0000-0000-000042330000}"/>
    <cellStyle name="60% - akcent 6 2 8 2 3 7" xfId="13301" xr:uid="{00000000-0005-0000-0000-000043330000}"/>
    <cellStyle name="60% - akcent 6 2 8 2 4" xfId="13302" xr:uid="{00000000-0005-0000-0000-000044330000}"/>
    <cellStyle name="60% - akcent 6 2 8 2 5" xfId="13303" xr:uid="{00000000-0005-0000-0000-000045330000}"/>
    <cellStyle name="60% - akcent 6 2 8 2 6" xfId="13304" xr:uid="{00000000-0005-0000-0000-000046330000}"/>
    <cellStyle name="60% - akcent 6 2 8 2 7" xfId="13305" xr:uid="{00000000-0005-0000-0000-000047330000}"/>
    <cellStyle name="60% - akcent 6 2 8 2 8" xfId="13306" xr:uid="{00000000-0005-0000-0000-000048330000}"/>
    <cellStyle name="60% - akcent 6 2 8 2 8 2" xfId="13307" xr:uid="{00000000-0005-0000-0000-000049330000}"/>
    <cellStyle name="60% - akcent 6 2 8 2 8 3" xfId="13308" xr:uid="{00000000-0005-0000-0000-00004A330000}"/>
    <cellStyle name="60% - akcent 6 2 8 2 8 4" xfId="13309" xr:uid="{00000000-0005-0000-0000-00004B330000}"/>
    <cellStyle name="60% - akcent 6 2 8 2 8 5" xfId="13310" xr:uid="{00000000-0005-0000-0000-00004C330000}"/>
    <cellStyle name="60% - akcent 6 2 8 2 8 6" xfId="13311" xr:uid="{00000000-0005-0000-0000-00004D330000}"/>
    <cellStyle name="60% - akcent 6 2 8 2 9" xfId="13312" xr:uid="{00000000-0005-0000-0000-00004E330000}"/>
    <cellStyle name="60% - akcent 6 2 8 3" xfId="13313" xr:uid="{00000000-0005-0000-0000-00004F330000}"/>
    <cellStyle name="60% - akcent 6 2 8 4" xfId="13314" xr:uid="{00000000-0005-0000-0000-000050330000}"/>
    <cellStyle name="60% - akcent 6 2 8 4 10" xfId="13315" xr:uid="{00000000-0005-0000-0000-000051330000}"/>
    <cellStyle name="60% - akcent 6 2 8 4 11" xfId="13316" xr:uid="{00000000-0005-0000-0000-000052330000}"/>
    <cellStyle name="60% - akcent 6 2 8 4 2" xfId="13317" xr:uid="{00000000-0005-0000-0000-000053330000}"/>
    <cellStyle name="60% - akcent 6 2 8 4 2 2" xfId="13318" xr:uid="{00000000-0005-0000-0000-000054330000}"/>
    <cellStyle name="60% - akcent 6 2 8 4 2 2 2" xfId="13319" xr:uid="{00000000-0005-0000-0000-000055330000}"/>
    <cellStyle name="60% - akcent 6 2 8 4 2 2 3" xfId="13320" xr:uid="{00000000-0005-0000-0000-000056330000}"/>
    <cellStyle name="60% - akcent 6 2 8 4 2 2 4" xfId="13321" xr:uid="{00000000-0005-0000-0000-000057330000}"/>
    <cellStyle name="60% - akcent 6 2 8 4 2 2 5" xfId="13322" xr:uid="{00000000-0005-0000-0000-000058330000}"/>
    <cellStyle name="60% - akcent 6 2 8 4 2 2 6" xfId="13323" xr:uid="{00000000-0005-0000-0000-000059330000}"/>
    <cellStyle name="60% - akcent 6 2 8 4 2 3" xfId="13324" xr:uid="{00000000-0005-0000-0000-00005A330000}"/>
    <cellStyle name="60% - akcent 6 2 8 4 2 4" xfId="13325" xr:uid="{00000000-0005-0000-0000-00005B330000}"/>
    <cellStyle name="60% - akcent 6 2 8 4 2 5" xfId="13326" xr:uid="{00000000-0005-0000-0000-00005C330000}"/>
    <cellStyle name="60% - akcent 6 2 8 4 2 6" xfId="13327" xr:uid="{00000000-0005-0000-0000-00005D330000}"/>
    <cellStyle name="60% - akcent 6 2 8 4 2 7" xfId="13328" xr:uid="{00000000-0005-0000-0000-00005E330000}"/>
    <cellStyle name="60% - akcent 6 2 8 4 3" xfId="13329" xr:uid="{00000000-0005-0000-0000-00005F330000}"/>
    <cellStyle name="60% - akcent 6 2 8 4 4" xfId="13330" xr:uid="{00000000-0005-0000-0000-000060330000}"/>
    <cellStyle name="60% - akcent 6 2 8 4 5" xfId="13331" xr:uid="{00000000-0005-0000-0000-000061330000}"/>
    <cellStyle name="60% - akcent 6 2 8 4 6" xfId="13332" xr:uid="{00000000-0005-0000-0000-000062330000}"/>
    <cellStyle name="60% - akcent 6 2 8 4 7" xfId="13333" xr:uid="{00000000-0005-0000-0000-000063330000}"/>
    <cellStyle name="60% - akcent 6 2 8 4 7 2" xfId="13334" xr:uid="{00000000-0005-0000-0000-000064330000}"/>
    <cellStyle name="60% - akcent 6 2 8 4 7 3" xfId="13335" xr:uid="{00000000-0005-0000-0000-000065330000}"/>
    <cellStyle name="60% - akcent 6 2 8 4 7 4" xfId="13336" xr:uid="{00000000-0005-0000-0000-000066330000}"/>
    <cellStyle name="60% - akcent 6 2 8 4 7 5" xfId="13337" xr:uid="{00000000-0005-0000-0000-000067330000}"/>
    <cellStyle name="60% - akcent 6 2 8 4 7 6" xfId="13338" xr:uid="{00000000-0005-0000-0000-000068330000}"/>
    <cellStyle name="60% - akcent 6 2 8 4 8" xfId="13339" xr:uid="{00000000-0005-0000-0000-000069330000}"/>
    <cellStyle name="60% - akcent 6 2 8 4 9" xfId="13340" xr:uid="{00000000-0005-0000-0000-00006A330000}"/>
    <cellStyle name="60% - akcent 6 2 8 5" xfId="13341" xr:uid="{00000000-0005-0000-0000-00006B330000}"/>
    <cellStyle name="60% - akcent 6 2 8 5 2" xfId="13342" xr:uid="{00000000-0005-0000-0000-00006C330000}"/>
    <cellStyle name="60% - akcent 6 2 8 5 2 2" xfId="13343" xr:uid="{00000000-0005-0000-0000-00006D330000}"/>
    <cellStyle name="60% - akcent 6 2 8 5 2 3" xfId="13344" xr:uid="{00000000-0005-0000-0000-00006E330000}"/>
    <cellStyle name="60% - akcent 6 2 8 5 2 4" xfId="13345" xr:uid="{00000000-0005-0000-0000-00006F330000}"/>
    <cellStyle name="60% - akcent 6 2 8 5 2 5" xfId="13346" xr:uid="{00000000-0005-0000-0000-000070330000}"/>
    <cellStyle name="60% - akcent 6 2 8 5 2 6" xfId="13347" xr:uid="{00000000-0005-0000-0000-000071330000}"/>
    <cellStyle name="60% - akcent 6 2 8 5 3" xfId="13348" xr:uid="{00000000-0005-0000-0000-000072330000}"/>
    <cellStyle name="60% - akcent 6 2 8 5 4" xfId="13349" xr:uid="{00000000-0005-0000-0000-000073330000}"/>
    <cellStyle name="60% - akcent 6 2 8 5 5" xfId="13350" xr:uid="{00000000-0005-0000-0000-000074330000}"/>
    <cellStyle name="60% - akcent 6 2 8 5 6" xfId="13351" xr:uid="{00000000-0005-0000-0000-000075330000}"/>
    <cellStyle name="60% - akcent 6 2 8 5 7" xfId="13352" xr:uid="{00000000-0005-0000-0000-000076330000}"/>
    <cellStyle name="60% - akcent 6 2 8 6" xfId="13353" xr:uid="{00000000-0005-0000-0000-000077330000}"/>
    <cellStyle name="60% - akcent 6 2 8 7" xfId="13354" xr:uid="{00000000-0005-0000-0000-000078330000}"/>
    <cellStyle name="60% - akcent 6 2 8 8" xfId="13355" xr:uid="{00000000-0005-0000-0000-000079330000}"/>
    <cellStyle name="60% - akcent 6 2 8 9" xfId="13356" xr:uid="{00000000-0005-0000-0000-00007A330000}"/>
    <cellStyle name="60% - akcent 6 2 8 9 2" xfId="13357" xr:uid="{00000000-0005-0000-0000-00007B330000}"/>
    <cellStyle name="60% - akcent 6 2 8 9 3" xfId="13358" xr:uid="{00000000-0005-0000-0000-00007C330000}"/>
    <cellStyle name="60% - akcent 6 2 8 9 4" xfId="13359" xr:uid="{00000000-0005-0000-0000-00007D330000}"/>
    <cellStyle name="60% - akcent 6 2 8 9 5" xfId="13360" xr:uid="{00000000-0005-0000-0000-00007E330000}"/>
    <cellStyle name="60% - akcent 6 2 8 9 6" xfId="13361" xr:uid="{00000000-0005-0000-0000-00007F330000}"/>
    <cellStyle name="60% - akcent 6 2 9" xfId="13362" xr:uid="{00000000-0005-0000-0000-000080330000}"/>
    <cellStyle name="60% - akcent 6 3" xfId="190" xr:uid="{00000000-0005-0000-0000-000081330000}"/>
    <cellStyle name="60% - akcent 6 3 2" xfId="13364" xr:uid="{00000000-0005-0000-0000-000082330000}"/>
    <cellStyle name="60% - akcent 6 3 3" xfId="13365" xr:uid="{00000000-0005-0000-0000-000083330000}"/>
    <cellStyle name="60% - akcent 6 3 4" xfId="13366" xr:uid="{00000000-0005-0000-0000-000084330000}"/>
    <cellStyle name="60% - akcent 6 3 5" xfId="13367" xr:uid="{00000000-0005-0000-0000-000085330000}"/>
    <cellStyle name="60% - akcent 6 3 6" xfId="13363" xr:uid="{00000000-0005-0000-0000-000086330000}"/>
    <cellStyle name="60% - akcent 6 4" xfId="191" xr:uid="{00000000-0005-0000-0000-000087330000}"/>
    <cellStyle name="60% - akcent 6 4 2" xfId="13369" xr:uid="{00000000-0005-0000-0000-000088330000}"/>
    <cellStyle name="60% - akcent 6 4 3" xfId="13370" xr:uid="{00000000-0005-0000-0000-000089330000}"/>
    <cellStyle name="60% - akcent 6 4 4" xfId="13371" xr:uid="{00000000-0005-0000-0000-00008A330000}"/>
    <cellStyle name="60% - akcent 6 4 5" xfId="13372" xr:uid="{00000000-0005-0000-0000-00008B330000}"/>
    <cellStyle name="60% - akcent 6 4 6" xfId="13368" xr:uid="{00000000-0005-0000-0000-00008C330000}"/>
    <cellStyle name="60% - akcent 6 5" xfId="192" xr:uid="{00000000-0005-0000-0000-00008D330000}"/>
    <cellStyle name="60% - akcent 6 5 2" xfId="13374" xr:uid="{00000000-0005-0000-0000-00008E330000}"/>
    <cellStyle name="60% - akcent 6 5 3" xfId="13375" xr:uid="{00000000-0005-0000-0000-00008F330000}"/>
    <cellStyle name="60% - akcent 6 5 4" xfId="13376" xr:uid="{00000000-0005-0000-0000-000090330000}"/>
    <cellStyle name="60% - akcent 6 5 5" xfId="13377" xr:uid="{00000000-0005-0000-0000-000091330000}"/>
    <cellStyle name="60% - akcent 6 5 6" xfId="13373" xr:uid="{00000000-0005-0000-0000-000092330000}"/>
    <cellStyle name="60% - akcent 6 6" xfId="193" xr:uid="{00000000-0005-0000-0000-000093330000}"/>
    <cellStyle name="60% - akcent 6 6 2" xfId="13379" xr:uid="{00000000-0005-0000-0000-000094330000}"/>
    <cellStyle name="60% - akcent 6 6 3" xfId="13380" xr:uid="{00000000-0005-0000-0000-000095330000}"/>
    <cellStyle name="60% - akcent 6 6 4" xfId="13381" xr:uid="{00000000-0005-0000-0000-000096330000}"/>
    <cellStyle name="60% - akcent 6 6 5" xfId="13382" xr:uid="{00000000-0005-0000-0000-000097330000}"/>
    <cellStyle name="60% - akcent 6 6 6" xfId="13378" xr:uid="{00000000-0005-0000-0000-000098330000}"/>
    <cellStyle name="60% - akcent 6 7" xfId="194" xr:uid="{00000000-0005-0000-0000-000099330000}"/>
    <cellStyle name="60% - akcent 6 7 2" xfId="13384" xr:uid="{00000000-0005-0000-0000-00009A330000}"/>
    <cellStyle name="60% - akcent 6 7 3" xfId="13385" xr:uid="{00000000-0005-0000-0000-00009B330000}"/>
    <cellStyle name="60% - akcent 6 7 4" xfId="13386" xr:uid="{00000000-0005-0000-0000-00009C330000}"/>
    <cellStyle name="60% - akcent 6 7 5" xfId="13387" xr:uid="{00000000-0005-0000-0000-00009D330000}"/>
    <cellStyle name="60% - akcent 6 7 6" xfId="13383" xr:uid="{00000000-0005-0000-0000-00009E330000}"/>
    <cellStyle name="60% - akcent 6 8" xfId="13388" xr:uid="{00000000-0005-0000-0000-00009F330000}"/>
    <cellStyle name="60% - akcent 6 8 2" xfId="13389" xr:uid="{00000000-0005-0000-0000-0000A0330000}"/>
    <cellStyle name="60% - akcent 6 8 3" xfId="13390" xr:uid="{00000000-0005-0000-0000-0000A1330000}"/>
    <cellStyle name="60% - akcent 6 8 4" xfId="13391" xr:uid="{00000000-0005-0000-0000-0000A2330000}"/>
    <cellStyle name="60% - akcent 6 9" xfId="13392" xr:uid="{00000000-0005-0000-0000-0000A3330000}"/>
    <cellStyle name="60% - Akzent1" xfId="13393" xr:uid="{00000000-0005-0000-0000-0000A4330000}"/>
    <cellStyle name="60% - Akzent2" xfId="13394" xr:uid="{00000000-0005-0000-0000-0000A5330000}"/>
    <cellStyle name="60% - Akzent3" xfId="13395" xr:uid="{00000000-0005-0000-0000-0000A6330000}"/>
    <cellStyle name="60% - Akzent4" xfId="13396" xr:uid="{00000000-0005-0000-0000-0000A7330000}"/>
    <cellStyle name="60% - Akzent5" xfId="13397" xr:uid="{00000000-0005-0000-0000-0000A8330000}"/>
    <cellStyle name="60% - Akzent6" xfId="13398" xr:uid="{00000000-0005-0000-0000-0000A9330000}"/>
    <cellStyle name="60% - Énfasis1" xfId="13399" xr:uid="{00000000-0005-0000-0000-0000AA330000}"/>
    <cellStyle name="60% - Énfasis2" xfId="13400" xr:uid="{00000000-0005-0000-0000-0000AB330000}"/>
    <cellStyle name="60% - Énfasis3" xfId="13401" xr:uid="{00000000-0005-0000-0000-0000AC330000}"/>
    <cellStyle name="60% - Énfasis4" xfId="13402" xr:uid="{00000000-0005-0000-0000-0000AD330000}"/>
    <cellStyle name="60% - Énfasis5" xfId="13403" xr:uid="{00000000-0005-0000-0000-0000AE330000}"/>
    <cellStyle name="60% - Énfasis6" xfId="13404" xr:uid="{00000000-0005-0000-0000-0000AF330000}"/>
    <cellStyle name="ABATOS" xfId="38690" xr:uid="{08B9763B-08C0-4903-8303-DC3227EACC21}"/>
    <cellStyle name="Accent1" xfId="13405" xr:uid="{00000000-0005-0000-0000-0000B0330000}"/>
    <cellStyle name="Accent1 2" xfId="13406" xr:uid="{00000000-0005-0000-0000-0000B1330000}"/>
    <cellStyle name="Accent1 3" xfId="13407" xr:uid="{00000000-0005-0000-0000-0000B2330000}"/>
    <cellStyle name="Accent1 4" xfId="13408" xr:uid="{00000000-0005-0000-0000-0000B3330000}"/>
    <cellStyle name="Accent1 5" xfId="13409" xr:uid="{00000000-0005-0000-0000-0000B4330000}"/>
    <cellStyle name="Accent1 6" xfId="13410" xr:uid="{00000000-0005-0000-0000-0000B5330000}"/>
    <cellStyle name="Accent1 7" xfId="13411" xr:uid="{00000000-0005-0000-0000-0000B6330000}"/>
    <cellStyle name="Accent1 8" xfId="13412" xr:uid="{00000000-0005-0000-0000-0000B7330000}"/>
    <cellStyle name="Accent1 9" xfId="13413" xr:uid="{00000000-0005-0000-0000-0000B8330000}"/>
    <cellStyle name="Accent1_PGE Rzeszów Budget" xfId="38659" xr:uid="{C5A8C79E-7583-4815-8351-707A9EBCC2BB}"/>
    <cellStyle name="Accent2" xfId="13414" xr:uid="{00000000-0005-0000-0000-0000B9330000}"/>
    <cellStyle name="Accent2 2" xfId="13415" xr:uid="{00000000-0005-0000-0000-0000BA330000}"/>
    <cellStyle name="Accent2 3" xfId="13416" xr:uid="{00000000-0005-0000-0000-0000BB330000}"/>
    <cellStyle name="Accent2 4" xfId="13417" xr:uid="{00000000-0005-0000-0000-0000BC330000}"/>
    <cellStyle name="Accent2 5" xfId="13418" xr:uid="{00000000-0005-0000-0000-0000BD330000}"/>
    <cellStyle name="Accent2 6" xfId="13419" xr:uid="{00000000-0005-0000-0000-0000BE330000}"/>
    <cellStyle name="Accent2 7" xfId="13420" xr:uid="{00000000-0005-0000-0000-0000BF330000}"/>
    <cellStyle name="Accent2 8" xfId="13421" xr:uid="{00000000-0005-0000-0000-0000C0330000}"/>
    <cellStyle name="Accent2 9" xfId="13422" xr:uid="{00000000-0005-0000-0000-0000C1330000}"/>
    <cellStyle name="Accent2_PGE Rzeszów Budget" xfId="38660" xr:uid="{02A8E7A2-24D2-41DB-9C33-35FC2BDB5B50}"/>
    <cellStyle name="Accent3" xfId="13423" xr:uid="{00000000-0005-0000-0000-0000C2330000}"/>
    <cellStyle name="Accent3 2" xfId="13424" xr:uid="{00000000-0005-0000-0000-0000C3330000}"/>
    <cellStyle name="Accent3 3" xfId="13425" xr:uid="{00000000-0005-0000-0000-0000C4330000}"/>
    <cellStyle name="Accent3 4" xfId="13426" xr:uid="{00000000-0005-0000-0000-0000C5330000}"/>
    <cellStyle name="Accent3 5" xfId="13427" xr:uid="{00000000-0005-0000-0000-0000C6330000}"/>
    <cellStyle name="Accent3 6" xfId="13428" xr:uid="{00000000-0005-0000-0000-0000C7330000}"/>
    <cellStyle name="Accent3 7" xfId="13429" xr:uid="{00000000-0005-0000-0000-0000C8330000}"/>
    <cellStyle name="Accent3 8" xfId="13430" xr:uid="{00000000-0005-0000-0000-0000C9330000}"/>
    <cellStyle name="Accent3 9" xfId="13431" xr:uid="{00000000-0005-0000-0000-0000CA330000}"/>
    <cellStyle name="Accent3_PGE Rzeszów Budget" xfId="38661" xr:uid="{57ECF70A-63A4-4652-AED7-8949CEDA8869}"/>
    <cellStyle name="Accent4" xfId="13432" xr:uid="{00000000-0005-0000-0000-0000CB330000}"/>
    <cellStyle name="Accent4 2" xfId="13433" xr:uid="{00000000-0005-0000-0000-0000CC330000}"/>
    <cellStyle name="Accent4 3" xfId="13434" xr:uid="{00000000-0005-0000-0000-0000CD330000}"/>
    <cellStyle name="Accent4 4" xfId="13435" xr:uid="{00000000-0005-0000-0000-0000CE330000}"/>
    <cellStyle name="Accent4 5" xfId="13436" xr:uid="{00000000-0005-0000-0000-0000CF330000}"/>
    <cellStyle name="Accent4 6" xfId="13437" xr:uid="{00000000-0005-0000-0000-0000D0330000}"/>
    <cellStyle name="Accent4 7" xfId="13438" xr:uid="{00000000-0005-0000-0000-0000D1330000}"/>
    <cellStyle name="Accent4 8" xfId="13439" xr:uid="{00000000-0005-0000-0000-0000D2330000}"/>
    <cellStyle name="Accent4 9" xfId="13440" xr:uid="{00000000-0005-0000-0000-0000D3330000}"/>
    <cellStyle name="Accent4_PGE Rzeszów Budget" xfId="38662" xr:uid="{22C89500-166D-4740-ACB7-3EFF513AD5BE}"/>
    <cellStyle name="Accent5" xfId="13441" xr:uid="{00000000-0005-0000-0000-0000D4330000}"/>
    <cellStyle name="Accent5 2" xfId="13442" xr:uid="{00000000-0005-0000-0000-0000D5330000}"/>
    <cellStyle name="Accent5 3" xfId="13443" xr:uid="{00000000-0005-0000-0000-0000D6330000}"/>
    <cellStyle name="Accent5 4" xfId="13444" xr:uid="{00000000-0005-0000-0000-0000D7330000}"/>
    <cellStyle name="Accent5 5" xfId="13445" xr:uid="{00000000-0005-0000-0000-0000D8330000}"/>
    <cellStyle name="Accent5 6" xfId="13446" xr:uid="{00000000-0005-0000-0000-0000D9330000}"/>
    <cellStyle name="Accent5 7" xfId="13447" xr:uid="{00000000-0005-0000-0000-0000DA330000}"/>
    <cellStyle name="Accent5 8" xfId="13448" xr:uid="{00000000-0005-0000-0000-0000DB330000}"/>
    <cellStyle name="Accent5 9" xfId="13449" xr:uid="{00000000-0005-0000-0000-0000DC330000}"/>
    <cellStyle name="Accent5_PGE Rzeszów Budget" xfId="38663" xr:uid="{7B988327-721B-475B-9A0B-C81C1944884A}"/>
    <cellStyle name="Accent6" xfId="13450" xr:uid="{00000000-0005-0000-0000-0000DD330000}"/>
    <cellStyle name="Accent6 2" xfId="13451" xr:uid="{00000000-0005-0000-0000-0000DE330000}"/>
    <cellStyle name="Accent6 3" xfId="13452" xr:uid="{00000000-0005-0000-0000-0000DF330000}"/>
    <cellStyle name="Accent6 4" xfId="13453" xr:uid="{00000000-0005-0000-0000-0000E0330000}"/>
    <cellStyle name="Accent6 5" xfId="13454" xr:uid="{00000000-0005-0000-0000-0000E1330000}"/>
    <cellStyle name="Accent6 6" xfId="13455" xr:uid="{00000000-0005-0000-0000-0000E2330000}"/>
    <cellStyle name="Accent6 7" xfId="13456" xr:uid="{00000000-0005-0000-0000-0000E3330000}"/>
    <cellStyle name="Accent6 8" xfId="13457" xr:uid="{00000000-0005-0000-0000-0000E4330000}"/>
    <cellStyle name="Accent6 9" xfId="13458" xr:uid="{00000000-0005-0000-0000-0000E5330000}"/>
    <cellStyle name="Accent6_PGE Rzeszów Budget" xfId="38664" xr:uid="{1AD6B174-1A93-4593-A5A5-6E09165E1DB3}"/>
    <cellStyle name="Akcent 1 1" xfId="13459" xr:uid="{00000000-0005-0000-0000-0000E6330000}"/>
    <cellStyle name="Akcent 1 10" xfId="13460" xr:uid="{00000000-0005-0000-0000-0000E7330000}"/>
    <cellStyle name="Akcent 1 11" xfId="13461" xr:uid="{00000000-0005-0000-0000-0000E8330000}"/>
    <cellStyle name="Akcent 1 12" xfId="13462" xr:uid="{00000000-0005-0000-0000-0000E9330000}"/>
    <cellStyle name="Akcent 1 13" xfId="13463" xr:uid="{00000000-0005-0000-0000-0000EA330000}"/>
    <cellStyle name="Akcent 1 14" xfId="13464" xr:uid="{00000000-0005-0000-0000-0000EB330000}"/>
    <cellStyle name="Akcent 1 15" xfId="13465" xr:uid="{00000000-0005-0000-0000-0000EC330000}"/>
    <cellStyle name="Akcent 1 16" xfId="13466" xr:uid="{00000000-0005-0000-0000-0000ED330000}"/>
    <cellStyle name="Akcent 1 17" xfId="13467" xr:uid="{00000000-0005-0000-0000-0000EE330000}"/>
    <cellStyle name="Akcent 1 18" xfId="13468" xr:uid="{00000000-0005-0000-0000-0000EF330000}"/>
    <cellStyle name="Akcent 1 19" xfId="13469" xr:uid="{00000000-0005-0000-0000-0000F0330000}"/>
    <cellStyle name="Akcent 1 2" xfId="195" xr:uid="{00000000-0005-0000-0000-0000F1330000}"/>
    <cellStyle name="Akcent 1 2 10" xfId="13471" xr:uid="{00000000-0005-0000-0000-0000F2330000}"/>
    <cellStyle name="Akcent 1 2 11" xfId="13472" xr:uid="{00000000-0005-0000-0000-0000F3330000}"/>
    <cellStyle name="Akcent 1 2 12" xfId="13473" xr:uid="{00000000-0005-0000-0000-0000F4330000}"/>
    <cellStyle name="Akcent 1 2 13" xfId="13474" xr:uid="{00000000-0005-0000-0000-0000F5330000}"/>
    <cellStyle name="Akcent 1 2 13 10" xfId="13475" xr:uid="{00000000-0005-0000-0000-0000F6330000}"/>
    <cellStyle name="Akcent 1 2 13 11" xfId="13476" xr:uid="{00000000-0005-0000-0000-0000F7330000}"/>
    <cellStyle name="Akcent 1 2 13 12" xfId="13477" xr:uid="{00000000-0005-0000-0000-0000F8330000}"/>
    <cellStyle name="Akcent 1 2 13 2" xfId="13478" xr:uid="{00000000-0005-0000-0000-0000F9330000}"/>
    <cellStyle name="Akcent 1 2 13 2 10" xfId="13479" xr:uid="{00000000-0005-0000-0000-0000FA330000}"/>
    <cellStyle name="Akcent 1 2 13 2 11" xfId="13480" xr:uid="{00000000-0005-0000-0000-0000FB330000}"/>
    <cellStyle name="Akcent 1 2 13 2 2" xfId="13481" xr:uid="{00000000-0005-0000-0000-0000FC330000}"/>
    <cellStyle name="Akcent 1 2 13 2 2 10" xfId="13482" xr:uid="{00000000-0005-0000-0000-0000FD330000}"/>
    <cellStyle name="Akcent 1 2 13 2 2 11" xfId="13483" xr:uid="{00000000-0005-0000-0000-0000FE330000}"/>
    <cellStyle name="Akcent 1 2 13 2 2 2" xfId="13484" xr:uid="{00000000-0005-0000-0000-0000FF330000}"/>
    <cellStyle name="Akcent 1 2 13 2 2 2 2" xfId="13485" xr:uid="{00000000-0005-0000-0000-000000340000}"/>
    <cellStyle name="Akcent 1 2 13 2 2 2 2 2" xfId="13486" xr:uid="{00000000-0005-0000-0000-000001340000}"/>
    <cellStyle name="Akcent 1 2 13 2 2 2 2 3" xfId="13487" xr:uid="{00000000-0005-0000-0000-000002340000}"/>
    <cellStyle name="Akcent 1 2 13 2 2 2 2 4" xfId="13488" xr:uid="{00000000-0005-0000-0000-000003340000}"/>
    <cellStyle name="Akcent 1 2 13 2 2 2 2 5" xfId="13489" xr:uid="{00000000-0005-0000-0000-000004340000}"/>
    <cellStyle name="Akcent 1 2 13 2 2 2 2 6" xfId="13490" xr:uid="{00000000-0005-0000-0000-000005340000}"/>
    <cellStyle name="Akcent 1 2 13 2 2 2 3" xfId="13491" xr:uid="{00000000-0005-0000-0000-000006340000}"/>
    <cellStyle name="Akcent 1 2 13 2 2 2 4" xfId="13492" xr:uid="{00000000-0005-0000-0000-000007340000}"/>
    <cellStyle name="Akcent 1 2 13 2 2 2 5" xfId="13493" xr:uid="{00000000-0005-0000-0000-000008340000}"/>
    <cellStyle name="Akcent 1 2 13 2 2 2 6" xfId="13494" xr:uid="{00000000-0005-0000-0000-000009340000}"/>
    <cellStyle name="Akcent 1 2 13 2 2 2 7" xfId="13495" xr:uid="{00000000-0005-0000-0000-00000A340000}"/>
    <cellStyle name="Akcent 1 2 13 2 2 3" xfId="13496" xr:uid="{00000000-0005-0000-0000-00000B340000}"/>
    <cellStyle name="Akcent 1 2 13 2 2 4" xfId="13497" xr:uid="{00000000-0005-0000-0000-00000C340000}"/>
    <cellStyle name="Akcent 1 2 13 2 2 5" xfId="13498" xr:uid="{00000000-0005-0000-0000-00000D340000}"/>
    <cellStyle name="Akcent 1 2 13 2 2 6" xfId="13499" xr:uid="{00000000-0005-0000-0000-00000E340000}"/>
    <cellStyle name="Akcent 1 2 13 2 2 7" xfId="13500" xr:uid="{00000000-0005-0000-0000-00000F340000}"/>
    <cellStyle name="Akcent 1 2 13 2 2 7 2" xfId="13501" xr:uid="{00000000-0005-0000-0000-000010340000}"/>
    <cellStyle name="Akcent 1 2 13 2 2 7 3" xfId="13502" xr:uid="{00000000-0005-0000-0000-000011340000}"/>
    <cellStyle name="Akcent 1 2 13 2 2 7 4" xfId="13503" xr:uid="{00000000-0005-0000-0000-000012340000}"/>
    <cellStyle name="Akcent 1 2 13 2 2 7 5" xfId="13504" xr:uid="{00000000-0005-0000-0000-000013340000}"/>
    <cellStyle name="Akcent 1 2 13 2 2 7 6" xfId="13505" xr:uid="{00000000-0005-0000-0000-000014340000}"/>
    <cellStyle name="Akcent 1 2 13 2 2 8" xfId="13506" xr:uid="{00000000-0005-0000-0000-000015340000}"/>
    <cellStyle name="Akcent 1 2 13 2 2 9" xfId="13507" xr:uid="{00000000-0005-0000-0000-000016340000}"/>
    <cellStyle name="Akcent 1 2 13 2 3" xfId="13508" xr:uid="{00000000-0005-0000-0000-000017340000}"/>
    <cellStyle name="Akcent 1 2 13 2 3 2" xfId="13509" xr:uid="{00000000-0005-0000-0000-000018340000}"/>
    <cellStyle name="Akcent 1 2 13 2 3 2 2" xfId="13510" xr:uid="{00000000-0005-0000-0000-000019340000}"/>
    <cellStyle name="Akcent 1 2 13 2 3 2 3" xfId="13511" xr:uid="{00000000-0005-0000-0000-00001A340000}"/>
    <cellStyle name="Akcent 1 2 13 2 3 2 4" xfId="13512" xr:uid="{00000000-0005-0000-0000-00001B340000}"/>
    <cellStyle name="Akcent 1 2 13 2 3 2 5" xfId="13513" xr:uid="{00000000-0005-0000-0000-00001C340000}"/>
    <cellStyle name="Akcent 1 2 13 2 3 2 6" xfId="13514" xr:uid="{00000000-0005-0000-0000-00001D340000}"/>
    <cellStyle name="Akcent 1 2 13 2 3 3" xfId="13515" xr:uid="{00000000-0005-0000-0000-00001E340000}"/>
    <cellStyle name="Akcent 1 2 13 2 3 4" xfId="13516" xr:uid="{00000000-0005-0000-0000-00001F340000}"/>
    <cellStyle name="Akcent 1 2 13 2 3 5" xfId="13517" xr:uid="{00000000-0005-0000-0000-000020340000}"/>
    <cellStyle name="Akcent 1 2 13 2 3 6" xfId="13518" xr:uid="{00000000-0005-0000-0000-000021340000}"/>
    <cellStyle name="Akcent 1 2 13 2 3 7" xfId="13519" xr:uid="{00000000-0005-0000-0000-000022340000}"/>
    <cellStyle name="Akcent 1 2 13 2 4" xfId="13520" xr:uid="{00000000-0005-0000-0000-000023340000}"/>
    <cellStyle name="Akcent 1 2 13 2 5" xfId="13521" xr:uid="{00000000-0005-0000-0000-000024340000}"/>
    <cellStyle name="Akcent 1 2 13 2 6" xfId="13522" xr:uid="{00000000-0005-0000-0000-000025340000}"/>
    <cellStyle name="Akcent 1 2 13 2 7" xfId="13523" xr:uid="{00000000-0005-0000-0000-000026340000}"/>
    <cellStyle name="Akcent 1 2 13 2 7 2" xfId="13524" xr:uid="{00000000-0005-0000-0000-000027340000}"/>
    <cellStyle name="Akcent 1 2 13 2 7 3" xfId="13525" xr:uid="{00000000-0005-0000-0000-000028340000}"/>
    <cellStyle name="Akcent 1 2 13 2 7 4" xfId="13526" xr:uid="{00000000-0005-0000-0000-000029340000}"/>
    <cellStyle name="Akcent 1 2 13 2 7 5" xfId="13527" xr:uid="{00000000-0005-0000-0000-00002A340000}"/>
    <cellStyle name="Akcent 1 2 13 2 7 6" xfId="13528" xr:uid="{00000000-0005-0000-0000-00002B340000}"/>
    <cellStyle name="Akcent 1 2 13 2 8" xfId="13529" xr:uid="{00000000-0005-0000-0000-00002C340000}"/>
    <cellStyle name="Akcent 1 2 13 2 9" xfId="13530" xr:uid="{00000000-0005-0000-0000-00002D340000}"/>
    <cellStyle name="Akcent 1 2 13 3" xfId="13531" xr:uid="{00000000-0005-0000-0000-00002E340000}"/>
    <cellStyle name="Akcent 1 2 13 3 2" xfId="13532" xr:uid="{00000000-0005-0000-0000-00002F340000}"/>
    <cellStyle name="Akcent 1 2 13 3 2 2" xfId="13533" xr:uid="{00000000-0005-0000-0000-000030340000}"/>
    <cellStyle name="Akcent 1 2 13 3 2 3" xfId="13534" xr:uid="{00000000-0005-0000-0000-000031340000}"/>
    <cellStyle name="Akcent 1 2 13 3 2 4" xfId="13535" xr:uid="{00000000-0005-0000-0000-000032340000}"/>
    <cellStyle name="Akcent 1 2 13 3 2 5" xfId="13536" xr:uid="{00000000-0005-0000-0000-000033340000}"/>
    <cellStyle name="Akcent 1 2 13 3 2 6" xfId="13537" xr:uid="{00000000-0005-0000-0000-000034340000}"/>
    <cellStyle name="Akcent 1 2 13 3 3" xfId="13538" xr:uid="{00000000-0005-0000-0000-000035340000}"/>
    <cellStyle name="Akcent 1 2 13 3 4" xfId="13539" xr:uid="{00000000-0005-0000-0000-000036340000}"/>
    <cellStyle name="Akcent 1 2 13 3 5" xfId="13540" xr:uid="{00000000-0005-0000-0000-000037340000}"/>
    <cellStyle name="Akcent 1 2 13 3 6" xfId="13541" xr:uid="{00000000-0005-0000-0000-000038340000}"/>
    <cellStyle name="Akcent 1 2 13 3 7" xfId="13542" xr:uid="{00000000-0005-0000-0000-000039340000}"/>
    <cellStyle name="Akcent 1 2 13 4" xfId="13543" xr:uid="{00000000-0005-0000-0000-00003A340000}"/>
    <cellStyle name="Akcent 1 2 13 5" xfId="13544" xr:uid="{00000000-0005-0000-0000-00003B340000}"/>
    <cellStyle name="Akcent 1 2 13 6" xfId="13545" xr:uid="{00000000-0005-0000-0000-00003C340000}"/>
    <cellStyle name="Akcent 1 2 13 7" xfId="13546" xr:uid="{00000000-0005-0000-0000-00003D340000}"/>
    <cellStyle name="Akcent 1 2 13 8" xfId="13547" xr:uid="{00000000-0005-0000-0000-00003E340000}"/>
    <cellStyle name="Akcent 1 2 13 8 2" xfId="13548" xr:uid="{00000000-0005-0000-0000-00003F340000}"/>
    <cellStyle name="Akcent 1 2 13 8 3" xfId="13549" xr:uid="{00000000-0005-0000-0000-000040340000}"/>
    <cellStyle name="Akcent 1 2 13 8 4" xfId="13550" xr:uid="{00000000-0005-0000-0000-000041340000}"/>
    <cellStyle name="Akcent 1 2 13 8 5" xfId="13551" xr:uid="{00000000-0005-0000-0000-000042340000}"/>
    <cellStyle name="Akcent 1 2 13 8 6" xfId="13552" xr:uid="{00000000-0005-0000-0000-000043340000}"/>
    <cellStyle name="Akcent 1 2 13 9" xfId="13553" xr:uid="{00000000-0005-0000-0000-000044340000}"/>
    <cellStyle name="Akcent 1 2 14" xfId="13554" xr:uid="{00000000-0005-0000-0000-000045340000}"/>
    <cellStyle name="Akcent 1 2 14 10" xfId="13555" xr:uid="{00000000-0005-0000-0000-000046340000}"/>
    <cellStyle name="Akcent 1 2 14 11" xfId="13556" xr:uid="{00000000-0005-0000-0000-000047340000}"/>
    <cellStyle name="Akcent 1 2 14 2" xfId="13557" xr:uid="{00000000-0005-0000-0000-000048340000}"/>
    <cellStyle name="Akcent 1 2 14 2 2" xfId="13558" xr:uid="{00000000-0005-0000-0000-000049340000}"/>
    <cellStyle name="Akcent 1 2 14 2 2 2" xfId="13559" xr:uid="{00000000-0005-0000-0000-00004A340000}"/>
    <cellStyle name="Akcent 1 2 14 2 2 3" xfId="13560" xr:uid="{00000000-0005-0000-0000-00004B340000}"/>
    <cellStyle name="Akcent 1 2 14 2 2 4" xfId="13561" xr:uid="{00000000-0005-0000-0000-00004C340000}"/>
    <cellStyle name="Akcent 1 2 14 2 2 5" xfId="13562" xr:uid="{00000000-0005-0000-0000-00004D340000}"/>
    <cellStyle name="Akcent 1 2 14 2 2 6" xfId="13563" xr:uid="{00000000-0005-0000-0000-00004E340000}"/>
    <cellStyle name="Akcent 1 2 14 2 3" xfId="13564" xr:uid="{00000000-0005-0000-0000-00004F340000}"/>
    <cellStyle name="Akcent 1 2 14 2 4" xfId="13565" xr:uid="{00000000-0005-0000-0000-000050340000}"/>
    <cellStyle name="Akcent 1 2 14 2 5" xfId="13566" xr:uid="{00000000-0005-0000-0000-000051340000}"/>
    <cellStyle name="Akcent 1 2 14 2 6" xfId="13567" xr:uid="{00000000-0005-0000-0000-000052340000}"/>
    <cellStyle name="Akcent 1 2 14 2 7" xfId="13568" xr:uid="{00000000-0005-0000-0000-000053340000}"/>
    <cellStyle name="Akcent 1 2 14 3" xfId="13569" xr:uid="{00000000-0005-0000-0000-000054340000}"/>
    <cellStyle name="Akcent 1 2 14 4" xfId="13570" xr:uid="{00000000-0005-0000-0000-000055340000}"/>
    <cellStyle name="Akcent 1 2 14 5" xfId="13571" xr:uid="{00000000-0005-0000-0000-000056340000}"/>
    <cellStyle name="Akcent 1 2 14 6" xfId="13572" xr:uid="{00000000-0005-0000-0000-000057340000}"/>
    <cellStyle name="Akcent 1 2 14 7" xfId="13573" xr:uid="{00000000-0005-0000-0000-000058340000}"/>
    <cellStyle name="Akcent 1 2 14 7 2" xfId="13574" xr:uid="{00000000-0005-0000-0000-000059340000}"/>
    <cellStyle name="Akcent 1 2 14 7 3" xfId="13575" xr:uid="{00000000-0005-0000-0000-00005A340000}"/>
    <cellStyle name="Akcent 1 2 14 7 4" xfId="13576" xr:uid="{00000000-0005-0000-0000-00005B340000}"/>
    <cellStyle name="Akcent 1 2 14 7 5" xfId="13577" xr:uid="{00000000-0005-0000-0000-00005C340000}"/>
    <cellStyle name="Akcent 1 2 14 7 6" xfId="13578" xr:uid="{00000000-0005-0000-0000-00005D340000}"/>
    <cellStyle name="Akcent 1 2 14 8" xfId="13579" xr:uid="{00000000-0005-0000-0000-00005E340000}"/>
    <cellStyle name="Akcent 1 2 14 9" xfId="13580" xr:uid="{00000000-0005-0000-0000-00005F340000}"/>
    <cellStyle name="Akcent 1 2 15" xfId="13581" xr:uid="{00000000-0005-0000-0000-000060340000}"/>
    <cellStyle name="Akcent 1 2 15 2" xfId="13582" xr:uid="{00000000-0005-0000-0000-000061340000}"/>
    <cellStyle name="Akcent 1 2 15 2 2" xfId="13583" xr:uid="{00000000-0005-0000-0000-000062340000}"/>
    <cellStyle name="Akcent 1 2 15 2 3" xfId="13584" xr:uid="{00000000-0005-0000-0000-000063340000}"/>
    <cellStyle name="Akcent 1 2 15 2 4" xfId="13585" xr:uid="{00000000-0005-0000-0000-000064340000}"/>
    <cellStyle name="Akcent 1 2 15 2 5" xfId="13586" xr:uid="{00000000-0005-0000-0000-000065340000}"/>
    <cellStyle name="Akcent 1 2 15 2 6" xfId="13587" xr:uid="{00000000-0005-0000-0000-000066340000}"/>
    <cellStyle name="Akcent 1 2 15 3" xfId="13588" xr:uid="{00000000-0005-0000-0000-000067340000}"/>
    <cellStyle name="Akcent 1 2 15 4" xfId="13589" xr:uid="{00000000-0005-0000-0000-000068340000}"/>
    <cellStyle name="Akcent 1 2 15 5" xfId="13590" xr:uid="{00000000-0005-0000-0000-000069340000}"/>
    <cellStyle name="Akcent 1 2 15 6" xfId="13591" xr:uid="{00000000-0005-0000-0000-00006A340000}"/>
    <cellStyle name="Akcent 1 2 15 7" xfId="13592" xr:uid="{00000000-0005-0000-0000-00006B340000}"/>
    <cellStyle name="Akcent 1 2 16" xfId="13593" xr:uid="{00000000-0005-0000-0000-00006C340000}"/>
    <cellStyle name="Akcent 1 2 17" xfId="13594" xr:uid="{00000000-0005-0000-0000-00006D340000}"/>
    <cellStyle name="Akcent 1 2 18" xfId="13595" xr:uid="{00000000-0005-0000-0000-00006E340000}"/>
    <cellStyle name="Akcent 1 2 19" xfId="13596" xr:uid="{00000000-0005-0000-0000-00006F340000}"/>
    <cellStyle name="Akcent 1 2 2" xfId="13597" xr:uid="{00000000-0005-0000-0000-000070340000}"/>
    <cellStyle name="Akcent 1 2 2 10" xfId="13598" xr:uid="{00000000-0005-0000-0000-000071340000}"/>
    <cellStyle name="Akcent 1 2 2 10 10" xfId="13599" xr:uid="{00000000-0005-0000-0000-000072340000}"/>
    <cellStyle name="Akcent 1 2 2 10 11" xfId="13600" xr:uid="{00000000-0005-0000-0000-000073340000}"/>
    <cellStyle name="Akcent 1 2 2 10 12" xfId="13601" xr:uid="{00000000-0005-0000-0000-000074340000}"/>
    <cellStyle name="Akcent 1 2 2 10 2" xfId="13602" xr:uid="{00000000-0005-0000-0000-000075340000}"/>
    <cellStyle name="Akcent 1 2 2 10 2 10" xfId="13603" xr:uid="{00000000-0005-0000-0000-000076340000}"/>
    <cellStyle name="Akcent 1 2 2 10 2 11" xfId="13604" xr:uid="{00000000-0005-0000-0000-000077340000}"/>
    <cellStyle name="Akcent 1 2 2 10 2 2" xfId="13605" xr:uid="{00000000-0005-0000-0000-000078340000}"/>
    <cellStyle name="Akcent 1 2 2 10 2 2 10" xfId="13606" xr:uid="{00000000-0005-0000-0000-000079340000}"/>
    <cellStyle name="Akcent 1 2 2 10 2 2 11" xfId="13607" xr:uid="{00000000-0005-0000-0000-00007A340000}"/>
    <cellStyle name="Akcent 1 2 2 10 2 2 2" xfId="13608" xr:uid="{00000000-0005-0000-0000-00007B340000}"/>
    <cellStyle name="Akcent 1 2 2 10 2 2 2 2" xfId="13609" xr:uid="{00000000-0005-0000-0000-00007C340000}"/>
    <cellStyle name="Akcent 1 2 2 10 2 2 2 2 2" xfId="13610" xr:uid="{00000000-0005-0000-0000-00007D340000}"/>
    <cellStyle name="Akcent 1 2 2 10 2 2 2 2 3" xfId="13611" xr:uid="{00000000-0005-0000-0000-00007E340000}"/>
    <cellStyle name="Akcent 1 2 2 10 2 2 2 2 4" xfId="13612" xr:uid="{00000000-0005-0000-0000-00007F340000}"/>
    <cellStyle name="Akcent 1 2 2 10 2 2 2 2 5" xfId="13613" xr:uid="{00000000-0005-0000-0000-000080340000}"/>
    <cellStyle name="Akcent 1 2 2 10 2 2 2 2 6" xfId="13614" xr:uid="{00000000-0005-0000-0000-000081340000}"/>
    <cellStyle name="Akcent 1 2 2 10 2 2 2 3" xfId="13615" xr:uid="{00000000-0005-0000-0000-000082340000}"/>
    <cellStyle name="Akcent 1 2 2 10 2 2 2 4" xfId="13616" xr:uid="{00000000-0005-0000-0000-000083340000}"/>
    <cellStyle name="Akcent 1 2 2 10 2 2 2 5" xfId="13617" xr:uid="{00000000-0005-0000-0000-000084340000}"/>
    <cellStyle name="Akcent 1 2 2 10 2 2 2 6" xfId="13618" xr:uid="{00000000-0005-0000-0000-000085340000}"/>
    <cellStyle name="Akcent 1 2 2 10 2 2 2 7" xfId="13619" xr:uid="{00000000-0005-0000-0000-000086340000}"/>
    <cellStyle name="Akcent 1 2 2 10 2 2 3" xfId="13620" xr:uid="{00000000-0005-0000-0000-000087340000}"/>
    <cellStyle name="Akcent 1 2 2 10 2 2 4" xfId="13621" xr:uid="{00000000-0005-0000-0000-000088340000}"/>
    <cellStyle name="Akcent 1 2 2 10 2 2 5" xfId="13622" xr:uid="{00000000-0005-0000-0000-000089340000}"/>
    <cellStyle name="Akcent 1 2 2 10 2 2 6" xfId="13623" xr:uid="{00000000-0005-0000-0000-00008A340000}"/>
    <cellStyle name="Akcent 1 2 2 10 2 2 7" xfId="13624" xr:uid="{00000000-0005-0000-0000-00008B340000}"/>
    <cellStyle name="Akcent 1 2 2 10 2 2 7 2" xfId="13625" xr:uid="{00000000-0005-0000-0000-00008C340000}"/>
    <cellStyle name="Akcent 1 2 2 10 2 2 7 3" xfId="13626" xr:uid="{00000000-0005-0000-0000-00008D340000}"/>
    <cellStyle name="Akcent 1 2 2 10 2 2 7 4" xfId="13627" xr:uid="{00000000-0005-0000-0000-00008E340000}"/>
    <cellStyle name="Akcent 1 2 2 10 2 2 7 5" xfId="13628" xr:uid="{00000000-0005-0000-0000-00008F340000}"/>
    <cellStyle name="Akcent 1 2 2 10 2 2 7 6" xfId="13629" xr:uid="{00000000-0005-0000-0000-000090340000}"/>
    <cellStyle name="Akcent 1 2 2 10 2 2 8" xfId="13630" xr:uid="{00000000-0005-0000-0000-000091340000}"/>
    <cellStyle name="Akcent 1 2 2 10 2 2 9" xfId="13631" xr:uid="{00000000-0005-0000-0000-000092340000}"/>
    <cellStyle name="Akcent 1 2 2 10 2 3" xfId="13632" xr:uid="{00000000-0005-0000-0000-000093340000}"/>
    <cellStyle name="Akcent 1 2 2 10 2 3 2" xfId="13633" xr:uid="{00000000-0005-0000-0000-000094340000}"/>
    <cellStyle name="Akcent 1 2 2 10 2 3 2 2" xfId="13634" xr:uid="{00000000-0005-0000-0000-000095340000}"/>
    <cellStyle name="Akcent 1 2 2 10 2 3 2 3" xfId="13635" xr:uid="{00000000-0005-0000-0000-000096340000}"/>
    <cellStyle name="Akcent 1 2 2 10 2 3 2 4" xfId="13636" xr:uid="{00000000-0005-0000-0000-000097340000}"/>
    <cellStyle name="Akcent 1 2 2 10 2 3 2 5" xfId="13637" xr:uid="{00000000-0005-0000-0000-000098340000}"/>
    <cellStyle name="Akcent 1 2 2 10 2 3 2 6" xfId="13638" xr:uid="{00000000-0005-0000-0000-000099340000}"/>
    <cellStyle name="Akcent 1 2 2 10 2 3 3" xfId="13639" xr:uid="{00000000-0005-0000-0000-00009A340000}"/>
    <cellStyle name="Akcent 1 2 2 10 2 3 4" xfId="13640" xr:uid="{00000000-0005-0000-0000-00009B340000}"/>
    <cellStyle name="Akcent 1 2 2 10 2 3 5" xfId="13641" xr:uid="{00000000-0005-0000-0000-00009C340000}"/>
    <cellStyle name="Akcent 1 2 2 10 2 3 6" xfId="13642" xr:uid="{00000000-0005-0000-0000-00009D340000}"/>
    <cellStyle name="Akcent 1 2 2 10 2 3 7" xfId="13643" xr:uid="{00000000-0005-0000-0000-00009E340000}"/>
    <cellStyle name="Akcent 1 2 2 10 2 4" xfId="13644" xr:uid="{00000000-0005-0000-0000-00009F340000}"/>
    <cellStyle name="Akcent 1 2 2 10 2 5" xfId="13645" xr:uid="{00000000-0005-0000-0000-0000A0340000}"/>
    <cellStyle name="Akcent 1 2 2 10 2 6" xfId="13646" xr:uid="{00000000-0005-0000-0000-0000A1340000}"/>
    <cellStyle name="Akcent 1 2 2 10 2 7" xfId="13647" xr:uid="{00000000-0005-0000-0000-0000A2340000}"/>
    <cellStyle name="Akcent 1 2 2 10 2 7 2" xfId="13648" xr:uid="{00000000-0005-0000-0000-0000A3340000}"/>
    <cellStyle name="Akcent 1 2 2 10 2 7 3" xfId="13649" xr:uid="{00000000-0005-0000-0000-0000A4340000}"/>
    <cellStyle name="Akcent 1 2 2 10 2 7 4" xfId="13650" xr:uid="{00000000-0005-0000-0000-0000A5340000}"/>
    <cellStyle name="Akcent 1 2 2 10 2 7 5" xfId="13651" xr:uid="{00000000-0005-0000-0000-0000A6340000}"/>
    <cellStyle name="Akcent 1 2 2 10 2 7 6" xfId="13652" xr:uid="{00000000-0005-0000-0000-0000A7340000}"/>
    <cellStyle name="Akcent 1 2 2 10 2 8" xfId="13653" xr:uid="{00000000-0005-0000-0000-0000A8340000}"/>
    <cellStyle name="Akcent 1 2 2 10 2 9" xfId="13654" xr:uid="{00000000-0005-0000-0000-0000A9340000}"/>
    <cellStyle name="Akcent 1 2 2 10 3" xfId="13655" xr:uid="{00000000-0005-0000-0000-0000AA340000}"/>
    <cellStyle name="Akcent 1 2 2 10 3 2" xfId="13656" xr:uid="{00000000-0005-0000-0000-0000AB340000}"/>
    <cellStyle name="Akcent 1 2 2 10 3 2 2" xfId="13657" xr:uid="{00000000-0005-0000-0000-0000AC340000}"/>
    <cellStyle name="Akcent 1 2 2 10 3 2 3" xfId="13658" xr:uid="{00000000-0005-0000-0000-0000AD340000}"/>
    <cellStyle name="Akcent 1 2 2 10 3 2 4" xfId="13659" xr:uid="{00000000-0005-0000-0000-0000AE340000}"/>
    <cellStyle name="Akcent 1 2 2 10 3 2 5" xfId="13660" xr:uid="{00000000-0005-0000-0000-0000AF340000}"/>
    <cellStyle name="Akcent 1 2 2 10 3 2 6" xfId="13661" xr:uid="{00000000-0005-0000-0000-0000B0340000}"/>
    <cellStyle name="Akcent 1 2 2 10 3 3" xfId="13662" xr:uid="{00000000-0005-0000-0000-0000B1340000}"/>
    <cellStyle name="Akcent 1 2 2 10 3 4" xfId="13663" xr:uid="{00000000-0005-0000-0000-0000B2340000}"/>
    <cellStyle name="Akcent 1 2 2 10 3 5" xfId="13664" xr:uid="{00000000-0005-0000-0000-0000B3340000}"/>
    <cellStyle name="Akcent 1 2 2 10 3 6" xfId="13665" xr:uid="{00000000-0005-0000-0000-0000B4340000}"/>
    <cellStyle name="Akcent 1 2 2 10 3 7" xfId="13666" xr:uid="{00000000-0005-0000-0000-0000B5340000}"/>
    <cellStyle name="Akcent 1 2 2 10 4" xfId="13667" xr:uid="{00000000-0005-0000-0000-0000B6340000}"/>
    <cellStyle name="Akcent 1 2 2 10 5" xfId="13668" xr:uid="{00000000-0005-0000-0000-0000B7340000}"/>
    <cellStyle name="Akcent 1 2 2 10 6" xfId="13669" xr:uid="{00000000-0005-0000-0000-0000B8340000}"/>
    <cellStyle name="Akcent 1 2 2 10 7" xfId="13670" xr:uid="{00000000-0005-0000-0000-0000B9340000}"/>
    <cellStyle name="Akcent 1 2 2 10 8" xfId="13671" xr:uid="{00000000-0005-0000-0000-0000BA340000}"/>
    <cellStyle name="Akcent 1 2 2 10 8 2" xfId="13672" xr:uid="{00000000-0005-0000-0000-0000BB340000}"/>
    <cellStyle name="Akcent 1 2 2 10 8 3" xfId="13673" xr:uid="{00000000-0005-0000-0000-0000BC340000}"/>
    <cellStyle name="Akcent 1 2 2 10 8 4" xfId="13674" xr:uid="{00000000-0005-0000-0000-0000BD340000}"/>
    <cellStyle name="Akcent 1 2 2 10 8 5" xfId="13675" xr:uid="{00000000-0005-0000-0000-0000BE340000}"/>
    <cellStyle name="Akcent 1 2 2 10 8 6" xfId="13676" xr:uid="{00000000-0005-0000-0000-0000BF340000}"/>
    <cellStyle name="Akcent 1 2 2 10 9" xfId="13677" xr:uid="{00000000-0005-0000-0000-0000C0340000}"/>
    <cellStyle name="Akcent 1 2 2 11" xfId="13678" xr:uid="{00000000-0005-0000-0000-0000C1340000}"/>
    <cellStyle name="Akcent 1 2 2 11 10" xfId="13679" xr:uid="{00000000-0005-0000-0000-0000C2340000}"/>
    <cellStyle name="Akcent 1 2 2 11 11" xfId="13680" xr:uid="{00000000-0005-0000-0000-0000C3340000}"/>
    <cellStyle name="Akcent 1 2 2 11 2" xfId="13681" xr:uid="{00000000-0005-0000-0000-0000C4340000}"/>
    <cellStyle name="Akcent 1 2 2 11 2 2" xfId="13682" xr:uid="{00000000-0005-0000-0000-0000C5340000}"/>
    <cellStyle name="Akcent 1 2 2 11 2 2 2" xfId="13683" xr:uid="{00000000-0005-0000-0000-0000C6340000}"/>
    <cellStyle name="Akcent 1 2 2 11 2 2 3" xfId="13684" xr:uid="{00000000-0005-0000-0000-0000C7340000}"/>
    <cellStyle name="Akcent 1 2 2 11 2 2 4" xfId="13685" xr:uid="{00000000-0005-0000-0000-0000C8340000}"/>
    <cellStyle name="Akcent 1 2 2 11 2 2 5" xfId="13686" xr:uid="{00000000-0005-0000-0000-0000C9340000}"/>
    <cellStyle name="Akcent 1 2 2 11 2 2 6" xfId="13687" xr:uid="{00000000-0005-0000-0000-0000CA340000}"/>
    <cellStyle name="Akcent 1 2 2 11 2 3" xfId="13688" xr:uid="{00000000-0005-0000-0000-0000CB340000}"/>
    <cellStyle name="Akcent 1 2 2 11 2 4" xfId="13689" xr:uid="{00000000-0005-0000-0000-0000CC340000}"/>
    <cellStyle name="Akcent 1 2 2 11 2 5" xfId="13690" xr:uid="{00000000-0005-0000-0000-0000CD340000}"/>
    <cellStyle name="Akcent 1 2 2 11 2 6" xfId="13691" xr:uid="{00000000-0005-0000-0000-0000CE340000}"/>
    <cellStyle name="Akcent 1 2 2 11 2 7" xfId="13692" xr:uid="{00000000-0005-0000-0000-0000CF340000}"/>
    <cellStyle name="Akcent 1 2 2 11 3" xfId="13693" xr:uid="{00000000-0005-0000-0000-0000D0340000}"/>
    <cellStyle name="Akcent 1 2 2 11 4" xfId="13694" xr:uid="{00000000-0005-0000-0000-0000D1340000}"/>
    <cellStyle name="Akcent 1 2 2 11 5" xfId="13695" xr:uid="{00000000-0005-0000-0000-0000D2340000}"/>
    <cellStyle name="Akcent 1 2 2 11 6" xfId="13696" xr:uid="{00000000-0005-0000-0000-0000D3340000}"/>
    <cellStyle name="Akcent 1 2 2 11 7" xfId="13697" xr:uid="{00000000-0005-0000-0000-0000D4340000}"/>
    <cellStyle name="Akcent 1 2 2 11 7 2" xfId="13698" xr:uid="{00000000-0005-0000-0000-0000D5340000}"/>
    <cellStyle name="Akcent 1 2 2 11 7 3" xfId="13699" xr:uid="{00000000-0005-0000-0000-0000D6340000}"/>
    <cellStyle name="Akcent 1 2 2 11 7 4" xfId="13700" xr:uid="{00000000-0005-0000-0000-0000D7340000}"/>
    <cellStyle name="Akcent 1 2 2 11 7 5" xfId="13701" xr:uid="{00000000-0005-0000-0000-0000D8340000}"/>
    <cellStyle name="Akcent 1 2 2 11 7 6" xfId="13702" xr:uid="{00000000-0005-0000-0000-0000D9340000}"/>
    <cellStyle name="Akcent 1 2 2 11 8" xfId="13703" xr:uid="{00000000-0005-0000-0000-0000DA340000}"/>
    <cellStyle name="Akcent 1 2 2 11 9" xfId="13704" xr:uid="{00000000-0005-0000-0000-0000DB340000}"/>
    <cellStyle name="Akcent 1 2 2 12" xfId="13705" xr:uid="{00000000-0005-0000-0000-0000DC340000}"/>
    <cellStyle name="Akcent 1 2 2 12 2" xfId="13706" xr:uid="{00000000-0005-0000-0000-0000DD340000}"/>
    <cellStyle name="Akcent 1 2 2 12 2 2" xfId="13707" xr:uid="{00000000-0005-0000-0000-0000DE340000}"/>
    <cellStyle name="Akcent 1 2 2 12 2 3" xfId="13708" xr:uid="{00000000-0005-0000-0000-0000DF340000}"/>
    <cellStyle name="Akcent 1 2 2 12 2 4" xfId="13709" xr:uid="{00000000-0005-0000-0000-0000E0340000}"/>
    <cellStyle name="Akcent 1 2 2 12 2 5" xfId="13710" xr:uid="{00000000-0005-0000-0000-0000E1340000}"/>
    <cellStyle name="Akcent 1 2 2 12 2 6" xfId="13711" xr:uid="{00000000-0005-0000-0000-0000E2340000}"/>
    <cellStyle name="Akcent 1 2 2 12 3" xfId="13712" xr:uid="{00000000-0005-0000-0000-0000E3340000}"/>
    <cellStyle name="Akcent 1 2 2 12 4" xfId="13713" xr:uid="{00000000-0005-0000-0000-0000E4340000}"/>
    <cellStyle name="Akcent 1 2 2 12 5" xfId="13714" xr:uid="{00000000-0005-0000-0000-0000E5340000}"/>
    <cellStyle name="Akcent 1 2 2 12 6" xfId="13715" xr:uid="{00000000-0005-0000-0000-0000E6340000}"/>
    <cellStyle name="Akcent 1 2 2 12 7" xfId="13716" xr:uid="{00000000-0005-0000-0000-0000E7340000}"/>
    <cellStyle name="Akcent 1 2 2 13" xfId="13717" xr:uid="{00000000-0005-0000-0000-0000E8340000}"/>
    <cellStyle name="Akcent 1 2 2 14" xfId="13718" xr:uid="{00000000-0005-0000-0000-0000E9340000}"/>
    <cellStyle name="Akcent 1 2 2 15" xfId="13719" xr:uid="{00000000-0005-0000-0000-0000EA340000}"/>
    <cellStyle name="Akcent 1 2 2 16" xfId="13720" xr:uid="{00000000-0005-0000-0000-0000EB340000}"/>
    <cellStyle name="Akcent 1 2 2 17" xfId="13721" xr:uid="{00000000-0005-0000-0000-0000EC340000}"/>
    <cellStyle name="Akcent 1 2 2 18" xfId="13722" xr:uid="{00000000-0005-0000-0000-0000ED340000}"/>
    <cellStyle name="Akcent 1 2 2 18 2" xfId="13723" xr:uid="{00000000-0005-0000-0000-0000EE340000}"/>
    <cellStyle name="Akcent 1 2 2 18 3" xfId="13724" xr:uid="{00000000-0005-0000-0000-0000EF340000}"/>
    <cellStyle name="Akcent 1 2 2 18 4" xfId="13725" xr:uid="{00000000-0005-0000-0000-0000F0340000}"/>
    <cellStyle name="Akcent 1 2 2 18 5" xfId="13726" xr:uid="{00000000-0005-0000-0000-0000F1340000}"/>
    <cellStyle name="Akcent 1 2 2 18 6" xfId="13727" xr:uid="{00000000-0005-0000-0000-0000F2340000}"/>
    <cellStyle name="Akcent 1 2 2 19" xfId="13728" xr:uid="{00000000-0005-0000-0000-0000F3340000}"/>
    <cellStyle name="Akcent 1 2 2 2" xfId="13729" xr:uid="{00000000-0005-0000-0000-0000F4340000}"/>
    <cellStyle name="Akcent 1 2 2 2 10" xfId="13730" xr:uid="{00000000-0005-0000-0000-0000F5340000}"/>
    <cellStyle name="Akcent 1 2 2 2 11" xfId="13731" xr:uid="{00000000-0005-0000-0000-0000F6340000}"/>
    <cellStyle name="Akcent 1 2 2 2 2" xfId="13732" xr:uid="{00000000-0005-0000-0000-0000F7340000}"/>
    <cellStyle name="Akcent 1 2 2 2 2 10" xfId="13733" xr:uid="{00000000-0005-0000-0000-0000F8340000}"/>
    <cellStyle name="Akcent 1 2 2 2 2 2" xfId="13734" xr:uid="{00000000-0005-0000-0000-0000F9340000}"/>
    <cellStyle name="Akcent 1 2 2 2 2 2 2" xfId="13735" xr:uid="{00000000-0005-0000-0000-0000FA340000}"/>
    <cellStyle name="Akcent 1 2 2 2 2 2 2 2" xfId="13736" xr:uid="{00000000-0005-0000-0000-0000FB340000}"/>
    <cellStyle name="Akcent 1 2 2 2 2 2 2 2 2" xfId="13737" xr:uid="{00000000-0005-0000-0000-0000FC340000}"/>
    <cellStyle name="Akcent 1 2 2 2 2 2 2 2 2 2" xfId="13738" xr:uid="{00000000-0005-0000-0000-0000FD340000}"/>
    <cellStyle name="Akcent 1 2 2 2 2 2 2 2 2 3" xfId="13739" xr:uid="{00000000-0005-0000-0000-0000FE340000}"/>
    <cellStyle name="Akcent 1 2 2 2 2 2 2 2 2 4" xfId="13740" xr:uid="{00000000-0005-0000-0000-0000FF340000}"/>
    <cellStyle name="Akcent 1 2 2 2 2 2 2 2 3" xfId="13741" xr:uid="{00000000-0005-0000-0000-000000350000}"/>
    <cellStyle name="Akcent 1 2 2 2 2 2 2 2 4" xfId="13742" xr:uid="{00000000-0005-0000-0000-000001350000}"/>
    <cellStyle name="Akcent 1 2 2 2 2 2 2 2 5" xfId="13743" xr:uid="{00000000-0005-0000-0000-000002350000}"/>
    <cellStyle name="Akcent 1 2 2 2 2 2 2 3" xfId="13744" xr:uid="{00000000-0005-0000-0000-000003350000}"/>
    <cellStyle name="Akcent 1 2 2 2 2 2 2 4" xfId="13745" xr:uid="{00000000-0005-0000-0000-000004350000}"/>
    <cellStyle name="Akcent 1 2 2 2 2 2 2 5" xfId="13746" xr:uid="{00000000-0005-0000-0000-000005350000}"/>
    <cellStyle name="Akcent 1 2 2 2 2 2 2 6" xfId="13747" xr:uid="{00000000-0005-0000-0000-000006350000}"/>
    <cellStyle name="Akcent 1 2 2 2 2 2 2 7" xfId="13748" xr:uid="{00000000-0005-0000-0000-000007350000}"/>
    <cellStyle name="Akcent 1 2 2 2 2 2 2 7 2" xfId="13749" xr:uid="{00000000-0005-0000-0000-000008350000}"/>
    <cellStyle name="Akcent 1 2 2 2 2 2 2 7 3" xfId="13750" xr:uid="{00000000-0005-0000-0000-000009350000}"/>
    <cellStyle name="Akcent 1 2 2 2 2 2 2 7 4" xfId="13751" xr:uid="{00000000-0005-0000-0000-00000A350000}"/>
    <cellStyle name="Akcent 1 2 2 2 2 2 2 7 5" xfId="13752" xr:uid="{00000000-0005-0000-0000-00000B350000}"/>
    <cellStyle name="Akcent 1 2 2 2 2 2 2 7 6" xfId="13753" xr:uid="{00000000-0005-0000-0000-00000C350000}"/>
    <cellStyle name="Akcent 1 2 2 2 2 2 2 8" xfId="13754" xr:uid="{00000000-0005-0000-0000-00000D350000}"/>
    <cellStyle name="Akcent 1 2 2 2 2 2 2 9" xfId="13755" xr:uid="{00000000-0005-0000-0000-00000E350000}"/>
    <cellStyle name="Akcent 1 2 2 2 2 2 3" xfId="13756" xr:uid="{00000000-0005-0000-0000-00000F350000}"/>
    <cellStyle name="Akcent 1 2 2 2 2 2 3 2" xfId="13757" xr:uid="{00000000-0005-0000-0000-000010350000}"/>
    <cellStyle name="Akcent 1 2 2 2 2 2 3 2 2" xfId="13758" xr:uid="{00000000-0005-0000-0000-000011350000}"/>
    <cellStyle name="Akcent 1 2 2 2 2 2 3 2 3" xfId="13759" xr:uid="{00000000-0005-0000-0000-000012350000}"/>
    <cellStyle name="Akcent 1 2 2 2 2 2 3 2 4" xfId="13760" xr:uid="{00000000-0005-0000-0000-000013350000}"/>
    <cellStyle name="Akcent 1 2 2 2 2 2 3 2 5" xfId="13761" xr:uid="{00000000-0005-0000-0000-000014350000}"/>
    <cellStyle name="Akcent 1 2 2 2 2 2 3 2 6" xfId="13762" xr:uid="{00000000-0005-0000-0000-000015350000}"/>
    <cellStyle name="Akcent 1 2 2 2 2 2 3 3" xfId="13763" xr:uid="{00000000-0005-0000-0000-000016350000}"/>
    <cellStyle name="Akcent 1 2 2 2 2 2 3 4" xfId="13764" xr:uid="{00000000-0005-0000-0000-000017350000}"/>
    <cellStyle name="Akcent 1 2 2 2 2 2 3 5" xfId="13765" xr:uid="{00000000-0005-0000-0000-000018350000}"/>
    <cellStyle name="Akcent 1 2 2 2 2 2 3 6" xfId="13766" xr:uid="{00000000-0005-0000-0000-000019350000}"/>
    <cellStyle name="Akcent 1 2 2 2 2 2 3 7" xfId="13767" xr:uid="{00000000-0005-0000-0000-00001A350000}"/>
    <cellStyle name="Akcent 1 2 2 2 2 2 4" xfId="13768" xr:uid="{00000000-0005-0000-0000-00001B350000}"/>
    <cellStyle name="Akcent 1 2 2 2 2 2 5" xfId="13769" xr:uid="{00000000-0005-0000-0000-00001C350000}"/>
    <cellStyle name="Akcent 1 2 2 2 2 2 6" xfId="13770" xr:uid="{00000000-0005-0000-0000-00001D350000}"/>
    <cellStyle name="Akcent 1 2 2 2 2 2 7" xfId="13771" xr:uid="{00000000-0005-0000-0000-00001E350000}"/>
    <cellStyle name="Akcent 1 2 2 2 2 2 7 2" xfId="13772" xr:uid="{00000000-0005-0000-0000-00001F350000}"/>
    <cellStyle name="Akcent 1 2 2 2 2 2 7 3" xfId="13773" xr:uid="{00000000-0005-0000-0000-000020350000}"/>
    <cellStyle name="Akcent 1 2 2 2 2 2 7 4" xfId="13774" xr:uid="{00000000-0005-0000-0000-000021350000}"/>
    <cellStyle name="Akcent 1 2 2 2 2 2 7 5" xfId="13775" xr:uid="{00000000-0005-0000-0000-000022350000}"/>
    <cellStyle name="Akcent 1 2 2 2 2 2 7 6" xfId="13776" xr:uid="{00000000-0005-0000-0000-000023350000}"/>
    <cellStyle name="Akcent 1 2 2 2 2 2 8" xfId="13777" xr:uid="{00000000-0005-0000-0000-000024350000}"/>
    <cellStyle name="Akcent 1 2 2 2 2 2 9" xfId="13778" xr:uid="{00000000-0005-0000-0000-000025350000}"/>
    <cellStyle name="Akcent 1 2 2 2 2 3" xfId="13779" xr:uid="{00000000-0005-0000-0000-000026350000}"/>
    <cellStyle name="Akcent 1 2 2 2 2 3 2" xfId="13780" xr:uid="{00000000-0005-0000-0000-000027350000}"/>
    <cellStyle name="Akcent 1 2 2 2 2 3 2 2" xfId="13781" xr:uid="{00000000-0005-0000-0000-000028350000}"/>
    <cellStyle name="Akcent 1 2 2 2 2 3 2 3" xfId="13782" xr:uid="{00000000-0005-0000-0000-000029350000}"/>
    <cellStyle name="Akcent 1 2 2 2 2 3 2 4" xfId="13783" xr:uid="{00000000-0005-0000-0000-00002A350000}"/>
    <cellStyle name="Akcent 1 2 2 2 2 3 2 5" xfId="13784" xr:uid="{00000000-0005-0000-0000-00002B350000}"/>
    <cellStyle name="Akcent 1 2 2 2 2 3 2 6" xfId="13785" xr:uid="{00000000-0005-0000-0000-00002C350000}"/>
    <cellStyle name="Akcent 1 2 2 2 2 3 3" xfId="13786" xr:uid="{00000000-0005-0000-0000-00002D350000}"/>
    <cellStyle name="Akcent 1 2 2 2 2 3 4" xfId="13787" xr:uid="{00000000-0005-0000-0000-00002E350000}"/>
    <cellStyle name="Akcent 1 2 2 2 2 3 5" xfId="13788" xr:uid="{00000000-0005-0000-0000-00002F350000}"/>
    <cellStyle name="Akcent 1 2 2 2 2 3 6" xfId="13789" xr:uid="{00000000-0005-0000-0000-000030350000}"/>
    <cellStyle name="Akcent 1 2 2 2 2 3 7" xfId="13790" xr:uid="{00000000-0005-0000-0000-000031350000}"/>
    <cellStyle name="Akcent 1 2 2 2 2 4" xfId="13791" xr:uid="{00000000-0005-0000-0000-000032350000}"/>
    <cellStyle name="Akcent 1 2 2 2 2 5" xfId="13792" xr:uid="{00000000-0005-0000-0000-000033350000}"/>
    <cellStyle name="Akcent 1 2 2 2 2 6" xfId="13793" xr:uid="{00000000-0005-0000-0000-000034350000}"/>
    <cellStyle name="Akcent 1 2 2 2 2 7" xfId="13794" xr:uid="{00000000-0005-0000-0000-000035350000}"/>
    <cellStyle name="Akcent 1 2 2 2 2 8" xfId="13795" xr:uid="{00000000-0005-0000-0000-000036350000}"/>
    <cellStyle name="Akcent 1 2 2 2 2 8 2" xfId="13796" xr:uid="{00000000-0005-0000-0000-000037350000}"/>
    <cellStyle name="Akcent 1 2 2 2 2 8 3" xfId="13797" xr:uid="{00000000-0005-0000-0000-000038350000}"/>
    <cellStyle name="Akcent 1 2 2 2 2 8 4" xfId="13798" xr:uid="{00000000-0005-0000-0000-000039350000}"/>
    <cellStyle name="Akcent 1 2 2 2 2 8 5" xfId="13799" xr:uid="{00000000-0005-0000-0000-00003A350000}"/>
    <cellStyle name="Akcent 1 2 2 2 2 8 6" xfId="13800" xr:uid="{00000000-0005-0000-0000-00003B350000}"/>
    <cellStyle name="Akcent 1 2 2 2 2 9" xfId="13801" xr:uid="{00000000-0005-0000-0000-00003C350000}"/>
    <cellStyle name="Akcent 1 2 2 2 3" xfId="13802" xr:uid="{00000000-0005-0000-0000-00003D350000}"/>
    <cellStyle name="Akcent 1 2 2 2 4" xfId="13803" xr:uid="{00000000-0005-0000-0000-00003E350000}"/>
    <cellStyle name="Akcent 1 2 2 2 4 10" xfId="13804" xr:uid="{00000000-0005-0000-0000-00003F350000}"/>
    <cellStyle name="Akcent 1 2 2 2 4 11" xfId="13805" xr:uid="{00000000-0005-0000-0000-000040350000}"/>
    <cellStyle name="Akcent 1 2 2 2 4 2" xfId="13806" xr:uid="{00000000-0005-0000-0000-000041350000}"/>
    <cellStyle name="Akcent 1 2 2 2 4 2 2" xfId="13807" xr:uid="{00000000-0005-0000-0000-000042350000}"/>
    <cellStyle name="Akcent 1 2 2 2 4 2 2 2" xfId="13808" xr:uid="{00000000-0005-0000-0000-000043350000}"/>
    <cellStyle name="Akcent 1 2 2 2 4 2 2 3" xfId="13809" xr:uid="{00000000-0005-0000-0000-000044350000}"/>
    <cellStyle name="Akcent 1 2 2 2 4 2 2 4" xfId="13810" xr:uid="{00000000-0005-0000-0000-000045350000}"/>
    <cellStyle name="Akcent 1 2 2 2 4 2 2 5" xfId="13811" xr:uid="{00000000-0005-0000-0000-000046350000}"/>
    <cellStyle name="Akcent 1 2 2 2 4 2 2 6" xfId="13812" xr:uid="{00000000-0005-0000-0000-000047350000}"/>
    <cellStyle name="Akcent 1 2 2 2 4 2 3" xfId="13813" xr:uid="{00000000-0005-0000-0000-000048350000}"/>
    <cellStyle name="Akcent 1 2 2 2 4 2 4" xfId="13814" xr:uid="{00000000-0005-0000-0000-000049350000}"/>
    <cellStyle name="Akcent 1 2 2 2 4 2 5" xfId="13815" xr:uid="{00000000-0005-0000-0000-00004A350000}"/>
    <cellStyle name="Akcent 1 2 2 2 4 2 6" xfId="13816" xr:uid="{00000000-0005-0000-0000-00004B350000}"/>
    <cellStyle name="Akcent 1 2 2 2 4 2 7" xfId="13817" xr:uid="{00000000-0005-0000-0000-00004C350000}"/>
    <cellStyle name="Akcent 1 2 2 2 4 3" xfId="13818" xr:uid="{00000000-0005-0000-0000-00004D350000}"/>
    <cellStyle name="Akcent 1 2 2 2 4 4" xfId="13819" xr:uid="{00000000-0005-0000-0000-00004E350000}"/>
    <cellStyle name="Akcent 1 2 2 2 4 5" xfId="13820" xr:uid="{00000000-0005-0000-0000-00004F350000}"/>
    <cellStyle name="Akcent 1 2 2 2 4 6" xfId="13821" xr:uid="{00000000-0005-0000-0000-000050350000}"/>
    <cellStyle name="Akcent 1 2 2 2 4 7" xfId="13822" xr:uid="{00000000-0005-0000-0000-000051350000}"/>
    <cellStyle name="Akcent 1 2 2 2 4 7 2" xfId="13823" xr:uid="{00000000-0005-0000-0000-000052350000}"/>
    <cellStyle name="Akcent 1 2 2 2 4 7 3" xfId="13824" xr:uid="{00000000-0005-0000-0000-000053350000}"/>
    <cellStyle name="Akcent 1 2 2 2 4 7 4" xfId="13825" xr:uid="{00000000-0005-0000-0000-000054350000}"/>
    <cellStyle name="Akcent 1 2 2 2 4 7 5" xfId="13826" xr:uid="{00000000-0005-0000-0000-000055350000}"/>
    <cellStyle name="Akcent 1 2 2 2 4 7 6" xfId="13827" xr:uid="{00000000-0005-0000-0000-000056350000}"/>
    <cellStyle name="Akcent 1 2 2 2 4 8" xfId="13828" xr:uid="{00000000-0005-0000-0000-000057350000}"/>
    <cellStyle name="Akcent 1 2 2 2 4 9" xfId="13829" xr:uid="{00000000-0005-0000-0000-000058350000}"/>
    <cellStyle name="Akcent 1 2 2 2 5" xfId="13830" xr:uid="{00000000-0005-0000-0000-000059350000}"/>
    <cellStyle name="Akcent 1 2 2 2 5 2" xfId="13831" xr:uid="{00000000-0005-0000-0000-00005A350000}"/>
    <cellStyle name="Akcent 1 2 2 2 5 2 2" xfId="13832" xr:uid="{00000000-0005-0000-0000-00005B350000}"/>
    <cellStyle name="Akcent 1 2 2 2 5 2 3" xfId="13833" xr:uid="{00000000-0005-0000-0000-00005C350000}"/>
    <cellStyle name="Akcent 1 2 2 2 5 2 4" xfId="13834" xr:uid="{00000000-0005-0000-0000-00005D350000}"/>
    <cellStyle name="Akcent 1 2 2 2 5 2 5" xfId="13835" xr:uid="{00000000-0005-0000-0000-00005E350000}"/>
    <cellStyle name="Akcent 1 2 2 2 5 2 6" xfId="13836" xr:uid="{00000000-0005-0000-0000-00005F350000}"/>
    <cellStyle name="Akcent 1 2 2 2 5 3" xfId="13837" xr:uid="{00000000-0005-0000-0000-000060350000}"/>
    <cellStyle name="Akcent 1 2 2 2 5 4" xfId="13838" xr:uid="{00000000-0005-0000-0000-000061350000}"/>
    <cellStyle name="Akcent 1 2 2 2 5 5" xfId="13839" xr:uid="{00000000-0005-0000-0000-000062350000}"/>
    <cellStyle name="Akcent 1 2 2 2 5 6" xfId="13840" xr:uid="{00000000-0005-0000-0000-000063350000}"/>
    <cellStyle name="Akcent 1 2 2 2 5 7" xfId="13841" xr:uid="{00000000-0005-0000-0000-000064350000}"/>
    <cellStyle name="Akcent 1 2 2 2 6" xfId="13842" xr:uid="{00000000-0005-0000-0000-000065350000}"/>
    <cellStyle name="Akcent 1 2 2 2 7" xfId="13843" xr:uid="{00000000-0005-0000-0000-000066350000}"/>
    <cellStyle name="Akcent 1 2 2 2 8" xfId="13844" xr:uid="{00000000-0005-0000-0000-000067350000}"/>
    <cellStyle name="Akcent 1 2 2 2 9" xfId="13845" xr:uid="{00000000-0005-0000-0000-000068350000}"/>
    <cellStyle name="Akcent 1 2 2 2 9 2" xfId="13846" xr:uid="{00000000-0005-0000-0000-000069350000}"/>
    <cellStyle name="Akcent 1 2 2 2 9 3" xfId="13847" xr:uid="{00000000-0005-0000-0000-00006A350000}"/>
    <cellStyle name="Akcent 1 2 2 2 9 4" xfId="13848" xr:uid="{00000000-0005-0000-0000-00006B350000}"/>
    <cellStyle name="Akcent 1 2 2 2 9 5" xfId="13849" xr:uid="{00000000-0005-0000-0000-00006C350000}"/>
    <cellStyle name="Akcent 1 2 2 2 9 6" xfId="13850" xr:uid="{00000000-0005-0000-0000-00006D350000}"/>
    <cellStyle name="Akcent 1 2 2 20" xfId="13851" xr:uid="{00000000-0005-0000-0000-00006E350000}"/>
    <cellStyle name="Akcent 1 2 2 3" xfId="13852" xr:uid="{00000000-0005-0000-0000-00006F350000}"/>
    <cellStyle name="Akcent 1 2 2 4" xfId="13853" xr:uid="{00000000-0005-0000-0000-000070350000}"/>
    <cellStyle name="Akcent 1 2 2 5" xfId="13854" xr:uid="{00000000-0005-0000-0000-000071350000}"/>
    <cellStyle name="Akcent 1 2 2 6" xfId="13855" xr:uid="{00000000-0005-0000-0000-000072350000}"/>
    <cellStyle name="Akcent 1 2 2 7" xfId="13856" xr:uid="{00000000-0005-0000-0000-000073350000}"/>
    <cellStyle name="Akcent 1 2 2 8" xfId="13857" xr:uid="{00000000-0005-0000-0000-000074350000}"/>
    <cellStyle name="Akcent 1 2 2 9" xfId="13858" xr:uid="{00000000-0005-0000-0000-000075350000}"/>
    <cellStyle name="Akcent 1 2 20" xfId="13859" xr:uid="{00000000-0005-0000-0000-000076350000}"/>
    <cellStyle name="Akcent 1 2 21" xfId="13860" xr:uid="{00000000-0005-0000-0000-000077350000}"/>
    <cellStyle name="Akcent 1 2 21 2" xfId="13861" xr:uid="{00000000-0005-0000-0000-000078350000}"/>
    <cellStyle name="Akcent 1 2 21 3" xfId="13862" xr:uid="{00000000-0005-0000-0000-000079350000}"/>
    <cellStyle name="Akcent 1 2 21 4" xfId="13863" xr:uid="{00000000-0005-0000-0000-00007A350000}"/>
    <cellStyle name="Akcent 1 2 21 5" xfId="13864" xr:uid="{00000000-0005-0000-0000-00007B350000}"/>
    <cellStyle name="Akcent 1 2 21 6" xfId="13865" xr:uid="{00000000-0005-0000-0000-00007C350000}"/>
    <cellStyle name="Akcent 1 2 22" xfId="13866" xr:uid="{00000000-0005-0000-0000-00007D350000}"/>
    <cellStyle name="Akcent 1 2 23" xfId="13867" xr:uid="{00000000-0005-0000-0000-00007E350000}"/>
    <cellStyle name="Akcent 1 2 24" xfId="13868" xr:uid="{00000000-0005-0000-0000-00007F350000}"/>
    <cellStyle name="Akcent 1 2 25" xfId="13869" xr:uid="{00000000-0005-0000-0000-000080350000}"/>
    <cellStyle name="Akcent 1 2 26" xfId="13870" xr:uid="{00000000-0005-0000-0000-000081350000}"/>
    <cellStyle name="Akcent 1 2 27" xfId="13871" xr:uid="{00000000-0005-0000-0000-000082350000}"/>
    <cellStyle name="Akcent 1 2 28" xfId="13872" xr:uid="{00000000-0005-0000-0000-000083350000}"/>
    <cellStyle name="Akcent 1 2 29" xfId="13873" xr:uid="{00000000-0005-0000-0000-000084350000}"/>
    <cellStyle name="Akcent 1 2 3" xfId="13874" xr:uid="{00000000-0005-0000-0000-000085350000}"/>
    <cellStyle name="Akcent 1 2 30" xfId="13875" xr:uid="{00000000-0005-0000-0000-000086350000}"/>
    <cellStyle name="Akcent 1 2 31" xfId="13876" xr:uid="{00000000-0005-0000-0000-000087350000}"/>
    <cellStyle name="Akcent 1 2 32" xfId="13470" xr:uid="{00000000-0005-0000-0000-000088350000}"/>
    <cellStyle name="Akcent 1 2 33" xfId="37835" xr:uid="{00000000-0005-0000-0000-000089350000}"/>
    <cellStyle name="Akcent 1 2 4" xfId="13877" xr:uid="{00000000-0005-0000-0000-00008A350000}"/>
    <cellStyle name="Akcent 1 2 5" xfId="13878" xr:uid="{00000000-0005-0000-0000-00008B350000}"/>
    <cellStyle name="Akcent 1 2 6" xfId="13879" xr:uid="{00000000-0005-0000-0000-00008C350000}"/>
    <cellStyle name="Akcent 1 2 6 10" xfId="13880" xr:uid="{00000000-0005-0000-0000-00008D350000}"/>
    <cellStyle name="Akcent 1 2 6 11" xfId="13881" xr:uid="{00000000-0005-0000-0000-00008E350000}"/>
    <cellStyle name="Akcent 1 2 6 12" xfId="13882" xr:uid="{00000000-0005-0000-0000-00008F350000}"/>
    <cellStyle name="Akcent 1 2 6 13" xfId="13883" xr:uid="{00000000-0005-0000-0000-000090350000}"/>
    <cellStyle name="Akcent 1 2 6 2" xfId="13884" xr:uid="{00000000-0005-0000-0000-000091350000}"/>
    <cellStyle name="Akcent 1 2 6 2 10" xfId="13885" xr:uid="{00000000-0005-0000-0000-000092350000}"/>
    <cellStyle name="Akcent 1 2 6 2 11" xfId="13886" xr:uid="{00000000-0005-0000-0000-000093350000}"/>
    <cellStyle name="Akcent 1 2 6 2 12" xfId="13887" xr:uid="{00000000-0005-0000-0000-000094350000}"/>
    <cellStyle name="Akcent 1 2 6 2 13" xfId="13888" xr:uid="{00000000-0005-0000-0000-000095350000}"/>
    <cellStyle name="Akcent 1 2 6 2 2" xfId="13889" xr:uid="{00000000-0005-0000-0000-000096350000}"/>
    <cellStyle name="Akcent 1 2 6 2 2 10" xfId="13890" xr:uid="{00000000-0005-0000-0000-000097350000}"/>
    <cellStyle name="Akcent 1 2 6 2 2 11" xfId="13891" xr:uid="{00000000-0005-0000-0000-000098350000}"/>
    <cellStyle name="Akcent 1 2 6 2 2 12" xfId="13892" xr:uid="{00000000-0005-0000-0000-000099350000}"/>
    <cellStyle name="Akcent 1 2 6 2 2 2" xfId="13893" xr:uid="{00000000-0005-0000-0000-00009A350000}"/>
    <cellStyle name="Akcent 1 2 6 2 2 2 10" xfId="13894" xr:uid="{00000000-0005-0000-0000-00009B350000}"/>
    <cellStyle name="Akcent 1 2 6 2 2 2 11" xfId="13895" xr:uid="{00000000-0005-0000-0000-00009C350000}"/>
    <cellStyle name="Akcent 1 2 6 2 2 2 2" xfId="13896" xr:uid="{00000000-0005-0000-0000-00009D350000}"/>
    <cellStyle name="Akcent 1 2 6 2 2 2 2 10" xfId="13897" xr:uid="{00000000-0005-0000-0000-00009E350000}"/>
    <cellStyle name="Akcent 1 2 6 2 2 2 2 11" xfId="13898" xr:uid="{00000000-0005-0000-0000-00009F350000}"/>
    <cellStyle name="Akcent 1 2 6 2 2 2 2 2" xfId="13899" xr:uid="{00000000-0005-0000-0000-0000A0350000}"/>
    <cellStyle name="Akcent 1 2 6 2 2 2 2 2 2" xfId="13900" xr:uid="{00000000-0005-0000-0000-0000A1350000}"/>
    <cellStyle name="Akcent 1 2 6 2 2 2 2 2 2 2" xfId="13901" xr:uid="{00000000-0005-0000-0000-0000A2350000}"/>
    <cellStyle name="Akcent 1 2 6 2 2 2 2 2 2 3" xfId="13902" xr:uid="{00000000-0005-0000-0000-0000A3350000}"/>
    <cellStyle name="Akcent 1 2 6 2 2 2 2 2 2 4" xfId="13903" xr:uid="{00000000-0005-0000-0000-0000A4350000}"/>
    <cellStyle name="Akcent 1 2 6 2 2 2 2 2 2 5" xfId="13904" xr:uid="{00000000-0005-0000-0000-0000A5350000}"/>
    <cellStyle name="Akcent 1 2 6 2 2 2 2 2 2 6" xfId="13905" xr:uid="{00000000-0005-0000-0000-0000A6350000}"/>
    <cellStyle name="Akcent 1 2 6 2 2 2 2 2 3" xfId="13906" xr:uid="{00000000-0005-0000-0000-0000A7350000}"/>
    <cellStyle name="Akcent 1 2 6 2 2 2 2 2 4" xfId="13907" xr:uid="{00000000-0005-0000-0000-0000A8350000}"/>
    <cellStyle name="Akcent 1 2 6 2 2 2 2 2 5" xfId="13908" xr:uid="{00000000-0005-0000-0000-0000A9350000}"/>
    <cellStyle name="Akcent 1 2 6 2 2 2 2 2 6" xfId="13909" xr:uid="{00000000-0005-0000-0000-0000AA350000}"/>
    <cellStyle name="Akcent 1 2 6 2 2 2 2 2 7" xfId="13910" xr:uid="{00000000-0005-0000-0000-0000AB350000}"/>
    <cellStyle name="Akcent 1 2 6 2 2 2 2 3" xfId="13911" xr:uid="{00000000-0005-0000-0000-0000AC350000}"/>
    <cellStyle name="Akcent 1 2 6 2 2 2 2 4" xfId="13912" xr:uid="{00000000-0005-0000-0000-0000AD350000}"/>
    <cellStyle name="Akcent 1 2 6 2 2 2 2 5" xfId="13913" xr:uid="{00000000-0005-0000-0000-0000AE350000}"/>
    <cellStyle name="Akcent 1 2 6 2 2 2 2 6" xfId="13914" xr:uid="{00000000-0005-0000-0000-0000AF350000}"/>
    <cellStyle name="Akcent 1 2 6 2 2 2 2 7" xfId="13915" xr:uid="{00000000-0005-0000-0000-0000B0350000}"/>
    <cellStyle name="Akcent 1 2 6 2 2 2 2 7 2" xfId="13916" xr:uid="{00000000-0005-0000-0000-0000B1350000}"/>
    <cellStyle name="Akcent 1 2 6 2 2 2 2 7 3" xfId="13917" xr:uid="{00000000-0005-0000-0000-0000B2350000}"/>
    <cellStyle name="Akcent 1 2 6 2 2 2 2 7 4" xfId="13918" xr:uid="{00000000-0005-0000-0000-0000B3350000}"/>
    <cellStyle name="Akcent 1 2 6 2 2 2 2 7 5" xfId="13919" xr:uid="{00000000-0005-0000-0000-0000B4350000}"/>
    <cellStyle name="Akcent 1 2 6 2 2 2 2 7 6" xfId="13920" xr:uid="{00000000-0005-0000-0000-0000B5350000}"/>
    <cellStyle name="Akcent 1 2 6 2 2 2 2 8" xfId="13921" xr:uid="{00000000-0005-0000-0000-0000B6350000}"/>
    <cellStyle name="Akcent 1 2 6 2 2 2 2 9" xfId="13922" xr:uid="{00000000-0005-0000-0000-0000B7350000}"/>
    <cellStyle name="Akcent 1 2 6 2 2 2 3" xfId="13923" xr:uid="{00000000-0005-0000-0000-0000B8350000}"/>
    <cellStyle name="Akcent 1 2 6 2 2 2 3 2" xfId="13924" xr:uid="{00000000-0005-0000-0000-0000B9350000}"/>
    <cellStyle name="Akcent 1 2 6 2 2 2 3 2 2" xfId="13925" xr:uid="{00000000-0005-0000-0000-0000BA350000}"/>
    <cellStyle name="Akcent 1 2 6 2 2 2 3 2 3" xfId="13926" xr:uid="{00000000-0005-0000-0000-0000BB350000}"/>
    <cellStyle name="Akcent 1 2 6 2 2 2 3 2 4" xfId="13927" xr:uid="{00000000-0005-0000-0000-0000BC350000}"/>
    <cellStyle name="Akcent 1 2 6 2 2 2 3 2 5" xfId="13928" xr:uid="{00000000-0005-0000-0000-0000BD350000}"/>
    <cellStyle name="Akcent 1 2 6 2 2 2 3 2 6" xfId="13929" xr:uid="{00000000-0005-0000-0000-0000BE350000}"/>
    <cellStyle name="Akcent 1 2 6 2 2 2 3 3" xfId="13930" xr:uid="{00000000-0005-0000-0000-0000BF350000}"/>
    <cellStyle name="Akcent 1 2 6 2 2 2 3 4" xfId="13931" xr:uid="{00000000-0005-0000-0000-0000C0350000}"/>
    <cellStyle name="Akcent 1 2 6 2 2 2 3 5" xfId="13932" xr:uid="{00000000-0005-0000-0000-0000C1350000}"/>
    <cellStyle name="Akcent 1 2 6 2 2 2 3 6" xfId="13933" xr:uid="{00000000-0005-0000-0000-0000C2350000}"/>
    <cellStyle name="Akcent 1 2 6 2 2 2 3 7" xfId="13934" xr:uid="{00000000-0005-0000-0000-0000C3350000}"/>
    <cellStyle name="Akcent 1 2 6 2 2 2 4" xfId="13935" xr:uid="{00000000-0005-0000-0000-0000C4350000}"/>
    <cellStyle name="Akcent 1 2 6 2 2 2 5" xfId="13936" xr:uid="{00000000-0005-0000-0000-0000C5350000}"/>
    <cellStyle name="Akcent 1 2 6 2 2 2 6" xfId="13937" xr:uid="{00000000-0005-0000-0000-0000C6350000}"/>
    <cellStyle name="Akcent 1 2 6 2 2 2 7" xfId="13938" xr:uid="{00000000-0005-0000-0000-0000C7350000}"/>
    <cellStyle name="Akcent 1 2 6 2 2 2 7 2" xfId="13939" xr:uid="{00000000-0005-0000-0000-0000C8350000}"/>
    <cellStyle name="Akcent 1 2 6 2 2 2 7 3" xfId="13940" xr:uid="{00000000-0005-0000-0000-0000C9350000}"/>
    <cellStyle name="Akcent 1 2 6 2 2 2 7 4" xfId="13941" xr:uid="{00000000-0005-0000-0000-0000CA350000}"/>
    <cellStyle name="Akcent 1 2 6 2 2 2 7 5" xfId="13942" xr:uid="{00000000-0005-0000-0000-0000CB350000}"/>
    <cellStyle name="Akcent 1 2 6 2 2 2 7 6" xfId="13943" xr:uid="{00000000-0005-0000-0000-0000CC350000}"/>
    <cellStyle name="Akcent 1 2 6 2 2 2 8" xfId="13944" xr:uid="{00000000-0005-0000-0000-0000CD350000}"/>
    <cellStyle name="Akcent 1 2 6 2 2 2 9" xfId="13945" xr:uid="{00000000-0005-0000-0000-0000CE350000}"/>
    <cellStyle name="Akcent 1 2 6 2 2 3" xfId="13946" xr:uid="{00000000-0005-0000-0000-0000CF350000}"/>
    <cellStyle name="Akcent 1 2 6 2 2 3 2" xfId="13947" xr:uid="{00000000-0005-0000-0000-0000D0350000}"/>
    <cellStyle name="Akcent 1 2 6 2 2 3 2 2" xfId="13948" xr:uid="{00000000-0005-0000-0000-0000D1350000}"/>
    <cellStyle name="Akcent 1 2 6 2 2 3 2 3" xfId="13949" xr:uid="{00000000-0005-0000-0000-0000D2350000}"/>
    <cellStyle name="Akcent 1 2 6 2 2 3 2 4" xfId="13950" xr:uid="{00000000-0005-0000-0000-0000D3350000}"/>
    <cellStyle name="Akcent 1 2 6 2 2 3 2 5" xfId="13951" xr:uid="{00000000-0005-0000-0000-0000D4350000}"/>
    <cellStyle name="Akcent 1 2 6 2 2 3 2 6" xfId="13952" xr:uid="{00000000-0005-0000-0000-0000D5350000}"/>
    <cellStyle name="Akcent 1 2 6 2 2 3 3" xfId="13953" xr:uid="{00000000-0005-0000-0000-0000D6350000}"/>
    <cellStyle name="Akcent 1 2 6 2 2 3 4" xfId="13954" xr:uid="{00000000-0005-0000-0000-0000D7350000}"/>
    <cellStyle name="Akcent 1 2 6 2 2 3 5" xfId="13955" xr:uid="{00000000-0005-0000-0000-0000D8350000}"/>
    <cellStyle name="Akcent 1 2 6 2 2 3 6" xfId="13956" xr:uid="{00000000-0005-0000-0000-0000D9350000}"/>
    <cellStyle name="Akcent 1 2 6 2 2 3 7" xfId="13957" xr:uid="{00000000-0005-0000-0000-0000DA350000}"/>
    <cellStyle name="Akcent 1 2 6 2 2 4" xfId="13958" xr:uid="{00000000-0005-0000-0000-0000DB350000}"/>
    <cellStyle name="Akcent 1 2 6 2 2 5" xfId="13959" xr:uid="{00000000-0005-0000-0000-0000DC350000}"/>
    <cellStyle name="Akcent 1 2 6 2 2 6" xfId="13960" xr:uid="{00000000-0005-0000-0000-0000DD350000}"/>
    <cellStyle name="Akcent 1 2 6 2 2 7" xfId="13961" xr:uid="{00000000-0005-0000-0000-0000DE350000}"/>
    <cellStyle name="Akcent 1 2 6 2 2 8" xfId="13962" xr:uid="{00000000-0005-0000-0000-0000DF350000}"/>
    <cellStyle name="Akcent 1 2 6 2 2 8 2" xfId="13963" xr:uid="{00000000-0005-0000-0000-0000E0350000}"/>
    <cellStyle name="Akcent 1 2 6 2 2 8 3" xfId="13964" xr:uid="{00000000-0005-0000-0000-0000E1350000}"/>
    <cellStyle name="Akcent 1 2 6 2 2 8 4" xfId="13965" xr:uid="{00000000-0005-0000-0000-0000E2350000}"/>
    <cellStyle name="Akcent 1 2 6 2 2 8 5" xfId="13966" xr:uid="{00000000-0005-0000-0000-0000E3350000}"/>
    <cellStyle name="Akcent 1 2 6 2 2 8 6" xfId="13967" xr:uid="{00000000-0005-0000-0000-0000E4350000}"/>
    <cellStyle name="Akcent 1 2 6 2 2 9" xfId="13968" xr:uid="{00000000-0005-0000-0000-0000E5350000}"/>
    <cellStyle name="Akcent 1 2 6 2 3" xfId="13969" xr:uid="{00000000-0005-0000-0000-0000E6350000}"/>
    <cellStyle name="Akcent 1 2 6 2 4" xfId="13970" xr:uid="{00000000-0005-0000-0000-0000E7350000}"/>
    <cellStyle name="Akcent 1 2 6 2 4 10" xfId="13971" xr:uid="{00000000-0005-0000-0000-0000E8350000}"/>
    <cellStyle name="Akcent 1 2 6 2 4 11" xfId="13972" xr:uid="{00000000-0005-0000-0000-0000E9350000}"/>
    <cellStyle name="Akcent 1 2 6 2 4 2" xfId="13973" xr:uid="{00000000-0005-0000-0000-0000EA350000}"/>
    <cellStyle name="Akcent 1 2 6 2 4 2 2" xfId="13974" xr:uid="{00000000-0005-0000-0000-0000EB350000}"/>
    <cellStyle name="Akcent 1 2 6 2 4 2 2 2" xfId="13975" xr:uid="{00000000-0005-0000-0000-0000EC350000}"/>
    <cellStyle name="Akcent 1 2 6 2 4 2 2 3" xfId="13976" xr:uid="{00000000-0005-0000-0000-0000ED350000}"/>
    <cellStyle name="Akcent 1 2 6 2 4 2 2 4" xfId="13977" xr:uid="{00000000-0005-0000-0000-0000EE350000}"/>
    <cellStyle name="Akcent 1 2 6 2 4 2 2 5" xfId="13978" xr:uid="{00000000-0005-0000-0000-0000EF350000}"/>
    <cellStyle name="Akcent 1 2 6 2 4 2 2 6" xfId="13979" xr:uid="{00000000-0005-0000-0000-0000F0350000}"/>
    <cellStyle name="Akcent 1 2 6 2 4 2 3" xfId="13980" xr:uid="{00000000-0005-0000-0000-0000F1350000}"/>
    <cellStyle name="Akcent 1 2 6 2 4 2 4" xfId="13981" xr:uid="{00000000-0005-0000-0000-0000F2350000}"/>
    <cellStyle name="Akcent 1 2 6 2 4 2 5" xfId="13982" xr:uid="{00000000-0005-0000-0000-0000F3350000}"/>
    <cellStyle name="Akcent 1 2 6 2 4 2 6" xfId="13983" xr:uid="{00000000-0005-0000-0000-0000F4350000}"/>
    <cellStyle name="Akcent 1 2 6 2 4 2 7" xfId="13984" xr:uid="{00000000-0005-0000-0000-0000F5350000}"/>
    <cellStyle name="Akcent 1 2 6 2 4 3" xfId="13985" xr:uid="{00000000-0005-0000-0000-0000F6350000}"/>
    <cellStyle name="Akcent 1 2 6 2 4 4" xfId="13986" xr:uid="{00000000-0005-0000-0000-0000F7350000}"/>
    <cellStyle name="Akcent 1 2 6 2 4 5" xfId="13987" xr:uid="{00000000-0005-0000-0000-0000F8350000}"/>
    <cellStyle name="Akcent 1 2 6 2 4 6" xfId="13988" xr:uid="{00000000-0005-0000-0000-0000F9350000}"/>
    <cellStyle name="Akcent 1 2 6 2 4 7" xfId="13989" xr:uid="{00000000-0005-0000-0000-0000FA350000}"/>
    <cellStyle name="Akcent 1 2 6 2 4 7 2" xfId="13990" xr:uid="{00000000-0005-0000-0000-0000FB350000}"/>
    <cellStyle name="Akcent 1 2 6 2 4 7 3" xfId="13991" xr:uid="{00000000-0005-0000-0000-0000FC350000}"/>
    <cellStyle name="Akcent 1 2 6 2 4 7 4" xfId="13992" xr:uid="{00000000-0005-0000-0000-0000FD350000}"/>
    <cellStyle name="Akcent 1 2 6 2 4 7 5" xfId="13993" xr:uid="{00000000-0005-0000-0000-0000FE350000}"/>
    <cellStyle name="Akcent 1 2 6 2 4 7 6" xfId="13994" xr:uid="{00000000-0005-0000-0000-0000FF350000}"/>
    <cellStyle name="Akcent 1 2 6 2 4 8" xfId="13995" xr:uid="{00000000-0005-0000-0000-000000360000}"/>
    <cellStyle name="Akcent 1 2 6 2 4 9" xfId="13996" xr:uid="{00000000-0005-0000-0000-000001360000}"/>
    <cellStyle name="Akcent 1 2 6 2 5" xfId="13997" xr:uid="{00000000-0005-0000-0000-000002360000}"/>
    <cellStyle name="Akcent 1 2 6 2 5 2" xfId="13998" xr:uid="{00000000-0005-0000-0000-000003360000}"/>
    <cellStyle name="Akcent 1 2 6 2 5 2 2" xfId="13999" xr:uid="{00000000-0005-0000-0000-000004360000}"/>
    <cellStyle name="Akcent 1 2 6 2 5 2 3" xfId="14000" xr:uid="{00000000-0005-0000-0000-000005360000}"/>
    <cellStyle name="Akcent 1 2 6 2 5 2 4" xfId="14001" xr:uid="{00000000-0005-0000-0000-000006360000}"/>
    <cellStyle name="Akcent 1 2 6 2 5 2 5" xfId="14002" xr:uid="{00000000-0005-0000-0000-000007360000}"/>
    <cellStyle name="Akcent 1 2 6 2 5 2 6" xfId="14003" xr:uid="{00000000-0005-0000-0000-000008360000}"/>
    <cellStyle name="Akcent 1 2 6 2 5 3" xfId="14004" xr:uid="{00000000-0005-0000-0000-000009360000}"/>
    <cellStyle name="Akcent 1 2 6 2 5 4" xfId="14005" xr:uid="{00000000-0005-0000-0000-00000A360000}"/>
    <cellStyle name="Akcent 1 2 6 2 5 5" xfId="14006" xr:uid="{00000000-0005-0000-0000-00000B360000}"/>
    <cellStyle name="Akcent 1 2 6 2 5 6" xfId="14007" xr:uid="{00000000-0005-0000-0000-00000C360000}"/>
    <cellStyle name="Akcent 1 2 6 2 5 7" xfId="14008" xr:uid="{00000000-0005-0000-0000-00000D360000}"/>
    <cellStyle name="Akcent 1 2 6 2 6" xfId="14009" xr:uid="{00000000-0005-0000-0000-00000E360000}"/>
    <cellStyle name="Akcent 1 2 6 2 7" xfId="14010" xr:uid="{00000000-0005-0000-0000-00000F360000}"/>
    <cellStyle name="Akcent 1 2 6 2 8" xfId="14011" xr:uid="{00000000-0005-0000-0000-000010360000}"/>
    <cellStyle name="Akcent 1 2 6 2 9" xfId="14012" xr:uid="{00000000-0005-0000-0000-000011360000}"/>
    <cellStyle name="Akcent 1 2 6 2 9 2" xfId="14013" xr:uid="{00000000-0005-0000-0000-000012360000}"/>
    <cellStyle name="Akcent 1 2 6 2 9 3" xfId="14014" xr:uid="{00000000-0005-0000-0000-000013360000}"/>
    <cellStyle name="Akcent 1 2 6 2 9 4" xfId="14015" xr:uid="{00000000-0005-0000-0000-000014360000}"/>
    <cellStyle name="Akcent 1 2 6 2 9 5" xfId="14016" xr:uid="{00000000-0005-0000-0000-000015360000}"/>
    <cellStyle name="Akcent 1 2 6 2 9 6" xfId="14017" xr:uid="{00000000-0005-0000-0000-000016360000}"/>
    <cellStyle name="Akcent 1 2 6 3" xfId="14018" xr:uid="{00000000-0005-0000-0000-000017360000}"/>
    <cellStyle name="Akcent 1 2 6 3 10" xfId="14019" xr:uid="{00000000-0005-0000-0000-000018360000}"/>
    <cellStyle name="Akcent 1 2 6 3 11" xfId="14020" xr:uid="{00000000-0005-0000-0000-000019360000}"/>
    <cellStyle name="Akcent 1 2 6 3 12" xfId="14021" xr:uid="{00000000-0005-0000-0000-00001A360000}"/>
    <cellStyle name="Akcent 1 2 6 3 2" xfId="14022" xr:uid="{00000000-0005-0000-0000-00001B360000}"/>
    <cellStyle name="Akcent 1 2 6 3 2 10" xfId="14023" xr:uid="{00000000-0005-0000-0000-00001C360000}"/>
    <cellStyle name="Akcent 1 2 6 3 2 11" xfId="14024" xr:uid="{00000000-0005-0000-0000-00001D360000}"/>
    <cellStyle name="Akcent 1 2 6 3 2 2" xfId="14025" xr:uid="{00000000-0005-0000-0000-00001E360000}"/>
    <cellStyle name="Akcent 1 2 6 3 2 2 10" xfId="14026" xr:uid="{00000000-0005-0000-0000-00001F360000}"/>
    <cellStyle name="Akcent 1 2 6 3 2 2 11" xfId="14027" xr:uid="{00000000-0005-0000-0000-000020360000}"/>
    <cellStyle name="Akcent 1 2 6 3 2 2 2" xfId="14028" xr:uid="{00000000-0005-0000-0000-000021360000}"/>
    <cellStyle name="Akcent 1 2 6 3 2 2 2 2" xfId="14029" xr:uid="{00000000-0005-0000-0000-000022360000}"/>
    <cellStyle name="Akcent 1 2 6 3 2 2 2 2 2" xfId="14030" xr:uid="{00000000-0005-0000-0000-000023360000}"/>
    <cellStyle name="Akcent 1 2 6 3 2 2 2 2 3" xfId="14031" xr:uid="{00000000-0005-0000-0000-000024360000}"/>
    <cellStyle name="Akcent 1 2 6 3 2 2 2 2 4" xfId="14032" xr:uid="{00000000-0005-0000-0000-000025360000}"/>
    <cellStyle name="Akcent 1 2 6 3 2 2 2 2 5" xfId="14033" xr:uid="{00000000-0005-0000-0000-000026360000}"/>
    <cellStyle name="Akcent 1 2 6 3 2 2 2 2 6" xfId="14034" xr:uid="{00000000-0005-0000-0000-000027360000}"/>
    <cellStyle name="Akcent 1 2 6 3 2 2 2 3" xfId="14035" xr:uid="{00000000-0005-0000-0000-000028360000}"/>
    <cellStyle name="Akcent 1 2 6 3 2 2 2 4" xfId="14036" xr:uid="{00000000-0005-0000-0000-000029360000}"/>
    <cellStyle name="Akcent 1 2 6 3 2 2 2 5" xfId="14037" xr:uid="{00000000-0005-0000-0000-00002A360000}"/>
    <cellStyle name="Akcent 1 2 6 3 2 2 2 6" xfId="14038" xr:uid="{00000000-0005-0000-0000-00002B360000}"/>
    <cellStyle name="Akcent 1 2 6 3 2 2 2 7" xfId="14039" xr:uid="{00000000-0005-0000-0000-00002C360000}"/>
    <cellStyle name="Akcent 1 2 6 3 2 2 3" xfId="14040" xr:uid="{00000000-0005-0000-0000-00002D360000}"/>
    <cellStyle name="Akcent 1 2 6 3 2 2 4" xfId="14041" xr:uid="{00000000-0005-0000-0000-00002E360000}"/>
    <cellStyle name="Akcent 1 2 6 3 2 2 5" xfId="14042" xr:uid="{00000000-0005-0000-0000-00002F360000}"/>
    <cellStyle name="Akcent 1 2 6 3 2 2 6" xfId="14043" xr:uid="{00000000-0005-0000-0000-000030360000}"/>
    <cellStyle name="Akcent 1 2 6 3 2 2 7" xfId="14044" xr:uid="{00000000-0005-0000-0000-000031360000}"/>
    <cellStyle name="Akcent 1 2 6 3 2 2 7 2" xfId="14045" xr:uid="{00000000-0005-0000-0000-000032360000}"/>
    <cellStyle name="Akcent 1 2 6 3 2 2 7 3" xfId="14046" xr:uid="{00000000-0005-0000-0000-000033360000}"/>
    <cellStyle name="Akcent 1 2 6 3 2 2 7 4" xfId="14047" xr:uid="{00000000-0005-0000-0000-000034360000}"/>
    <cellStyle name="Akcent 1 2 6 3 2 2 7 5" xfId="14048" xr:uid="{00000000-0005-0000-0000-000035360000}"/>
    <cellStyle name="Akcent 1 2 6 3 2 2 7 6" xfId="14049" xr:uid="{00000000-0005-0000-0000-000036360000}"/>
    <cellStyle name="Akcent 1 2 6 3 2 2 8" xfId="14050" xr:uid="{00000000-0005-0000-0000-000037360000}"/>
    <cellStyle name="Akcent 1 2 6 3 2 2 9" xfId="14051" xr:uid="{00000000-0005-0000-0000-000038360000}"/>
    <cellStyle name="Akcent 1 2 6 3 2 3" xfId="14052" xr:uid="{00000000-0005-0000-0000-000039360000}"/>
    <cellStyle name="Akcent 1 2 6 3 2 3 2" xfId="14053" xr:uid="{00000000-0005-0000-0000-00003A360000}"/>
    <cellStyle name="Akcent 1 2 6 3 2 3 2 2" xfId="14054" xr:uid="{00000000-0005-0000-0000-00003B360000}"/>
    <cellStyle name="Akcent 1 2 6 3 2 3 2 3" xfId="14055" xr:uid="{00000000-0005-0000-0000-00003C360000}"/>
    <cellStyle name="Akcent 1 2 6 3 2 3 2 4" xfId="14056" xr:uid="{00000000-0005-0000-0000-00003D360000}"/>
    <cellStyle name="Akcent 1 2 6 3 2 3 2 5" xfId="14057" xr:uid="{00000000-0005-0000-0000-00003E360000}"/>
    <cellStyle name="Akcent 1 2 6 3 2 3 2 6" xfId="14058" xr:uid="{00000000-0005-0000-0000-00003F360000}"/>
    <cellStyle name="Akcent 1 2 6 3 2 3 3" xfId="14059" xr:uid="{00000000-0005-0000-0000-000040360000}"/>
    <cellStyle name="Akcent 1 2 6 3 2 3 4" xfId="14060" xr:uid="{00000000-0005-0000-0000-000041360000}"/>
    <cellStyle name="Akcent 1 2 6 3 2 3 5" xfId="14061" xr:uid="{00000000-0005-0000-0000-000042360000}"/>
    <cellStyle name="Akcent 1 2 6 3 2 3 6" xfId="14062" xr:uid="{00000000-0005-0000-0000-000043360000}"/>
    <cellStyle name="Akcent 1 2 6 3 2 3 7" xfId="14063" xr:uid="{00000000-0005-0000-0000-000044360000}"/>
    <cellStyle name="Akcent 1 2 6 3 2 4" xfId="14064" xr:uid="{00000000-0005-0000-0000-000045360000}"/>
    <cellStyle name="Akcent 1 2 6 3 2 5" xfId="14065" xr:uid="{00000000-0005-0000-0000-000046360000}"/>
    <cellStyle name="Akcent 1 2 6 3 2 6" xfId="14066" xr:uid="{00000000-0005-0000-0000-000047360000}"/>
    <cellStyle name="Akcent 1 2 6 3 2 7" xfId="14067" xr:uid="{00000000-0005-0000-0000-000048360000}"/>
    <cellStyle name="Akcent 1 2 6 3 2 7 2" xfId="14068" xr:uid="{00000000-0005-0000-0000-000049360000}"/>
    <cellStyle name="Akcent 1 2 6 3 2 7 3" xfId="14069" xr:uid="{00000000-0005-0000-0000-00004A360000}"/>
    <cellStyle name="Akcent 1 2 6 3 2 7 4" xfId="14070" xr:uid="{00000000-0005-0000-0000-00004B360000}"/>
    <cellStyle name="Akcent 1 2 6 3 2 7 5" xfId="14071" xr:uid="{00000000-0005-0000-0000-00004C360000}"/>
    <cellStyle name="Akcent 1 2 6 3 2 7 6" xfId="14072" xr:uid="{00000000-0005-0000-0000-00004D360000}"/>
    <cellStyle name="Akcent 1 2 6 3 2 8" xfId="14073" xr:uid="{00000000-0005-0000-0000-00004E360000}"/>
    <cellStyle name="Akcent 1 2 6 3 2 9" xfId="14074" xr:uid="{00000000-0005-0000-0000-00004F360000}"/>
    <cellStyle name="Akcent 1 2 6 3 3" xfId="14075" xr:uid="{00000000-0005-0000-0000-000050360000}"/>
    <cellStyle name="Akcent 1 2 6 3 3 2" xfId="14076" xr:uid="{00000000-0005-0000-0000-000051360000}"/>
    <cellStyle name="Akcent 1 2 6 3 3 2 2" xfId="14077" xr:uid="{00000000-0005-0000-0000-000052360000}"/>
    <cellStyle name="Akcent 1 2 6 3 3 2 3" xfId="14078" xr:uid="{00000000-0005-0000-0000-000053360000}"/>
    <cellStyle name="Akcent 1 2 6 3 3 2 4" xfId="14079" xr:uid="{00000000-0005-0000-0000-000054360000}"/>
    <cellStyle name="Akcent 1 2 6 3 3 2 5" xfId="14080" xr:uid="{00000000-0005-0000-0000-000055360000}"/>
    <cellStyle name="Akcent 1 2 6 3 3 2 6" xfId="14081" xr:uid="{00000000-0005-0000-0000-000056360000}"/>
    <cellStyle name="Akcent 1 2 6 3 3 3" xfId="14082" xr:uid="{00000000-0005-0000-0000-000057360000}"/>
    <cellStyle name="Akcent 1 2 6 3 3 4" xfId="14083" xr:uid="{00000000-0005-0000-0000-000058360000}"/>
    <cellStyle name="Akcent 1 2 6 3 3 5" xfId="14084" xr:uid="{00000000-0005-0000-0000-000059360000}"/>
    <cellStyle name="Akcent 1 2 6 3 3 6" xfId="14085" xr:uid="{00000000-0005-0000-0000-00005A360000}"/>
    <cellStyle name="Akcent 1 2 6 3 3 7" xfId="14086" xr:uid="{00000000-0005-0000-0000-00005B360000}"/>
    <cellStyle name="Akcent 1 2 6 3 4" xfId="14087" xr:uid="{00000000-0005-0000-0000-00005C360000}"/>
    <cellStyle name="Akcent 1 2 6 3 5" xfId="14088" xr:uid="{00000000-0005-0000-0000-00005D360000}"/>
    <cellStyle name="Akcent 1 2 6 3 6" xfId="14089" xr:uid="{00000000-0005-0000-0000-00005E360000}"/>
    <cellStyle name="Akcent 1 2 6 3 7" xfId="14090" xr:uid="{00000000-0005-0000-0000-00005F360000}"/>
    <cellStyle name="Akcent 1 2 6 3 8" xfId="14091" xr:uid="{00000000-0005-0000-0000-000060360000}"/>
    <cellStyle name="Akcent 1 2 6 3 8 2" xfId="14092" xr:uid="{00000000-0005-0000-0000-000061360000}"/>
    <cellStyle name="Akcent 1 2 6 3 8 3" xfId="14093" xr:uid="{00000000-0005-0000-0000-000062360000}"/>
    <cellStyle name="Akcent 1 2 6 3 8 4" xfId="14094" xr:uid="{00000000-0005-0000-0000-000063360000}"/>
    <cellStyle name="Akcent 1 2 6 3 8 5" xfId="14095" xr:uid="{00000000-0005-0000-0000-000064360000}"/>
    <cellStyle name="Akcent 1 2 6 3 8 6" xfId="14096" xr:uid="{00000000-0005-0000-0000-000065360000}"/>
    <cellStyle name="Akcent 1 2 6 3 9" xfId="14097" xr:uid="{00000000-0005-0000-0000-000066360000}"/>
    <cellStyle name="Akcent 1 2 6 4" xfId="14098" xr:uid="{00000000-0005-0000-0000-000067360000}"/>
    <cellStyle name="Akcent 1 2 6 4 10" xfId="14099" xr:uid="{00000000-0005-0000-0000-000068360000}"/>
    <cellStyle name="Akcent 1 2 6 4 11" xfId="14100" xr:uid="{00000000-0005-0000-0000-000069360000}"/>
    <cellStyle name="Akcent 1 2 6 4 2" xfId="14101" xr:uid="{00000000-0005-0000-0000-00006A360000}"/>
    <cellStyle name="Akcent 1 2 6 4 2 2" xfId="14102" xr:uid="{00000000-0005-0000-0000-00006B360000}"/>
    <cellStyle name="Akcent 1 2 6 4 2 2 2" xfId="14103" xr:uid="{00000000-0005-0000-0000-00006C360000}"/>
    <cellStyle name="Akcent 1 2 6 4 2 2 3" xfId="14104" xr:uid="{00000000-0005-0000-0000-00006D360000}"/>
    <cellStyle name="Akcent 1 2 6 4 2 2 4" xfId="14105" xr:uid="{00000000-0005-0000-0000-00006E360000}"/>
    <cellStyle name="Akcent 1 2 6 4 2 2 5" xfId="14106" xr:uid="{00000000-0005-0000-0000-00006F360000}"/>
    <cellStyle name="Akcent 1 2 6 4 2 2 6" xfId="14107" xr:uid="{00000000-0005-0000-0000-000070360000}"/>
    <cellStyle name="Akcent 1 2 6 4 2 3" xfId="14108" xr:uid="{00000000-0005-0000-0000-000071360000}"/>
    <cellStyle name="Akcent 1 2 6 4 2 4" xfId="14109" xr:uid="{00000000-0005-0000-0000-000072360000}"/>
    <cellStyle name="Akcent 1 2 6 4 2 5" xfId="14110" xr:uid="{00000000-0005-0000-0000-000073360000}"/>
    <cellStyle name="Akcent 1 2 6 4 2 6" xfId="14111" xr:uid="{00000000-0005-0000-0000-000074360000}"/>
    <cellStyle name="Akcent 1 2 6 4 2 7" xfId="14112" xr:uid="{00000000-0005-0000-0000-000075360000}"/>
    <cellStyle name="Akcent 1 2 6 4 3" xfId="14113" xr:uid="{00000000-0005-0000-0000-000076360000}"/>
    <cellStyle name="Akcent 1 2 6 4 4" xfId="14114" xr:uid="{00000000-0005-0000-0000-000077360000}"/>
    <cellStyle name="Akcent 1 2 6 4 5" xfId="14115" xr:uid="{00000000-0005-0000-0000-000078360000}"/>
    <cellStyle name="Akcent 1 2 6 4 6" xfId="14116" xr:uid="{00000000-0005-0000-0000-000079360000}"/>
    <cellStyle name="Akcent 1 2 6 4 7" xfId="14117" xr:uid="{00000000-0005-0000-0000-00007A360000}"/>
    <cellStyle name="Akcent 1 2 6 4 7 2" xfId="14118" xr:uid="{00000000-0005-0000-0000-00007B360000}"/>
    <cellStyle name="Akcent 1 2 6 4 7 3" xfId="14119" xr:uid="{00000000-0005-0000-0000-00007C360000}"/>
    <cellStyle name="Akcent 1 2 6 4 7 4" xfId="14120" xr:uid="{00000000-0005-0000-0000-00007D360000}"/>
    <cellStyle name="Akcent 1 2 6 4 7 5" xfId="14121" xr:uid="{00000000-0005-0000-0000-00007E360000}"/>
    <cellStyle name="Akcent 1 2 6 4 7 6" xfId="14122" xr:uid="{00000000-0005-0000-0000-00007F360000}"/>
    <cellStyle name="Akcent 1 2 6 4 8" xfId="14123" xr:uid="{00000000-0005-0000-0000-000080360000}"/>
    <cellStyle name="Akcent 1 2 6 4 9" xfId="14124" xr:uid="{00000000-0005-0000-0000-000081360000}"/>
    <cellStyle name="Akcent 1 2 6 5" xfId="14125" xr:uid="{00000000-0005-0000-0000-000082360000}"/>
    <cellStyle name="Akcent 1 2 6 5 2" xfId="14126" xr:uid="{00000000-0005-0000-0000-000083360000}"/>
    <cellStyle name="Akcent 1 2 6 5 2 2" xfId="14127" xr:uid="{00000000-0005-0000-0000-000084360000}"/>
    <cellStyle name="Akcent 1 2 6 5 2 3" xfId="14128" xr:uid="{00000000-0005-0000-0000-000085360000}"/>
    <cellStyle name="Akcent 1 2 6 5 2 4" xfId="14129" xr:uid="{00000000-0005-0000-0000-000086360000}"/>
    <cellStyle name="Akcent 1 2 6 5 2 5" xfId="14130" xr:uid="{00000000-0005-0000-0000-000087360000}"/>
    <cellStyle name="Akcent 1 2 6 5 2 6" xfId="14131" xr:uid="{00000000-0005-0000-0000-000088360000}"/>
    <cellStyle name="Akcent 1 2 6 5 3" xfId="14132" xr:uid="{00000000-0005-0000-0000-000089360000}"/>
    <cellStyle name="Akcent 1 2 6 5 4" xfId="14133" xr:uid="{00000000-0005-0000-0000-00008A360000}"/>
    <cellStyle name="Akcent 1 2 6 5 5" xfId="14134" xr:uid="{00000000-0005-0000-0000-00008B360000}"/>
    <cellStyle name="Akcent 1 2 6 5 6" xfId="14135" xr:uid="{00000000-0005-0000-0000-00008C360000}"/>
    <cellStyle name="Akcent 1 2 6 5 7" xfId="14136" xr:uid="{00000000-0005-0000-0000-00008D360000}"/>
    <cellStyle name="Akcent 1 2 6 6" xfId="14137" xr:uid="{00000000-0005-0000-0000-00008E360000}"/>
    <cellStyle name="Akcent 1 2 6 7" xfId="14138" xr:uid="{00000000-0005-0000-0000-00008F360000}"/>
    <cellStyle name="Akcent 1 2 6 8" xfId="14139" xr:uid="{00000000-0005-0000-0000-000090360000}"/>
    <cellStyle name="Akcent 1 2 6 9" xfId="14140" xr:uid="{00000000-0005-0000-0000-000091360000}"/>
    <cellStyle name="Akcent 1 2 6 9 2" xfId="14141" xr:uid="{00000000-0005-0000-0000-000092360000}"/>
    <cellStyle name="Akcent 1 2 6 9 3" xfId="14142" xr:uid="{00000000-0005-0000-0000-000093360000}"/>
    <cellStyle name="Akcent 1 2 6 9 4" xfId="14143" xr:uid="{00000000-0005-0000-0000-000094360000}"/>
    <cellStyle name="Akcent 1 2 6 9 5" xfId="14144" xr:uid="{00000000-0005-0000-0000-000095360000}"/>
    <cellStyle name="Akcent 1 2 6 9 6" xfId="14145" xr:uid="{00000000-0005-0000-0000-000096360000}"/>
    <cellStyle name="Akcent 1 2 7" xfId="14146" xr:uid="{00000000-0005-0000-0000-000097360000}"/>
    <cellStyle name="Akcent 1 2 8" xfId="14147" xr:uid="{00000000-0005-0000-0000-000098360000}"/>
    <cellStyle name="Akcent 1 2 8 10" xfId="14148" xr:uid="{00000000-0005-0000-0000-000099360000}"/>
    <cellStyle name="Akcent 1 2 8 11" xfId="14149" xr:uid="{00000000-0005-0000-0000-00009A360000}"/>
    <cellStyle name="Akcent 1 2 8 12" xfId="14150" xr:uid="{00000000-0005-0000-0000-00009B360000}"/>
    <cellStyle name="Akcent 1 2 8 13" xfId="14151" xr:uid="{00000000-0005-0000-0000-00009C360000}"/>
    <cellStyle name="Akcent 1 2 8 2" xfId="14152" xr:uid="{00000000-0005-0000-0000-00009D360000}"/>
    <cellStyle name="Akcent 1 2 8 2 10" xfId="14153" xr:uid="{00000000-0005-0000-0000-00009E360000}"/>
    <cellStyle name="Akcent 1 2 8 2 11" xfId="14154" xr:uid="{00000000-0005-0000-0000-00009F360000}"/>
    <cellStyle name="Akcent 1 2 8 2 12" xfId="14155" xr:uid="{00000000-0005-0000-0000-0000A0360000}"/>
    <cellStyle name="Akcent 1 2 8 2 2" xfId="14156" xr:uid="{00000000-0005-0000-0000-0000A1360000}"/>
    <cellStyle name="Akcent 1 2 8 2 2 10" xfId="14157" xr:uid="{00000000-0005-0000-0000-0000A2360000}"/>
    <cellStyle name="Akcent 1 2 8 2 2 11" xfId="14158" xr:uid="{00000000-0005-0000-0000-0000A3360000}"/>
    <cellStyle name="Akcent 1 2 8 2 2 2" xfId="14159" xr:uid="{00000000-0005-0000-0000-0000A4360000}"/>
    <cellStyle name="Akcent 1 2 8 2 2 2 10" xfId="14160" xr:uid="{00000000-0005-0000-0000-0000A5360000}"/>
    <cellStyle name="Akcent 1 2 8 2 2 2 11" xfId="14161" xr:uid="{00000000-0005-0000-0000-0000A6360000}"/>
    <cellStyle name="Akcent 1 2 8 2 2 2 2" xfId="14162" xr:uid="{00000000-0005-0000-0000-0000A7360000}"/>
    <cellStyle name="Akcent 1 2 8 2 2 2 2 2" xfId="14163" xr:uid="{00000000-0005-0000-0000-0000A8360000}"/>
    <cellStyle name="Akcent 1 2 8 2 2 2 2 2 2" xfId="14164" xr:uid="{00000000-0005-0000-0000-0000A9360000}"/>
    <cellStyle name="Akcent 1 2 8 2 2 2 2 2 3" xfId="14165" xr:uid="{00000000-0005-0000-0000-0000AA360000}"/>
    <cellStyle name="Akcent 1 2 8 2 2 2 2 2 4" xfId="14166" xr:uid="{00000000-0005-0000-0000-0000AB360000}"/>
    <cellStyle name="Akcent 1 2 8 2 2 2 2 2 5" xfId="14167" xr:uid="{00000000-0005-0000-0000-0000AC360000}"/>
    <cellStyle name="Akcent 1 2 8 2 2 2 2 2 6" xfId="14168" xr:uid="{00000000-0005-0000-0000-0000AD360000}"/>
    <cellStyle name="Akcent 1 2 8 2 2 2 2 3" xfId="14169" xr:uid="{00000000-0005-0000-0000-0000AE360000}"/>
    <cellStyle name="Akcent 1 2 8 2 2 2 2 4" xfId="14170" xr:uid="{00000000-0005-0000-0000-0000AF360000}"/>
    <cellStyle name="Akcent 1 2 8 2 2 2 2 5" xfId="14171" xr:uid="{00000000-0005-0000-0000-0000B0360000}"/>
    <cellStyle name="Akcent 1 2 8 2 2 2 2 6" xfId="14172" xr:uid="{00000000-0005-0000-0000-0000B1360000}"/>
    <cellStyle name="Akcent 1 2 8 2 2 2 2 7" xfId="14173" xr:uid="{00000000-0005-0000-0000-0000B2360000}"/>
    <cellStyle name="Akcent 1 2 8 2 2 2 3" xfId="14174" xr:uid="{00000000-0005-0000-0000-0000B3360000}"/>
    <cellStyle name="Akcent 1 2 8 2 2 2 4" xfId="14175" xr:uid="{00000000-0005-0000-0000-0000B4360000}"/>
    <cellStyle name="Akcent 1 2 8 2 2 2 5" xfId="14176" xr:uid="{00000000-0005-0000-0000-0000B5360000}"/>
    <cellStyle name="Akcent 1 2 8 2 2 2 6" xfId="14177" xr:uid="{00000000-0005-0000-0000-0000B6360000}"/>
    <cellStyle name="Akcent 1 2 8 2 2 2 7" xfId="14178" xr:uid="{00000000-0005-0000-0000-0000B7360000}"/>
    <cellStyle name="Akcent 1 2 8 2 2 2 7 2" xfId="14179" xr:uid="{00000000-0005-0000-0000-0000B8360000}"/>
    <cellStyle name="Akcent 1 2 8 2 2 2 7 3" xfId="14180" xr:uid="{00000000-0005-0000-0000-0000B9360000}"/>
    <cellStyle name="Akcent 1 2 8 2 2 2 7 4" xfId="14181" xr:uid="{00000000-0005-0000-0000-0000BA360000}"/>
    <cellStyle name="Akcent 1 2 8 2 2 2 7 5" xfId="14182" xr:uid="{00000000-0005-0000-0000-0000BB360000}"/>
    <cellStyle name="Akcent 1 2 8 2 2 2 7 6" xfId="14183" xr:uid="{00000000-0005-0000-0000-0000BC360000}"/>
    <cellStyle name="Akcent 1 2 8 2 2 2 8" xfId="14184" xr:uid="{00000000-0005-0000-0000-0000BD360000}"/>
    <cellStyle name="Akcent 1 2 8 2 2 2 9" xfId="14185" xr:uid="{00000000-0005-0000-0000-0000BE360000}"/>
    <cellStyle name="Akcent 1 2 8 2 2 3" xfId="14186" xr:uid="{00000000-0005-0000-0000-0000BF360000}"/>
    <cellStyle name="Akcent 1 2 8 2 2 3 2" xfId="14187" xr:uid="{00000000-0005-0000-0000-0000C0360000}"/>
    <cellStyle name="Akcent 1 2 8 2 2 3 2 2" xfId="14188" xr:uid="{00000000-0005-0000-0000-0000C1360000}"/>
    <cellStyle name="Akcent 1 2 8 2 2 3 2 3" xfId="14189" xr:uid="{00000000-0005-0000-0000-0000C2360000}"/>
    <cellStyle name="Akcent 1 2 8 2 2 3 2 4" xfId="14190" xr:uid="{00000000-0005-0000-0000-0000C3360000}"/>
    <cellStyle name="Akcent 1 2 8 2 2 3 2 5" xfId="14191" xr:uid="{00000000-0005-0000-0000-0000C4360000}"/>
    <cellStyle name="Akcent 1 2 8 2 2 3 2 6" xfId="14192" xr:uid="{00000000-0005-0000-0000-0000C5360000}"/>
    <cellStyle name="Akcent 1 2 8 2 2 3 3" xfId="14193" xr:uid="{00000000-0005-0000-0000-0000C6360000}"/>
    <cellStyle name="Akcent 1 2 8 2 2 3 4" xfId="14194" xr:uid="{00000000-0005-0000-0000-0000C7360000}"/>
    <cellStyle name="Akcent 1 2 8 2 2 3 5" xfId="14195" xr:uid="{00000000-0005-0000-0000-0000C8360000}"/>
    <cellStyle name="Akcent 1 2 8 2 2 3 6" xfId="14196" xr:uid="{00000000-0005-0000-0000-0000C9360000}"/>
    <cellStyle name="Akcent 1 2 8 2 2 3 7" xfId="14197" xr:uid="{00000000-0005-0000-0000-0000CA360000}"/>
    <cellStyle name="Akcent 1 2 8 2 2 4" xfId="14198" xr:uid="{00000000-0005-0000-0000-0000CB360000}"/>
    <cellStyle name="Akcent 1 2 8 2 2 5" xfId="14199" xr:uid="{00000000-0005-0000-0000-0000CC360000}"/>
    <cellStyle name="Akcent 1 2 8 2 2 6" xfId="14200" xr:uid="{00000000-0005-0000-0000-0000CD360000}"/>
    <cellStyle name="Akcent 1 2 8 2 2 7" xfId="14201" xr:uid="{00000000-0005-0000-0000-0000CE360000}"/>
    <cellStyle name="Akcent 1 2 8 2 2 7 2" xfId="14202" xr:uid="{00000000-0005-0000-0000-0000CF360000}"/>
    <cellStyle name="Akcent 1 2 8 2 2 7 3" xfId="14203" xr:uid="{00000000-0005-0000-0000-0000D0360000}"/>
    <cellStyle name="Akcent 1 2 8 2 2 7 4" xfId="14204" xr:uid="{00000000-0005-0000-0000-0000D1360000}"/>
    <cellStyle name="Akcent 1 2 8 2 2 7 5" xfId="14205" xr:uid="{00000000-0005-0000-0000-0000D2360000}"/>
    <cellStyle name="Akcent 1 2 8 2 2 7 6" xfId="14206" xr:uid="{00000000-0005-0000-0000-0000D3360000}"/>
    <cellStyle name="Akcent 1 2 8 2 2 8" xfId="14207" xr:uid="{00000000-0005-0000-0000-0000D4360000}"/>
    <cellStyle name="Akcent 1 2 8 2 2 9" xfId="14208" xr:uid="{00000000-0005-0000-0000-0000D5360000}"/>
    <cellStyle name="Akcent 1 2 8 2 3" xfId="14209" xr:uid="{00000000-0005-0000-0000-0000D6360000}"/>
    <cellStyle name="Akcent 1 2 8 2 3 2" xfId="14210" xr:uid="{00000000-0005-0000-0000-0000D7360000}"/>
    <cellStyle name="Akcent 1 2 8 2 3 2 2" xfId="14211" xr:uid="{00000000-0005-0000-0000-0000D8360000}"/>
    <cellStyle name="Akcent 1 2 8 2 3 2 3" xfId="14212" xr:uid="{00000000-0005-0000-0000-0000D9360000}"/>
    <cellStyle name="Akcent 1 2 8 2 3 2 4" xfId="14213" xr:uid="{00000000-0005-0000-0000-0000DA360000}"/>
    <cellStyle name="Akcent 1 2 8 2 3 2 5" xfId="14214" xr:uid="{00000000-0005-0000-0000-0000DB360000}"/>
    <cellStyle name="Akcent 1 2 8 2 3 2 6" xfId="14215" xr:uid="{00000000-0005-0000-0000-0000DC360000}"/>
    <cellStyle name="Akcent 1 2 8 2 3 3" xfId="14216" xr:uid="{00000000-0005-0000-0000-0000DD360000}"/>
    <cellStyle name="Akcent 1 2 8 2 3 4" xfId="14217" xr:uid="{00000000-0005-0000-0000-0000DE360000}"/>
    <cellStyle name="Akcent 1 2 8 2 3 5" xfId="14218" xr:uid="{00000000-0005-0000-0000-0000DF360000}"/>
    <cellStyle name="Akcent 1 2 8 2 3 6" xfId="14219" xr:uid="{00000000-0005-0000-0000-0000E0360000}"/>
    <cellStyle name="Akcent 1 2 8 2 3 7" xfId="14220" xr:uid="{00000000-0005-0000-0000-0000E1360000}"/>
    <cellStyle name="Akcent 1 2 8 2 4" xfId="14221" xr:uid="{00000000-0005-0000-0000-0000E2360000}"/>
    <cellStyle name="Akcent 1 2 8 2 5" xfId="14222" xr:uid="{00000000-0005-0000-0000-0000E3360000}"/>
    <cellStyle name="Akcent 1 2 8 2 6" xfId="14223" xr:uid="{00000000-0005-0000-0000-0000E4360000}"/>
    <cellStyle name="Akcent 1 2 8 2 7" xfId="14224" xr:uid="{00000000-0005-0000-0000-0000E5360000}"/>
    <cellStyle name="Akcent 1 2 8 2 8" xfId="14225" xr:uid="{00000000-0005-0000-0000-0000E6360000}"/>
    <cellStyle name="Akcent 1 2 8 2 8 2" xfId="14226" xr:uid="{00000000-0005-0000-0000-0000E7360000}"/>
    <cellStyle name="Akcent 1 2 8 2 8 3" xfId="14227" xr:uid="{00000000-0005-0000-0000-0000E8360000}"/>
    <cellStyle name="Akcent 1 2 8 2 8 4" xfId="14228" xr:uid="{00000000-0005-0000-0000-0000E9360000}"/>
    <cellStyle name="Akcent 1 2 8 2 8 5" xfId="14229" xr:uid="{00000000-0005-0000-0000-0000EA360000}"/>
    <cellStyle name="Akcent 1 2 8 2 8 6" xfId="14230" xr:uid="{00000000-0005-0000-0000-0000EB360000}"/>
    <cellStyle name="Akcent 1 2 8 2 9" xfId="14231" xr:uid="{00000000-0005-0000-0000-0000EC360000}"/>
    <cellStyle name="Akcent 1 2 8 3" xfId="14232" xr:uid="{00000000-0005-0000-0000-0000ED360000}"/>
    <cellStyle name="Akcent 1 2 8 4" xfId="14233" xr:uid="{00000000-0005-0000-0000-0000EE360000}"/>
    <cellStyle name="Akcent 1 2 8 4 10" xfId="14234" xr:uid="{00000000-0005-0000-0000-0000EF360000}"/>
    <cellStyle name="Akcent 1 2 8 4 11" xfId="14235" xr:uid="{00000000-0005-0000-0000-0000F0360000}"/>
    <cellStyle name="Akcent 1 2 8 4 2" xfId="14236" xr:uid="{00000000-0005-0000-0000-0000F1360000}"/>
    <cellStyle name="Akcent 1 2 8 4 2 2" xfId="14237" xr:uid="{00000000-0005-0000-0000-0000F2360000}"/>
    <cellStyle name="Akcent 1 2 8 4 2 2 2" xfId="14238" xr:uid="{00000000-0005-0000-0000-0000F3360000}"/>
    <cellStyle name="Akcent 1 2 8 4 2 2 3" xfId="14239" xr:uid="{00000000-0005-0000-0000-0000F4360000}"/>
    <cellStyle name="Akcent 1 2 8 4 2 2 4" xfId="14240" xr:uid="{00000000-0005-0000-0000-0000F5360000}"/>
    <cellStyle name="Akcent 1 2 8 4 2 2 5" xfId="14241" xr:uid="{00000000-0005-0000-0000-0000F6360000}"/>
    <cellStyle name="Akcent 1 2 8 4 2 2 6" xfId="14242" xr:uid="{00000000-0005-0000-0000-0000F7360000}"/>
    <cellStyle name="Akcent 1 2 8 4 2 3" xfId="14243" xr:uid="{00000000-0005-0000-0000-0000F8360000}"/>
    <cellStyle name="Akcent 1 2 8 4 2 4" xfId="14244" xr:uid="{00000000-0005-0000-0000-0000F9360000}"/>
    <cellStyle name="Akcent 1 2 8 4 2 5" xfId="14245" xr:uid="{00000000-0005-0000-0000-0000FA360000}"/>
    <cellStyle name="Akcent 1 2 8 4 2 6" xfId="14246" xr:uid="{00000000-0005-0000-0000-0000FB360000}"/>
    <cellStyle name="Akcent 1 2 8 4 2 7" xfId="14247" xr:uid="{00000000-0005-0000-0000-0000FC360000}"/>
    <cellStyle name="Akcent 1 2 8 4 3" xfId="14248" xr:uid="{00000000-0005-0000-0000-0000FD360000}"/>
    <cellStyle name="Akcent 1 2 8 4 4" xfId="14249" xr:uid="{00000000-0005-0000-0000-0000FE360000}"/>
    <cellStyle name="Akcent 1 2 8 4 5" xfId="14250" xr:uid="{00000000-0005-0000-0000-0000FF360000}"/>
    <cellStyle name="Akcent 1 2 8 4 6" xfId="14251" xr:uid="{00000000-0005-0000-0000-000000370000}"/>
    <cellStyle name="Akcent 1 2 8 4 7" xfId="14252" xr:uid="{00000000-0005-0000-0000-000001370000}"/>
    <cellStyle name="Akcent 1 2 8 4 7 2" xfId="14253" xr:uid="{00000000-0005-0000-0000-000002370000}"/>
    <cellStyle name="Akcent 1 2 8 4 7 3" xfId="14254" xr:uid="{00000000-0005-0000-0000-000003370000}"/>
    <cellStyle name="Akcent 1 2 8 4 7 4" xfId="14255" xr:uid="{00000000-0005-0000-0000-000004370000}"/>
    <cellStyle name="Akcent 1 2 8 4 7 5" xfId="14256" xr:uid="{00000000-0005-0000-0000-000005370000}"/>
    <cellStyle name="Akcent 1 2 8 4 7 6" xfId="14257" xr:uid="{00000000-0005-0000-0000-000006370000}"/>
    <cellStyle name="Akcent 1 2 8 4 8" xfId="14258" xr:uid="{00000000-0005-0000-0000-000007370000}"/>
    <cellStyle name="Akcent 1 2 8 4 9" xfId="14259" xr:uid="{00000000-0005-0000-0000-000008370000}"/>
    <cellStyle name="Akcent 1 2 8 5" xfId="14260" xr:uid="{00000000-0005-0000-0000-000009370000}"/>
    <cellStyle name="Akcent 1 2 8 5 2" xfId="14261" xr:uid="{00000000-0005-0000-0000-00000A370000}"/>
    <cellStyle name="Akcent 1 2 8 5 2 2" xfId="14262" xr:uid="{00000000-0005-0000-0000-00000B370000}"/>
    <cellStyle name="Akcent 1 2 8 5 2 3" xfId="14263" xr:uid="{00000000-0005-0000-0000-00000C370000}"/>
    <cellStyle name="Akcent 1 2 8 5 2 4" xfId="14264" xr:uid="{00000000-0005-0000-0000-00000D370000}"/>
    <cellStyle name="Akcent 1 2 8 5 2 5" xfId="14265" xr:uid="{00000000-0005-0000-0000-00000E370000}"/>
    <cellStyle name="Akcent 1 2 8 5 2 6" xfId="14266" xr:uid="{00000000-0005-0000-0000-00000F370000}"/>
    <cellStyle name="Akcent 1 2 8 5 3" xfId="14267" xr:uid="{00000000-0005-0000-0000-000010370000}"/>
    <cellStyle name="Akcent 1 2 8 5 4" xfId="14268" xr:uid="{00000000-0005-0000-0000-000011370000}"/>
    <cellStyle name="Akcent 1 2 8 5 5" xfId="14269" xr:uid="{00000000-0005-0000-0000-000012370000}"/>
    <cellStyle name="Akcent 1 2 8 5 6" xfId="14270" xr:uid="{00000000-0005-0000-0000-000013370000}"/>
    <cellStyle name="Akcent 1 2 8 5 7" xfId="14271" xr:uid="{00000000-0005-0000-0000-000014370000}"/>
    <cellStyle name="Akcent 1 2 8 6" xfId="14272" xr:uid="{00000000-0005-0000-0000-000015370000}"/>
    <cellStyle name="Akcent 1 2 8 7" xfId="14273" xr:uid="{00000000-0005-0000-0000-000016370000}"/>
    <cellStyle name="Akcent 1 2 8 8" xfId="14274" xr:uid="{00000000-0005-0000-0000-000017370000}"/>
    <cellStyle name="Akcent 1 2 8 9" xfId="14275" xr:uid="{00000000-0005-0000-0000-000018370000}"/>
    <cellStyle name="Akcent 1 2 8 9 2" xfId="14276" xr:uid="{00000000-0005-0000-0000-000019370000}"/>
    <cellStyle name="Akcent 1 2 8 9 3" xfId="14277" xr:uid="{00000000-0005-0000-0000-00001A370000}"/>
    <cellStyle name="Akcent 1 2 8 9 4" xfId="14278" xr:uid="{00000000-0005-0000-0000-00001B370000}"/>
    <cellStyle name="Akcent 1 2 8 9 5" xfId="14279" xr:uid="{00000000-0005-0000-0000-00001C370000}"/>
    <cellStyle name="Akcent 1 2 8 9 6" xfId="14280" xr:uid="{00000000-0005-0000-0000-00001D370000}"/>
    <cellStyle name="Akcent 1 2 9" xfId="14281" xr:uid="{00000000-0005-0000-0000-00001E370000}"/>
    <cellStyle name="Akcent 1 3" xfId="196" xr:uid="{00000000-0005-0000-0000-00001F370000}"/>
    <cellStyle name="Akcent 1 3 2" xfId="14283" xr:uid="{00000000-0005-0000-0000-000020370000}"/>
    <cellStyle name="Akcent 1 3 3" xfId="14284" xr:uid="{00000000-0005-0000-0000-000021370000}"/>
    <cellStyle name="Akcent 1 3 4" xfId="14285" xr:uid="{00000000-0005-0000-0000-000022370000}"/>
    <cellStyle name="Akcent 1 3 5" xfId="14286" xr:uid="{00000000-0005-0000-0000-000023370000}"/>
    <cellStyle name="Akcent 1 3 6" xfId="14282" xr:uid="{00000000-0005-0000-0000-000024370000}"/>
    <cellStyle name="Akcent 1 4" xfId="197" xr:uid="{00000000-0005-0000-0000-000025370000}"/>
    <cellStyle name="Akcent 1 4 2" xfId="14288" xr:uid="{00000000-0005-0000-0000-000026370000}"/>
    <cellStyle name="Akcent 1 4 3" xfId="14289" xr:uid="{00000000-0005-0000-0000-000027370000}"/>
    <cellStyle name="Akcent 1 4 4" xfId="14290" xr:uid="{00000000-0005-0000-0000-000028370000}"/>
    <cellStyle name="Akcent 1 4 5" xfId="14291" xr:uid="{00000000-0005-0000-0000-000029370000}"/>
    <cellStyle name="Akcent 1 4 6" xfId="14287" xr:uid="{00000000-0005-0000-0000-00002A370000}"/>
    <cellStyle name="Akcent 1 5" xfId="198" xr:uid="{00000000-0005-0000-0000-00002B370000}"/>
    <cellStyle name="Akcent 1 5 2" xfId="14293" xr:uid="{00000000-0005-0000-0000-00002C370000}"/>
    <cellStyle name="Akcent 1 5 3" xfId="14294" xr:uid="{00000000-0005-0000-0000-00002D370000}"/>
    <cellStyle name="Akcent 1 5 4" xfId="14295" xr:uid="{00000000-0005-0000-0000-00002E370000}"/>
    <cellStyle name="Akcent 1 5 5" xfId="14296" xr:uid="{00000000-0005-0000-0000-00002F370000}"/>
    <cellStyle name="Akcent 1 5 6" xfId="14292" xr:uid="{00000000-0005-0000-0000-000030370000}"/>
    <cellStyle name="Akcent 1 6" xfId="199" xr:uid="{00000000-0005-0000-0000-000031370000}"/>
    <cellStyle name="Akcent 1 6 2" xfId="14298" xr:uid="{00000000-0005-0000-0000-000032370000}"/>
    <cellStyle name="Akcent 1 6 3" xfId="14299" xr:uid="{00000000-0005-0000-0000-000033370000}"/>
    <cellStyle name="Akcent 1 6 4" xfId="14300" xr:uid="{00000000-0005-0000-0000-000034370000}"/>
    <cellStyle name="Akcent 1 6 5" xfId="14301" xr:uid="{00000000-0005-0000-0000-000035370000}"/>
    <cellStyle name="Akcent 1 6 6" xfId="14297" xr:uid="{00000000-0005-0000-0000-000036370000}"/>
    <cellStyle name="Akcent 1 7" xfId="200" xr:uid="{00000000-0005-0000-0000-000037370000}"/>
    <cellStyle name="Akcent 1 7 2" xfId="14303" xr:uid="{00000000-0005-0000-0000-000038370000}"/>
    <cellStyle name="Akcent 1 7 3" xfId="14304" xr:uid="{00000000-0005-0000-0000-000039370000}"/>
    <cellStyle name="Akcent 1 7 4" xfId="14305" xr:uid="{00000000-0005-0000-0000-00003A370000}"/>
    <cellStyle name="Akcent 1 7 5" xfId="14306" xr:uid="{00000000-0005-0000-0000-00003B370000}"/>
    <cellStyle name="Akcent 1 7 6" xfId="14302" xr:uid="{00000000-0005-0000-0000-00003C370000}"/>
    <cellStyle name="Akcent 1 8" xfId="14307" xr:uid="{00000000-0005-0000-0000-00003D370000}"/>
    <cellStyle name="Akcent 1 8 2" xfId="14308" xr:uid="{00000000-0005-0000-0000-00003E370000}"/>
    <cellStyle name="Akcent 1 8 3" xfId="14309" xr:uid="{00000000-0005-0000-0000-00003F370000}"/>
    <cellStyle name="Akcent 1 8 4" xfId="14310" xr:uid="{00000000-0005-0000-0000-000040370000}"/>
    <cellStyle name="Akcent 1 9" xfId="14311" xr:uid="{00000000-0005-0000-0000-000041370000}"/>
    <cellStyle name="Akcent 2 1" xfId="14312" xr:uid="{00000000-0005-0000-0000-000042370000}"/>
    <cellStyle name="Akcent 2 10" xfId="14313" xr:uid="{00000000-0005-0000-0000-000043370000}"/>
    <cellStyle name="Akcent 2 11" xfId="14314" xr:uid="{00000000-0005-0000-0000-000044370000}"/>
    <cellStyle name="Akcent 2 12" xfId="14315" xr:uid="{00000000-0005-0000-0000-000045370000}"/>
    <cellStyle name="Akcent 2 13" xfId="14316" xr:uid="{00000000-0005-0000-0000-000046370000}"/>
    <cellStyle name="Akcent 2 14" xfId="14317" xr:uid="{00000000-0005-0000-0000-000047370000}"/>
    <cellStyle name="Akcent 2 15" xfId="14318" xr:uid="{00000000-0005-0000-0000-000048370000}"/>
    <cellStyle name="Akcent 2 16" xfId="14319" xr:uid="{00000000-0005-0000-0000-000049370000}"/>
    <cellStyle name="Akcent 2 17" xfId="14320" xr:uid="{00000000-0005-0000-0000-00004A370000}"/>
    <cellStyle name="Akcent 2 18" xfId="14321" xr:uid="{00000000-0005-0000-0000-00004B370000}"/>
    <cellStyle name="Akcent 2 19" xfId="14322" xr:uid="{00000000-0005-0000-0000-00004C370000}"/>
    <cellStyle name="Akcent 2 2" xfId="201" xr:uid="{00000000-0005-0000-0000-00004D370000}"/>
    <cellStyle name="Akcent 2 2 10" xfId="14324" xr:uid="{00000000-0005-0000-0000-00004E370000}"/>
    <cellStyle name="Akcent 2 2 11" xfId="14325" xr:uid="{00000000-0005-0000-0000-00004F370000}"/>
    <cellStyle name="Akcent 2 2 12" xfId="14326" xr:uid="{00000000-0005-0000-0000-000050370000}"/>
    <cellStyle name="Akcent 2 2 13" xfId="14327" xr:uid="{00000000-0005-0000-0000-000051370000}"/>
    <cellStyle name="Akcent 2 2 13 10" xfId="14328" xr:uid="{00000000-0005-0000-0000-000052370000}"/>
    <cellStyle name="Akcent 2 2 13 11" xfId="14329" xr:uid="{00000000-0005-0000-0000-000053370000}"/>
    <cellStyle name="Akcent 2 2 13 12" xfId="14330" xr:uid="{00000000-0005-0000-0000-000054370000}"/>
    <cellStyle name="Akcent 2 2 13 2" xfId="14331" xr:uid="{00000000-0005-0000-0000-000055370000}"/>
    <cellStyle name="Akcent 2 2 13 2 10" xfId="14332" xr:uid="{00000000-0005-0000-0000-000056370000}"/>
    <cellStyle name="Akcent 2 2 13 2 11" xfId="14333" xr:uid="{00000000-0005-0000-0000-000057370000}"/>
    <cellStyle name="Akcent 2 2 13 2 2" xfId="14334" xr:uid="{00000000-0005-0000-0000-000058370000}"/>
    <cellStyle name="Akcent 2 2 13 2 2 10" xfId="14335" xr:uid="{00000000-0005-0000-0000-000059370000}"/>
    <cellStyle name="Akcent 2 2 13 2 2 11" xfId="14336" xr:uid="{00000000-0005-0000-0000-00005A370000}"/>
    <cellStyle name="Akcent 2 2 13 2 2 2" xfId="14337" xr:uid="{00000000-0005-0000-0000-00005B370000}"/>
    <cellStyle name="Akcent 2 2 13 2 2 2 2" xfId="14338" xr:uid="{00000000-0005-0000-0000-00005C370000}"/>
    <cellStyle name="Akcent 2 2 13 2 2 2 2 2" xfId="14339" xr:uid="{00000000-0005-0000-0000-00005D370000}"/>
    <cellStyle name="Akcent 2 2 13 2 2 2 2 3" xfId="14340" xr:uid="{00000000-0005-0000-0000-00005E370000}"/>
    <cellStyle name="Akcent 2 2 13 2 2 2 2 4" xfId="14341" xr:uid="{00000000-0005-0000-0000-00005F370000}"/>
    <cellStyle name="Akcent 2 2 13 2 2 2 2 5" xfId="14342" xr:uid="{00000000-0005-0000-0000-000060370000}"/>
    <cellStyle name="Akcent 2 2 13 2 2 2 2 6" xfId="14343" xr:uid="{00000000-0005-0000-0000-000061370000}"/>
    <cellStyle name="Akcent 2 2 13 2 2 2 3" xfId="14344" xr:uid="{00000000-0005-0000-0000-000062370000}"/>
    <cellStyle name="Akcent 2 2 13 2 2 2 4" xfId="14345" xr:uid="{00000000-0005-0000-0000-000063370000}"/>
    <cellStyle name="Akcent 2 2 13 2 2 2 5" xfId="14346" xr:uid="{00000000-0005-0000-0000-000064370000}"/>
    <cellStyle name="Akcent 2 2 13 2 2 2 6" xfId="14347" xr:uid="{00000000-0005-0000-0000-000065370000}"/>
    <cellStyle name="Akcent 2 2 13 2 2 2 7" xfId="14348" xr:uid="{00000000-0005-0000-0000-000066370000}"/>
    <cellStyle name="Akcent 2 2 13 2 2 3" xfId="14349" xr:uid="{00000000-0005-0000-0000-000067370000}"/>
    <cellStyle name="Akcent 2 2 13 2 2 4" xfId="14350" xr:uid="{00000000-0005-0000-0000-000068370000}"/>
    <cellStyle name="Akcent 2 2 13 2 2 5" xfId="14351" xr:uid="{00000000-0005-0000-0000-000069370000}"/>
    <cellStyle name="Akcent 2 2 13 2 2 6" xfId="14352" xr:uid="{00000000-0005-0000-0000-00006A370000}"/>
    <cellStyle name="Akcent 2 2 13 2 2 7" xfId="14353" xr:uid="{00000000-0005-0000-0000-00006B370000}"/>
    <cellStyle name="Akcent 2 2 13 2 2 7 2" xfId="14354" xr:uid="{00000000-0005-0000-0000-00006C370000}"/>
    <cellStyle name="Akcent 2 2 13 2 2 7 3" xfId="14355" xr:uid="{00000000-0005-0000-0000-00006D370000}"/>
    <cellStyle name="Akcent 2 2 13 2 2 7 4" xfId="14356" xr:uid="{00000000-0005-0000-0000-00006E370000}"/>
    <cellStyle name="Akcent 2 2 13 2 2 7 5" xfId="14357" xr:uid="{00000000-0005-0000-0000-00006F370000}"/>
    <cellStyle name="Akcent 2 2 13 2 2 7 6" xfId="14358" xr:uid="{00000000-0005-0000-0000-000070370000}"/>
    <cellStyle name="Akcent 2 2 13 2 2 8" xfId="14359" xr:uid="{00000000-0005-0000-0000-000071370000}"/>
    <cellStyle name="Akcent 2 2 13 2 2 9" xfId="14360" xr:uid="{00000000-0005-0000-0000-000072370000}"/>
    <cellStyle name="Akcent 2 2 13 2 3" xfId="14361" xr:uid="{00000000-0005-0000-0000-000073370000}"/>
    <cellStyle name="Akcent 2 2 13 2 3 2" xfId="14362" xr:uid="{00000000-0005-0000-0000-000074370000}"/>
    <cellStyle name="Akcent 2 2 13 2 3 2 2" xfId="14363" xr:uid="{00000000-0005-0000-0000-000075370000}"/>
    <cellStyle name="Akcent 2 2 13 2 3 2 3" xfId="14364" xr:uid="{00000000-0005-0000-0000-000076370000}"/>
    <cellStyle name="Akcent 2 2 13 2 3 2 4" xfId="14365" xr:uid="{00000000-0005-0000-0000-000077370000}"/>
    <cellStyle name="Akcent 2 2 13 2 3 2 5" xfId="14366" xr:uid="{00000000-0005-0000-0000-000078370000}"/>
    <cellStyle name="Akcent 2 2 13 2 3 2 6" xfId="14367" xr:uid="{00000000-0005-0000-0000-000079370000}"/>
    <cellStyle name="Akcent 2 2 13 2 3 3" xfId="14368" xr:uid="{00000000-0005-0000-0000-00007A370000}"/>
    <cellStyle name="Akcent 2 2 13 2 3 4" xfId="14369" xr:uid="{00000000-0005-0000-0000-00007B370000}"/>
    <cellStyle name="Akcent 2 2 13 2 3 5" xfId="14370" xr:uid="{00000000-0005-0000-0000-00007C370000}"/>
    <cellStyle name="Akcent 2 2 13 2 3 6" xfId="14371" xr:uid="{00000000-0005-0000-0000-00007D370000}"/>
    <cellStyle name="Akcent 2 2 13 2 3 7" xfId="14372" xr:uid="{00000000-0005-0000-0000-00007E370000}"/>
    <cellStyle name="Akcent 2 2 13 2 4" xfId="14373" xr:uid="{00000000-0005-0000-0000-00007F370000}"/>
    <cellStyle name="Akcent 2 2 13 2 5" xfId="14374" xr:uid="{00000000-0005-0000-0000-000080370000}"/>
    <cellStyle name="Akcent 2 2 13 2 6" xfId="14375" xr:uid="{00000000-0005-0000-0000-000081370000}"/>
    <cellStyle name="Akcent 2 2 13 2 7" xfId="14376" xr:uid="{00000000-0005-0000-0000-000082370000}"/>
    <cellStyle name="Akcent 2 2 13 2 7 2" xfId="14377" xr:uid="{00000000-0005-0000-0000-000083370000}"/>
    <cellStyle name="Akcent 2 2 13 2 7 3" xfId="14378" xr:uid="{00000000-0005-0000-0000-000084370000}"/>
    <cellStyle name="Akcent 2 2 13 2 7 4" xfId="14379" xr:uid="{00000000-0005-0000-0000-000085370000}"/>
    <cellStyle name="Akcent 2 2 13 2 7 5" xfId="14380" xr:uid="{00000000-0005-0000-0000-000086370000}"/>
    <cellStyle name="Akcent 2 2 13 2 7 6" xfId="14381" xr:uid="{00000000-0005-0000-0000-000087370000}"/>
    <cellStyle name="Akcent 2 2 13 2 8" xfId="14382" xr:uid="{00000000-0005-0000-0000-000088370000}"/>
    <cellStyle name="Akcent 2 2 13 2 9" xfId="14383" xr:uid="{00000000-0005-0000-0000-000089370000}"/>
    <cellStyle name="Akcent 2 2 13 3" xfId="14384" xr:uid="{00000000-0005-0000-0000-00008A370000}"/>
    <cellStyle name="Akcent 2 2 13 3 2" xfId="14385" xr:uid="{00000000-0005-0000-0000-00008B370000}"/>
    <cellStyle name="Akcent 2 2 13 3 2 2" xfId="14386" xr:uid="{00000000-0005-0000-0000-00008C370000}"/>
    <cellStyle name="Akcent 2 2 13 3 2 3" xfId="14387" xr:uid="{00000000-0005-0000-0000-00008D370000}"/>
    <cellStyle name="Akcent 2 2 13 3 2 4" xfId="14388" xr:uid="{00000000-0005-0000-0000-00008E370000}"/>
    <cellStyle name="Akcent 2 2 13 3 2 5" xfId="14389" xr:uid="{00000000-0005-0000-0000-00008F370000}"/>
    <cellStyle name="Akcent 2 2 13 3 2 6" xfId="14390" xr:uid="{00000000-0005-0000-0000-000090370000}"/>
    <cellStyle name="Akcent 2 2 13 3 3" xfId="14391" xr:uid="{00000000-0005-0000-0000-000091370000}"/>
    <cellStyle name="Akcent 2 2 13 3 4" xfId="14392" xr:uid="{00000000-0005-0000-0000-000092370000}"/>
    <cellStyle name="Akcent 2 2 13 3 5" xfId="14393" xr:uid="{00000000-0005-0000-0000-000093370000}"/>
    <cellStyle name="Akcent 2 2 13 3 6" xfId="14394" xr:uid="{00000000-0005-0000-0000-000094370000}"/>
    <cellStyle name="Akcent 2 2 13 3 7" xfId="14395" xr:uid="{00000000-0005-0000-0000-000095370000}"/>
    <cellStyle name="Akcent 2 2 13 4" xfId="14396" xr:uid="{00000000-0005-0000-0000-000096370000}"/>
    <cellStyle name="Akcent 2 2 13 5" xfId="14397" xr:uid="{00000000-0005-0000-0000-000097370000}"/>
    <cellStyle name="Akcent 2 2 13 6" xfId="14398" xr:uid="{00000000-0005-0000-0000-000098370000}"/>
    <cellStyle name="Akcent 2 2 13 7" xfId="14399" xr:uid="{00000000-0005-0000-0000-000099370000}"/>
    <cellStyle name="Akcent 2 2 13 8" xfId="14400" xr:uid="{00000000-0005-0000-0000-00009A370000}"/>
    <cellStyle name="Akcent 2 2 13 8 2" xfId="14401" xr:uid="{00000000-0005-0000-0000-00009B370000}"/>
    <cellStyle name="Akcent 2 2 13 8 3" xfId="14402" xr:uid="{00000000-0005-0000-0000-00009C370000}"/>
    <cellStyle name="Akcent 2 2 13 8 4" xfId="14403" xr:uid="{00000000-0005-0000-0000-00009D370000}"/>
    <cellStyle name="Akcent 2 2 13 8 5" xfId="14404" xr:uid="{00000000-0005-0000-0000-00009E370000}"/>
    <cellStyle name="Akcent 2 2 13 8 6" xfId="14405" xr:uid="{00000000-0005-0000-0000-00009F370000}"/>
    <cellStyle name="Akcent 2 2 13 9" xfId="14406" xr:uid="{00000000-0005-0000-0000-0000A0370000}"/>
    <cellStyle name="Akcent 2 2 14" xfId="14407" xr:uid="{00000000-0005-0000-0000-0000A1370000}"/>
    <cellStyle name="Akcent 2 2 14 10" xfId="14408" xr:uid="{00000000-0005-0000-0000-0000A2370000}"/>
    <cellStyle name="Akcent 2 2 14 11" xfId="14409" xr:uid="{00000000-0005-0000-0000-0000A3370000}"/>
    <cellStyle name="Akcent 2 2 14 2" xfId="14410" xr:uid="{00000000-0005-0000-0000-0000A4370000}"/>
    <cellStyle name="Akcent 2 2 14 2 2" xfId="14411" xr:uid="{00000000-0005-0000-0000-0000A5370000}"/>
    <cellStyle name="Akcent 2 2 14 2 2 2" xfId="14412" xr:uid="{00000000-0005-0000-0000-0000A6370000}"/>
    <cellStyle name="Akcent 2 2 14 2 2 3" xfId="14413" xr:uid="{00000000-0005-0000-0000-0000A7370000}"/>
    <cellStyle name="Akcent 2 2 14 2 2 4" xfId="14414" xr:uid="{00000000-0005-0000-0000-0000A8370000}"/>
    <cellStyle name="Akcent 2 2 14 2 2 5" xfId="14415" xr:uid="{00000000-0005-0000-0000-0000A9370000}"/>
    <cellStyle name="Akcent 2 2 14 2 2 6" xfId="14416" xr:uid="{00000000-0005-0000-0000-0000AA370000}"/>
    <cellStyle name="Akcent 2 2 14 2 3" xfId="14417" xr:uid="{00000000-0005-0000-0000-0000AB370000}"/>
    <cellStyle name="Akcent 2 2 14 2 4" xfId="14418" xr:uid="{00000000-0005-0000-0000-0000AC370000}"/>
    <cellStyle name="Akcent 2 2 14 2 5" xfId="14419" xr:uid="{00000000-0005-0000-0000-0000AD370000}"/>
    <cellStyle name="Akcent 2 2 14 2 6" xfId="14420" xr:uid="{00000000-0005-0000-0000-0000AE370000}"/>
    <cellStyle name="Akcent 2 2 14 2 7" xfId="14421" xr:uid="{00000000-0005-0000-0000-0000AF370000}"/>
    <cellStyle name="Akcent 2 2 14 3" xfId="14422" xr:uid="{00000000-0005-0000-0000-0000B0370000}"/>
    <cellStyle name="Akcent 2 2 14 4" xfId="14423" xr:uid="{00000000-0005-0000-0000-0000B1370000}"/>
    <cellStyle name="Akcent 2 2 14 5" xfId="14424" xr:uid="{00000000-0005-0000-0000-0000B2370000}"/>
    <cellStyle name="Akcent 2 2 14 6" xfId="14425" xr:uid="{00000000-0005-0000-0000-0000B3370000}"/>
    <cellStyle name="Akcent 2 2 14 7" xfId="14426" xr:uid="{00000000-0005-0000-0000-0000B4370000}"/>
    <cellStyle name="Akcent 2 2 14 7 2" xfId="14427" xr:uid="{00000000-0005-0000-0000-0000B5370000}"/>
    <cellStyle name="Akcent 2 2 14 7 3" xfId="14428" xr:uid="{00000000-0005-0000-0000-0000B6370000}"/>
    <cellStyle name="Akcent 2 2 14 7 4" xfId="14429" xr:uid="{00000000-0005-0000-0000-0000B7370000}"/>
    <cellStyle name="Akcent 2 2 14 7 5" xfId="14430" xr:uid="{00000000-0005-0000-0000-0000B8370000}"/>
    <cellStyle name="Akcent 2 2 14 7 6" xfId="14431" xr:uid="{00000000-0005-0000-0000-0000B9370000}"/>
    <cellStyle name="Akcent 2 2 14 8" xfId="14432" xr:uid="{00000000-0005-0000-0000-0000BA370000}"/>
    <cellStyle name="Akcent 2 2 14 9" xfId="14433" xr:uid="{00000000-0005-0000-0000-0000BB370000}"/>
    <cellStyle name="Akcent 2 2 15" xfId="14434" xr:uid="{00000000-0005-0000-0000-0000BC370000}"/>
    <cellStyle name="Akcent 2 2 15 2" xfId="14435" xr:uid="{00000000-0005-0000-0000-0000BD370000}"/>
    <cellStyle name="Akcent 2 2 15 2 2" xfId="14436" xr:uid="{00000000-0005-0000-0000-0000BE370000}"/>
    <cellStyle name="Akcent 2 2 15 2 3" xfId="14437" xr:uid="{00000000-0005-0000-0000-0000BF370000}"/>
    <cellStyle name="Akcent 2 2 15 2 4" xfId="14438" xr:uid="{00000000-0005-0000-0000-0000C0370000}"/>
    <cellStyle name="Akcent 2 2 15 2 5" xfId="14439" xr:uid="{00000000-0005-0000-0000-0000C1370000}"/>
    <cellStyle name="Akcent 2 2 15 2 6" xfId="14440" xr:uid="{00000000-0005-0000-0000-0000C2370000}"/>
    <cellStyle name="Akcent 2 2 15 3" xfId="14441" xr:uid="{00000000-0005-0000-0000-0000C3370000}"/>
    <cellStyle name="Akcent 2 2 15 4" xfId="14442" xr:uid="{00000000-0005-0000-0000-0000C4370000}"/>
    <cellStyle name="Akcent 2 2 15 5" xfId="14443" xr:uid="{00000000-0005-0000-0000-0000C5370000}"/>
    <cellStyle name="Akcent 2 2 15 6" xfId="14444" xr:uid="{00000000-0005-0000-0000-0000C6370000}"/>
    <cellStyle name="Akcent 2 2 15 7" xfId="14445" xr:uid="{00000000-0005-0000-0000-0000C7370000}"/>
    <cellStyle name="Akcent 2 2 16" xfId="14446" xr:uid="{00000000-0005-0000-0000-0000C8370000}"/>
    <cellStyle name="Akcent 2 2 17" xfId="14447" xr:uid="{00000000-0005-0000-0000-0000C9370000}"/>
    <cellStyle name="Akcent 2 2 18" xfId="14448" xr:uid="{00000000-0005-0000-0000-0000CA370000}"/>
    <cellStyle name="Akcent 2 2 19" xfId="14449" xr:uid="{00000000-0005-0000-0000-0000CB370000}"/>
    <cellStyle name="Akcent 2 2 2" xfId="14450" xr:uid="{00000000-0005-0000-0000-0000CC370000}"/>
    <cellStyle name="Akcent 2 2 20" xfId="14451" xr:uid="{00000000-0005-0000-0000-0000CD370000}"/>
    <cellStyle name="Akcent 2 2 21" xfId="14452" xr:uid="{00000000-0005-0000-0000-0000CE370000}"/>
    <cellStyle name="Akcent 2 2 21 2" xfId="14453" xr:uid="{00000000-0005-0000-0000-0000CF370000}"/>
    <cellStyle name="Akcent 2 2 21 3" xfId="14454" xr:uid="{00000000-0005-0000-0000-0000D0370000}"/>
    <cellStyle name="Akcent 2 2 21 4" xfId="14455" xr:uid="{00000000-0005-0000-0000-0000D1370000}"/>
    <cellStyle name="Akcent 2 2 21 5" xfId="14456" xr:uid="{00000000-0005-0000-0000-0000D2370000}"/>
    <cellStyle name="Akcent 2 2 21 6" xfId="14457" xr:uid="{00000000-0005-0000-0000-0000D3370000}"/>
    <cellStyle name="Akcent 2 2 22" xfId="14458" xr:uid="{00000000-0005-0000-0000-0000D4370000}"/>
    <cellStyle name="Akcent 2 2 23" xfId="14459" xr:uid="{00000000-0005-0000-0000-0000D5370000}"/>
    <cellStyle name="Akcent 2 2 24" xfId="14460" xr:uid="{00000000-0005-0000-0000-0000D6370000}"/>
    <cellStyle name="Akcent 2 2 25" xfId="14461" xr:uid="{00000000-0005-0000-0000-0000D7370000}"/>
    <cellStyle name="Akcent 2 2 26" xfId="14462" xr:uid="{00000000-0005-0000-0000-0000D8370000}"/>
    <cellStyle name="Akcent 2 2 27" xfId="14463" xr:uid="{00000000-0005-0000-0000-0000D9370000}"/>
    <cellStyle name="Akcent 2 2 28" xfId="14464" xr:uid="{00000000-0005-0000-0000-0000DA370000}"/>
    <cellStyle name="Akcent 2 2 29" xfId="14465" xr:uid="{00000000-0005-0000-0000-0000DB370000}"/>
    <cellStyle name="Akcent 2 2 3" xfId="14466" xr:uid="{00000000-0005-0000-0000-0000DC370000}"/>
    <cellStyle name="Akcent 2 2 30" xfId="14467" xr:uid="{00000000-0005-0000-0000-0000DD370000}"/>
    <cellStyle name="Akcent 2 2 31" xfId="14468" xr:uid="{00000000-0005-0000-0000-0000DE370000}"/>
    <cellStyle name="Akcent 2 2 32" xfId="14323" xr:uid="{00000000-0005-0000-0000-0000DF370000}"/>
    <cellStyle name="Akcent 2 2 33" xfId="37836" xr:uid="{00000000-0005-0000-0000-0000E0370000}"/>
    <cellStyle name="Akcent 2 2 4" xfId="14469" xr:uid="{00000000-0005-0000-0000-0000E1370000}"/>
    <cellStyle name="Akcent 2 2 5" xfId="14470" xr:uid="{00000000-0005-0000-0000-0000E2370000}"/>
    <cellStyle name="Akcent 2 2 6" xfId="14471" xr:uid="{00000000-0005-0000-0000-0000E3370000}"/>
    <cellStyle name="Akcent 2 2 6 10" xfId="14472" xr:uid="{00000000-0005-0000-0000-0000E4370000}"/>
    <cellStyle name="Akcent 2 2 6 11" xfId="14473" xr:uid="{00000000-0005-0000-0000-0000E5370000}"/>
    <cellStyle name="Akcent 2 2 6 12" xfId="14474" xr:uid="{00000000-0005-0000-0000-0000E6370000}"/>
    <cellStyle name="Akcent 2 2 6 13" xfId="14475" xr:uid="{00000000-0005-0000-0000-0000E7370000}"/>
    <cellStyle name="Akcent 2 2 6 2" xfId="14476" xr:uid="{00000000-0005-0000-0000-0000E8370000}"/>
    <cellStyle name="Akcent 2 2 6 2 10" xfId="14477" xr:uid="{00000000-0005-0000-0000-0000E9370000}"/>
    <cellStyle name="Akcent 2 2 6 2 11" xfId="14478" xr:uid="{00000000-0005-0000-0000-0000EA370000}"/>
    <cellStyle name="Akcent 2 2 6 2 12" xfId="14479" xr:uid="{00000000-0005-0000-0000-0000EB370000}"/>
    <cellStyle name="Akcent 2 2 6 2 2" xfId="14480" xr:uid="{00000000-0005-0000-0000-0000EC370000}"/>
    <cellStyle name="Akcent 2 2 6 2 2 10" xfId="14481" xr:uid="{00000000-0005-0000-0000-0000ED370000}"/>
    <cellStyle name="Akcent 2 2 6 2 2 11" xfId="14482" xr:uid="{00000000-0005-0000-0000-0000EE370000}"/>
    <cellStyle name="Akcent 2 2 6 2 2 2" xfId="14483" xr:uid="{00000000-0005-0000-0000-0000EF370000}"/>
    <cellStyle name="Akcent 2 2 6 2 2 2 10" xfId="14484" xr:uid="{00000000-0005-0000-0000-0000F0370000}"/>
    <cellStyle name="Akcent 2 2 6 2 2 2 11" xfId="14485" xr:uid="{00000000-0005-0000-0000-0000F1370000}"/>
    <cellStyle name="Akcent 2 2 6 2 2 2 2" xfId="14486" xr:uid="{00000000-0005-0000-0000-0000F2370000}"/>
    <cellStyle name="Akcent 2 2 6 2 2 2 2 2" xfId="14487" xr:uid="{00000000-0005-0000-0000-0000F3370000}"/>
    <cellStyle name="Akcent 2 2 6 2 2 2 2 2 2" xfId="14488" xr:uid="{00000000-0005-0000-0000-0000F4370000}"/>
    <cellStyle name="Akcent 2 2 6 2 2 2 2 2 3" xfId="14489" xr:uid="{00000000-0005-0000-0000-0000F5370000}"/>
    <cellStyle name="Akcent 2 2 6 2 2 2 2 2 4" xfId="14490" xr:uid="{00000000-0005-0000-0000-0000F6370000}"/>
    <cellStyle name="Akcent 2 2 6 2 2 2 2 2 5" xfId="14491" xr:uid="{00000000-0005-0000-0000-0000F7370000}"/>
    <cellStyle name="Akcent 2 2 6 2 2 2 2 2 6" xfId="14492" xr:uid="{00000000-0005-0000-0000-0000F8370000}"/>
    <cellStyle name="Akcent 2 2 6 2 2 2 2 3" xfId="14493" xr:uid="{00000000-0005-0000-0000-0000F9370000}"/>
    <cellStyle name="Akcent 2 2 6 2 2 2 2 4" xfId="14494" xr:uid="{00000000-0005-0000-0000-0000FA370000}"/>
    <cellStyle name="Akcent 2 2 6 2 2 2 2 5" xfId="14495" xr:uid="{00000000-0005-0000-0000-0000FB370000}"/>
    <cellStyle name="Akcent 2 2 6 2 2 2 2 6" xfId="14496" xr:uid="{00000000-0005-0000-0000-0000FC370000}"/>
    <cellStyle name="Akcent 2 2 6 2 2 2 2 7" xfId="14497" xr:uid="{00000000-0005-0000-0000-0000FD370000}"/>
    <cellStyle name="Akcent 2 2 6 2 2 2 3" xfId="14498" xr:uid="{00000000-0005-0000-0000-0000FE370000}"/>
    <cellStyle name="Akcent 2 2 6 2 2 2 4" xfId="14499" xr:uid="{00000000-0005-0000-0000-0000FF370000}"/>
    <cellStyle name="Akcent 2 2 6 2 2 2 5" xfId="14500" xr:uid="{00000000-0005-0000-0000-000000380000}"/>
    <cellStyle name="Akcent 2 2 6 2 2 2 6" xfId="14501" xr:uid="{00000000-0005-0000-0000-000001380000}"/>
    <cellStyle name="Akcent 2 2 6 2 2 2 7" xfId="14502" xr:uid="{00000000-0005-0000-0000-000002380000}"/>
    <cellStyle name="Akcent 2 2 6 2 2 2 7 2" xfId="14503" xr:uid="{00000000-0005-0000-0000-000003380000}"/>
    <cellStyle name="Akcent 2 2 6 2 2 2 7 3" xfId="14504" xr:uid="{00000000-0005-0000-0000-000004380000}"/>
    <cellStyle name="Akcent 2 2 6 2 2 2 7 4" xfId="14505" xr:uid="{00000000-0005-0000-0000-000005380000}"/>
    <cellStyle name="Akcent 2 2 6 2 2 2 7 5" xfId="14506" xr:uid="{00000000-0005-0000-0000-000006380000}"/>
    <cellStyle name="Akcent 2 2 6 2 2 2 7 6" xfId="14507" xr:uid="{00000000-0005-0000-0000-000007380000}"/>
    <cellStyle name="Akcent 2 2 6 2 2 2 8" xfId="14508" xr:uid="{00000000-0005-0000-0000-000008380000}"/>
    <cellStyle name="Akcent 2 2 6 2 2 2 9" xfId="14509" xr:uid="{00000000-0005-0000-0000-000009380000}"/>
    <cellStyle name="Akcent 2 2 6 2 2 3" xfId="14510" xr:uid="{00000000-0005-0000-0000-00000A380000}"/>
    <cellStyle name="Akcent 2 2 6 2 2 3 2" xfId="14511" xr:uid="{00000000-0005-0000-0000-00000B380000}"/>
    <cellStyle name="Akcent 2 2 6 2 2 3 2 2" xfId="14512" xr:uid="{00000000-0005-0000-0000-00000C380000}"/>
    <cellStyle name="Akcent 2 2 6 2 2 3 2 3" xfId="14513" xr:uid="{00000000-0005-0000-0000-00000D380000}"/>
    <cellStyle name="Akcent 2 2 6 2 2 3 2 4" xfId="14514" xr:uid="{00000000-0005-0000-0000-00000E380000}"/>
    <cellStyle name="Akcent 2 2 6 2 2 3 2 5" xfId="14515" xr:uid="{00000000-0005-0000-0000-00000F380000}"/>
    <cellStyle name="Akcent 2 2 6 2 2 3 2 6" xfId="14516" xr:uid="{00000000-0005-0000-0000-000010380000}"/>
    <cellStyle name="Akcent 2 2 6 2 2 3 3" xfId="14517" xr:uid="{00000000-0005-0000-0000-000011380000}"/>
    <cellStyle name="Akcent 2 2 6 2 2 3 4" xfId="14518" xr:uid="{00000000-0005-0000-0000-000012380000}"/>
    <cellStyle name="Akcent 2 2 6 2 2 3 5" xfId="14519" xr:uid="{00000000-0005-0000-0000-000013380000}"/>
    <cellStyle name="Akcent 2 2 6 2 2 3 6" xfId="14520" xr:uid="{00000000-0005-0000-0000-000014380000}"/>
    <cellStyle name="Akcent 2 2 6 2 2 3 7" xfId="14521" xr:uid="{00000000-0005-0000-0000-000015380000}"/>
    <cellStyle name="Akcent 2 2 6 2 2 4" xfId="14522" xr:uid="{00000000-0005-0000-0000-000016380000}"/>
    <cellStyle name="Akcent 2 2 6 2 2 5" xfId="14523" xr:uid="{00000000-0005-0000-0000-000017380000}"/>
    <cellStyle name="Akcent 2 2 6 2 2 6" xfId="14524" xr:uid="{00000000-0005-0000-0000-000018380000}"/>
    <cellStyle name="Akcent 2 2 6 2 2 7" xfId="14525" xr:uid="{00000000-0005-0000-0000-000019380000}"/>
    <cellStyle name="Akcent 2 2 6 2 2 7 2" xfId="14526" xr:uid="{00000000-0005-0000-0000-00001A380000}"/>
    <cellStyle name="Akcent 2 2 6 2 2 7 3" xfId="14527" xr:uid="{00000000-0005-0000-0000-00001B380000}"/>
    <cellStyle name="Akcent 2 2 6 2 2 7 4" xfId="14528" xr:uid="{00000000-0005-0000-0000-00001C380000}"/>
    <cellStyle name="Akcent 2 2 6 2 2 7 5" xfId="14529" xr:uid="{00000000-0005-0000-0000-00001D380000}"/>
    <cellStyle name="Akcent 2 2 6 2 2 7 6" xfId="14530" xr:uid="{00000000-0005-0000-0000-00001E380000}"/>
    <cellStyle name="Akcent 2 2 6 2 2 8" xfId="14531" xr:uid="{00000000-0005-0000-0000-00001F380000}"/>
    <cellStyle name="Akcent 2 2 6 2 2 9" xfId="14532" xr:uid="{00000000-0005-0000-0000-000020380000}"/>
    <cellStyle name="Akcent 2 2 6 2 3" xfId="14533" xr:uid="{00000000-0005-0000-0000-000021380000}"/>
    <cellStyle name="Akcent 2 2 6 2 3 2" xfId="14534" xr:uid="{00000000-0005-0000-0000-000022380000}"/>
    <cellStyle name="Akcent 2 2 6 2 3 2 2" xfId="14535" xr:uid="{00000000-0005-0000-0000-000023380000}"/>
    <cellStyle name="Akcent 2 2 6 2 3 2 3" xfId="14536" xr:uid="{00000000-0005-0000-0000-000024380000}"/>
    <cellStyle name="Akcent 2 2 6 2 3 2 4" xfId="14537" xr:uid="{00000000-0005-0000-0000-000025380000}"/>
    <cellStyle name="Akcent 2 2 6 2 3 2 5" xfId="14538" xr:uid="{00000000-0005-0000-0000-000026380000}"/>
    <cellStyle name="Akcent 2 2 6 2 3 2 6" xfId="14539" xr:uid="{00000000-0005-0000-0000-000027380000}"/>
    <cellStyle name="Akcent 2 2 6 2 3 3" xfId="14540" xr:uid="{00000000-0005-0000-0000-000028380000}"/>
    <cellStyle name="Akcent 2 2 6 2 3 4" xfId="14541" xr:uid="{00000000-0005-0000-0000-000029380000}"/>
    <cellStyle name="Akcent 2 2 6 2 3 5" xfId="14542" xr:uid="{00000000-0005-0000-0000-00002A380000}"/>
    <cellStyle name="Akcent 2 2 6 2 3 6" xfId="14543" xr:uid="{00000000-0005-0000-0000-00002B380000}"/>
    <cellStyle name="Akcent 2 2 6 2 3 7" xfId="14544" xr:uid="{00000000-0005-0000-0000-00002C380000}"/>
    <cellStyle name="Akcent 2 2 6 2 4" xfId="14545" xr:uid="{00000000-0005-0000-0000-00002D380000}"/>
    <cellStyle name="Akcent 2 2 6 2 5" xfId="14546" xr:uid="{00000000-0005-0000-0000-00002E380000}"/>
    <cellStyle name="Akcent 2 2 6 2 6" xfId="14547" xr:uid="{00000000-0005-0000-0000-00002F380000}"/>
    <cellStyle name="Akcent 2 2 6 2 7" xfId="14548" xr:uid="{00000000-0005-0000-0000-000030380000}"/>
    <cellStyle name="Akcent 2 2 6 2 8" xfId="14549" xr:uid="{00000000-0005-0000-0000-000031380000}"/>
    <cellStyle name="Akcent 2 2 6 2 8 2" xfId="14550" xr:uid="{00000000-0005-0000-0000-000032380000}"/>
    <cellStyle name="Akcent 2 2 6 2 8 3" xfId="14551" xr:uid="{00000000-0005-0000-0000-000033380000}"/>
    <cellStyle name="Akcent 2 2 6 2 8 4" xfId="14552" xr:uid="{00000000-0005-0000-0000-000034380000}"/>
    <cellStyle name="Akcent 2 2 6 2 8 5" xfId="14553" xr:uid="{00000000-0005-0000-0000-000035380000}"/>
    <cellStyle name="Akcent 2 2 6 2 8 6" xfId="14554" xr:uid="{00000000-0005-0000-0000-000036380000}"/>
    <cellStyle name="Akcent 2 2 6 2 9" xfId="14555" xr:uid="{00000000-0005-0000-0000-000037380000}"/>
    <cellStyle name="Akcent 2 2 6 3" xfId="14556" xr:uid="{00000000-0005-0000-0000-000038380000}"/>
    <cellStyle name="Akcent 2 2 6 4" xfId="14557" xr:uid="{00000000-0005-0000-0000-000039380000}"/>
    <cellStyle name="Akcent 2 2 6 4 10" xfId="14558" xr:uid="{00000000-0005-0000-0000-00003A380000}"/>
    <cellStyle name="Akcent 2 2 6 4 11" xfId="14559" xr:uid="{00000000-0005-0000-0000-00003B380000}"/>
    <cellStyle name="Akcent 2 2 6 4 2" xfId="14560" xr:uid="{00000000-0005-0000-0000-00003C380000}"/>
    <cellStyle name="Akcent 2 2 6 4 2 2" xfId="14561" xr:uid="{00000000-0005-0000-0000-00003D380000}"/>
    <cellStyle name="Akcent 2 2 6 4 2 2 2" xfId="14562" xr:uid="{00000000-0005-0000-0000-00003E380000}"/>
    <cellStyle name="Akcent 2 2 6 4 2 2 3" xfId="14563" xr:uid="{00000000-0005-0000-0000-00003F380000}"/>
    <cellStyle name="Akcent 2 2 6 4 2 2 4" xfId="14564" xr:uid="{00000000-0005-0000-0000-000040380000}"/>
    <cellStyle name="Akcent 2 2 6 4 2 2 5" xfId="14565" xr:uid="{00000000-0005-0000-0000-000041380000}"/>
    <cellStyle name="Akcent 2 2 6 4 2 2 6" xfId="14566" xr:uid="{00000000-0005-0000-0000-000042380000}"/>
    <cellStyle name="Akcent 2 2 6 4 2 3" xfId="14567" xr:uid="{00000000-0005-0000-0000-000043380000}"/>
    <cellStyle name="Akcent 2 2 6 4 2 4" xfId="14568" xr:uid="{00000000-0005-0000-0000-000044380000}"/>
    <cellStyle name="Akcent 2 2 6 4 2 5" xfId="14569" xr:uid="{00000000-0005-0000-0000-000045380000}"/>
    <cellStyle name="Akcent 2 2 6 4 2 6" xfId="14570" xr:uid="{00000000-0005-0000-0000-000046380000}"/>
    <cellStyle name="Akcent 2 2 6 4 2 7" xfId="14571" xr:uid="{00000000-0005-0000-0000-000047380000}"/>
    <cellStyle name="Akcent 2 2 6 4 3" xfId="14572" xr:uid="{00000000-0005-0000-0000-000048380000}"/>
    <cellStyle name="Akcent 2 2 6 4 4" xfId="14573" xr:uid="{00000000-0005-0000-0000-000049380000}"/>
    <cellStyle name="Akcent 2 2 6 4 5" xfId="14574" xr:uid="{00000000-0005-0000-0000-00004A380000}"/>
    <cellStyle name="Akcent 2 2 6 4 6" xfId="14575" xr:uid="{00000000-0005-0000-0000-00004B380000}"/>
    <cellStyle name="Akcent 2 2 6 4 7" xfId="14576" xr:uid="{00000000-0005-0000-0000-00004C380000}"/>
    <cellStyle name="Akcent 2 2 6 4 7 2" xfId="14577" xr:uid="{00000000-0005-0000-0000-00004D380000}"/>
    <cellStyle name="Akcent 2 2 6 4 7 3" xfId="14578" xr:uid="{00000000-0005-0000-0000-00004E380000}"/>
    <cellStyle name="Akcent 2 2 6 4 7 4" xfId="14579" xr:uid="{00000000-0005-0000-0000-00004F380000}"/>
    <cellStyle name="Akcent 2 2 6 4 7 5" xfId="14580" xr:uid="{00000000-0005-0000-0000-000050380000}"/>
    <cellStyle name="Akcent 2 2 6 4 7 6" xfId="14581" xr:uid="{00000000-0005-0000-0000-000051380000}"/>
    <cellStyle name="Akcent 2 2 6 4 8" xfId="14582" xr:uid="{00000000-0005-0000-0000-000052380000}"/>
    <cellStyle name="Akcent 2 2 6 4 9" xfId="14583" xr:uid="{00000000-0005-0000-0000-000053380000}"/>
    <cellStyle name="Akcent 2 2 6 5" xfId="14584" xr:uid="{00000000-0005-0000-0000-000054380000}"/>
    <cellStyle name="Akcent 2 2 6 5 2" xfId="14585" xr:uid="{00000000-0005-0000-0000-000055380000}"/>
    <cellStyle name="Akcent 2 2 6 5 2 2" xfId="14586" xr:uid="{00000000-0005-0000-0000-000056380000}"/>
    <cellStyle name="Akcent 2 2 6 5 2 3" xfId="14587" xr:uid="{00000000-0005-0000-0000-000057380000}"/>
    <cellStyle name="Akcent 2 2 6 5 2 4" xfId="14588" xr:uid="{00000000-0005-0000-0000-000058380000}"/>
    <cellStyle name="Akcent 2 2 6 5 2 5" xfId="14589" xr:uid="{00000000-0005-0000-0000-000059380000}"/>
    <cellStyle name="Akcent 2 2 6 5 2 6" xfId="14590" xr:uid="{00000000-0005-0000-0000-00005A380000}"/>
    <cellStyle name="Akcent 2 2 6 5 3" xfId="14591" xr:uid="{00000000-0005-0000-0000-00005B380000}"/>
    <cellStyle name="Akcent 2 2 6 5 4" xfId="14592" xr:uid="{00000000-0005-0000-0000-00005C380000}"/>
    <cellStyle name="Akcent 2 2 6 5 5" xfId="14593" xr:uid="{00000000-0005-0000-0000-00005D380000}"/>
    <cellStyle name="Akcent 2 2 6 5 6" xfId="14594" xr:uid="{00000000-0005-0000-0000-00005E380000}"/>
    <cellStyle name="Akcent 2 2 6 5 7" xfId="14595" xr:uid="{00000000-0005-0000-0000-00005F380000}"/>
    <cellStyle name="Akcent 2 2 6 6" xfId="14596" xr:uid="{00000000-0005-0000-0000-000060380000}"/>
    <cellStyle name="Akcent 2 2 6 7" xfId="14597" xr:uid="{00000000-0005-0000-0000-000061380000}"/>
    <cellStyle name="Akcent 2 2 6 8" xfId="14598" xr:uid="{00000000-0005-0000-0000-000062380000}"/>
    <cellStyle name="Akcent 2 2 6 9" xfId="14599" xr:uid="{00000000-0005-0000-0000-000063380000}"/>
    <cellStyle name="Akcent 2 2 6 9 2" xfId="14600" xr:uid="{00000000-0005-0000-0000-000064380000}"/>
    <cellStyle name="Akcent 2 2 6 9 3" xfId="14601" xr:uid="{00000000-0005-0000-0000-000065380000}"/>
    <cellStyle name="Akcent 2 2 6 9 4" xfId="14602" xr:uid="{00000000-0005-0000-0000-000066380000}"/>
    <cellStyle name="Akcent 2 2 6 9 5" xfId="14603" xr:uid="{00000000-0005-0000-0000-000067380000}"/>
    <cellStyle name="Akcent 2 2 6 9 6" xfId="14604" xr:uid="{00000000-0005-0000-0000-000068380000}"/>
    <cellStyle name="Akcent 2 2 7" xfId="14605" xr:uid="{00000000-0005-0000-0000-000069380000}"/>
    <cellStyle name="Akcent 2 2 8" xfId="14606" xr:uid="{00000000-0005-0000-0000-00006A380000}"/>
    <cellStyle name="Akcent 2 2 9" xfId="14607" xr:uid="{00000000-0005-0000-0000-00006B380000}"/>
    <cellStyle name="Akcent 2 3" xfId="202" xr:uid="{00000000-0005-0000-0000-00006C380000}"/>
    <cellStyle name="Akcent 2 3 2" xfId="14609" xr:uid="{00000000-0005-0000-0000-00006D380000}"/>
    <cellStyle name="Akcent 2 3 3" xfId="14610" xr:uid="{00000000-0005-0000-0000-00006E380000}"/>
    <cellStyle name="Akcent 2 3 4" xfId="14611" xr:uid="{00000000-0005-0000-0000-00006F380000}"/>
    <cellStyle name="Akcent 2 3 5" xfId="14608" xr:uid="{00000000-0005-0000-0000-000070380000}"/>
    <cellStyle name="Akcent 2 4" xfId="203" xr:uid="{00000000-0005-0000-0000-000071380000}"/>
    <cellStyle name="Akcent 2 4 2" xfId="14613" xr:uid="{00000000-0005-0000-0000-000072380000}"/>
    <cellStyle name="Akcent 2 4 3" xfId="14614" xr:uid="{00000000-0005-0000-0000-000073380000}"/>
    <cellStyle name="Akcent 2 4 4" xfId="14615" xr:uid="{00000000-0005-0000-0000-000074380000}"/>
    <cellStyle name="Akcent 2 4 5" xfId="14612" xr:uid="{00000000-0005-0000-0000-000075380000}"/>
    <cellStyle name="Akcent 2 5" xfId="204" xr:uid="{00000000-0005-0000-0000-000076380000}"/>
    <cellStyle name="Akcent 2 5 2" xfId="14617" xr:uid="{00000000-0005-0000-0000-000077380000}"/>
    <cellStyle name="Akcent 2 5 3" xfId="14618" xr:uid="{00000000-0005-0000-0000-000078380000}"/>
    <cellStyle name="Akcent 2 5 4" xfId="14619" xr:uid="{00000000-0005-0000-0000-000079380000}"/>
    <cellStyle name="Akcent 2 5 5" xfId="14616" xr:uid="{00000000-0005-0000-0000-00007A380000}"/>
    <cellStyle name="Akcent 2 6" xfId="205" xr:uid="{00000000-0005-0000-0000-00007B380000}"/>
    <cellStyle name="Akcent 2 6 2" xfId="14621" xr:uid="{00000000-0005-0000-0000-00007C380000}"/>
    <cellStyle name="Akcent 2 6 3" xfId="14622" xr:uid="{00000000-0005-0000-0000-00007D380000}"/>
    <cellStyle name="Akcent 2 6 4" xfId="14623" xr:uid="{00000000-0005-0000-0000-00007E380000}"/>
    <cellStyle name="Akcent 2 6 5" xfId="14620" xr:uid="{00000000-0005-0000-0000-00007F380000}"/>
    <cellStyle name="Akcent 2 7" xfId="206" xr:uid="{00000000-0005-0000-0000-000080380000}"/>
    <cellStyle name="Akcent 2 7 2" xfId="14625" xr:uid="{00000000-0005-0000-0000-000081380000}"/>
    <cellStyle name="Akcent 2 7 3" xfId="14626" xr:uid="{00000000-0005-0000-0000-000082380000}"/>
    <cellStyle name="Akcent 2 7 4" xfId="14627" xr:uid="{00000000-0005-0000-0000-000083380000}"/>
    <cellStyle name="Akcent 2 7 5" xfId="14624" xr:uid="{00000000-0005-0000-0000-000084380000}"/>
    <cellStyle name="Akcent 2 8" xfId="14628" xr:uid="{00000000-0005-0000-0000-000085380000}"/>
    <cellStyle name="Akcent 2 8 2" xfId="14629" xr:uid="{00000000-0005-0000-0000-000086380000}"/>
    <cellStyle name="Akcent 2 8 3" xfId="14630" xr:uid="{00000000-0005-0000-0000-000087380000}"/>
    <cellStyle name="Akcent 2 8 4" xfId="14631" xr:uid="{00000000-0005-0000-0000-000088380000}"/>
    <cellStyle name="Akcent 2 9" xfId="14632" xr:uid="{00000000-0005-0000-0000-000089380000}"/>
    <cellStyle name="Akcent 3 1" xfId="14633" xr:uid="{00000000-0005-0000-0000-00008A380000}"/>
    <cellStyle name="Akcent 3 10" xfId="14634" xr:uid="{00000000-0005-0000-0000-00008B380000}"/>
    <cellStyle name="Akcent 3 11" xfId="14635" xr:uid="{00000000-0005-0000-0000-00008C380000}"/>
    <cellStyle name="Akcent 3 12" xfId="14636" xr:uid="{00000000-0005-0000-0000-00008D380000}"/>
    <cellStyle name="Akcent 3 13" xfId="14637" xr:uid="{00000000-0005-0000-0000-00008E380000}"/>
    <cellStyle name="Akcent 3 14" xfId="14638" xr:uid="{00000000-0005-0000-0000-00008F380000}"/>
    <cellStyle name="Akcent 3 15" xfId="14639" xr:uid="{00000000-0005-0000-0000-000090380000}"/>
    <cellStyle name="Akcent 3 16" xfId="14640" xr:uid="{00000000-0005-0000-0000-000091380000}"/>
    <cellStyle name="Akcent 3 17" xfId="14641" xr:uid="{00000000-0005-0000-0000-000092380000}"/>
    <cellStyle name="Akcent 3 18" xfId="14642" xr:uid="{00000000-0005-0000-0000-000093380000}"/>
    <cellStyle name="Akcent 3 19" xfId="14643" xr:uid="{00000000-0005-0000-0000-000094380000}"/>
    <cellStyle name="Akcent 3 2" xfId="207" xr:uid="{00000000-0005-0000-0000-000095380000}"/>
    <cellStyle name="Akcent 3 2 10" xfId="14645" xr:uid="{00000000-0005-0000-0000-000096380000}"/>
    <cellStyle name="Akcent 3 2 11" xfId="14646" xr:uid="{00000000-0005-0000-0000-000097380000}"/>
    <cellStyle name="Akcent 3 2 12" xfId="14647" xr:uid="{00000000-0005-0000-0000-000098380000}"/>
    <cellStyle name="Akcent 3 2 13" xfId="14648" xr:uid="{00000000-0005-0000-0000-000099380000}"/>
    <cellStyle name="Akcent 3 2 13 10" xfId="14649" xr:uid="{00000000-0005-0000-0000-00009A380000}"/>
    <cellStyle name="Akcent 3 2 13 11" xfId="14650" xr:uid="{00000000-0005-0000-0000-00009B380000}"/>
    <cellStyle name="Akcent 3 2 13 12" xfId="14651" xr:uid="{00000000-0005-0000-0000-00009C380000}"/>
    <cellStyle name="Akcent 3 2 13 2" xfId="14652" xr:uid="{00000000-0005-0000-0000-00009D380000}"/>
    <cellStyle name="Akcent 3 2 13 2 10" xfId="14653" xr:uid="{00000000-0005-0000-0000-00009E380000}"/>
    <cellStyle name="Akcent 3 2 13 2 11" xfId="14654" xr:uid="{00000000-0005-0000-0000-00009F380000}"/>
    <cellStyle name="Akcent 3 2 13 2 2" xfId="14655" xr:uid="{00000000-0005-0000-0000-0000A0380000}"/>
    <cellStyle name="Akcent 3 2 13 2 2 10" xfId="14656" xr:uid="{00000000-0005-0000-0000-0000A1380000}"/>
    <cellStyle name="Akcent 3 2 13 2 2 11" xfId="14657" xr:uid="{00000000-0005-0000-0000-0000A2380000}"/>
    <cellStyle name="Akcent 3 2 13 2 2 2" xfId="14658" xr:uid="{00000000-0005-0000-0000-0000A3380000}"/>
    <cellStyle name="Akcent 3 2 13 2 2 2 2" xfId="14659" xr:uid="{00000000-0005-0000-0000-0000A4380000}"/>
    <cellStyle name="Akcent 3 2 13 2 2 2 2 2" xfId="14660" xr:uid="{00000000-0005-0000-0000-0000A5380000}"/>
    <cellStyle name="Akcent 3 2 13 2 2 2 2 3" xfId="14661" xr:uid="{00000000-0005-0000-0000-0000A6380000}"/>
    <cellStyle name="Akcent 3 2 13 2 2 2 2 4" xfId="14662" xr:uid="{00000000-0005-0000-0000-0000A7380000}"/>
    <cellStyle name="Akcent 3 2 13 2 2 2 2 5" xfId="14663" xr:uid="{00000000-0005-0000-0000-0000A8380000}"/>
    <cellStyle name="Akcent 3 2 13 2 2 2 2 6" xfId="14664" xr:uid="{00000000-0005-0000-0000-0000A9380000}"/>
    <cellStyle name="Akcent 3 2 13 2 2 2 3" xfId="14665" xr:uid="{00000000-0005-0000-0000-0000AA380000}"/>
    <cellStyle name="Akcent 3 2 13 2 2 2 4" xfId="14666" xr:uid="{00000000-0005-0000-0000-0000AB380000}"/>
    <cellStyle name="Akcent 3 2 13 2 2 2 5" xfId="14667" xr:uid="{00000000-0005-0000-0000-0000AC380000}"/>
    <cellStyle name="Akcent 3 2 13 2 2 2 6" xfId="14668" xr:uid="{00000000-0005-0000-0000-0000AD380000}"/>
    <cellStyle name="Akcent 3 2 13 2 2 2 7" xfId="14669" xr:uid="{00000000-0005-0000-0000-0000AE380000}"/>
    <cellStyle name="Akcent 3 2 13 2 2 3" xfId="14670" xr:uid="{00000000-0005-0000-0000-0000AF380000}"/>
    <cellStyle name="Akcent 3 2 13 2 2 4" xfId="14671" xr:uid="{00000000-0005-0000-0000-0000B0380000}"/>
    <cellStyle name="Akcent 3 2 13 2 2 5" xfId="14672" xr:uid="{00000000-0005-0000-0000-0000B1380000}"/>
    <cellStyle name="Akcent 3 2 13 2 2 6" xfId="14673" xr:uid="{00000000-0005-0000-0000-0000B2380000}"/>
    <cellStyle name="Akcent 3 2 13 2 2 7" xfId="14674" xr:uid="{00000000-0005-0000-0000-0000B3380000}"/>
    <cellStyle name="Akcent 3 2 13 2 2 7 2" xfId="14675" xr:uid="{00000000-0005-0000-0000-0000B4380000}"/>
    <cellStyle name="Akcent 3 2 13 2 2 7 3" xfId="14676" xr:uid="{00000000-0005-0000-0000-0000B5380000}"/>
    <cellStyle name="Akcent 3 2 13 2 2 7 4" xfId="14677" xr:uid="{00000000-0005-0000-0000-0000B6380000}"/>
    <cellStyle name="Akcent 3 2 13 2 2 7 5" xfId="14678" xr:uid="{00000000-0005-0000-0000-0000B7380000}"/>
    <cellStyle name="Akcent 3 2 13 2 2 7 6" xfId="14679" xr:uid="{00000000-0005-0000-0000-0000B8380000}"/>
    <cellStyle name="Akcent 3 2 13 2 2 8" xfId="14680" xr:uid="{00000000-0005-0000-0000-0000B9380000}"/>
    <cellStyle name="Akcent 3 2 13 2 2 9" xfId="14681" xr:uid="{00000000-0005-0000-0000-0000BA380000}"/>
    <cellStyle name="Akcent 3 2 13 2 3" xfId="14682" xr:uid="{00000000-0005-0000-0000-0000BB380000}"/>
    <cellStyle name="Akcent 3 2 13 2 3 2" xfId="14683" xr:uid="{00000000-0005-0000-0000-0000BC380000}"/>
    <cellStyle name="Akcent 3 2 13 2 3 2 2" xfId="14684" xr:uid="{00000000-0005-0000-0000-0000BD380000}"/>
    <cellStyle name="Akcent 3 2 13 2 3 2 3" xfId="14685" xr:uid="{00000000-0005-0000-0000-0000BE380000}"/>
    <cellStyle name="Akcent 3 2 13 2 3 2 4" xfId="14686" xr:uid="{00000000-0005-0000-0000-0000BF380000}"/>
    <cellStyle name="Akcent 3 2 13 2 3 2 5" xfId="14687" xr:uid="{00000000-0005-0000-0000-0000C0380000}"/>
    <cellStyle name="Akcent 3 2 13 2 3 2 6" xfId="14688" xr:uid="{00000000-0005-0000-0000-0000C1380000}"/>
    <cellStyle name="Akcent 3 2 13 2 3 3" xfId="14689" xr:uid="{00000000-0005-0000-0000-0000C2380000}"/>
    <cellStyle name="Akcent 3 2 13 2 3 4" xfId="14690" xr:uid="{00000000-0005-0000-0000-0000C3380000}"/>
    <cellStyle name="Akcent 3 2 13 2 3 5" xfId="14691" xr:uid="{00000000-0005-0000-0000-0000C4380000}"/>
    <cellStyle name="Akcent 3 2 13 2 3 6" xfId="14692" xr:uid="{00000000-0005-0000-0000-0000C5380000}"/>
    <cellStyle name="Akcent 3 2 13 2 3 7" xfId="14693" xr:uid="{00000000-0005-0000-0000-0000C6380000}"/>
    <cellStyle name="Akcent 3 2 13 2 4" xfId="14694" xr:uid="{00000000-0005-0000-0000-0000C7380000}"/>
    <cellStyle name="Akcent 3 2 13 2 5" xfId="14695" xr:uid="{00000000-0005-0000-0000-0000C8380000}"/>
    <cellStyle name="Akcent 3 2 13 2 6" xfId="14696" xr:uid="{00000000-0005-0000-0000-0000C9380000}"/>
    <cellStyle name="Akcent 3 2 13 2 7" xfId="14697" xr:uid="{00000000-0005-0000-0000-0000CA380000}"/>
    <cellStyle name="Akcent 3 2 13 2 7 2" xfId="14698" xr:uid="{00000000-0005-0000-0000-0000CB380000}"/>
    <cellStyle name="Akcent 3 2 13 2 7 3" xfId="14699" xr:uid="{00000000-0005-0000-0000-0000CC380000}"/>
    <cellStyle name="Akcent 3 2 13 2 7 4" xfId="14700" xr:uid="{00000000-0005-0000-0000-0000CD380000}"/>
    <cellStyle name="Akcent 3 2 13 2 7 5" xfId="14701" xr:uid="{00000000-0005-0000-0000-0000CE380000}"/>
    <cellStyle name="Akcent 3 2 13 2 7 6" xfId="14702" xr:uid="{00000000-0005-0000-0000-0000CF380000}"/>
    <cellStyle name="Akcent 3 2 13 2 8" xfId="14703" xr:uid="{00000000-0005-0000-0000-0000D0380000}"/>
    <cellStyle name="Akcent 3 2 13 2 9" xfId="14704" xr:uid="{00000000-0005-0000-0000-0000D1380000}"/>
    <cellStyle name="Akcent 3 2 13 3" xfId="14705" xr:uid="{00000000-0005-0000-0000-0000D2380000}"/>
    <cellStyle name="Akcent 3 2 13 3 2" xfId="14706" xr:uid="{00000000-0005-0000-0000-0000D3380000}"/>
    <cellStyle name="Akcent 3 2 13 3 2 2" xfId="14707" xr:uid="{00000000-0005-0000-0000-0000D4380000}"/>
    <cellStyle name="Akcent 3 2 13 3 2 3" xfId="14708" xr:uid="{00000000-0005-0000-0000-0000D5380000}"/>
    <cellStyle name="Akcent 3 2 13 3 2 4" xfId="14709" xr:uid="{00000000-0005-0000-0000-0000D6380000}"/>
    <cellStyle name="Akcent 3 2 13 3 2 5" xfId="14710" xr:uid="{00000000-0005-0000-0000-0000D7380000}"/>
    <cellStyle name="Akcent 3 2 13 3 2 6" xfId="14711" xr:uid="{00000000-0005-0000-0000-0000D8380000}"/>
    <cellStyle name="Akcent 3 2 13 3 3" xfId="14712" xr:uid="{00000000-0005-0000-0000-0000D9380000}"/>
    <cellStyle name="Akcent 3 2 13 3 4" xfId="14713" xr:uid="{00000000-0005-0000-0000-0000DA380000}"/>
    <cellStyle name="Akcent 3 2 13 3 5" xfId="14714" xr:uid="{00000000-0005-0000-0000-0000DB380000}"/>
    <cellStyle name="Akcent 3 2 13 3 6" xfId="14715" xr:uid="{00000000-0005-0000-0000-0000DC380000}"/>
    <cellStyle name="Akcent 3 2 13 3 7" xfId="14716" xr:uid="{00000000-0005-0000-0000-0000DD380000}"/>
    <cellStyle name="Akcent 3 2 13 4" xfId="14717" xr:uid="{00000000-0005-0000-0000-0000DE380000}"/>
    <cellStyle name="Akcent 3 2 13 5" xfId="14718" xr:uid="{00000000-0005-0000-0000-0000DF380000}"/>
    <cellStyle name="Akcent 3 2 13 6" xfId="14719" xr:uid="{00000000-0005-0000-0000-0000E0380000}"/>
    <cellStyle name="Akcent 3 2 13 7" xfId="14720" xr:uid="{00000000-0005-0000-0000-0000E1380000}"/>
    <cellStyle name="Akcent 3 2 13 8" xfId="14721" xr:uid="{00000000-0005-0000-0000-0000E2380000}"/>
    <cellStyle name="Akcent 3 2 13 8 2" xfId="14722" xr:uid="{00000000-0005-0000-0000-0000E3380000}"/>
    <cellStyle name="Akcent 3 2 13 8 3" xfId="14723" xr:uid="{00000000-0005-0000-0000-0000E4380000}"/>
    <cellStyle name="Akcent 3 2 13 8 4" xfId="14724" xr:uid="{00000000-0005-0000-0000-0000E5380000}"/>
    <cellStyle name="Akcent 3 2 13 8 5" xfId="14725" xr:uid="{00000000-0005-0000-0000-0000E6380000}"/>
    <cellStyle name="Akcent 3 2 13 8 6" xfId="14726" xr:uid="{00000000-0005-0000-0000-0000E7380000}"/>
    <cellStyle name="Akcent 3 2 13 9" xfId="14727" xr:uid="{00000000-0005-0000-0000-0000E8380000}"/>
    <cellStyle name="Akcent 3 2 14" xfId="14728" xr:uid="{00000000-0005-0000-0000-0000E9380000}"/>
    <cellStyle name="Akcent 3 2 14 10" xfId="14729" xr:uid="{00000000-0005-0000-0000-0000EA380000}"/>
    <cellStyle name="Akcent 3 2 14 11" xfId="14730" xr:uid="{00000000-0005-0000-0000-0000EB380000}"/>
    <cellStyle name="Akcent 3 2 14 2" xfId="14731" xr:uid="{00000000-0005-0000-0000-0000EC380000}"/>
    <cellStyle name="Akcent 3 2 14 2 2" xfId="14732" xr:uid="{00000000-0005-0000-0000-0000ED380000}"/>
    <cellStyle name="Akcent 3 2 14 2 2 2" xfId="14733" xr:uid="{00000000-0005-0000-0000-0000EE380000}"/>
    <cellStyle name="Akcent 3 2 14 2 2 3" xfId="14734" xr:uid="{00000000-0005-0000-0000-0000EF380000}"/>
    <cellStyle name="Akcent 3 2 14 2 2 4" xfId="14735" xr:uid="{00000000-0005-0000-0000-0000F0380000}"/>
    <cellStyle name="Akcent 3 2 14 2 2 5" xfId="14736" xr:uid="{00000000-0005-0000-0000-0000F1380000}"/>
    <cellStyle name="Akcent 3 2 14 2 2 6" xfId="14737" xr:uid="{00000000-0005-0000-0000-0000F2380000}"/>
    <cellStyle name="Akcent 3 2 14 2 3" xfId="14738" xr:uid="{00000000-0005-0000-0000-0000F3380000}"/>
    <cellStyle name="Akcent 3 2 14 2 4" xfId="14739" xr:uid="{00000000-0005-0000-0000-0000F4380000}"/>
    <cellStyle name="Akcent 3 2 14 2 5" xfId="14740" xr:uid="{00000000-0005-0000-0000-0000F5380000}"/>
    <cellStyle name="Akcent 3 2 14 2 6" xfId="14741" xr:uid="{00000000-0005-0000-0000-0000F6380000}"/>
    <cellStyle name="Akcent 3 2 14 2 7" xfId="14742" xr:uid="{00000000-0005-0000-0000-0000F7380000}"/>
    <cellStyle name="Akcent 3 2 14 3" xfId="14743" xr:uid="{00000000-0005-0000-0000-0000F8380000}"/>
    <cellStyle name="Akcent 3 2 14 4" xfId="14744" xr:uid="{00000000-0005-0000-0000-0000F9380000}"/>
    <cellStyle name="Akcent 3 2 14 5" xfId="14745" xr:uid="{00000000-0005-0000-0000-0000FA380000}"/>
    <cellStyle name="Akcent 3 2 14 6" xfId="14746" xr:uid="{00000000-0005-0000-0000-0000FB380000}"/>
    <cellStyle name="Akcent 3 2 14 7" xfId="14747" xr:uid="{00000000-0005-0000-0000-0000FC380000}"/>
    <cellStyle name="Akcent 3 2 14 7 2" xfId="14748" xr:uid="{00000000-0005-0000-0000-0000FD380000}"/>
    <cellStyle name="Akcent 3 2 14 7 3" xfId="14749" xr:uid="{00000000-0005-0000-0000-0000FE380000}"/>
    <cellStyle name="Akcent 3 2 14 7 4" xfId="14750" xr:uid="{00000000-0005-0000-0000-0000FF380000}"/>
    <cellStyle name="Akcent 3 2 14 7 5" xfId="14751" xr:uid="{00000000-0005-0000-0000-000000390000}"/>
    <cellStyle name="Akcent 3 2 14 7 6" xfId="14752" xr:uid="{00000000-0005-0000-0000-000001390000}"/>
    <cellStyle name="Akcent 3 2 14 8" xfId="14753" xr:uid="{00000000-0005-0000-0000-000002390000}"/>
    <cellStyle name="Akcent 3 2 14 9" xfId="14754" xr:uid="{00000000-0005-0000-0000-000003390000}"/>
    <cellStyle name="Akcent 3 2 15" xfId="14755" xr:uid="{00000000-0005-0000-0000-000004390000}"/>
    <cellStyle name="Akcent 3 2 15 2" xfId="14756" xr:uid="{00000000-0005-0000-0000-000005390000}"/>
    <cellStyle name="Akcent 3 2 15 2 2" xfId="14757" xr:uid="{00000000-0005-0000-0000-000006390000}"/>
    <cellStyle name="Akcent 3 2 15 2 3" xfId="14758" xr:uid="{00000000-0005-0000-0000-000007390000}"/>
    <cellStyle name="Akcent 3 2 15 2 4" xfId="14759" xr:uid="{00000000-0005-0000-0000-000008390000}"/>
    <cellStyle name="Akcent 3 2 15 2 5" xfId="14760" xr:uid="{00000000-0005-0000-0000-000009390000}"/>
    <cellStyle name="Akcent 3 2 15 2 6" xfId="14761" xr:uid="{00000000-0005-0000-0000-00000A390000}"/>
    <cellStyle name="Akcent 3 2 15 3" xfId="14762" xr:uid="{00000000-0005-0000-0000-00000B390000}"/>
    <cellStyle name="Akcent 3 2 15 4" xfId="14763" xr:uid="{00000000-0005-0000-0000-00000C390000}"/>
    <cellStyle name="Akcent 3 2 15 5" xfId="14764" xr:uid="{00000000-0005-0000-0000-00000D390000}"/>
    <cellStyle name="Akcent 3 2 15 6" xfId="14765" xr:uid="{00000000-0005-0000-0000-00000E390000}"/>
    <cellStyle name="Akcent 3 2 15 7" xfId="14766" xr:uid="{00000000-0005-0000-0000-00000F390000}"/>
    <cellStyle name="Akcent 3 2 16" xfId="14767" xr:uid="{00000000-0005-0000-0000-000010390000}"/>
    <cellStyle name="Akcent 3 2 17" xfId="14768" xr:uid="{00000000-0005-0000-0000-000011390000}"/>
    <cellStyle name="Akcent 3 2 18" xfId="14769" xr:uid="{00000000-0005-0000-0000-000012390000}"/>
    <cellStyle name="Akcent 3 2 19" xfId="14770" xr:uid="{00000000-0005-0000-0000-000013390000}"/>
    <cellStyle name="Akcent 3 2 2" xfId="14771" xr:uid="{00000000-0005-0000-0000-000014390000}"/>
    <cellStyle name="Akcent 3 2 20" xfId="14772" xr:uid="{00000000-0005-0000-0000-000015390000}"/>
    <cellStyle name="Akcent 3 2 21" xfId="14773" xr:uid="{00000000-0005-0000-0000-000016390000}"/>
    <cellStyle name="Akcent 3 2 21 2" xfId="14774" xr:uid="{00000000-0005-0000-0000-000017390000}"/>
    <cellStyle name="Akcent 3 2 21 3" xfId="14775" xr:uid="{00000000-0005-0000-0000-000018390000}"/>
    <cellStyle name="Akcent 3 2 21 4" xfId="14776" xr:uid="{00000000-0005-0000-0000-000019390000}"/>
    <cellStyle name="Akcent 3 2 21 5" xfId="14777" xr:uid="{00000000-0005-0000-0000-00001A390000}"/>
    <cellStyle name="Akcent 3 2 21 6" xfId="14778" xr:uid="{00000000-0005-0000-0000-00001B390000}"/>
    <cellStyle name="Akcent 3 2 22" xfId="14779" xr:uid="{00000000-0005-0000-0000-00001C390000}"/>
    <cellStyle name="Akcent 3 2 23" xfId="14780" xr:uid="{00000000-0005-0000-0000-00001D390000}"/>
    <cellStyle name="Akcent 3 2 24" xfId="14781" xr:uid="{00000000-0005-0000-0000-00001E390000}"/>
    <cellStyle name="Akcent 3 2 25" xfId="14782" xr:uid="{00000000-0005-0000-0000-00001F390000}"/>
    <cellStyle name="Akcent 3 2 26" xfId="14783" xr:uid="{00000000-0005-0000-0000-000020390000}"/>
    <cellStyle name="Akcent 3 2 27" xfId="14784" xr:uid="{00000000-0005-0000-0000-000021390000}"/>
    <cellStyle name="Akcent 3 2 28" xfId="14785" xr:uid="{00000000-0005-0000-0000-000022390000}"/>
    <cellStyle name="Akcent 3 2 29" xfId="14786" xr:uid="{00000000-0005-0000-0000-000023390000}"/>
    <cellStyle name="Akcent 3 2 3" xfId="14787" xr:uid="{00000000-0005-0000-0000-000024390000}"/>
    <cellStyle name="Akcent 3 2 30" xfId="14788" xr:uid="{00000000-0005-0000-0000-000025390000}"/>
    <cellStyle name="Akcent 3 2 31" xfId="14789" xr:uid="{00000000-0005-0000-0000-000026390000}"/>
    <cellStyle name="Akcent 3 2 32" xfId="14644" xr:uid="{00000000-0005-0000-0000-000027390000}"/>
    <cellStyle name="Akcent 3 2 33" xfId="37837" xr:uid="{00000000-0005-0000-0000-000028390000}"/>
    <cellStyle name="Akcent 3 2 4" xfId="14790" xr:uid="{00000000-0005-0000-0000-000029390000}"/>
    <cellStyle name="Akcent 3 2 5" xfId="14791" xr:uid="{00000000-0005-0000-0000-00002A390000}"/>
    <cellStyle name="Akcent 3 2 6" xfId="14792" xr:uid="{00000000-0005-0000-0000-00002B390000}"/>
    <cellStyle name="Akcent 3 2 6 10" xfId="14793" xr:uid="{00000000-0005-0000-0000-00002C390000}"/>
    <cellStyle name="Akcent 3 2 6 11" xfId="14794" xr:uid="{00000000-0005-0000-0000-00002D390000}"/>
    <cellStyle name="Akcent 3 2 6 12" xfId="14795" xr:uid="{00000000-0005-0000-0000-00002E390000}"/>
    <cellStyle name="Akcent 3 2 6 13" xfId="14796" xr:uid="{00000000-0005-0000-0000-00002F390000}"/>
    <cellStyle name="Akcent 3 2 6 2" xfId="14797" xr:uid="{00000000-0005-0000-0000-000030390000}"/>
    <cellStyle name="Akcent 3 2 6 2 10" xfId="14798" xr:uid="{00000000-0005-0000-0000-000031390000}"/>
    <cellStyle name="Akcent 3 2 6 2 11" xfId="14799" xr:uid="{00000000-0005-0000-0000-000032390000}"/>
    <cellStyle name="Akcent 3 2 6 2 12" xfId="14800" xr:uid="{00000000-0005-0000-0000-000033390000}"/>
    <cellStyle name="Akcent 3 2 6 2 2" xfId="14801" xr:uid="{00000000-0005-0000-0000-000034390000}"/>
    <cellStyle name="Akcent 3 2 6 2 2 10" xfId="14802" xr:uid="{00000000-0005-0000-0000-000035390000}"/>
    <cellStyle name="Akcent 3 2 6 2 2 11" xfId="14803" xr:uid="{00000000-0005-0000-0000-000036390000}"/>
    <cellStyle name="Akcent 3 2 6 2 2 2" xfId="14804" xr:uid="{00000000-0005-0000-0000-000037390000}"/>
    <cellStyle name="Akcent 3 2 6 2 2 2 10" xfId="14805" xr:uid="{00000000-0005-0000-0000-000038390000}"/>
    <cellStyle name="Akcent 3 2 6 2 2 2 11" xfId="14806" xr:uid="{00000000-0005-0000-0000-000039390000}"/>
    <cellStyle name="Akcent 3 2 6 2 2 2 2" xfId="14807" xr:uid="{00000000-0005-0000-0000-00003A390000}"/>
    <cellStyle name="Akcent 3 2 6 2 2 2 2 2" xfId="14808" xr:uid="{00000000-0005-0000-0000-00003B390000}"/>
    <cellStyle name="Akcent 3 2 6 2 2 2 2 2 2" xfId="14809" xr:uid="{00000000-0005-0000-0000-00003C390000}"/>
    <cellStyle name="Akcent 3 2 6 2 2 2 2 2 3" xfId="14810" xr:uid="{00000000-0005-0000-0000-00003D390000}"/>
    <cellStyle name="Akcent 3 2 6 2 2 2 2 2 4" xfId="14811" xr:uid="{00000000-0005-0000-0000-00003E390000}"/>
    <cellStyle name="Akcent 3 2 6 2 2 2 2 2 5" xfId="14812" xr:uid="{00000000-0005-0000-0000-00003F390000}"/>
    <cellStyle name="Akcent 3 2 6 2 2 2 2 2 6" xfId="14813" xr:uid="{00000000-0005-0000-0000-000040390000}"/>
    <cellStyle name="Akcent 3 2 6 2 2 2 2 3" xfId="14814" xr:uid="{00000000-0005-0000-0000-000041390000}"/>
    <cellStyle name="Akcent 3 2 6 2 2 2 2 4" xfId="14815" xr:uid="{00000000-0005-0000-0000-000042390000}"/>
    <cellStyle name="Akcent 3 2 6 2 2 2 2 5" xfId="14816" xr:uid="{00000000-0005-0000-0000-000043390000}"/>
    <cellStyle name="Akcent 3 2 6 2 2 2 2 6" xfId="14817" xr:uid="{00000000-0005-0000-0000-000044390000}"/>
    <cellStyle name="Akcent 3 2 6 2 2 2 2 7" xfId="14818" xr:uid="{00000000-0005-0000-0000-000045390000}"/>
    <cellStyle name="Akcent 3 2 6 2 2 2 3" xfId="14819" xr:uid="{00000000-0005-0000-0000-000046390000}"/>
    <cellStyle name="Akcent 3 2 6 2 2 2 4" xfId="14820" xr:uid="{00000000-0005-0000-0000-000047390000}"/>
    <cellStyle name="Akcent 3 2 6 2 2 2 5" xfId="14821" xr:uid="{00000000-0005-0000-0000-000048390000}"/>
    <cellStyle name="Akcent 3 2 6 2 2 2 6" xfId="14822" xr:uid="{00000000-0005-0000-0000-000049390000}"/>
    <cellStyle name="Akcent 3 2 6 2 2 2 7" xfId="14823" xr:uid="{00000000-0005-0000-0000-00004A390000}"/>
    <cellStyle name="Akcent 3 2 6 2 2 2 7 2" xfId="14824" xr:uid="{00000000-0005-0000-0000-00004B390000}"/>
    <cellStyle name="Akcent 3 2 6 2 2 2 7 3" xfId="14825" xr:uid="{00000000-0005-0000-0000-00004C390000}"/>
    <cellStyle name="Akcent 3 2 6 2 2 2 7 4" xfId="14826" xr:uid="{00000000-0005-0000-0000-00004D390000}"/>
    <cellStyle name="Akcent 3 2 6 2 2 2 7 5" xfId="14827" xr:uid="{00000000-0005-0000-0000-00004E390000}"/>
    <cellStyle name="Akcent 3 2 6 2 2 2 7 6" xfId="14828" xr:uid="{00000000-0005-0000-0000-00004F390000}"/>
    <cellStyle name="Akcent 3 2 6 2 2 2 8" xfId="14829" xr:uid="{00000000-0005-0000-0000-000050390000}"/>
    <cellStyle name="Akcent 3 2 6 2 2 2 9" xfId="14830" xr:uid="{00000000-0005-0000-0000-000051390000}"/>
    <cellStyle name="Akcent 3 2 6 2 2 3" xfId="14831" xr:uid="{00000000-0005-0000-0000-000052390000}"/>
    <cellStyle name="Akcent 3 2 6 2 2 3 2" xfId="14832" xr:uid="{00000000-0005-0000-0000-000053390000}"/>
    <cellStyle name="Akcent 3 2 6 2 2 3 2 2" xfId="14833" xr:uid="{00000000-0005-0000-0000-000054390000}"/>
    <cellStyle name="Akcent 3 2 6 2 2 3 2 3" xfId="14834" xr:uid="{00000000-0005-0000-0000-000055390000}"/>
    <cellStyle name="Akcent 3 2 6 2 2 3 2 4" xfId="14835" xr:uid="{00000000-0005-0000-0000-000056390000}"/>
    <cellStyle name="Akcent 3 2 6 2 2 3 2 5" xfId="14836" xr:uid="{00000000-0005-0000-0000-000057390000}"/>
    <cellStyle name="Akcent 3 2 6 2 2 3 2 6" xfId="14837" xr:uid="{00000000-0005-0000-0000-000058390000}"/>
    <cellStyle name="Akcent 3 2 6 2 2 3 3" xfId="14838" xr:uid="{00000000-0005-0000-0000-000059390000}"/>
    <cellStyle name="Akcent 3 2 6 2 2 3 4" xfId="14839" xr:uid="{00000000-0005-0000-0000-00005A390000}"/>
    <cellStyle name="Akcent 3 2 6 2 2 3 5" xfId="14840" xr:uid="{00000000-0005-0000-0000-00005B390000}"/>
    <cellStyle name="Akcent 3 2 6 2 2 3 6" xfId="14841" xr:uid="{00000000-0005-0000-0000-00005C390000}"/>
    <cellStyle name="Akcent 3 2 6 2 2 3 7" xfId="14842" xr:uid="{00000000-0005-0000-0000-00005D390000}"/>
    <cellStyle name="Akcent 3 2 6 2 2 4" xfId="14843" xr:uid="{00000000-0005-0000-0000-00005E390000}"/>
    <cellStyle name="Akcent 3 2 6 2 2 5" xfId="14844" xr:uid="{00000000-0005-0000-0000-00005F390000}"/>
    <cellStyle name="Akcent 3 2 6 2 2 6" xfId="14845" xr:uid="{00000000-0005-0000-0000-000060390000}"/>
    <cellStyle name="Akcent 3 2 6 2 2 7" xfId="14846" xr:uid="{00000000-0005-0000-0000-000061390000}"/>
    <cellStyle name="Akcent 3 2 6 2 2 7 2" xfId="14847" xr:uid="{00000000-0005-0000-0000-000062390000}"/>
    <cellStyle name="Akcent 3 2 6 2 2 7 3" xfId="14848" xr:uid="{00000000-0005-0000-0000-000063390000}"/>
    <cellStyle name="Akcent 3 2 6 2 2 7 4" xfId="14849" xr:uid="{00000000-0005-0000-0000-000064390000}"/>
    <cellStyle name="Akcent 3 2 6 2 2 7 5" xfId="14850" xr:uid="{00000000-0005-0000-0000-000065390000}"/>
    <cellStyle name="Akcent 3 2 6 2 2 7 6" xfId="14851" xr:uid="{00000000-0005-0000-0000-000066390000}"/>
    <cellStyle name="Akcent 3 2 6 2 2 8" xfId="14852" xr:uid="{00000000-0005-0000-0000-000067390000}"/>
    <cellStyle name="Akcent 3 2 6 2 2 9" xfId="14853" xr:uid="{00000000-0005-0000-0000-000068390000}"/>
    <cellStyle name="Akcent 3 2 6 2 3" xfId="14854" xr:uid="{00000000-0005-0000-0000-000069390000}"/>
    <cellStyle name="Akcent 3 2 6 2 3 2" xfId="14855" xr:uid="{00000000-0005-0000-0000-00006A390000}"/>
    <cellStyle name="Akcent 3 2 6 2 3 2 2" xfId="14856" xr:uid="{00000000-0005-0000-0000-00006B390000}"/>
    <cellStyle name="Akcent 3 2 6 2 3 2 3" xfId="14857" xr:uid="{00000000-0005-0000-0000-00006C390000}"/>
    <cellStyle name="Akcent 3 2 6 2 3 2 4" xfId="14858" xr:uid="{00000000-0005-0000-0000-00006D390000}"/>
    <cellStyle name="Akcent 3 2 6 2 3 2 5" xfId="14859" xr:uid="{00000000-0005-0000-0000-00006E390000}"/>
    <cellStyle name="Akcent 3 2 6 2 3 2 6" xfId="14860" xr:uid="{00000000-0005-0000-0000-00006F390000}"/>
    <cellStyle name="Akcent 3 2 6 2 3 3" xfId="14861" xr:uid="{00000000-0005-0000-0000-000070390000}"/>
    <cellStyle name="Akcent 3 2 6 2 3 4" xfId="14862" xr:uid="{00000000-0005-0000-0000-000071390000}"/>
    <cellStyle name="Akcent 3 2 6 2 3 5" xfId="14863" xr:uid="{00000000-0005-0000-0000-000072390000}"/>
    <cellStyle name="Akcent 3 2 6 2 3 6" xfId="14864" xr:uid="{00000000-0005-0000-0000-000073390000}"/>
    <cellStyle name="Akcent 3 2 6 2 3 7" xfId="14865" xr:uid="{00000000-0005-0000-0000-000074390000}"/>
    <cellStyle name="Akcent 3 2 6 2 4" xfId="14866" xr:uid="{00000000-0005-0000-0000-000075390000}"/>
    <cellStyle name="Akcent 3 2 6 2 5" xfId="14867" xr:uid="{00000000-0005-0000-0000-000076390000}"/>
    <cellStyle name="Akcent 3 2 6 2 6" xfId="14868" xr:uid="{00000000-0005-0000-0000-000077390000}"/>
    <cellStyle name="Akcent 3 2 6 2 7" xfId="14869" xr:uid="{00000000-0005-0000-0000-000078390000}"/>
    <cellStyle name="Akcent 3 2 6 2 8" xfId="14870" xr:uid="{00000000-0005-0000-0000-000079390000}"/>
    <cellStyle name="Akcent 3 2 6 2 8 2" xfId="14871" xr:uid="{00000000-0005-0000-0000-00007A390000}"/>
    <cellStyle name="Akcent 3 2 6 2 8 3" xfId="14872" xr:uid="{00000000-0005-0000-0000-00007B390000}"/>
    <cellStyle name="Akcent 3 2 6 2 8 4" xfId="14873" xr:uid="{00000000-0005-0000-0000-00007C390000}"/>
    <cellStyle name="Akcent 3 2 6 2 8 5" xfId="14874" xr:uid="{00000000-0005-0000-0000-00007D390000}"/>
    <cellStyle name="Akcent 3 2 6 2 8 6" xfId="14875" xr:uid="{00000000-0005-0000-0000-00007E390000}"/>
    <cellStyle name="Akcent 3 2 6 2 9" xfId="14876" xr:uid="{00000000-0005-0000-0000-00007F390000}"/>
    <cellStyle name="Akcent 3 2 6 3" xfId="14877" xr:uid="{00000000-0005-0000-0000-000080390000}"/>
    <cellStyle name="Akcent 3 2 6 4" xfId="14878" xr:uid="{00000000-0005-0000-0000-000081390000}"/>
    <cellStyle name="Akcent 3 2 6 4 10" xfId="14879" xr:uid="{00000000-0005-0000-0000-000082390000}"/>
    <cellStyle name="Akcent 3 2 6 4 11" xfId="14880" xr:uid="{00000000-0005-0000-0000-000083390000}"/>
    <cellStyle name="Akcent 3 2 6 4 2" xfId="14881" xr:uid="{00000000-0005-0000-0000-000084390000}"/>
    <cellStyle name="Akcent 3 2 6 4 2 2" xfId="14882" xr:uid="{00000000-0005-0000-0000-000085390000}"/>
    <cellStyle name="Akcent 3 2 6 4 2 2 2" xfId="14883" xr:uid="{00000000-0005-0000-0000-000086390000}"/>
    <cellStyle name="Akcent 3 2 6 4 2 2 3" xfId="14884" xr:uid="{00000000-0005-0000-0000-000087390000}"/>
    <cellStyle name="Akcent 3 2 6 4 2 2 4" xfId="14885" xr:uid="{00000000-0005-0000-0000-000088390000}"/>
    <cellStyle name="Akcent 3 2 6 4 2 2 5" xfId="14886" xr:uid="{00000000-0005-0000-0000-000089390000}"/>
    <cellStyle name="Akcent 3 2 6 4 2 2 6" xfId="14887" xr:uid="{00000000-0005-0000-0000-00008A390000}"/>
    <cellStyle name="Akcent 3 2 6 4 2 3" xfId="14888" xr:uid="{00000000-0005-0000-0000-00008B390000}"/>
    <cellStyle name="Akcent 3 2 6 4 2 4" xfId="14889" xr:uid="{00000000-0005-0000-0000-00008C390000}"/>
    <cellStyle name="Akcent 3 2 6 4 2 5" xfId="14890" xr:uid="{00000000-0005-0000-0000-00008D390000}"/>
    <cellStyle name="Akcent 3 2 6 4 2 6" xfId="14891" xr:uid="{00000000-0005-0000-0000-00008E390000}"/>
    <cellStyle name="Akcent 3 2 6 4 2 7" xfId="14892" xr:uid="{00000000-0005-0000-0000-00008F390000}"/>
    <cellStyle name="Akcent 3 2 6 4 3" xfId="14893" xr:uid="{00000000-0005-0000-0000-000090390000}"/>
    <cellStyle name="Akcent 3 2 6 4 4" xfId="14894" xr:uid="{00000000-0005-0000-0000-000091390000}"/>
    <cellStyle name="Akcent 3 2 6 4 5" xfId="14895" xr:uid="{00000000-0005-0000-0000-000092390000}"/>
    <cellStyle name="Akcent 3 2 6 4 6" xfId="14896" xr:uid="{00000000-0005-0000-0000-000093390000}"/>
    <cellStyle name="Akcent 3 2 6 4 7" xfId="14897" xr:uid="{00000000-0005-0000-0000-000094390000}"/>
    <cellStyle name="Akcent 3 2 6 4 7 2" xfId="14898" xr:uid="{00000000-0005-0000-0000-000095390000}"/>
    <cellStyle name="Akcent 3 2 6 4 7 3" xfId="14899" xr:uid="{00000000-0005-0000-0000-000096390000}"/>
    <cellStyle name="Akcent 3 2 6 4 7 4" xfId="14900" xr:uid="{00000000-0005-0000-0000-000097390000}"/>
    <cellStyle name="Akcent 3 2 6 4 7 5" xfId="14901" xr:uid="{00000000-0005-0000-0000-000098390000}"/>
    <cellStyle name="Akcent 3 2 6 4 7 6" xfId="14902" xr:uid="{00000000-0005-0000-0000-000099390000}"/>
    <cellStyle name="Akcent 3 2 6 4 8" xfId="14903" xr:uid="{00000000-0005-0000-0000-00009A390000}"/>
    <cellStyle name="Akcent 3 2 6 4 9" xfId="14904" xr:uid="{00000000-0005-0000-0000-00009B390000}"/>
    <cellStyle name="Akcent 3 2 6 5" xfId="14905" xr:uid="{00000000-0005-0000-0000-00009C390000}"/>
    <cellStyle name="Akcent 3 2 6 5 2" xfId="14906" xr:uid="{00000000-0005-0000-0000-00009D390000}"/>
    <cellStyle name="Akcent 3 2 6 5 2 2" xfId="14907" xr:uid="{00000000-0005-0000-0000-00009E390000}"/>
    <cellStyle name="Akcent 3 2 6 5 2 3" xfId="14908" xr:uid="{00000000-0005-0000-0000-00009F390000}"/>
    <cellStyle name="Akcent 3 2 6 5 2 4" xfId="14909" xr:uid="{00000000-0005-0000-0000-0000A0390000}"/>
    <cellStyle name="Akcent 3 2 6 5 2 5" xfId="14910" xr:uid="{00000000-0005-0000-0000-0000A1390000}"/>
    <cellStyle name="Akcent 3 2 6 5 2 6" xfId="14911" xr:uid="{00000000-0005-0000-0000-0000A2390000}"/>
    <cellStyle name="Akcent 3 2 6 5 3" xfId="14912" xr:uid="{00000000-0005-0000-0000-0000A3390000}"/>
    <cellStyle name="Akcent 3 2 6 5 4" xfId="14913" xr:uid="{00000000-0005-0000-0000-0000A4390000}"/>
    <cellStyle name="Akcent 3 2 6 5 5" xfId="14914" xr:uid="{00000000-0005-0000-0000-0000A5390000}"/>
    <cellStyle name="Akcent 3 2 6 5 6" xfId="14915" xr:uid="{00000000-0005-0000-0000-0000A6390000}"/>
    <cellStyle name="Akcent 3 2 6 5 7" xfId="14916" xr:uid="{00000000-0005-0000-0000-0000A7390000}"/>
    <cellStyle name="Akcent 3 2 6 6" xfId="14917" xr:uid="{00000000-0005-0000-0000-0000A8390000}"/>
    <cellStyle name="Akcent 3 2 6 7" xfId="14918" xr:uid="{00000000-0005-0000-0000-0000A9390000}"/>
    <cellStyle name="Akcent 3 2 6 8" xfId="14919" xr:uid="{00000000-0005-0000-0000-0000AA390000}"/>
    <cellStyle name="Akcent 3 2 6 9" xfId="14920" xr:uid="{00000000-0005-0000-0000-0000AB390000}"/>
    <cellStyle name="Akcent 3 2 6 9 2" xfId="14921" xr:uid="{00000000-0005-0000-0000-0000AC390000}"/>
    <cellStyle name="Akcent 3 2 6 9 3" xfId="14922" xr:uid="{00000000-0005-0000-0000-0000AD390000}"/>
    <cellStyle name="Akcent 3 2 6 9 4" xfId="14923" xr:uid="{00000000-0005-0000-0000-0000AE390000}"/>
    <cellStyle name="Akcent 3 2 6 9 5" xfId="14924" xr:uid="{00000000-0005-0000-0000-0000AF390000}"/>
    <cellStyle name="Akcent 3 2 6 9 6" xfId="14925" xr:uid="{00000000-0005-0000-0000-0000B0390000}"/>
    <cellStyle name="Akcent 3 2 7" xfId="14926" xr:uid="{00000000-0005-0000-0000-0000B1390000}"/>
    <cellStyle name="Akcent 3 2 8" xfId="14927" xr:uid="{00000000-0005-0000-0000-0000B2390000}"/>
    <cellStyle name="Akcent 3 2 9" xfId="14928" xr:uid="{00000000-0005-0000-0000-0000B3390000}"/>
    <cellStyle name="Akcent 3 3" xfId="208" xr:uid="{00000000-0005-0000-0000-0000B4390000}"/>
    <cellStyle name="Akcent 3 3 2" xfId="14930" xr:uid="{00000000-0005-0000-0000-0000B5390000}"/>
    <cellStyle name="Akcent 3 3 3" xfId="14931" xr:uid="{00000000-0005-0000-0000-0000B6390000}"/>
    <cellStyle name="Akcent 3 3 4" xfId="14932" xr:uid="{00000000-0005-0000-0000-0000B7390000}"/>
    <cellStyle name="Akcent 3 3 5" xfId="14929" xr:uid="{00000000-0005-0000-0000-0000B8390000}"/>
    <cellStyle name="Akcent 3 4" xfId="209" xr:uid="{00000000-0005-0000-0000-0000B9390000}"/>
    <cellStyle name="Akcent 3 4 2" xfId="14934" xr:uid="{00000000-0005-0000-0000-0000BA390000}"/>
    <cellStyle name="Akcent 3 4 3" xfId="14935" xr:uid="{00000000-0005-0000-0000-0000BB390000}"/>
    <cellStyle name="Akcent 3 4 4" xfId="14936" xr:uid="{00000000-0005-0000-0000-0000BC390000}"/>
    <cellStyle name="Akcent 3 4 5" xfId="14933" xr:uid="{00000000-0005-0000-0000-0000BD390000}"/>
    <cellStyle name="Akcent 3 5" xfId="210" xr:uid="{00000000-0005-0000-0000-0000BE390000}"/>
    <cellStyle name="Akcent 3 5 2" xfId="14938" xr:uid="{00000000-0005-0000-0000-0000BF390000}"/>
    <cellStyle name="Akcent 3 5 3" xfId="14939" xr:uid="{00000000-0005-0000-0000-0000C0390000}"/>
    <cellStyle name="Akcent 3 5 4" xfId="14940" xr:uid="{00000000-0005-0000-0000-0000C1390000}"/>
    <cellStyle name="Akcent 3 5 5" xfId="14937" xr:uid="{00000000-0005-0000-0000-0000C2390000}"/>
    <cellStyle name="Akcent 3 6" xfId="211" xr:uid="{00000000-0005-0000-0000-0000C3390000}"/>
    <cellStyle name="Akcent 3 6 2" xfId="14942" xr:uid="{00000000-0005-0000-0000-0000C4390000}"/>
    <cellStyle name="Akcent 3 6 3" xfId="14943" xr:uid="{00000000-0005-0000-0000-0000C5390000}"/>
    <cellStyle name="Akcent 3 6 4" xfId="14944" xr:uid="{00000000-0005-0000-0000-0000C6390000}"/>
    <cellStyle name="Akcent 3 6 5" xfId="14941" xr:uid="{00000000-0005-0000-0000-0000C7390000}"/>
    <cellStyle name="Akcent 3 7" xfId="212" xr:uid="{00000000-0005-0000-0000-0000C8390000}"/>
    <cellStyle name="Akcent 3 7 2" xfId="14946" xr:uid="{00000000-0005-0000-0000-0000C9390000}"/>
    <cellStyle name="Akcent 3 7 3" xfId="14947" xr:uid="{00000000-0005-0000-0000-0000CA390000}"/>
    <cellStyle name="Akcent 3 7 4" xfId="14948" xr:uid="{00000000-0005-0000-0000-0000CB390000}"/>
    <cellStyle name="Akcent 3 7 5" xfId="14945" xr:uid="{00000000-0005-0000-0000-0000CC390000}"/>
    <cellStyle name="Akcent 3 8" xfId="14949" xr:uid="{00000000-0005-0000-0000-0000CD390000}"/>
    <cellStyle name="Akcent 3 8 2" xfId="14950" xr:uid="{00000000-0005-0000-0000-0000CE390000}"/>
    <cellStyle name="Akcent 3 8 3" xfId="14951" xr:uid="{00000000-0005-0000-0000-0000CF390000}"/>
    <cellStyle name="Akcent 3 8 4" xfId="14952" xr:uid="{00000000-0005-0000-0000-0000D0390000}"/>
    <cellStyle name="Akcent 3 9" xfId="14953" xr:uid="{00000000-0005-0000-0000-0000D1390000}"/>
    <cellStyle name="Akcent 4 1" xfId="14954" xr:uid="{00000000-0005-0000-0000-0000D2390000}"/>
    <cellStyle name="Akcent 4 10" xfId="14955" xr:uid="{00000000-0005-0000-0000-0000D3390000}"/>
    <cellStyle name="Akcent 4 11" xfId="14956" xr:uid="{00000000-0005-0000-0000-0000D4390000}"/>
    <cellStyle name="Akcent 4 12" xfId="14957" xr:uid="{00000000-0005-0000-0000-0000D5390000}"/>
    <cellStyle name="Akcent 4 13" xfId="14958" xr:uid="{00000000-0005-0000-0000-0000D6390000}"/>
    <cellStyle name="Akcent 4 14" xfId="14959" xr:uid="{00000000-0005-0000-0000-0000D7390000}"/>
    <cellStyle name="Akcent 4 15" xfId="14960" xr:uid="{00000000-0005-0000-0000-0000D8390000}"/>
    <cellStyle name="Akcent 4 16" xfId="14961" xr:uid="{00000000-0005-0000-0000-0000D9390000}"/>
    <cellStyle name="Akcent 4 17" xfId="14962" xr:uid="{00000000-0005-0000-0000-0000DA390000}"/>
    <cellStyle name="Akcent 4 18" xfId="14963" xr:uid="{00000000-0005-0000-0000-0000DB390000}"/>
    <cellStyle name="Akcent 4 19" xfId="14964" xr:uid="{00000000-0005-0000-0000-0000DC390000}"/>
    <cellStyle name="Akcent 4 2" xfId="213" xr:uid="{00000000-0005-0000-0000-0000DD390000}"/>
    <cellStyle name="Akcent 4 2 10" xfId="14966" xr:uid="{00000000-0005-0000-0000-0000DE390000}"/>
    <cellStyle name="Akcent 4 2 11" xfId="14967" xr:uid="{00000000-0005-0000-0000-0000DF390000}"/>
    <cellStyle name="Akcent 4 2 12" xfId="14968" xr:uid="{00000000-0005-0000-0000-0000E0390000}"/>
    <cellStyle name="Akcent 4 2 13" xfId="14969" xr:uid="{00000000-0005-0000-0000-0000E1390000}"/>
    <cellStyle name="Akcent 4 2 13 10" xfId="14970" xr:uid="{00000000-0005-0000-0000-0000E2390000}"/>
    <cellStyle name="Akcent 4 2 13 11" xfId="14971" xr:uid="{00000000-0005-0000-0000-0000E3390000}"/>
    <cellStyle name="Akcent 4 2 13 12" xfId="14972" xr:uid="{00000000-0005-0000-0000-0000E4390000}"/>
    <cellStyle name="Akcent 4 2 13 2" xfId="14973" xr:uid="{00000000-0005-0000-0000-0000E5390000}"/>
    <cellStyle name="Akcent 4 2 13 2 10" xfId="14974" xr:uid="{00000000-0005-0000-0000-0000E6390000}"/>
    <cellStyle name="Akcent 4 2 13 2 11" xfId="14975" xr:uid="{00000000-0005-0000-0000-0000E7390000}"/>
    <cellStyle name="Akcent 4 2 13 2 2" xfId="14976" xr:uid="{00000000-0005-0000-0000-0000E8390000}"/>
    <cellStyle name="Akcent 4 2 13 2 2 10" xfId="14977" xr:uid="{00000000-0005-0000-0000-0000E9390000}"/>
    <cellStyle name="Akcent 4 2 13 2 2 11" xfId="14978" xr:uid="{00000000-0005-0000-0000-0000EA390000}"/>
    <cellStyle name="Akcent 4 2 13 2 2 2" xfId="14979" xr:uid="{00000000-0005-0000-0000-0000EB390000}"/>
    <cellStyle name="Akcent 4 2 13 2 2 2 2" xfId="14980" xr:uid="{00000000-0005-0000-0000-0000EC390000}"/>
    <cellStyle name="Akcent 4 2 13 2 2 2 2 2" xfId="14981" xr:uid="{00000000-0005-0000-0000-0000ED390000}"/>
    <cellStyle name="Akcent 4 2 13 2 2 2 2 3" xfId="14982" xr:uid="{00000000-0005-0000-0000-0000EE390000}"/>
    <cellStyle name="Akcent 4 2 13 2 2 2 2 4" xfId="14983" xr:uid="{00000000-0005-0000-0000-0000EF390000}"/>
    <cellStyle name="Akcent 4 2 13 2 2 2 2 5" xfId="14984" xr:uid="{00000000-0005-0000-0000-0000F0390000}"/>
    <cellStyle name="Akcent 4 2 13 2 2 2 2 6" xfId="14985" xr:uid="{00000000-0005-0000-0000-0000F1390000}"/>
    <cellStyle name="Akcent 4 2 13 2 2 2 3" xfId="14986" xr:uid="{00000000-0005-0000-0000-0000F2390000}"/>
    <cellStyle name="Akcent 4 2 13 2 2 2 4" xfId="14987" xr:uid="{00000000-0005-0000-0000-0000F3390000}"/>
    <cellStyle name="Akcent 4 2 13 2 2 2 5" xfId="14988" xr:uid="{00000000-0005-0000-0000-0000F4390000}"/>
    <cellStyle name="Akcent 4 2 13 2 2 2 6" xfId="14989" xr:uid="{00000000-0005-0000-0000-0000F5390000}"/>
    <cellStyle name="Akcent 4 2 13 2 2 2 7" xfId="14990" xr:uid="{00000000-0005-0000-0000-0000F6390000}"/>
    <cellStyle name="Akcent 4 2 13 2 2 3" xfId="14991" xr:uid="{00000000-0005-0000-0000-0000F7390000}"/>
    <cellStyle name="Akcent 4 2 13 2 2 4" xfId="14992" xr:uid="{00000000-0005-0000-0000-0000F8390000}"/>
    <cellStyle name="Akcent 4 2 13 2 2 5" xfId="14993" xr:uid="{00000000-0005-0000-0000-0000F9390000}"/>
    <cellStyle name="Akcent 4 2 13 2 2 6" xfId="14994" xr:uid="{00000000-0005-0000-0000-0000FA390000}"/>
    <cellStyle name="Akcent 4 2 13 2 2 7" xfId="14995" xr:uid="{00000000-0005-0000-0000-0000FB390000}"/>
    <cellStyle name="Akcent 4 2 13 2 2 7 2" xfId="14996" xr:uid="{00000000-0005-0000-0000-0000FC390000}"/>
    <cellStyle name="Akcent 4 2 13 2 2 7 3" xfId="14997" xr:uid="{00000000-0005-0000-0000-0000FD390000}"/>
    <cellStyle name="Akcent 4 2 13 2 2 7 4" xfId="14998" xr:uid="{00000000-0005-0000-0000-0000FE390000}"/>
    <cellStyle name="Akcent 4 2 13 2 2 7 5" xfId="14999" xr:uid="{00000000-0005-0000-0000-0000FF390000}"/>
    <cellStyle name="Akcent 4 2 13 2 2 7 6" xfId="15000" xr:uid="{00000000-0005-0000-0000-0000003A0000}"/>
    <cellStyle name="Akcent 4 2 13 2 2 8" xfId="15001" xr:uid="{00000000-0005-0000-0000-0000013A0000}"/>
    <cellStyle name="Akcent 4 2 13 2 2 9" xfId="15002" xr:uid="{00000000-0005-0000-0000-0000023A0000}"/>
    <cellStyle name="Akcent 4 2 13 2 3" xfId="15003" xr:uid="{00000000-0005-0000-0000-0000033A0000}"/>
    <cellStyle name="Akcent 4 2 13 2 3 2" xfId="15004" xr:uid="{00000000-0005-0000-0000-0000043A0000}"/>
    <cellStyle name="Akcent 4 2 13 2 3 2 2" xfId="15005" xr:uid="{00000000-0005-0000-0000-0000053A0000}"/>
    <cellStyle name="Akcent 4 2 13 2 3 2 3" xfId="15006" xr:uid="{00000000-0005-0000-0000-0000063A0000}"/>
    <cellStyle name="Akcent 4 2 13 2 3 2 4" xfId="15007" xr:uid="{00000000-0005-0000-0000-0000073A0000}"/>
    <cellStyle name="Akcent 4 2 13 2 3 2 5" xfId="15008" xr:uid="{00000000-0005-0000-0000-0000083A0000}"/>
    <cellStyle name="Akcent 4 2 13 2 3 2 6" xfId="15009" xr:uid="{00000000-0005-0000-0000-0000093A0000}"/>
    <cellStyle name="Akcent 4 2 13 2 3 3" xfId="15010" xr:uid="{00000000-0005-0000-0000-00000A3A0000}"/>
    <cellStyle name="Akcent 4 2 13 2 3 4" xfId="15011" xr:uid="{00000000-0005-0000-0000-00000B3A0000}"/>
    <cellStyle name="Akcent 4 2 13 2 3 5" xfId="15012" xr:uid="{00000000-0005-0000-0000-00000C3A0000}"/>
    <cellStyle name="Akcent 4 2 13 2 3 6" xfId="15013" xr:uid="{00000000-0005-0000-0000-00000D3A0000}"/>
    <cellStyle name="Akcent 4 2 13 2 3 7" xfId="15014" xr:uid="{00000000-0005-0000-0000-00000E3A0000}"/>
    <cellStyle name="Akcent 4 2 13 2 4" xfId="15015" xr:uid="{00000000-0005-0000-0000-00000F3A0000}"/>
    <cellStyle name="Akcent 4 2 13 2 5" xfId="15016" xr:uid="{00000000-0005-0000-0000-0000103A0000}"/>
    <cellStyle name="Akcent 4 2 13 2 6" xfId="15017" xr:uid="{00000000-0005-0000-0000-0000113A0000}"/>
    <cellStyle name="Akcent 4 2 13 2 7" xfId="15018" xr:uid="{00000000-0005-0000-0000-0000123A0000}"/>
    <cellStyle name="Akcent 4 2 13 2 7 2" xfId="15019" xr:uid="{00000000-0005-0000-0000-0000133A0000}"/>
    <cellStyle name="Akcent 4 2 13 2 7 3" xfId="15020" xr:uid="{00000000-0005-0000-0000-0000143A0000}"/>
    <cellStyle name="Akcent 4 2 13 2 7 4" xfId="15021" xr:uid="{00000000-0005-0000-0000-0000153A0000}"/>
    <cellStyle name="Akcent 4 2 13 2 7 5" xfId="15022" xr:uid="{00000000-0005-0000-0000-0000163A0000}"/>
    <cellStyle name="Akcent 4 2 13 2 7 6" xfId="15023" xr:uid="{00000000-0005-0000-0000-0000173A0000}"/>
    <cellStyle name="Akcent 4 2 13 2 8" xfId="15024" xr:uid="{00000000-0005-0000-0000-0000183A0000}"/>
    <cellStyle name="Akcent 4 2 13 2 9" xfId="15025" xr:uid="{00000000-0005-0000-0000-0000193A0000}"/>
    <cellStyle name="Akcent 4 2 13 3" xfId="15026" xr:uid="{00000000-0005-0000-0000-00001A3A0000}"/>
    <cellStyle name="Akcent 4 2 13 3 2" xfId="15027" xr:uid="{00000000-0005-0000-0000-00001B3A0000}"/>
    <cellStyle name="Akcent 4 2 13 3 2 2" xfId="15028" xr:uid="{00000000-0005-0000-0000-00001C3A0000}"/>
    <cellStyle name="Akcent 4 2 13 3 2 3" xfId="15029" xr:uid="{00000000-0005-0000-0000-00001D3A0000}"/>
    <cellStyle name="Akcent 4 2 13 3 2 4" xfId="15030" xr:uid="{00000000-0005-0000-0000-00001E3A0000}"/>
    <cellStyle name="Akcent 4 2 13 3 2 5" xfId="15031" xr:uid="{00000000-0005-0000-0000-00001F3A0000}"/>
    <cellStyle name="Akcent 4 2 13 3 2 6" xfId="15032" xr:uid="{00000000-0005-0000-0000-0000203A0000}"/>
    <cellStyle name="Akcent 4 2 13 3 3" xfId="15033" xr:uid="{00000000-0005-0000-0000-0000213A0000}"/>
    <cellStyle name="Akcent 4 2 13 3 4" xfId="15034" xr:uid="{00000000-0005-0000-0000-0000223A0000}"/>
    <cellStyle name="Akcent 4 2 13 3 5" xfId="15035" xr:uid="{00000000-0005-0000-0000-0000233A0000}"/>
    <cellStyle name="Akcent 4 2 13 3 6" xfId="15036" xr:uid="{00000000-0005-0000-0000-0000243A0000}"/>
    <cellStyle name="Akcent 4 2 13 3 7" xfId="15037" xr:uid="{00000000-0005-0000-0000-0000253A0000}"/>
    <cellStyle name="Akcent 4 2 13 4" xfId="15038" xr:uid="{00000000-0005-0000-0000-0000263A0000}"/>
    <cellStyle name="Akcent 4 2 13 5" xfId="15039" xr:uid="{00000000-0005-0000-0000-0000273A0000}"/>
    <cellStyle name="Akcent 4 2 13 6" xfId="15040" xr:uid="{00000000-0005-0000-0000-0000283A0000}"/>
    <cellStyle name="Akcent 4 2 13 7" xfId="15041" xr:uid="{00000000-0005-0000-0000-0000293A0000}"/>
    <cellStyle name="Akcent 4 2 13 8" xfId="15042" xr:uid="{00000000-0005-0000-0000-00002A3A0000}"/>
    <cellStyle name="Akcent 4 2 13 8 2" xfId="15043" xr:uid="{00000000-0005-0000-0000-00002B3A0000}"/>
    <cellStyle name="Akcent 4 2 13 8 3" xfId="15044" xr:uid="{00000000-0005-0000-0000-00002C3A0000}"/>
    <cellStyle name="Akcent 4 2 13 8 4" xfId="15045" xr:uid="{00000000-0005-0000-0000-00002D3A0000}"/>
    <cellStyle name="Akcent 4 2 13 8 5" xfId="15046" xr:uid="{00000000-0005-0000-0000-00002E3A0000}"/>
    <cellStyle name="Akcent 4 2 13 8 6" xfId="15047" xr:uid="{00000000-0005-0000-0000-00002F3A0000}"/>
    <cellStyle name="Akcent 4 2 13 9" xfId="15048" xr:uid="{00000000-0005-0000-0000-0000303A0000}"/>
    <cellStyle name="Akcent 4 2 14" xfId="15049" xr:uid="{00000000-0005-0000-0000-0000313A0000}"/>
    <cellStyle name="Akcent 4 2 14 10" xfId="15050" xr:uid="{00000000-0005-0000-0000-0000323A0000}"/>
    <cellStyle name="Akcent 4 2 14 11" xfId="15051" xr:uid="{00000000-0005-0000-0000-0000333A0000}"/>
    <cellStyle name="Akcent 4 2 14 2" xfId="15052" xr:uid="{00000000-0005-0000-0000-0000343A0000}"/>
    <cellStyle name="Akcent 4 2 14 2 2" xfId="15053" xr:uid="{00000000-0005-0000-0000-0000353A0000}"/>
    <cellStyle name="Akcent 4 2 14 2 2 2" xfId="15054" xr:uid="{00000000-0005-0000-0000-0000363A0000}"/>
    <cellStyle name="Akcent 4 2 14 2 2 3" xfId="15055" xr:uid="{00000000-0005-0000-0000-0000373A0000}"/>
    <cellStyle name="Akcent 4 2 14 2 2 4" xfId="15056" xr:uid="{00000000-0005-0000-0000-0000383A0000}"/>
    <cellStyle name="Akcent 4 2 14 2 2 5" xfId="15057" xr:uid="{00000000-0005-0000-0000-0000393A0000}"/>
    <cellStyle name="Akcent 4 2 14 2 2 6" xfId="15058" xr:uid="{00000000-0005-0000-0000-00003A3A0000}"/>
    <cellStyle name="Akcent 4 2 14 2 3" xfId="15059" xr:uid="{00000000-0005-0000-0000-00003B3A0000}"/>
    <cellStyle name="Akcent 4 2 14 2 4" xfId="15060" xr:uid="{00000000-0005-0000-0000-00003C3A0000}"/>
    <cellStyle name="Akcent 4 2 14 2 5" xfId="15061" xr:uid="{00000000-0005-0000-0000-00003D3A0000}"/>
    <cellStyle name="Akcent 4 2 14 2 6" xfId="15062" xr:uid="{00000000-0005-0000-0000-00003E3A0000}"/>
    <cellStyle name="Akcent 4 2 14 2 7" xfId="15063" xr:uid="{00000000-0005-0000-0000-00003F3A0000}"/>
    <cellStyle name="Akcent 4 2 14 3" xfId="15064" xr:uid="{00000000-0005-0000-0000-0000403A0000}"/>
    <cellStyle name="Akcent 4 2 14 4" xfId="15065" xr:uid="{00000000-0005-0000-0000-0000413A0000}"/>
    <cellStyle name="Akcent 4 2 14 5" xfId="15066" xr:uid="{00000000-0005-0000-0000-0000423A0000}"/>
    <cellStyle name="Akcent 4 2 14 6" xfId="15067" xr:uid="{00000000-0005-0000-0000-0000433A0000}"/>
    <cellStyle name="Akcent 4 2 14 7" xfId="15068" xr:uid="{00000000-0005-0000-0000-0000443A0000}"/>
    <cellStyle name="Akcent 4 2 14 7 2" xfId="15069" xr:uid="{00000000-0005-0000-0000-0000453A0000}"/>
    <cellStyle name="Akcent 4 2 14 7 3" xfId="15070" xr:uid="{00000000-0005-0000-0000-0000463A0000}"/>
    <cellStyle name="Akcent 4 2 14 7 4" xfId="15071" xr:uid="{00000000-0005-0000-0000-0000473A0000}"/>
    <cellStyle name="Akcent 4 2 14 7 5" xfId="15072" xr:uid="{00000000-0005-0000-0000-0000483A0000}"/>
    <cellStyle name="Akcent 4 2 14 7 6" xfId="15073" xr:uid="{00000000-0005-0000-0000-0000493A0000}"/>
    <cellStyle name="Akcent 4 2 14 8" xfId="15074" xr:uid="{00000000-0005-0000-0000-00004A3A0000}"/>
    <cellStyle name="Akcent 4 2 14 9" xfId="15075" xr:uid="{00000000-0005-0000-0000-00004B3A0000}"/>
    <cellStyle name="Akcent 4 2 15" xfId="15076" xr:uid="{00000000-0005-0000-0000-00004C3A0000}"/>
    <cellStyle name="Akcent 4 2 15 2" xfId="15077" xr:uid="{00000000-0005-0000-0000-00004D3A0000}"/>
    <cellStyle name="Akcent 4 2 15 2 2" xfId="15078" xr:uid="{00000000-0005-0000-0000-00004E3A0000}"/>
    <cellStyle name="Akcent 4 2 15 2 3" xfId="15079" xr:uid="{00000000-0005-0000-0000-00004F3A0000}"/>
    <cellStyle name="Akcent 4 2 15 2 4" xfId="15080" xr:uid="{00000000-0005-0000-0000-0000503A0000}"/>
    <cellStyle name="Akcent 4 2 15 2 5" xfId="15081" xr:uid="{00000000-0005-0000-0000-0000513A0000}"/>
    <cellStyle name="Akcent 4 2 15 2 6" xfId="15082" xr:uid="{00000000-0005-0000-0000-0000523A0000}"/>
    <cellStyle name="Akcent 4 2 15 3" xfId="15083" xr:uid="{00000000-0005-0000-0000-0000533A0000}"/>
    <cellStyle name="Akcent 4 2 15 4" xfId="15084" xr:uid="{00000000-0005-0000-0000-0000543A0000}"/>
    <cellStyle name="Akcent 4 2 15 5" xfId="15085" xr:uid="{00000000-0005-0000-0000-0000553A0000}"/>
    <cellStyle name="Akcent 4 2 15 6" xfId="15086" xr:uid="{00000000-0005-0000-0000-0000563A0000}"/>
    <cellStyle name="Akcent 4 2 15 7" xfId="15087" xr:uid="{00000000-0005-0000-0000-0000573A0000}"/>
    <cellStyle name="Akcent 4 2 16" xfId="15088" xr:uid="{00000000-0005-0000-0000-0000583A0000}"/>
    <cellStyle name="Akcent 4 2 17" xfId="15089" xr:uid="{00000000-0005-0000-0000-0000593A0000}"/>
    <cellStyle name="Akcent 4 2 18" xfId="15090" xr:uid="{00000000-0005-0000-0000-00005A3A0000}"/>
    <cellStyle name="Akcent 4 2 19" xfId="15091" xr:uid="{00000000-0005-0000-0000-00005B3A0000}"/>
    <cellStyle name="Akcent 4 2 2" xfId="15092" xr:uid="{00000000-0005-0000-0000-00005C3A0000}"/>
    <cellStyle name="Akcent 4 2 2 10" xfId="15093" xr:uid="{00000000-0005-0000-0000-00005D3A0000}"/>
    <cellStyle name="Akcent 4 2 2 10 10" xfId="15094" xr:uid="{00000000-0005-0000-0000-00005E3A0000}"/>
    <cellStyle name="Akcent 4 2 2 10 11" xfId="15095" xr:uid="{00000000-0005-0000-0000-00005F3A0000}"/>
    <cellStyle name="Akcent 4 2 2 10 12" xfId="15096" xr:uid="{00000000-0005-0000-0000-0000603A0000}"/>
    <cellStyle name="Akcent 4 2 2 10 2" xfId="15097" xr:uid="{00000000-0005-0000-0000-0000613A0000}"/>
    <cellStyle name="Akcent 4 2 2 10 2 10" xfId="15098" xr:uid="{00000000-0005-0000-0000-0000623A0000}"/>
    <cellStyle name="Akcent 4 2 2 10 2 11" xfId="15099" xr:uid="{00000000-0005-0000-0000-0000633A0000}"/>
    <cellStyle name="Akcent 4 2 2 10 2 2" xfId="15100" xr:uid="{00000000-0005-0000-0000-0000643A0000}"/>
    <cellStyle name="Akcent 4 2 2 10 2 2 10" xfId="15101" xr:uid="{00000000-0005-0000-0000-0000653A0000}"/>
    <cellStyle name="Akcent 4 2 2 10 2 2 11" xfId="15102" xr:uid="{00000000-0005-0000-0000-0000663A0000}"/>
    <cellStyle name="Akcent 4 2 2 10 2 2 2" xfId="15103" xr:uid="{00000000-0005-0000-0000-0000673A0000}"/>
    <cellStyle name="Akcent 4 2 2 10 2 2 2 2" xfId="15104" xr:uid="{00000000-0005-0000-0000-0000683A0000}"/>
    <cellStyle name="Akcent 4 2 2 10 2 2 2 2 2" xfId="15105" xr:uid="{00000000-0005-0000-0000-0000693A0000}"/>
    <cellStyle name="Akcent 4 2 2 10 2 2 2 2 3" xfId="15106" xr:uid="{00000000-0005-0000-0000-00006A3A0000}"/>
    <cellStyle name="Akcent 4 2 2 10 2 2 2 2 4" xfId="15107" xr:uid="{00000000-0005-0000-0000-00006B3A0000}"/>
    <cellStyle name="Akcent 4 2 2 10 2 2 2 2 5" xfId="15108" xr:uid="{00000000-0005-0000-0000-00006C3A0000}"/>
    <cellStyle name="Akcent 4 2 2 10 2 2 2 2 6" xfId="15109" xr:uid="{00000000-0005-0000-0000-00006D3A0000}"/>
    <cellStyle name="Akcent 4 2 2 10 2 2 2 3" xfId="15110" xr:uid="{00000000-0005-0000-0000-00006E3A0000}"/>
    <cellStyle name="Akcent 4 2 2 10 2 2 2 4" xfId="15111" xr:uid="{00000000-0005-0000-0000-00006F3A0000}"/>
    <cellStyle name="Akcent 4 2 2 10 2 2 2 5" xfId="15112" xr:uid="{00000000-0005-0000-0000-0000703A0000}"/>
    <cellStyle name="Akcent 4 2 2 10 2 2 2 6" xfId="15113" xr:uid="{00000000-0005-0000-0000-0000713A0000}"/>
    <cellStyle name="Akcent 4 2 2 10 2 2 2 7" xfId="15114" xr:uid="{00000000-0005-0000-0000-0000723A0000}"/>
    <cellStyle name="Akcent 4 2 2 10 2 2 3" xfId="15115" xr:uid="{00000000-0005-0000-0000-0000733A0000}"/>
    <cellStyle name="Akcent 4 2 2 10 2 2 4" xfId="15116" xr:uid="{00000000-0005-0000-0000-0000743A0000}"/>
    <cellStyle name="Akcent 4 2 2 10 2 2 5" xfId="15117" xr:uid="{00000000-0005-0000-0000-0000753A0000}"/>
    <cellStyle name="Akcent 4 2 2 10 2 2 6" xfId="15118" xr:uid="{00000000-0005-0000-0000-0000763A0000}"/>
    <cellStyle name="Akcent 4 2 2 10 2 2 7" xfId="15119" xr:uid="{00000000-0005-0000-0000-0000773A0000}"/>
    <cellStyle name="Akcent 4 2 2 10 2 2 7 2" xfId="15120" xr:uid="{00000000-0005-0000-0000-0000783A0000}"/>
    <cellStyle name="Akcent 4 2 2 10 2 2 7 3" xfId="15121" xr:uid="{00000000-0005-0000-0000-0000793A0000}"/>
    <cellStyle name="Akcent 4 2 2 10 2 2 7 4" xfId="15122" xr:uid="{00000000-0005-0000-0000-00007A3A0000}"/>
    <cellStyle name="Akcent 4 2 2 10 2 2 7 5" xfId="15123" xr:uid="{00000000-0005-0000-0000-00007B3A0000}"/>
    <cellStyle name="Akcent 4 2 2 10 2 2 7 6" xfId="15124" xr:uid="{00000000-0005-0000-0000-00007C3A0000}"/>
    <cellStyle name="Akcent 4 2 2 10 2 2 8" xfId="15125" xr:uid="{00000000-0005-0000-0000-00007D3A0000}"/>
    <cellStyle name="Akcent 4 2 2 10 2 2 9" xfId="15126" xr:uid="{00000000-0005-0000-0000-00007E3A0000}"/>
    <cellStyle name="Akcent 4 2 2 10 2 3" xfId="15127" xr:uid="{00000000-0005-0000-0000-00007F3A0000}"/>
    <cellStyle name="Akcent 4 2 2 10 2 3 2" xfId="15128" xr:uid="{00000000-0005-0000-0000-0000803A0000}"/>
    <cellStyle name="Akcent 4 2 2 10 2 3 2 2" xfId="15129" xr:uid="{00000000-0005-0000-0000-0000813A0000}"/>
    <cellStyle name="Akcent 4 2 2 10 2 3 2 3" xfId="15130" xr:uid="{00000000-0005-0000-0000-0000823A0000}"/>
    <cellStyle name="Akcent 4 2 2 10 2 3 2 4" xfId="15131" xr:uid="{00000000-0005-0000-0000-0000833A0000}"/>
    <cellStyle name="Akcent 4 2 2 10 2 3 2 5" xfId="15132" xr:uid="{00000000-0005-0000-0000-0000843A0000}"/>
    <cellStyle name="Akcent 4 2 2 10 2 3 2 6" xfId="15133" xr:uid="{00000000-0005-0000-0000-0000853A0000}"/>
    <cellStyle name="Akcent 4 2 2 10 2 3 3" xfId="15134" xr:uid="{00000000-0005-0000-0000-0000863A0000}"/>
    <cellStyle name="Akcent 4 2 2 10 2 3 4" xfId="15135" xr:uid="{00000000-0005-0000-0000-0000873A0000}"/>
    <cellStyle name="Akcent 4 2 2 10 2 3 5" xfId="15136" xr:uid="{00000000-0005-0000-0000-0000883A0000}"/>
    <cellStyle name="Akcent 4 2 2 10 2 3 6" xfId="15137" xr:uid="{00000000-0005-0000-0000-0000893A0000}"/>
    <cellStyle name="Akcent 4 2 2 10 2 3 7" xfId="15138" xr:uid="{00000000-0005-0000-0000-00008A3A0000}"/>
    <cellStyle name="Akcent 4 2 2 10 2 4" xfId="15139" xr:uid="{00000000-0005-0000-0000-00008B3A0000}"/>
    <cellStyle name="Akcent 4 2 2 10 2 5" xfId="15140" xr:uid="{00000000-0005-0000-0000-00008C3A0000}"/>
    <cellStyle name="Akcent 4 2 2 10 2 6" xfId="15141" xr:uid="{00000000-0005-0000-0000-00008D3A0000}"/>
    <cellStyle name="Akcent 4 2 2 10 2 7" xfId="15142" xr:uid="{00000000-0005-0000-0000-00008E3A0000}"/>
    <cellStyle name="Akcent 4 2 2 10 2 7 2" xfId="15143" xr:uid="{00000000-0005-0000-0000-00008F3A0000}"/>
    <cellStyle name="Akcent 4 2 2 10 2 7 3" xfId="15144" xr:uid="{00000000-0005-0000-0000-0000903A0000}"/>
    <cellStyle name="Akcent 4 2 2 10 2 7 4" xfId="15145" xr:uid="{00000000-0005-0000-0000-0000913A0000}"/>
    <cellStyle name="Akcent 4 2 2 10 2 7 5" xfId="15146" xr:uid="{00000000-0005-0000-0000-0000923A0000}"/>
    <cellStyle name="Akcent 4 2 2 10 2 7 6" xfId="15147" xr:uid="{00000000-0005-0000-0000-0000933A0000}"/>
    <cellStyle name="Akcent 4 2 2 10 2 8" xfId="15148" xr:uid="{00000000-0005-0000-0000-0000943A0000}"/>
    <cellStyle name="Akcent 4 2 2 10 2 9" xfId="15149" xr:uid="{00000000-0005-0000-0000-0000953A0000}"/>
    <cellStyle name="Akcent 4 2 2 10 3" xfId="15150" xr:uid="{00000000-0005-0000-0000-0000963A0000}"/>
    <cellStyle name="Akcent 4 2 2 10 3 2" xfId="15151" xr:uid="{00000000-0005-0000-0000-0000973A0000}"/>
    <cellStyle name="Akcent 4 2 2 10 3 2 2" xfId="15152" xr:uid="{00000000-0005-0000-0000-0000983A0000}"/>
    <cellStyle name="Akcent 4 2 2 10 3 2 3" xfId="15153" xr:uid="{00000000-0005-0000-0000-0000993A0000}"/>
    <cellStyle name="Akcent 4 2 2 10 3 2 4" xfId="15154" xr:uid="{00000000-0005-0000-0000-00009A3A0000}"/>
    <cellStyle name="Akcent 4 2 2 10 3 2 5" xfId="15155" xr:uid="{00000000-0005-0000-0000-00009B3A0000}"/>
    <cellStyle name="Akcent 4 2 2 10 3 2 6" xfId="15156" xr:uid="{00000000-0005-0000-0000-00009C3A0000}"/>
    <cellStyle name="Akcent 4 2 2 10 3 3" xfId="15157" xr:uid="{00000000-0005-0000-0000-00009D3A0000}"/>
    <cellStyle name="Akcent 4 2 2 10 3 4" xfId="15158" xr:uid="{00000000-0005-0000-0000-00009E3A0000}"/>
    <cellStyle name="Akcent 4 2 2 10 3 5" xfId="15159" xr:uid="{00000000-0005-0000-0000-00009F3A0000}"/>
    <cellStyle name="Akcent 4 2 2 10 3 6" xfId="15160" xr:uid="{00000000-0005-0000-0000-0000A03A0000}"/>
    <cellStyle name="Akcent 4 2 2 10 3 7" xfId="15161" xr:uid="{00000000-0005-0000-0000-0000A13A0000}"/>
    <cellStyle name="Akcent 4 2 2 10 4" xfId="15162" xr:uid="{00000000-0005-0000-0000-0000A23A0000}"/>
    <cellStyle name="Akcent 4 2 2 10 5" xfId="15163" xr:uid="{00000000-0005-0000-0000-0000A33A0000}"/>
    <cellStyle name="Akcent 4 2 2 10 6" xfId="15164" xr:uid="{00000000-0005-0000-0000-0000A43A0000}"/>
    <cellStyle name="Akcent 4 2 2 10 7" xfId="15165" xr:uid="{00000000-0005-0000-0000-0000A53A0000}"/>
    <cellStyle name="Akcent 4 2 2 10 8" xfId="15166" xr:uid="{00000000-0005-0000-0000-0000A63A0000}"/>
    <cellStyle name="Akcent 4 2 2 10 8 2" xfId="15167" xr:uid="{00000000-0005-0000-0000-0000A73A0000}"/>
    <cellStyle name="Akcent 4 2 2 10 8 3" xfId="15168" xr:uid="{00000000-0005-0000-0000-0000A83A0000}"/>
    <cellStyle name="Akcent 4 2 2 10 8 4" xfId="15169" xr:uid="{00000000-0005-0000-0000-0000A93A0000}"/>
    <cellStyle name="Akcent 4 2 2 10 8 5" xfId="15170" xr:uid="{00000000-0005-0000-0000-0000AA3A0000}"/>
    <cellStyle name="Akcent 4 2 2 10 8 6" xfId="15171" xr:uid="{00000000-0005-0000-0000-0000AB3A0000}"/>
    <cellStyle name="Akcent 4 2 2 10 9" xfId="15172" xr:uid="{00000000-0005-0000-0000-0000AC3A0000}"/>
    <cellStyle name="Akcent 4 2 2 11" xfId="15173" xr:uid="{00000000-0005-0000-0000-0000AD3A0000}"/>
    <cellStyle name="Akcent 4 2 2 11 10" xfId="15174" xr:uid="{00000000-0005-0000-0000-0000AE3A0000}"/>
    <cellStyle name="Akcent 4 2 2 11 11" xfId="15175" xr:uid="{00000000-0005-0000-0000-0000AF3A0000}"/>
    <cellStyle name="Akcent 4 2 2 11 2" xfId="15176" xr:uid="{00000000-0005-0000-0000-0000B03A0000}"/>
    <cellStyle name="Akcent 4 2 2 11 2 2" xfId="15177" xr:uid="{00000000-0005-0000-0000-0000B13A0000}"/>
    <cellStyle name="Akcent 4 2 2 11 2 2 2" xfId="15178" xr:uid="{00000000-0005-0000-0000-0000B23A0000}"/>
    <cellStyle name="Akcent 4 2 2 11 2 2 3" xfId="15179" xr:uid="{00000000-0005-0000-0000-0000B33A0000}"/>
    <cellStyle name="Akcent 4 2 2 11 2 2 4" xfId="15180" xr:uid="{00000000-0005-0000-0000-0000B43A0000}"/>
    <cellStyle name="Akcent 4 2 2 11 2 2 5" xfId="15181" xr:uid="{00000000-0005-0000-0000-0000B53A0000}"/>
    <cellStyle name="Akcent 4 2 2 11 2 2 6" xfId="15182" xr:uid="{00000000-0005-0000-0000-0000B63A0000}"/>
    <cellStyle name="Akcent 4 2 2 11 2 3" xfId="15183" xr:uid="{00000000-0005-0000-0000-0000B73A0000}"/>
    <cellStyle name="Akcent 4 2 2 11 2 4" xfId="15184" xr:uid="{00000000-0005-0000-0000-0000B83A0000}"/>
    <cellStyle name="Akcent 4 2 2 11 2 5" xfId="15185" xr:uid="{00000000-0005-0000-0000-0000B93A0000}"/>
    <cellStyle name="Akcent 4 2 2 11 2 6" xfId="15186" xr:uid="{00000000-0005-0000-0000-0000BA3A0000}"/>
    <cellStyle name="Akcent 4 2 2 11 2 7" xfId="15187" xr:uid="{00000000-0005-0000-0000-0000BB3A0000}"/>
    <cellStyle name="Akcent 4 2 2 11 3" xfId="15188" xr:uid="{00000000-0005-0000-0000-0000BC3A0000}"/>
    <cellStyle name="Akcent 4 2 2 11 4" xfId="15189" xr:uid="{00000000-0005-0000-0000-0000BD3A0000}"/>
    <cellStyle name="Akcent 4 2 2 11 5" xfId="15190" xr:uid="{00000000-0005-0000-0000-0000BE3A0000}"/>
    <cellStyle name="Akcent 4 2 2 11 6" xfId="15191" xr:uid="{00000000-0005-0000-0000-0000BF3A0000}"/>
    <cellStyle name="Akcent 4 2 2 11 7" xfId="15192" xr:uid="{00000000-0005-0000-0000-0000C03A0000}"/>
    <cellStyle name="Akcent 4 2 2 11 7 2" xfId="15193" xr:uid="{00000000-0005-0000-0000-0000C13A0000}"/>
    <cellStyle name="Akcent 4 2 2 11 7 3" xfId="15194" xr:uid="{00000000-0005-0000-0000-0000C23A0000}"/>
    <cellStyle name="Akcent 4 2 2 11 7 4" xfId="15195" xr:uid="{00000000-0005-0000-0000-0000C33A0000}"/>
    <cellStyle name="Akcent 4 2 2 11 7 5" xfId="15196" xr:uid="{00000000-0005-0000-0000-0000C43A0000}"/>
    <cellStyle name="Akcent 4 2 2 11 7 6" xfId="15197" xr:uid="{00000000-0005-0000-0000-0000C53A0000}"/>
    <cellStyle name="Akcent 4 2 2 11 8" xfId="15198" xr:uid="{00000000-0005-0000-0000-0000C63A0000}"/>
    <cellStyle name="Akcent 4 2 2 11 9" xfId="15199" xr:uid="{00000000-0005-0000-0000-0000C73A0000}"/>
    <cellStyle name="Akcent 4 2 2 12" xfId="15200" xr:uid="{00000000-0005-0000-0000-0000C83A0000}"/>
    <cellStyle name="Akcent 4 2 2 12 2" xfId="15201" xr:uid="{00000000-0005-0000-0000-0000C93A0000}"/>
    <cellStyle name="Akcent 4 2 2 12 2 2" xfId="15202" xr:uid="{00000000-0005-0000-0000-0000CA3A0000}"/>
    <cellStyle name="Akcent 4 2 2 12 2 3" xfId="15203" xr:uid="{00000000-0005-0000-0000-0000CB3A0000}"/>
    <cellStyle name="Akcent 4 2 2 12 2 4" xfId="15204" xr:uid="{00000000-0005-0000-0000-0000CC3A0000}"/>
    <cellStyle name="Akcent 4 2 2 12 2 5" xfId="15205" xr:uid="{00000000-0005-0000-0000-0000CD3A0000}"/>
    <cellStyle name="Akcent 4 2 2 12 2 6" xfId="15206" xr:uid="{00000000-0005-0000-0000-0000CE3A0000}"/>
    <cellStyle name="Akcent 4 2 2 12 3" xfId="15207" xr:uid="{00000000-0005-0000-0000-0000CF3A0000}"/>
    <cellStyle name="Akcent 4 2 2 12 4" xfId="15208" xr:uid="{00000000-0005-0000-0000-0000D03A0000}"/>
    <cellStyle name="Akcent 4 2 2 12 5" xfId="15209" xr:uid="{00000000-0005-0000-0000-0000D13A0000}"/>
    <cellStyle name="Akcent 4 2 2 12 6" xfId="15210" xr:uid="{00000000-0005-0000-0000-0000D23A0000}"/>
    <cellStyle name="Akcent 4 2 2 12 7" xfId="15211" xr:uid="{00000000-0005-0000-0000-0000D33A0000}"/>
    <cellStyle name="Akcent 4 2 2 13" xfId="15212" xr:uid="{00000000-0005-0000-0000-0000D43A0000}"/>
    <cellStyle name="Akcent 4 2 2 14" xfId="15213" xr:uid="{00000000-0005-0000-0000-0000D53A0000}"/>
    <cellStyle name="Akcent 4 2 2 15" xfId="15214" xr:uid="{00000000-0005-0000-0000-0000D63A0000}"/>
    <cellStyle name="Akcent 4 2 2 16" xfId="15215" xr:uid="{00000000-0005-0000-0000-0000D73A0000}"/>
    <cellStyle name="Akcent 4 2 2 17" xfId="15216" xr:uid="{00000000-0005-0000-0000-0000D83A0000}"/>
    <cellStyle name="Akcent 4 2 2 18" xfId="15217" xr:uid="{00000000-0005-0000-0000-0000D93A0000}"/>
    <cellStyle name="Akcent 4 2 2 18 2" xfId="15218" xr:uid="{00000000-0005-0000-0000-0000DA3A0000}"/>
    <cellStyle name="Akcent 4 2 2 18 3" xfId="15219" xr:uid="{00000000-0005-0000-0000-0000DB3A0000}"/>
    <cellStyle name="Akcent 4 2 2 18 4" xfId="15220" xr:uid="{00000000-0005-0000-0000-0000DC3A0000}"/>
    <cellStyle name="Akcent 4 2 2 18 5" xfId="15221" xr:uid="{00000000-0005-0000-0000-0000DD3A0000}"/>
    <cellStyle name="Akcent 4 2 2 18 6" xfId="15222" xr:uid="{00000000-0005-0000-0000-0000DE3A0000}"/>
    <cellStyle name="Akcent 4 2 2 19" xfId="15223" xr:uid="{00000000-0005-0000-0000-0000DF3A0000}"/>
    <cellStyle name="Akcent 4 2 2 2" xfId="15224" xr:uid="{00000000-0005-0000-0000-0000E03A0000}"/>
    <cellStyle name="Akcent 4 2 2 2 10" xfId="15225" xr:uid="{00000000-0005-0000-0000-0000E13A0000}"/>
    <cellStyle name="Akcent 4 2 2 2 11" xfId="15226" xr:uid="{00000000-0005-0000-0000-0000E23A0000}"/>
    <cellStyle name="Akcent 4 2 2 2 2" xfId="15227" xr:uid="{00000000-0005-0000-0000-0000E33A0000}"/>
    <cellStyle name="Akcent 4 2 2 2 2 10" xfId="15228" xr:uid="{00000000-0005-0000-0000-0000E43A0000}"/>
    <cellStyle name="Akcent 4 2 2 2 2 2" xfId="15229" xr:uid="{00000000-0005-0000-0000-0000E53A0000}"/>
    <cellStyle name="Akcent 4 2 2 2 2 2 2" xfId="15230" xr:uid="{00000000-0005-0000-0000-0000E63A0000}"/>
    <cellStyle name="Akcent 4 2 2 2 2 2 2 2" xfId="15231" xr:uid="{00000000-0005-0000-0000-0000E73A0000}"/>
    <cellStyle name="Akcent 4 2 2 2 2 2 2 2 2" xfId="15232" xr:uid="{00000000-0005-0000-0000-0000E83A0000}"/>
    <cellStyle name="Akcent 4 2 2 2 2 2 2 2 2 2" xfId="15233" xr:uid="{00000000-0005-0000-0000-0000E93A0000}"/>
    <cellStyle name="Akcent 4 2 2 2 2 2 2 2 2 3" xfId="15234" xr:uid="{00000000-0005-0000-0000-0000EA3A0000}"/>
    <cellStyle name="Akcent 4 2 2 2 2 2 2 2 2 4" xfId="15235" xr:uid="{00000000-0005-0000-0000-0000EB3A0000}"/>
    <cellStyle name="Akcent 4 2 2 2 2 2 2 2 3" xfId="15236" xr:uid="{00000000-0005-0000-0000-0000EC3A0000}"/>
    <cellStyle name="Akcent 4 2 2 2 2 2 2 2 4" xfId="15237" xr:uid="{00000000-0005-0000-0000-0000ED3A0000}"/>
    <cellStyle name="Akcent 4 2 2 2 2 2 2 2 5" xfId="15238" xr:uid="{00000000-0005-0000-0000-0000EE3A0000}"/>
    <cellStyle name="Akcent 4 2 2 2 2 2 2 3" xfId="15239" xr:uid="{00000000-0005-0000-0000-0000EF3A0000}"/>
    <cellStyle name="Akcent 4 2 2 2 2 2 2 4" xfId="15240" xr:uid="{00000000-0005-0000-0000-0000F03A0000}"/>
    <cellStyle name="Akcent 4 2 2 2 2 2 2 5" xfId="15241" xr:uid="{00000000-0005-0000-0000-0000F13A0000}"/>
    <cellStyle name="Akcent 4 2 2 2 2 2 2 6" xfId="15242" xr:uid="{00000000-0005-0000-0000-0000F23A0000}"/>
    <cellStyle name="Akcent 4 2 2 2 2 2 2 7" xfId="15243" xr:uid="{00000000-0005-0000-0000-0000F33A0000}"/>
    <cellStyle name="Akcent 4 2 2 2 2 2 2 7 2" xfId="15244" xr:uid="{00000000-0005-0000-0000-0000F43A0000}"/>
    <cellStyle name="Akcent 4 2 2 2 2 2 2 7 3" xfId="15245" xr:uid="{00000000-0005-0000-0000-0000F53A0000}"/>
    <cellStyle name="Akcent 4 2 2 2 2 2 2 7 4" xfId="15246" xr:uid="{00000000-0005-0000-0000-0000F63A0000}"/>
    <cellStyle name="Akcent 4 2 2 2 2 2 2 7 5" xfId="15247" xr:uid="{00000000-0005-0000-0000-0000F73A0000}"/>
    <cellStyle name="Akcent 4 2 2 2 2 2 2 7 6" xfId="15248" xr:uid="{00000000-0005-0000-0000-0000F83A0000}"/>
    <cellStyle name="Akcent 4 2 2 2 2 2 2 8" xfId="15249" xr:uid="{00000000-0005-0000-0000-0000F93A0000}"/>
    <cellStyle name="Akcent 4 2 2 2 2 2 2 9" xfId="15250" xr:uid="{00000000-0005-0000-0000-0000FA3A0000}"/>
    <cellStyle name="Akcent 4 2 2 2 2 2 3" xfId="15251" xr:uid="{00000000-0005-0000-0000-0000FB3A0000}"/>
    <cellStyle name="Akcent 4 2 2 2 2 2 3 2" xfId="15252" xr:uid="{00000000-0005-0000-0000-0000FC3A0000}"/>
    <cellStyle name="Akcent 4 2 2 2 2 2 3 2 2" xfId="15253" xr:uid="{00000000-0005-0000-0000-0000FD3A0000}"/>
    <cellStyle name="Akcent 4 2 2 2 2 2 3 2 3" xfId="15254" xr:uid="{00000000-0005-0000-0000-0000FE3A0000}"/>
    <cellStyle name="Akcent 4 2 2 2 2 2 3 2 4" xfId="15255" xr:uid="{00000000-0005-0000-0000-0000FF3A0000}"/>
    <cellStyle name="Akcent 4 2 2 2 2 2 3 2 5" xfId="15256" xr:uid="{00000000-0005-0000-0000-0000003B0000}"/>
    <cellStyle name="Akcent 4 2 2 2 2 2 3 2 6" xfId="15257" xr:uid="{00000000-0005-0000-0000-0000013B0000}"/>
    <cellStyle name="Akcent 4 2 2 2 2 2 3 3" xfId="15258" xr:uid="{00000000-0005-0000-0000-0000023B0000}"/>
    <cellStyle name="Akcent 4 2 2 2 2 2 3 4" xfId="15259" xr:uid="{00000000-0005-0000-0000-0000033B0000}"/>
    <cellStyle name="Akcent 4 2 2 2 2 2 3 5" xfId="15260" xr:uid="{00000000-0005-0000-0000-0000043B0000}"/>
    <cellStyle name="Akcent 4 2 2 2 2 2 3 6" xfId="15261" xr:uid="{00000000-0005-0000-0000-0000053B0000}"/>
    <cellStyle name="Akcent 4 2 2 2 2 2 3 7" xfId="15262" xr:uid="{00000000-0005-0000-0000-0000063B0000}"/>
    <cellStyle name="Akcent 4 2 2 2 2 2 4" xfId="15263" xr:uid="{00000000-0005-0000-0000-0000073B0000}"/>
    <cellStyle name="Akcent 4 2 2 2 2 2 5" xfId="15264" xr:uid="{00000000-0005-0000-0000-0000083B0000}"/>
    <cellStyle name="Akcent 4 2 2 2 2 2 6" xfId="15265" xr:uid="{00000000-0005-0000-0000-0000093B0000}"/>
    <cellStyle name="Akcent 4 2 2 2 2 2 7" xfId="15266" xr:uid="{00000000-0005-0000-0000-00000A3B0000}"/>
    <cellStyle name="Akcent 4 2 2 2 2 2 7 2" xfId="15267" xr:uid="{00000000-0005-0000-0000-00000B3B0000}"/>
    <cellStyle name="Akcent 4 2 2 2 2 2 7 3" xfId="15268" xr:uid="{00000000-0005-0000-0000-00000C3B0000}"/>
    <cellStyle name="Akcent 4 2 2 2 2 2 7 4" xfId="15269" xr:uid="{00000000-0005-0000-0000-00000D3B0000}"/>
    <cellStyle name="Akcent 4 2 2 2 2 2 7 5" xfId="15270" xr:uid="{00000000-0005-0000-0000-00000E3B0000}"/>
    <cellStyle name="Akcent 4 2 2 2 2 2 7 6" xfId="15271" xr:uid="{00000000-0005-0000-0000-00000F3B0000}"/>
    <cellStyle name="Akcent 4 2 2 2 2 2 8" xfId="15272" xr:uid="{00000000-0005-0000-0000-0000103B0000}"/>
    <cellStyle name="Akcent 4 2 2 2 2 2 9" xfId="15273" xr:uid="{00000000-0005-0000-0000-0000113B0000}"/>
    <cellStyle name="Akcent 4 2 2 2 2 3" xfId="15274" xr:uid="{00000000-0005-0000-0000-0000123B0000}"/>
    <cellStyle name="Akcent 4 2 2 2 2 3 2" xfId="15275" xr:uid="{00000000-0005-0000-0000-0000133B0000}"/>
    <cellStyle name="Akcent 4 2 2 2 2 3 2 2" xfId="15276" xr:uid="{00000000-0005-0000-0000-0000143B0000}"/>
    <cellStyle name="Akcent 4 2 2 2 2 3 2 3" xfId="15277" xr:uid="{00000000-0005-0000-0000-0000153B0000}"/>
    <cellStyle name="Akcent 4 2 2 2 2 3 2 4" xfId="15278" xr:uid="{00000000-0005-0000-0000-0000163B0000}"/>
    <cellStyle name="Akcent 4 2 2 2 2 3 2 5" xfId="15279" xr:uid="{00000000-0005-0000-0000-0000173B0000}"/>
    <cellStyle name="Akcent 4 2 2 2 2 3 2 6" xfId="15280" xr:uid="{00000000-0005-0000-0000-0000183B0000}"/>
    <cellStyle name="Akcent 4 2 2 2 2 3 3" xfId="15281" xr:uid="{00000000-0005-0000-0000-0000193B0000}"/>
    <cellStyle name="Akcent 4 2 2 2 2 3 4" xfId="15282" xr:uid="{00000000-0005-0000-0000-00001A3B0000}"/>
    <cellStyle name="Akcent 4 2 2 2 2 3 5" xfId="15283" xr:uid="{00000000-0005-0000-0000-00001B3B0000}"/>
    <cellStyle name="Akcent 4 2 2 2 2 3 6" xfId="15284" xr:uid="{00000000-0005-0000-0000-00001C3B0000}"/>
    <cellStyle name="Akcent 4 2 2 2 2 3 7" xfId="15285" xr:uid="{00000000-0005-0000-0000-00001D3B0000}"/>
    <cellStyle name="Akcent 4 2 2 2 2 4" xfId="15286" xr:uid="{00000000-0005-0000-0000-00001E3B0000}"/>
    <cellStyle name="Akcent 4 2 2 2 2 5" xfId="15287" xr:uid="{00000000-0005-0000-0000-00001F3B0000}"/>
    <cellStyle name="Akcent 4 2 2 2 2 6" xfId="15288" xr:uid="{00000000-0005-0000-0000-0000203B0000}"/>
    <cellStyle name="Akcent 4 2 2 2 2 7" xfId="15289" xr:uid="{00000000-0005-0000-0000-0000213B0000}"/>
    <cellStyle name="Akcent 4 2 2 2 2 8" xfId="15290" xr:uid="{00000000-0005-0000-0000-0000223B0000}"/>
    <cellStyle name="Akcent 4 2 2 2 2 8 2" xfId="15291" xr:uid="{00000000-0005-0000-0000-0000233B0000}"/>
    <cellStyle name="Akcent 4 2 2 2 2 8 3" xfId="15292" xr:uid="{00000000-0005-0000-0000-0000243B0000}"/>
    <cellStyle name="Akcent 4 2 2 2 2 8 4" xfId="15293" xr:uid="{00000000-0005-0000-0000-0000253B0000}"/>
    <cellStyle name="Akcent 4 2 2 2 2 8 5" xfId="15294" xr:uid="{00000000-0005-0000-0000-0000263B0000}"/>
    <cellStyle name="Akcent 4 2 2 2 2 8 6" xfId="15295" xr:uid="{00000000-0005-0000-0000-0000273B0000}"/>
    <cellStyle name="Akcent 4 2 2 2 2 9" xfId="15296" xr:uid="{00000000-0005-0000-0000-0000283B0000}"/>
    <cellStyle name="Akcent 4 2 2 2 3" xfId="15297" xr:uid="{00000000-0005-0000-0000-0000293B0000}"/>
    <cellStyle name="Akcent 4 2 2 2 4" xfId="15298" xr:uid="{00000000-0005-0000-0000-00002A3B0000}"/>
    <cellStyle name="Akcent 4 2 2 2 4 10" xfId="15299" xr:uid="{00000000-0005-0000-0000-00002B3B0000}"/>
    <cellStyle name="Akcent 4 2 2 2 4 11" xfId="15300" xr:uid="{00000000-0005-0000-0000-00002C3B0000}"/>
    <cellStyle name="Akcent 4 2 2 2 4 2" xfId="15301" xr:uid="{00000000-0005-0000-0000-00002D3B0000}"/>
    <cellStyle name="Akcent 4 2 2 2 4 2 2" xfId="15302" xr:uid="{00000000-0005-0000-0000-00002E3B0000}"/>
    <cellStyle name="Akcent 4 2 2 2 4 2 2 2" xfId="15303" xr:uid="{00000000-0005-0000-0000-00002F3B0000}"/>
    <cellStyle name="Akcent 4 2 2 2 4 2 2 3" xfId="15304" xr:uid="{00000000-0005-0000-0000-0000303B0000}"/>
    <cellStyle name="Akcent 4 2 2 2 4 2 2 4" xfId="15305" xr:uid="{00000000-0005-0000-0000-0000313B0000}"/>
    <cellStyle name="Akcent 4 2 2 2 4 2 2 5" xfId="15306" xr:uid="{00000000-0005-0000-0000-0000323B0000}"/>
    <cellStyle name="Akcent 4 2 2 2 4 2 2 6" xfId="15307" xr:uid="{00000000-0005-0000-0000-0000333B0000}"/>
    <cellStyle name="Akcent 4 2 2 2 4 2 3" xfId="15308" xr:uid="{00000000-0005-0000-0000-0000343B0000}"/>
    <cellStyle name="Akcent 4 2 2 2 4 2 4" xfId="15309" xr:uid="{00000000-0005-0000-0000-0000353B0000}"/>
    <cellStyle name="Akcent 4 2 2 2 4 2 5" xfId="15310" xr:uid="{00000000-0005-0000-0000-0000363B0000}"/>
    <cellStyle name="Akcent 4 2 2 2 4 2 6" xfId="15311" xr:uid="{00000000-0005-0000-0000-0000373B0000}"/>
    <cellStyle name="Akcent 4 2 2 2 4 2 7" xfId="15312" xr:uid="{00000000-0005-0000-0000-0000383B0000}"/>
    <cellStyle name="Akcent 4 2 2 2 4 3" xfId="15313" xr:uid="{00000000-0005-0000-0000-0000393B0000}"/>
    <cellStyle name="Akcent 4 2 2 2 4 4" xfId="15314" xr:uid="{00000000-0005-0000-0000-00003A3B0000}"/>
    <cellStyle name="Akcent 4 2 2 2 4 5" xfId="15315" xr:uid="{00000000-0005-0000-0000-00003B3B0000}"/>
    <cellStyle name="Akcent 4 2 2 2 4 6" xfId="15316" xr:uid="{00000000-0005-0000-0000-00003C3B0000}"/>
    <cellStyle name="Akcent 4 2 2 2 4 7" xfId="15317" xr:uid="{00000000-0005-0000-0000-00003D3B0000}"/>
    <cellStyle name="Akcent 4 2 2 2 4 7 2" xfId="15318" xr:uid="{00000000-0005-0000-0000-00003E3B0000}"/>
    <cellStyle name="Akcent 4 2 2 2 4 7 3" xfId="15319" xr:uid="{00000000-0005-0000-0000-00003F3B0000}"/>
    <cellStyle name="Akcent 4 2 2 2 4 7 4" xfId="15320" xr:uid="{00000000-0005-0000-0000-0000403B0000}"/>
    <cellStyle name="Akcent 4 2 2 2 4 7 5" xfId="15321" xr:uid="{00000000-0005-0000-0000-0000413B0000}"/>
    <cellStyle name="Akcent 4 2 2 2 4 7 6" xfId="15322" xr:uid="{00000000-0005-0000-0000-0000423B0000}"/>
    <cellStyle name="Akcent 4 2 2 2 4 8" xfId="15323" xr:uid="{00000000-0005-0000-0000-0000433B0000}"/>
    <cellStyle name="Akcent 4 2 2 2 4 9" xfId="15324" xr:uid="{00000000-0005-0000-0000-0000443B0000}"/>
    <cellStyle name="Akcent 4 2 2 2 5" xfId="15325" xr:uid="{00000000-0005-0000-0000-0000453B0000}"/>
    <cellStyle name="Akcent 4 2 2 2 5 2" xfId="15326" xr:uid="{00000000-0005-0000-0000-0000463B0000}"/>
    <cellStyle name="Akcent 4 2 2 2 5 2 2" xfId="15327" xr:uid="{00000000-0005-0000-0000-0000473B0000}"/>
    <cellStyle name="Akcent 4 2 2 2 5 2 3" xfId="15328" xr:uid="{00000000-0005-0000-0000-0000483B0000}"/>
    <cellStyle name="Akcent 4 2 2 2 5 2 4" xfId="15329" xr:uid="{00000000-0005-0000-0000-0000493B0000}"/>
    <cellStyle name="Akcent 4 2 2 2 5 2 5" xfId="15330" xr:uid="{00000000-0005-0000-0000-00004A3B0000}"/>
    <cellStyle name="Akcent 4 2 2 2 5 2 6" xfId="15331" xr:uid="{00000000-0005-0000-0000-00004B3B0000}"/>
    <cellStyle name="Akcent 4 2 2 2 5 3" xfId="15332" xr:uid="{00000000-0005-0000-0000-00004C3B0000}"/>
    <cellStyle name="Akcent 4 2 2 2 5 4" xfId="15333" xr:uid="{00000000-0005-0000-0000-00004D3B0000}"/>
    <cellStyle name="Akcent 4 2 2 2 5 5" xfId="15334" xr:uid="{00000000-0005-0000-0000-00004E3B0000}"/>
    <cellStyle name="Akcent 4 2 2 2 5 6" xfId="15335" xr:uid="{00000000-0005-0000-0000-00004F3B0000}"/>
    <cellStyle name="Akcent 4 2 2 2 5 7" xfId="15336" xr:uid="{00000000-0005-0000-0000-0000503B0000}"/>
    <cellStyle name="Akcent 4 2 2 2 6" xfId="15337" xr:uid="{00000000-0005-0000-0000-0000513B0000}"/>
    <cellStyle name="Akcent 4 2 2 2 7" xfId="15338" xr:uid="{00000000-0005-0000-0000-0000523B0000}"/>
    <cellStyle name="Akcent 4 2 2 2 8" xfId="15339" xr:uid="{00000000-0005-0000-0000-0000533B0000}"/>
    <cellStyle name="Akcent 4 2 2 2 9" xfId="15340" xr:uid="{00000000-0005-0000-0000-0000543B0000}"/>
    <cellStyle name="Akcent 4 2 2 2 9 2" xfId="15341" xr:uid="{00000000-0005-0000-0000-0000553B0000}"/>
    <cellStyle name="Akcent 4 2 2 2 9 3" xfId="15342" xr:uid="{00000000-0005-0000-0000-0000563B0000}"/>
    <cellStyle name="Akcent 4 2 2 2 9 4" xfId="15343" xr:uid="{00000000-0005-0000-0000-0000573B0000}"/>
    <cellStyle name="Akcent 4 2 2 2 9 5" xfId="15344" xr:uid="{00000000-0005-0000-0000-0000583B0000}"/>
    <cellStyle name="Akcent 4 2 2 2 9 6" xfId="15345" xr:uid="{00000000-0005-0000-0000-0000593B0000}"/>
    <cellStyle name="Akcent 4 2 2 20" xfId="15346" xr:uid="{00000000-0005-0000-0000-00005A3B0000}"/>
    <cellStyle name="Akcent 4 2 2 3" xfId="15347" xr:uid="{00000000-0005-0000-0000-00005B3B0000}"/>
    <cellStyle name="Akcent 4 2 2 4" xfId="15348" xr:uid="{00000000-0005-0000-0000-00005C3B0000}"/>
    <cellStyle name="Akcent 4 2 2 5" xfId="15349" xr:uid="{00000000-0005-0000-0000-00005D3B0000}"/>
    <cellStyle name="Akcent 4 2 2 6" xfId="15350" xr:uid="{00000000-0005-0000-0000-00005E3B0000}"/>
    <cellStyle name="Akcent 4 2 2 7" xfId="15351" xr:uid="{00000000-0005-0000-0000-00005F3B0000}"/>
    <cellStyle name="Akcent 4 2 2 8" xfId="15352" xr:uid="{00000000-0005-0000-0000-0000603B0000}"/>
    <cellStyle name="Akcent 4 2 2 9" xfId="15353" xr:uid="{00000000-0005-0000-0000-0000613B0000}"/>
    <cellStyle name="Akcent 4 2 20" xfId="15354" xr:uid="{00000000-0005-0000-0000-0000623B0000}"/>
    <cellStyle name="Akcent 4 2 21" xfId="15355" xr:uid="{00000000-0005-0000-0000-0000633B0000}"/>
    <cellStyle name="Akcent 4 2 21 2" xfId="15356" xr:uid="{00000000-0005-0000-0000-0000643B0000}"/>
    <cellStyle name="Akcent 4 2 21 3" xfId="15357" xr:uid="{00000000-0005-0000-0000-0000653B0000}"/>
    <cellStyle name="Akcent 4 2 21 4" xfId="15358" xr:uid="{00000000-0005-0000-0000-0000663B0000}"/>
    <cellStyle name="Akcent 4 2 21 5" xfId="15359" xr:uid="{00000000-0005-0000-0000-0000673B0000}"/>
    <cellStyle name="Akcent 4 2 21 6" xfId="15360" xr:uid="{00000000-0005-0000-0000-0000683B0000}"/>
    <cellStyle name="Akcent 4 2 22" xfId="15361" xr:uid="{00000000-0005-0000-0000-0000693B0000}"/>
    <cellStyle name="Akcent 4 2 23" xfId="15362" xr:uid="{00000000-0005-0000-0000-00006A3B0000}"/>
    <cellStyle name="Akcent 4 2 24" xfId="15363" xr:uid="{00000000-0005-0000-0000-00006B3B0000}"/>
    <cellStyle name="Akcent 4 2 25" xfId="15364" xr:uid="{00000000-0005-0000-0000-00006C3B0000}"/>
    <cellStyle name="Akcent 4 2 26" xfId="15365" xr:uid="{00000000-0005-0000-0000-00006D3B0000}"/>
    <cellStyle name="Akcent 4 2 27" xfId="15366" xr:uid="{00000000-0005-0000-0000-00006E3B0000}"/>
    <cellStyle name="Akcent 4 2 28" xfId="15367" xr:uid="{00000000-0005-0000-0000-00006F3B0000}"/>
    <cellStyle name="Akcent 4 2 29" xfId="15368" xr:uid="{00000000-0005-0000-0000-0000703B0000}"/>
    <cellStyle name="Akcent 4 2 3" xfId="15369" xr:uid="{00000000-0005-0000-0000-0000713B0000}"/>
    <cellStyle name="Akcent 4 2 30" xfId="15370" xr:uid="{00000000-0005-0000-0000-0000723B0000}"/>
    <cellStyle name="Akcent 4 2 31" xfId="15371" xr:uid="{00000000-0005-0000-0000-0000733B0000}"/>
    <cellStyle name="Akcent 4 2 32" xfId="14965" xr:uid="{00000000-0005-0000-0000-0000743B0000}"/>
    <cellStyle name="Akcent 4 2 33" xfId="37838" xr:uid="{00000000-0005-0000-0000-0000753B0000}"/>
    <cellStyle name="Akcent 4 2 4" xfId="15372" xr:uid="{00000000-0005-0000-0000-0000763B0000}"/>
    <cellStyle name="Akcent 4 2 5" xfId="15373" xr:uid="{00000000-0005-0000-0000-0000773B0000}"/>
    <cellStyle name="Akcent 4 2 6" xfId="15374" xr:uid="{00000000-0005-0000-0000-0000783B0000}"/>
    <cellStyle name="Akcent 4 2 6 10" xfId="15375" xr:uid="{00000000-0005-0000-0000-0000793B0000}"/>
    <cellStyle name="Akcent 4 2 6 11" xfId="15376" xr:uid="{00000000-0005-0000-0000-00007A3B0000}"/>
    <cellStyle name="Akcent 4 2 6 12" xfId="15377" xr:uid="{00000000-0005-0000-0000-00007B3B0000}"/>
    <cellStyle name="Akcent 4 2 6 13" xfId="15378" xr:uid="{00000000-0005-0000-0000-00007C3B0000}"/>
    <cellStyle name="Akcent 4 2 6 2" xfId="15379" xr:uid="{00000000-0005-0000-0000-00007D3B0000}"/>
    <cellStyle name="Akcent 4 2 6 2 10" xfId="15380" xr:uid="{00000000-0005-0000-0000-00007E3B0000}"/>
    <cellStyle name="Akcent 4 2 6 2 11" xfId="15381" xr:uid="{00000000-0005-0000-0000-00007F3B0000}"/>
    <cellStyle name="Akcent 4 2 6 2 12" xfId="15382" xr:uid="{00000000-0005-0000-0000-0000803B0000}"/>
    <cellStyle name="Akcent 4 2 6 2 13" xfId="15383" xr:uid="{00000000-0005-0000-0000-0000813B0000}"/>
    <cellStyle name="Akcent 4 2 6 2 2" xfId="15384" xr:uid="{00000000-0005-0000-0000-0000823B0000}"/>
    <cellStyle name="Akcent 4 2 6 2 2 10" xfId="15385" xr:uid="{00000000-0005-0000-0000-0000833B0000}"/>
    <cellStyle name="Akcent 4 2 6 2 2 11" xfId="15386" xr:uid="{00000000-0005-0000-0000-0000843B0000}"/>
    <cellStyle name="Akcent 4 2 6 2 2 12" xfId="15387" xr:uid="{00000000-0005-0000-0000-0000853B0000}"/>
    <cellStyle name="Akcent 4 2 6 2 2 2" xfId="15388" xr:uid="{00000000-0005-0000-0000-0000863B0000}"/>
    <cellStyle name="Akcent 4 2 6 2 2 2 10" xfId="15389" xr:uid="{00000000-0005-0000-0000-0000873B0000}"/>
    <cellStyle name="Akcent 4 2 6 2 2 2 11" xfId="15390" xr:uid="{00000000-0005-0000-0000-0000883B0000}"/>
    <cellStyle name="Akcent 4 2 6 2 2 2 2" xfId="15391" xr:uid="{00000000-0005-0000-0000-0000893B0000}"/>
    <cellStyle name="Akcent 4 2 6 2 2 2 2 10" xfId="15392" xr:uid="{00000000-0005-0000-0000-00008A3B0000}"/>
    <cellStyle name="Akcent 4 2 6 2 2 2 2 11" xfId="15393" xr:uid="{00000000-0005-0000-0000-00008B3B0000}"/>
    <cellStyle name="Akcent 4 2 6 2 2 2 2 2" xfId="15394" xr:uid="{00000000-0005-0000-0000-00008C3B0000}"/>
    <cellStyle name="Akcent 4 2 6 2 2 2 2 2 2" xfId="15395" xr:uid="{00000000-0005-0000-0000-00008D3B0000}"/>
    <cellStyle name="Akcent 4 2 6 2 2 2 2 2 2 2" xfId="15396" xr:uid="{00000000-0005-0000-0000-00008E3B0000}"/>
    <cellStyle name="Akcent 4 2 6 2 2 2 2 2 2 3" xfId="15397" xr:uid="{00000000-0005-0000-0000-00008F3B0000}"/>
    <cellStyle name="Akcent 4 2 6 2 2 2 2 2 2 4" xfId="15398" xr:uid="{00000000-0005-0000-0000-0000903B0000}"/>
    <cellStyle name="Akcent 4 2 6 2 2 2 2 2 2 5" xfId="15399" xr:uid="{00000000-0005-0000-0000-0000913B0000}"/>
    <cellStyle name="Akcent 4 2 6 2 2 2 2 2 2 6" xfId="15400" xr:uid="{00000000-0005-0000-0000-0000923B0000}"/>
    <cellStyle name="Akcent 4 2 6 2 2 2 2 2 3" xfId="15401" xr:uid="{00000000-0005-0000-0000-0000933B0000}"/>
    <cellStyle name="Akcent 4 2 6 2 2 2 2 2 4" xfId="15402" xr:uid="{00000000-0005-0000-0000-0000943B0000}"/>
    <cellStyle name="Akcent 4 2 6 2 2 2 2 2 5" xfId="15403" xr:uid="{00000000-0005-0000-0000-0000953B0000}"/>
    <cellStyle name="Akcent 4 2 6 2 2 2 2 2 6" xfId="15404" xr:uid="{00000000-0005-0000-0000-0000963B0000}"/>
    <cellStyle name="Akcent 4 2 6 2 2 2 2 2 7" xfId="15405" xr:uid="{00000000-0005-0000-0000-0000973B0000}"/>
    <cellStyle name="Akcent 4 2 6 2 2 2 2 3" xfId="15406" xr:uid="{00000000-0005-0000-0000-0000983B0000}"/>
    <cellStyle name="Akcent 4 2 6 2 2 2 2 4" xfId="15407" xr:uid="{00000000-0005-0000-0000-0000993B0000}"/>
    <cellStyle name="Akcent 4 2 6 2 2 2 2 5" xfId="15408" xr:uid="{00000000-0005-0000-0000-00009A3B0000}"/>
    <cellStyle name="Akcent 4 2 6 2 2 2 2 6" xfId="15409" xr:uid="{00000000-0005-0000-0000-00009B3B0000}"/>
    <cellStyle name="Akcent 4 2 6 2 2 2 2 7" xfId="15410" xr:uid="{00000000-0005-0000-0000-00009C3B0000}"/>
    <cellStyle name="Akcent 4 2 6 2 2 2 2 7 2" xfId="15411" xr:uid="{00000000-0005-0000-0000-00009D3B0000}"/>
    <cellStyle name="Akcent 4 2 6 2 2 2 2 7 3" xfId="15412" xr:uid="{00000000-0005-0000-0000-00009E3B0000}"/>
    <cellStyle name="Akcent 4 2 6 2 2 2 2 7 4" xfId="15413" xr:uid="{00000000-0005-0000-0000-00009F3B0000}"/>
    <cellStyle name="Akcent 4 2 6 2 2 2 2 7 5" xfId="15414" xr:uid="{00000000-0005-0000-0000-0000A03B0000}"/>
    <cellStyle name="Akcent 4 2 6 2 2 2 2 7 6" xfId="15415" xr:uid="{00000000-0005-0000-0000-0000A13B0000}"/>
    <cellStyle name="Akcent 4 2 6 2 2 2 2 8" xfId="15416" xr:uid="{00000000-0005-0000-0000-0000A23B0000}"/>
    <cellStyle name="Akcent 4 2 6 2 2 2 2 9" xfId="15417" xr:uid="{00000000-0005-0000-0000-0000A33B0000}"/>
    <cellStyle name="Akcent 4 2 6 2 2 2 3" xfId="15418" xr:uid="{00000000-0005-0000-0000-0000A43B0000}"/>
    <cellStyle name="Akcent 4 2 6 2 2 2 3 2" xfId="15419" xr:uid="{00000000-0005-0000-0000-0000A53B0000}"/>
    <cellStyle name="Akcent 4 2 6 2 2 2 3 2 2" xfId="15420" xr:uid="{00000000-0005-0000-0000-0000A63B0000}"/>
    <cellStyle name="Akcent 4 2 6 2 2 2 3 2 3" xfId="15421" xr:uid="{00000000-0005-0000-0000-0000A73B0000}"/>
    <cellStyle name="Akcent 4 2 6 2 2 2 3 2 4" xfId="15422" xr:uid="{00000000-0005-0000-0000-0000A83B0000}"/>
    <cellStyle name="Akcent 4 2 6 2 2 2 3 2 5" xfId="15423" xr:uid="{00000000-0005-0000-0000-0000A93B0000}"/>
    <cellStyle name="Akcent 4 2 6 2 2 2 3 2 6" xfId="15424" xr:uid="{00000000-0005-0000-0000-0000AA3B0000}"/>
    <cellStyle name="Akcent 4 2 6 2 2 2 3 3" xfId="15425" xr:uid="{00000000-0005-0000-0000-0000AB3B0000}"/>
    <cellStyle name="Akcent 4 2 6 2 2 2 3 4" xfId="15426" xr:uid="{00000000-0005-0000-0000-0000AC3B0000}"/>
    <cellStyle name="Akcent 4 2 6 2 2 2 3 5" xfId="15427" xr:uid="{00000000-0005-0000-0000-0000AD3B0000}"/>
    <cellStyle name="Akcent 4 2 6 2 2 2 3 6" xfId="15428" xr:uid="{00000000-0005-0000-0000-0000AE3B0000}"/>
    <cellStyle name="Akcent 4 2 6 2 2 2 3 7" xfId="15429" xr:uid="{00000000-0005-0000-0000-0000AF3B0000}"/>
    <cellStyle name="Akcent 4 2 6 2 2 2 4" xfId="15430" xr:uid="{00000000-0005-0000-0000-0000B03B0000}"/>
    <cellStyle name="Akcent 4 2 6 2 2 2 5" xfId="15431" xr:uid="{00000000-0005-0000-0000-0000B13B0000}"/>
    <cellStyle name="Akcent 4 2 6 2 2 2 6" xfId="15432" xr:uid="{00000000-0005-0000-0000-0000B23B0000}"/>
    <cellStyle name="Akcent 4 2 6 2 2 2 7" xfId="15433" xr:uid="{00000000-0005-0000-0000-0000B33B0000}"/>
    <cellStyle name="Akcent 4 2 6 2 2 2 7 2" xfId="15434" xr:uid="{00000000-0005-0000-0000-0000B43B0000}"/>
    <cellStyle name="Akcent 4 2 6 2 2 2 7 3" xfId="15435" xr:uid="{00000000-0005-0000-0000-0000B53B0000}"/>
    <cellStyle name="Akcent 4 2 6 2 2 2 7 4" xfId="15436" xr:uid="{00000000-0005-0000-0000-0000B63B0000}"/>
    <cellStyle name="Akcent 4 2 6 2 2 2 7 5" xfId="15437" xr:uid="{00000000-0005-0000-0000-0000B73B0000}"/>
    <cellStyle name="Akcent 4 2 6 2 2 2 7 6" xfId="15438" xr:uid="{00000000-0005-0000-0000-0000B83B0000}"/>
    <cellStyle name="Akcent 4 2 6 2 2 2 8" xfId="15439" xr:uid="{00000000-0005-0000-0000-0000B93B0000}"/>
    <cellStyle name="Akcent 4 2 6 2 2 2 9" xfId="15440" xr:uid="{00000000-0005-0000-0000-0000BA3B0000}"/>
    <cellStyle name="Akcent 4 2 6 2 2 3" xfId="15441" xr:uid="{00000000-0005-0000-0000-0000BB3B0000}"/>
    <cellStyle name="Akcent 4 2 6 2 2 3 2" xfId="15442" xr:uid="{00000000-0005-0000-0000-0000BC3B0000}"/>
    <cellStyle name="Akcent 4 2 6 2 2 3 2 2" xfId="15443" xr:uid="{00000000-0005-0000-0000-0000BD3B0000}"/>
    <cellStyle name="Akcent 4 2 6 2 2 3 2 3" xfId="15444" xr:uid="{00000000-0005-0000-0000-0000BE3B0000}"/>
    <cellStyle name="Akcent 4 2 6 2 2 3 2 4" xfId="15445" xr:uid="{00000000-0005-0000-0000-0000BF3B0000}"/>
    <cellStyle name="Akcent 4 2 6 2 2 3 2 5" xfId="15446" xr:uid="{00000000-0005-0000-0000-0000C03B0000}"/>
    <cellStyle name="Akcent 4 2 6 2 2 3 2 6" xfId="15447" xr:uid="{00000000-0005-0000-0000-0000C13B0000}"/>
    <cellStyle name="Akcent 4 2 6 2 2 3 3" xfId="15448" xr:uid="{00000000-0005-0000-0000-0000C23B0000}"/>
    <cellStyle name="Akcent 4 2 6 2 2 3 4" xfId="15449" xr:uid="{00000000-0005-0000-0000-0000C33B0000}"/>
    <cellStyle name="Akcent 4 2 6 2 2 3 5" xfId="15450" xr:uid="{00000000-0005-0000-0000-0000C43B0000}"/>
    <cellStyle name="Akcent 4 2 6 2 2 3 6" xfId="15451" xr:uid="{00000000-0005-0000-0000-0000C53B0000}"/>
    <cellStyle name="Akcent 4 2 6 2 2 3 7" xfId="15452" xr:uid="{00000000-0005-0000-0000-0000C63B0000}"/>
    <cellStyle name="Akcent 4 2 6 2 2 4" xfId="15453" xr:uid="{00000000-0005-0000-0000-0000C73B0000}"/>
    <cellStyle name="Akcent 4 2 6 2 2 5" xfId="15454" xr:uid="{00000000-0005-0000-0000-0000C83B0000}"/>
    <cellStyle name="Akcent 4 2 6 2 2 6" xfId="15455" xr:uid="{00000000-0005-0000-0000-0000C93B0000}"/>
    <cellStyle name="Akcent 4 2 6 2 2 7" xfId="15456" xr:uid="{00000000-0005-0000-0000-0000CA3B0000}"/>
    <cellStyle name="Akcent 4 2 6 2 2 8" xfId="15457" xr:uid="{00000000-0005-0000-0000-0000CB3B0000}"/>
    <cellStyle name="Akcent 4 2 6 2 2 8 2" xfId="15458" xr:uid="{00000000-0005-0000-0000-0000CC3B0000}"/>
    <cellStyle name="Akcent 4 2 6 2 2 8 3" xfId="15459" xr:uid="{00000000-0005-0000-0000-0000CD3B0000}"/>
    <cellStyle name="Akcent 4 2 6 2 2 8 4" xfId="15460" xr:uid="{00000000-0005-0000-0000-0000CE3B0000}"/>
    <cellStyle name="Akcent 4 2 6 2 2 8 5" xfId="15461" xr:uid="{00000000-0005-0000-0000-0000CF3B0000}"/>
    <cellStyle name="Akcent 4 2 6 2 2 8 6" xfId="15462" xr:uid="{00000000-0005-0000-0000-0000D03B0000}"/>
    <cellStyle name="Akcent 4 2 6 2 2 9" xfId="15463" xr:uid="{00000000-0005-0000-0000-0000D13B0000}"/>
    <cellStyle name="Akcent 4 2 6 2 3" xfId="15464" xr:uid="{00000000-0005-0000-0000-0000D23B0000}"/>
    <cellStyle name="Akcent 4 2 6 2 4" xfId="15465" xr:uid="{00000000-0005-0000-0000-0000D33B0000}"/>
    <cellStyle name="Akcent 4 2 6 2 4 10" xfId="15466" xr:uid="{00000000-0005-0000-0000-0000D43B0000}"/>
    <cellStyle name="Akcent 4 2 6 2 4 11" xfId="15467" xr:uid="{00000000-0005-0000-0000-0000D53B0000}"/>
    <cellStyle name="Akcent 4 2 6 2 4 2" xfId="15468" xr:uid="{00000000-0005-0000-0000-0000D63B0000}"/>
    <cellStyle name="Akcent 4 2 6 2 4 2 2" xfId="15469" xr:uid="{00000000-0005-0000-0000-0000D73B0000}"/>
    <cellStyle name="Akcent 4 2 6 2 4 2 2 2" xfId="15470" xr:uid="{00000000-0005-0000-0000-0000D83B0000}"/>
    <cellStyle name="Akcent 4 2 6 2 4 2 2 3" xfId="15471" xr:uid="{00000000-0005-0000-0000-0000D93B0000}"/>
    <cellStyle name="Akcent 4 2 6 2 4 2 2 4" xfId="15472" xr:uid="{00000000-0005-0000-0000-0000DA3B0000}"/>
    <cellStyle name="Akcent 4 2 6 2 4 2 2 5" xfId="15473" xr:uid="{00000000-0005-0000-0000-0000DB3B0000}"/>
    <cellStyle name="Akcent 4 2 6 2 4 2 2 6" xfId="15474" xr:uid="{00000000-0005-0000-0000-0000DC3B0000}"/>
    <cellStyle name="Akcent 4 2 6 2 4 2 3" xfId="15475" xr:uid="{00000000-0005-0000-0000-0000DD3B0000}"/>
    <cellStyle name="Akcent 4 2 6 2 4 2 4" xfId="15476" xr:uid="{00000000-0005-0000-0000-0000DE3B0000}"/>
    <cellStyle name="Akcent 4 2 6 2 4 2 5" xfId="15477" xr:uid="{00000000-0005-0000-0000-0000DF3B0000}"/>
    <cellStyle name="Akcent 4 2 6 2 4 2 6" xfId="15478" xr:uid="{00000000-0005-0000-0000-0000E03B0000}"/>
    <cellStyle name="Akcent 4 2 6 2 4 2 7" xfId="15479" xr:uid="{00000000-0005-0000-0000-0000E13B0000}"/>
    <cellStyle name="Akcent 4 2 6 2 4 3" xfId="15480" xr:uid="{00000000-0005-0000-0000-0000E23B0000}"/>
    <cellStyle name="Akcent 4 2 6 2 4 4" xfId="15481" xr:uid="{00000000-0005-0000-0000-0000E33B0000}"/>
    <cellStyle name="Akcent 4 2 6 2 4 5" xfId="15482" xr:uid="{00000000-0005-0000-0000-0000E43B0000}"/>
    <cellStyle name="Akcent 4 2 6 2 4 6" xfId="15483" xr:uid="{00000000-0005-0000-0000-0000E53B0000}"/>
    <cellStyle name="Akcent 4 2 6 2 4 7" xfId="15484" xr:uid="{00000000-0005-0000-0000-0000E63B0000}"/>
    <cellStyle name="Akcent 4 2 6 2 4 7 2" xfId="15485" xr:uid="{00000000-0005-0000-0000-0000E73B0000}"/>
    <cellStyle name="Akcent 4 2 6 2 4 7 3" xfId="15486" xr:uid="{00000000-0005-0000-0000-0000E83B0000}"/>
    <cellStyle name="Akcent 4 2 6 2 4 7 4" xfId="15487" xr:uid="{00000000-0005-0000-0000-0000E93B0000}"/>
    <cellStyle name="Akcent 4 2 6 2 4 7 5" xfId="15488" xr:uid="{00000000-0005-0000-0000-0000EA3B0000}"/>
    <cellStyle name="Akcent 4 2 6 2 4 7 6" xfId="15489" xr:uid="{00000000-0005-0000-0000-0000EB3B0000}"/>
    <cellStyle name="Akcent 4 2 6 2 4 8" xfId="15490" xr:uid="{00000000-0005-0000-0000-0000EC3B0000}"/>
    <cellStyle name="Akcent 4 2 6 2 4 9" xfId="15491" xr:uid="{00000000-0005-0000-0000-0000ED3B0000}"/>
    <cellStyle name="Akcent 4 2 6 2 5" xfId="15492" xr:uid="{00000000-0005-0000-0000-0000EE3B0000}"/>
    <cellStyle name="Akcent 4 2 6 2 5 2" xfId="15493" xr:uid="{00000000-0005-0000-0000-0000EF3B0000}"/>
    <cellStyle name="Akcent 4 2 6 2 5 2 2" xfId="15494" xr:uid="{00000000-0005-0000-0000-0000F03B0000}"/>
    <cellStyle name="Akcent 4 2 6 2 5 2 3" xfId="15495" xr:uid="{00000000-0005-0000-0000-0000F13B0000}"/>
    <cellStyle name="Akcent 4 2 6 2 5 2 4" xfId="15496" xr:uid="{00000000-0005-0000-0000-0000F23B0000}"/>
    <cellStyle name="Akcent 4 2 6 2 5 2 5" xfId="15497" xr:uid="{00000000-0005-0000-0000-0000F33B0000}"/>
    <cellStyle name="Akcent 4 2 6 2 5 2 6" xfId="15498" xr:uid="{00000000-0005-0000-0000-0000F43B0000}"/>
    <cellStyle name="Akcent 4 2 6 2 5 3" xfId="15499" xr:uid="{00000000-0005-0000-0000-0000F53B0000}"/>
    <cellStyle name="Akcent 4 2 6 2 5 4" xfId="15500" xr:uid="{00000000-0005-0000-0000-0000F63B0000}"/>
    <cellStyle name="Akcent 4 2 6 2 5 5" xfId="15501" xr:uid="{00000000-0005-0000-0000-0000F73B0000}"/>
    <cellStyle name="Akcent 4 2 6 2 5 6" xfId="15502" xr:uid="{00000000-0005-0000-0000-0000F83B0000}"/>
    <cellStyle name="Akcent 4 2 6 2 5 7" xfId="15503" xr:uid="{00000000-0005-0000-0000-0000F93B0000}"/>
    <cellStyle name="Akcent 4 2 6 2 6" xfId="15504" xr:uid="{00000000-0005-0000-0000-0000FA3B0000}"/>
    <cellStyle name="Akcent 4 2 6 2 7" xfId="15505" xr:uid="{00000000-0005-0000-0000-0000FB3B0000}"/>
    <cellStyle name="Akcent 4 2 6 2 8" xfId="15506" xr:uid="{00000000-0005-0000-0000-0000FC3B0000}"/>
    <cellStyle name="Akcent 4 2 6 2 9" xfId="15507" xr:uid="{00000000-0005-0000-0000-0000FD3B0000}"/>
    <cellStyle name="Akcent 4 2 6 2 9 2" xfId="15508" xr:uid="{00000000-0005-0000-0000-0000FE3B0000}"/>
    <cellStyle name="Akcent 4 2 6 2 9 3" xfId="15509" xr:uid="{00000000-0005-0000-0000-0000FF3B0000}"/>
    <cellStyle name="Akcent 4 2 6 2 9 4" xfId="15510" xr:uid="{00000000-0005-0000-0000-0000003C0000}"/>
    <cellStyle name="Akcent 4 2 6 2 9 5" xfId="15511" xr:uid="{00000000-0005-0000-0000-0000013C0000}"/>
    <cellStyle name="Akcent 4 2 6 2 9 6" xfId="15512" xr:uid="{00000000-0005-0000-0000-0000023C0000}"/>
    <cellStyle name="Akcent 4 2 6 3" xfId="15513" xr:uid="{00000000-0005-0000-0000-0000033C0000}"/>
    <cellStyle name="Akcent 4 2 6 3 10" xfId="15514" xr:uid="{00000000-0005-0000-0000-0000043C0000}"/>
    <cellStyle name="Akcent 4 2 6 3 11" xfId="15515" xr:uid="{00000000-0005-0000-0000-0000053C0000}"/>
    <cellStyle name="Akcent 4 2 6 3 12" xfId="15516" xr:uid="{00000000-0005-0000-0000-0000063C0000}"/>
    <cellStyle name="Akcent 4 2 6 3 2" xfId="15517" xr:uid="{00000000-0005-0000-0000-0000073C0000}"/>
    <cellStyle name="Akcent 4 2 6 3 2 10" xfId="15518" xr:uid="{00000000-0005-0000-0000-0000083C0000}"/>
    <cellStyle name="Akcent 4 2 6 3 2 11" xfId="15519" xr:uid="{00000000-0005-0000-0000-0000093C0000}"/>
    <cellStyle name="Akcent 4 2 6 3 2 2" xfId="15520" xr:uid="{00000000-0005-0000-0000-00000A3C0000}"/>
    <cellStyle name="Akcent 4 2 6 3 2 2 10" xfId="15521" xr:uid="{00000000-0005-0000-0000-00000B3C0000}"/>
    <cellStyle name="Akcent 4 2 6 3 2 2 11" xfId="15522" xr:uid="{00000000-0005-0000-0000-00000C3C0000}"/>
    <cellStyle name="Akcent 4 2 6 3 2 2 2" xfId="15523" xr:uid="{00000000-0005-0000-0000-00000D3C0000}"/>
    <cellStyle name="Akcent 4 2 6 3 2 2 2 2" xfId="15524" xr:uid="{00000000-0005-0000-0000-00000E3C0000}"/>
    <cellStyle name="Akcent 4 2 6 3 2 2 2 2 2" xfId="15525" xr:uid="{00000000-0005-0000-0000-00000F3C0000}"/>
    <cellStyle name="Akcent 4 2 6 3 2 2 2 2 3" xfId="15526" xr:uid="{00000000-0005-0000-0000-0000103C0000}"/>
    <cellStyle name="Akcent 4 2 6 3 2 2 2 2 4" xfId="15527" xr:uid="{00000000-0005-0000-0000-0000113C0000}"/>
    <cellStyle name="Akcent 4 2 6 3 2 2 2 2 5" xfId="15528" xr:uid="{00000000-0005-0000-0000-0000123C0000}"/>
    <cellStyle name="Akcent 4 2 6 3 2 2 2 2 6" xfId="15529" xr:uid="{00000000-0005-0000-0000-0000133C0000}"/>
    <cellStyle name="Akcent 4 2 6 3 2 2 2 3" xfId="15530" xr:uid="{00000000-0005-0000-0000-0000143C0000}"/>
    <cellStyle name="Akcent 4 2 6 3 2 2 2 4" xfId="15531" xr:uid="{00000000-0005-0000-0000-0000153C0000}"/>
    <cellStyle name="Akcent 4 2 6 3 2 2 2 5" xfId="15532" xr:uid="{00000000-0005-0000-0000-0000163C0000}"/>
    <cellStyle name="Akcent 4 2 6 3 2 2 2 6" xfId="15533" xr:uid="{00000000-0005-0000-0000-0000173C0000}"/>
    <cellStyle name="Akcent 4 2 6 3 2 2 2 7" xfId="15534" xr:uid="{00000000-0005-0000-0000-0000183C0000}"/>
    <cellStyle name="Akcent 4 2 6 3 2 2 3" xfId="15535" xr:uid="{00000000-0005-0000-0000-0000193C0000}"/>
    <cellStyle name="Akcent 4 2 6 3 2 2 4" xfId="15536" xr:uid="{00000000-0005-0000-0000-00001A3C0000}"/>
    <cellStyle name="Akcent 4 2 6 3 2 2 5" xfId="15537" xr:uid="{00000000-0005-0000-0000-00001B3C0000}"/>
    <cellStyle name="Akcent 4 2 6 3 2 2 6" xfId="15538" xr:uid="{00000000-0005-0000-0000-00001C3C0000}"/>
    <cellStyle name="Akcent 4 2 6 3 2 2 7" xfId="15539" xr:uid="{00000000-0005-0000-0000-00001D3C0000}"/>
    <cellStyle name="Akcent 4 2 6 3 2 2 7 2" xfId="15540" xr:uid="{00000000-0005-0000-0000-00001E3C0000}"/>
    <cellStyle name="Akcent 4 2 6 3 2 2 7 3" xfId="15541" xr:uid="{00000000-0005-0000-0000-00001F3C0000}"/>
    <cellStyle name="Akcent 4 2 6 3 2 2 7 4" xfId="15542" xr:uid="{00000000-0005-0000-0000-0000203C0000}"/>
    <cellStyle name="Akcent 4 2 6 3 2 2 7 5" xfId="15543" xr:uid="{00000000-0005-0000-0000-0000213C0000}"/>
    <cellStyle name="Akcent 4 2 6 3 2 2 7 6" xfId="15544" xr:uid="{00000000-0005-0000-0000-0000223C0000}"/>
    <cellStyle name="Akcent 4 2 6 3 2 2 8" xfId="15545" xr:uid="{00000000-0005-0000-0000-0000233C0000}"/>
    <cellStyle name="Akcent 4 2 6 3 2 2 9" xfId="15546" xr:uid="{00000000-0005-0000-0000-0000243C0000}"/>
    <cellStyle name="Akcent 4 2 6 3 2 3" xfId="15547" xr:uid="{00000000-0005-0000-0000-0000253C0000}"/>
    <cellStyle name="Akcent 4 2 6 3 2 3 2" xfId="15548" xr:uid="{00000000-0005-0000-0000-0000263C0000}"/>
    <cellStyle name="Akcent 4 2 6 3 2 3 2 2" xfId="15549" xr:uid="{00000000-0005-0000-0000-0000273C0000}"/>
    <cellStyle name="Akcent 4 2 6 3 2 3 2 3" xfId="15550" xr:uid="{00000000-0005-0000-0000-0000283C0000}"/>
    <cellStyle name="Akcent 4 2 6 3 2 3 2 4" xfId="15551" xr:uid="{00000000-0005-0000-0000-0000293C0000}"/>
    <cellStyle name="Akcent 4 2 6 3 2 3 2 5" xfId="15552" xr:uid="{00000000-0005-0000-0000-00002A3C0000}"/>
    <cellStyle name="Akcent 4 2 6 3 2 3 2 6" xfId="15553" xr:uid="{00000000-0005-0000-0000-00002B3C0000}"/>
    <cellStyle name="Akcent 4 2 6 3 2 3 3" xfId="15554" xr:uid="{00000000-0005-0000-0000-00002C3C0000}"/>
    <cellStyle name="Akcent 4 2 6 3 2 3 4" xfId="15555" xr:uid="{00000000-0005-0000-0000-00002D3C0000}"/>
    <cellStyle name="Akcent 4 2 6 3 2 3 5" xfId="15556" xr:uid="{00000000-0005-0000-0000-00002E3C0000}"/>
    <cellStyle name="Akcent 4 2 6 3 2 3 6" xfId="15557" xr:uid="{00000000-0005-0000-0000-00002F3C0000}"/>
    <cellStyle name="Akcent 4 2 6 3 2 3 7" xfId="15558" xr:uid="{00000000-0005-0000-0000-0000303C0000}"/>
    <cellStyle name="Akcent 4 2 6 3 2 4" xfId="15559" xr:uid="{00000000-0005-0000-0000-0000313C0000}"/>
    <cellStyle name="Akcent 4 2 6 3 2 5" xfId="15560" xr:uid="{00000000-0005-0000-0000-0000323C0000}"/>
    <cellStyle name="Akcent 4 2 6 3 2 6" xfId="15561" xr:uid="{00000000-0005-0000-0000-0000333C0000}"/>
    <cellStyle name="Akcent 4 2 6 3 2 7" xfId="15562" xr:uid="{00000000-0005-0000-0000-0000343C0000}"/>
    <cellStyle name="Akcent 4 2 6 3 2 7 2" xfId="15563" xr:uid="{00000000-0005-0000-0000-0000353C0000}"/>
    <cellStyle name="Akcent 4 2 6 3 2 7 3" xfId="15564" xr:uid="{00000000-0005-0000-0000-0000363C0000}"/>
    <cellStyle name="Akcent 4 2 6 3 2 7 4" xfId="15565" xr:uid="{00000000-0005-0000-0000-0000373C0000}"/>
    <cellStyle name="Akcent 4 2 6 3 2 7 5" xfId="15566" xr:uid="{00000000-0005-0000-0000-0000383C0000}"/>
    <cellStyle name="Akcent 4 2 6 3 2 7 6" xfId="15567" xr:uid="{00000000-0005-0000-0000-0000393C0000}"/>
    <cellStyle name="Akcent 4 2 6 3 2 8" xfId="15568" xr:uid="{00000000-0005-0000-0000-00003A3C0000}"/>
    <cellStyle name="Akcent 4 2 6 3 2 9" xfId="15569" xr:uid="{00000000-0005-0000-0000-00003B3C0000}"/>
    <cellStyle name="Akcent 4 2 6 3 3" xfId="15570" xr:uid="{00000000-0005-0000-0000-00003C3C0000}"/>
    <cellStyle name="Akcent 4 2 6 3 3 2" xfId="15571" xr:uid="{00000000-0005-0000-0000-00003D3C0000}"/>
    <cellStyle name="Akcent 4 2 6 3 3 2 2" xfId="15572" xr:uid="{00000000-0005-0000-0000-00003E3C0000}"/>
    <cellStyle name="Akcent 4 2 6 3 3 2 3" xfId="15573" xr:uid="{00000000-0005-0000-0000-00003F3C0000}"/>
    <cellStyle name="Akcent 4 2 6 3 3 2 4" xfId="15574" xr:uid="{00000000-0005-0000-0000-0000403C0000}"/>
    <cellStyle name="Akcent 4 2 6 3 3 2 5" xfId="15575" xr:uid="{00000000-0005-0000-0000-0000413C0000}"/>
    <cellStyle name="Akcent 4 2 6 3 3 2 6" xfId="15576" xr:uid="{00000000-0005-0000-0000-0000423C0000}"/>
    <cellStyle name="Akcent 4 2 6 3 3 3" xfId="15577" xr:uid="{00000000-0005-0000-0000-0000433C0000}"/>
    <cellStyle name="Akcent 4 2 6 3 3 4" xfId="15578" xr:uid="{00000000-0005-0000-0000-0000443C0000}"/>
    <cellStyle name="Akcent 4 2 6 3 3 5" xfId="15579" xr:uid="{00000000-0005-0000-0000-0000453C0000}"/>
    <cellStyle name="Akcent 4 2 6 3 3 6" xfId="15580" xr:uid="{00000000-0005-0000-0000-0000463C0000}"/>
    <cellStyle name="Akcent 4 2 6 3 3 7" xfId="15581" xr:uid="{00000000-0005-0000-0000-0000473C0000}"/>
    <cellStyle name="Akcent 4 2 6 3 4" xfId="15582" xr:uid="{00000000-0005-0000-0000-0000483C0000}"/>
    <cellStyle name="Akcent 4 2 6 3 5" xfId="15583" xr:uid="{00000000-0005-0000-0000-0000493C0000}"/>
    <cellStyle name="Akcent 4 2 6 3 6" xfId="15584" xr:uid="{00000000-0005-0000-0000-00004A3C0000}"/>
    <cellStyle name="Akcent 4 2 6 3 7" xfId="15585" xr:uid="{00000000-0005-0000-0000-00004B3C0000}"/>
    <cellStyle name="Akcent 4 2 6 3 8" xfId="15586" xr:uid="{00000000-0005-0000-0000-00004C3C0000}"/>
    <cellStyle name="Akcent 4 2 6 3 8 2" xfId="15587" xr:uid="{00000000-0005-0000-0000-00004D3C0000}"/>
    <cellStyle name="Akcent 4 2 6 3 8 3" xfId="15588" xr:uid="{00000000-0005-0000-0000-00004E3C0000}"/>
    <cellStyle name="Akcent 4 2 6 3 8 4" xfId="15589" xr:uid="{00000000-0005-0000-0000-00004F3C0000}"/>
    <cellStyle name="Akcent 4 2 6 3 8 5" xfId="15590" xr:uid="{00000000-0005-0000-0000-0000503C0000}"/>
    <cellStyle name="Akcent 4 2 6 3 8 6" xfId="15591" xr:uid="{00000000-0005-0000-0000-0000513C0000}"/>
    <cellStyle name="Akcent 4 2 6 3 9" xfId="15592" xr:uid="{00000000-0005-0000-0000-0000523C0000}"/>
    <cellStyle name="Akcent 4 2 6 4" xfId="15593" xr:uid="{00000000-0005-0000-0000-0000533C0000}"/>
    <cellStyle name="Akcent 4 2 6 4 10" xfId="15594" xr:uid="{00000000-0005-0000-0000-0000543C0000}"/>
    <cellStyle name="Akcent 4 2 6 4 11" xfId="15595" xr:uid="{00000000-0005-0000-0000-0000553C0000}"/>
    <cellStyle name="Akcent 4 2 6 4 2" xfId="15596" xr:uid="{00000000-0005-0000-0000-0000563C0000}"/>
    <cellStyle name="Akcent 4 2 6 4 2 2" xfId="15597" xr:uid="{00000000-0005-0000-0000-0000573C0000}"/>
    <cellStyle name="Akcent 4 2 6 4 2 2 2" xfId="15598" xr:uid="{00000000-0005-0000-0000-0000583C0000}"/>
    <cellStyle name="Akcent 4 2 6 4 2 2 3" xfId="15599" xr:uid="{00000000-0005-0000-0000-0000593C0000}"/>
    <cellStyle name="Akcent 4 2 6 4 2 2 4" xfId="15600" xr:uid="{00000000-0005-0000-0000-00005A3C0000}"/>
    <cellStyle name="Akcent 4 2 6 4 2 2 5" xfId="15601" xr:uid="{00000000-0005-0000-0000-00005B3C0000}"/>
    <cellStyle name="Akcent 4 2 6 4 2 2 6" xfId="15602" xr:uid="{00000000-0005-0000-0000-00005C3C0000}"/>
    <cellStyle name="Akcent 4 2 6 4 2 3" xfId="15603" xr:uid="{00000000-0005-0000-0000-00005D3C0000}"/>
    <cellStyle name="Akcent 4 2 6 4 2 4" xfId="15604" xr:uid="{00000000-0005-0000-0000-00005E3C0000}"/>
    <cellStyle name="Akcent 4 2 6 4 2 5" xfId="15605" xr:uid="{00000000-0005-0000-0000-00005F3C0000}"/>
    <cellStyle name="Akcent 4 2 6 4 2 6" xfId="15606" xr:uid="{00000000-0005-0000-0000-0000603C0000}"/>
    <cellStyle name="Akcent 4 2 6 4 2 7" xfId="15607" xr:uid="{00000000-0005-0000-0000-0000613C0000}"/>
    <cellStyle name="Akcent 4 2 6 4 3" xfId="15608" xr:uid="{00000000-0005-0000-0000-0000623C0000}"/>
    <cellStyle name="Akcent 4 2 6 4 4" xfId="15609" xr:uid="{00000000-0005-0000-0000-0000633C0000}"/>
    <cellStyle name="Akcent 4 2 6 4 5" xfId="15610" xr:uid="{00000000-0005-0000-0000-0000643C0000}"/>
    <cellStyle name="Akcent 4 2 6 4 6" xfId="15611" xr:uid="{00000000-0005-0000-0000-0000653C0000}"/>
    <cellStyle name="Akcent 4 2 6 4 7" xfId="15612" xr:uid="{00000000-0005-0000-0000-0000663C0000}"/>
    <cellStyle name="Akcent 4 2 6 4 7 2" xfId="15613" xr:uid="{00000000-0005-0000-0000-0000673C0000}"/>
    <cellStyle name="Akcent 4 2 6 4 7 3" xfId="15614" xr:uid="{00000000-0005-0000-0000-0000683C0000}"/>
    <cellStyle name="Akcent 4 2 6 4 7 4" xfId="15615" xr:uid="{00000000-0005-0000-0000-0000693C0000}"/>
    <cellStyle name="Akcent 4 2 6 4 7 5" xfId="15616" xr:uid="{00000000-0005-0000-0000-00006A3C0000}"/>
    <cellStyle name="Akcent 4 2 6 4 7 6" xfId="15617" xr:uid="{00000000-0005-0000-0000-00006B3C0000}"/>
    <cellStyle name="Akcent 4 2 6 4 8" xfId="15618" xr:uid="{00000000-0005-0000-0000-00006C3C0000}"/>
    <cellStyle name="Akcent 4 2 6 4 9" xfId="15619" xr:uid="{00000000-0005-0000-0000-00006D3C0000}"/>
    <cellStyle name="Akcent 4 2 6 5" xfId="15620" xr:uid="{00000000-0005-0000-0000-00006E3C0000}"/>
    <cellStyle name="Akcent 4 2 6 5 2" xfId="15621" xr:uid="{00000000-0005-0000-0000-00006F3C0000}"/>
    <cellStyle name="Akcent 4 2 6 5 2 2" xfId="15622" xr:uid="{00000000-0005-0000-0000-0000703C0000}"/>
    <cellStyle name="Akcent 4 2 6 5 2 3" xfId="15623" xr:uid="{00000000-0005-0000-0000-0000713C0000}"/>
    <cellStyle name="Akcent 4 2 6 5 2 4" xfId="15624" xr:uid="{00000000-0005-0000-0000-0000723C0000}"/>
    <cellStyle name="Akcent 4 2 6 5 2 5" xfId="15625" xr:uid="{00000000-0005-0000-0000-0000733C0000}"/>
    <cellStyle name="Akcent 4 2 6 5 2 6" xfId="15626" xr:uid="{00000000-0005-0000-0000-0000743C0000}"/>
    <cellStyle name="Akcent 4 2 6 5 3" xfId="15627" xr:uid="{00000000-0005-0000-0000-0000753C0000}"/>
    <cellStyle name="Akcent 4 2 6 5 4" xfId="15628" xr:uid="{00000000-0005-0000-0000-0000763C0000}"/>
    <cellStyle name="Akcent 4 2 6 5 5" xfId="15629" xr:uid="{00000000-0005-0000-0000-0000773C0000}"/>
    <cellStyle name="Akcent 4 2 6 5 6" xfId="15630" xr:uid="{00000000-0005-0000-0000-0000783C0000}"/>
    <cellStyle name="Akcent 4 2 6 5 7" xfId="15631" xr:uid="{00000000-0005-0000-0000-0000793C0000}"/>
    <cellStyle name="Akcent 4 2 6 6" xfId="15632" xr:uid="{00000000-0005-0000-0000-00007A3C0000}"/>
    <cellStyle name="Akcent 4 2 6 7" xfId="15633" xr:uid="{00000000-0005-0000-0000-00007B3C0000}"/>
    <cellStyle name="Akcent 4 2 6 8" xfId="15634" xr:uid="{00000000-0005-0000-0000-00007C3C0000}"/>
    <cellStyle name="Akcent 4 2 6 9" xfId="15635" xr:uid="{00000000-0005-0000-0000-00007D3C0000}"/>
    <cellStyle name="Akcent 4 2 6 9 2" xfId="15636" xr:uid="{00000000-0005-0000-0000-00007E3C0000}"/>
    <cellStyle name="Akcent 4 2 6 9 3" xfId="15637" xr:uid="{00000000-0005-0000-0000-00007F3C0000}"/>
    <cellStyle name="Akcent 4 2 6 9 4" xfId="15638" xr:uid="{00000000-0005-0000-0000-0000803C0000}"/>
    <cellStyle name="Akcent 4 2 6 9 5" xfId="15639" xr:uid="{00000000-0005-0000-0000-0000813C0000}"/>
    <cellStyle name="Akcent 4 2 6 9 6" xfId="15640" xr:uid="{00000000-0005-0000-0000-0000823C0000}"/>
    <cellStyle name="Akcent 4 2 7" xfId="15641" xr:uid="{00000000-0005-0000-0000-0000833C0000}"/>
    <cellStyle name="Akcent 4 2 8" xfId="15642" xr:uid="{00000000-0005-0000-0000-0000843C0000}"/>
    <cellStyle name="Akcent 4 2 8 10" xfId="15643" xr:uid="{00000000-0005-0000-0000-0000853C0000}"/>
    <cellStyle name="Akcent 4 2 8 11" xfId="15644" xr:uid="{00000000-0005-0000-0000-0000863C0000}"/>
    <cellStyle name="Akcent 4 2 8 12" xfId="15645" xr:uid="{00000000-0005-0000-0000-0000873C0000}"/>
    <cellStyle name="Akcent 4 2 8 13" xfId="15646" xr:uid="{00000000-0005-0000-0000-0000883C0000}"/>
    <cellStyle name="Akcent 4 2 8 2" xfId="15647" xr:uid="{00000000-0005-0000-0000-0000893C0000}"/>
    <cellStyle name="Akcent 4 2 8 2 10" xfId="15648" xr:uid="{00000000-0005-0000-0000-00008A3C0000}"/>
    <cellStyle name="Akcent 4 2 8 2 11" xfId="15649" xr:uid="{00000000-0005-0000-0000-00008B3C0000}"/>
    <cellStyle name="Akcent 4 2 8 2 12" xfId="15650" xr:uid="{00000000-0005-0000-0000-00008C3C0000}"/>
    <cellStyle name="Akcent 4 2 8 2 2" xfId="15651" xr:uid="{00000000-0005-0000-0000-00008D3C0000}"/>
    <cellStyle name="Akcent 4 2 8 2 2 10" xfId="15652" xr:uid="{00000000-0005-0000-0000-00008E3C0000}"/>
    <cellStyle name="Akcent 4 2 8 2 2 11" xfId="15653" xr:uid="{00000000-0005-0000-0000-00008F3C0000}"/>
    <cellStyle name="Akcent 4 2 8 2 2 2" xfId="15654" xr:uid="{00000000-0005-0000-0000-0000903C0000}"/>
    <cellStyle name="Akcent 4 2 8 2 2 2 10" xfId="15655" xr:uid="{00000000-0005-0000-0000-0000913C0000}"/>
    <cellStyle name="Akcent 4 2 8 2 2 2 11" xfId="15656" xr:uid="{00000000-0005-0000-0000-0000923C0000}"/>
    <cellStyle name="Akcent 4 2 8 2 2 2 2" xfId="15657" xr:uid="{00000000-0005-0000-0000-0000933C0000}"/>
    <cellStyle name="Akcent 4 2 8 2 2 2 2 2" xfId="15658" xr:uid="{00000000-0005-0000-0000-0000943C0000}"/>
    <cellStyle name="Akcent 4 2 8 2 2 2 2 2 2" xfId="15659" xr:uid="{00000000-0005-0000-0000-0000953C0000}"/>
    <cellStyle name="Akcent 4 2 8 2 2 2 2 2 3" xfId="15660" xr:uid="{00000000-0005-0000-0000-0000963C0000}"/>
    <cellStyle name="Akcent 4 2 8 2 2 2 2 2 4" xfId="15661" xr:uid="{00000000-0005-0000-0000-0000973C0000}"/>
    <cellStyle name="Akcent 4 2 8 2 2 2 2 2 5" xfId="15662" xr:uid="{00000000-0005-0000-0000-0000983C0000}"/>
    <cellStyle name="Akcent 4 2 8 2 2 2 2 2 6" xfId="15663" xr:uid="{00000000-0005-0000-0000-0000993C0000}"/>
    <cellStyle name="Akcent 4 2 8 2 2 2 2 3" xfId="15664" xr:uid="{00000000-0005-0000-0000-00009A3C0000}"/>
    <cellStyle name="Akcent 4 2 8 2 2 2 2 4" xfId="15665" xr:uid="{00000000-0005-0000-0000-00009B3C0000}"/>
    <cellStyle name="Akcent 4 2 8 2 2 2 2 5" xfId="15666" xr:uid="{00000000-0005-0000-0000-00009C3C0000}"/>
    <cellStyle name="Akcent 4 2 8 2 2 2 2 6" xfId="15667" xr:uid="{00000000-0005-0000-0000-00009D3C0000}"/>
    <cellStyle name="Akcent 4 2 8 2 2 2 2 7" xfId="15668" xr:uid="{00000000-0005-0000-0000-00009E3C0000}"/>
    <cellStyle name="Akcent 4 2 8 2 2 2 3" xfId="15669" xr:uid="{00000000-0005-0000-0000-00009F3C0000}"/>
    <cellStyle name="Akcent 4 2 8 2 2 2 4" xfId="15670" xr:uid="{00000000-0005-0000-0000-0000A03C0000}"/>
    <cellStyle name="Akcent 4 2 8 2 2 2 5" xfId="15671" xr:uid="{00000000-0005-0000-0000-0000A13C0000}"/>
    <cellStyle name="Akcent 4 2 8 2 2 2 6" xfId="15672" xr:uid="{00000000-0005-0000-0000-0000A23C0000}"/>
    <cellStyle name="Akcent 4 2 8 2 2 2 7" xfId="15673" xr:uid="{00000000-0005-0000-0000-0000A33C0000}"/>
    <cellStyle name="Akcent 4 2 8 2 2 2 7 2" xfId="15674" xr:uid="{00000000-0005-0000-0000-0000A43C0000}"/>
    <cellStyle name="Akcent 4 2 8 2 2 2 7 3" xfId="15675" xr:uid="{00000000-0005-0000-0000-0000A53C0000}"/>
    <cellStyle name="Akcent 4 2 8 2 2 2 7 4" xfId="15676" xr:uid="{00000000-0005-0000-0000-0000A63C0000}"/>
    <cellStyle name="Akcent 4 2 8 2 2 2 7 5" xfId="15677" xr:uid="{00000000-0005-0000-0000-0000A73C0000}"/>
    <cellStyle name="Akcent 4 2 8 2 2 2 7 6" xfId="15678" xr:uid="{00000000-0005-0000-0000-0000A83C0000}"/>
    <cellStyle name="Akcent 4 2 8 2 2 2 8" xfId="15679" xr:uid="{00000000-0005-0000-0000-0000A93C0000}"/>
    <cellStyle name="Akcent 4 2 8 2 2 2 9" xfId="15680" xr:uid="{00000000-0005-0000-0000-0000AA3C0000}"/>
    <cellStyle name="Akcent 4 2 8 2 2 3" xfId="15681" xr:uid="{00000000-0005-0000-0000-0000AB3C0000}"/>
    <cellStyle name="Akcent 4 2 8 2 2 3 2" xfId="15682" xr:uid="{00000000-0005-0000-0000-0000AC3C0000}"/>
    <cellStyle name="Akcent 4 2 8 2 2 3 2 2" xfId="15683" xr:uid="{00000000-0005-0000-0000-0000AD3C0000}"/>
    <cellStyle name="Akcent 4 2 8 2 2 3 2 3" xfId="15684" xr:uid="{00000000-0005-0000-0000-0000AE3C0000}"/>
    <cellStyle name="Akcent 4 2 8 2 2 3 2 4" xfId="15685" xr:uid="{00000000-0005-0000-0000-0000AF3C0000}"/>
    <cellStyle name="Akcent 4 2 8 2 2 3 2 5" xfId="15686" xr:uid="{00000000-0005-0000-0000-0000B03C0000}"/>
    <cellStyle name="Akcent 4 2 8 2 2 3 2 6" xfId="15687" xr:uid="{00000000-0005-0000-0000-0000B13C0000}"/>
    <cellStyle name="Akcent 4 2 8 2 2 3 3" xfId="15688" xr:uid="{00000000-0005-0000-0000-0000B23C0000}"/>
    <cellStyle name="Akcent 4 2 8 2 2 3 4" xfId="15689" xr:uid="{00000000-0005-0000-0000-0000B33C0000}"/>
    <cellStyle name="Akcent 4 2 8 2 2 3 5" xfId="15690" xr:uid="{00000000-0005-0000-0000-0000B43C0000}"/>
    <cellStyle name="Akcent 4 2 8 2 2 3 6" xfId="15691" xr:uid="{00000000-0005-0000-0000-0000B53C0000}"/>
    <cellStyle name="Akcent 4 2 8 2 2 3 7" xfId="15692" xr:uid="{00000000-0005-0000-0000-0000B63C0000}"/>
    <cellStyle name="Akcent 4 2 8 2 2 4" xfId="15693" xr:uid="{00000000-0005-0000-0000-0000B73C0000}"/>
    <cellStyle name="Akcent 4 2 8 2 2 5" xfId="15694" xr:uid="{00000000-0005-0000-0000-0000B83C0000}"/>
    <cellStyle name="Akcent 4 2 8 2 2 6" xfId="15695" xr:uid="{00000000-0005-0000-0000-0000B93C0000}"/>
    <cellStyle name="Akcent 4 2 8 2 2 7" xfId="15696" xr:uid="{00000000-0005-0000-0000-0000BA3C0000}"/>
    <cellStyle name="Akcent 4 2 8 2 2 7 2" xfId="15697" xr:uid="{00000000-0005-0000-0000-0000BB3C0000}"/>
    <cellStyle name="Akcent 4 2 8 2 2 7 3" xfId="15698" xr:uid="{00000000-0005-0000-0000-0000BC3C0000}"/>
    <cellStyle name="Akcent 4 2 8 2 2 7 4" xfId="15699" xr:uid="{00000000-0005-0000-0000-0000BD3C0000}"/>
    <cellStyle name="Akcent 4 2 8 2 2 7 5" xfId="15700" xr:uid="{00000000-0005-0000-0000-0000BE3C0000}"/>
    <cellStyle name="Akcent 4 2 8 2 2 7 6" xfId="15701" xr:uid="{00000000-0005-0000-0000-0000BF3C0000}"/>
    <cellStyle name="Akcent 4 2 8 2 2 8" xfId="15702" xr:uid="{00000000-0005-0000-0000-0000C03C0000}"/>
    <cellStyle name="Akcent 4 2 8 2 2 9" xfId="15703" xr:uid="{00000000-0005-0000-0000-0000C13C0000}"/>
    <cellStyle name="Akcent 4 2 8 2 3" xfId="15704" xr:uid="{00000000-0005-0000-0000-0000C23C0000}"/>
    <cellStyle name="Akcent 4 2 8 2 3 2" xfId="15705" xr:uid="{00000000-0005-0000-0000-0000C33C0000}"/>
    <cellStyle name="Akcent 4 2 8 2 3 2 2" xfId="15706" xr:uid="{00000000-0005-0000-0000-0000C43C0000}"/>
    <cellStyle name="Akcent 4 2 8 2 3 2 3" xfId="15707" xr:uid="{00000000-0005-0000-0000-0000C53C0000}"/>
    <cellStyle name="Akcent 4 2 8 2 3 2 4" xfId="15708" xr:uid="{00000000-0005-0000-0000-0000C63C0000}"/>
    <cellStyle name="Akcent 4 2 8 2 3 2 5" xfId="15709" xr:uid="{00000000-0005-0000-0000-0000C73C0000}"/>
    <cellStyle name="Akcent 4 2 8 2 3 2 6" xfId="15710" xr:uid="{00000000-0005-0000-0000-0000C83C0000}"/>
    <cellStyle name="Akcent 4 2 8 2 3 3" xfId="15711" xr:uid="{00000000-0005-0000-0000-0000C93C0000}"/>
    <cellStyle name="Akcent 4 2 8 2 3 4" xfId="15712" xr:uid="{00000000-0005-0000-0000-0000CA3C0000}"/>
    <cellStyle name="Akcent 4 2 8 2 3 5" xfId="15713" xr:uid="{00000000-0005-0000-0000-0000CB3C0000}"/>
    <cellStyle name="Akcent 4 2 8 2 3 6" xfId="15714" xr:uid="{00000000-0005-0000-0000-0000CC3C0000}"/>
    <cellStyle name="Akcent 4 2 8 2 3 7" xfId="15715" xr:uid="{00000000-0005-0000-0000-0000CD3C0000}"/>
    <cellStyle name="Akcent 4 2 8 2 4" xfId="15716" xr:uid="{00000000-0005-0000-0000-0000CE3C0000}"/>
    <cellStyle name="Akcent 4 2 8 2 5" xfId="15717" xr:uid="{00000000-0005-0000-0000-0000CF3C0000}"/>
    <cellStyle name="Akcent 4 2 8 2 6" xfId="15718" xr:uid="{00000000-0005-0000-0000-0000D03C0000}"/>
    <cellStyle name="Akcent 4 2 8 2 7" xfId="15719" xr:uid="{00000000-0005-0000-0000-0000D13C0000}"/>
    <cellStyle name="Akcent 4 2 8 2 8" xfId="15720" xr:uid="{00000000-0005-0000-0000-0000D23C0000}"/>
    <cellStyle name="Akcent 4 2 8 2 8 2" xfId="15721" xr:uid="{00000000-0005-0000-0000-0000D33C0000}"/>
    <cellStyle name="Akcent 4 2 8 2 8 3" xfId="15722" xr:uid="{00000000-0005-0000-0000-0000D43C0000}"/>
    <cellStyle name="Akcent 4 2 8 2 8 4" xfId="15723" xr:uid="{00000000-0005-0000-0000-0000D53C0000}"/>
    <cellStyle name="Akcent 4 2 8 2 8 5" xfId="15724" xr:uid="{00000000-0005-0000-0000-0000D63C0000}"/>
    <cellStyle name="Akcent 4 2 8 2 8 6" xfId="15725" xr:uid="{00000000-0005-0000-0000-0000D73C0000}"/>
    <cellStyle name="Akcent 4 2 8 2 9" xfId="15726" xr:uid="{00000000-0005-0000-0000-0000D83C0000}"/>
    <cellStyle name="Akcent 4 2 8 3" xfId="15727" xr:uid="{00000000-0005-0000-0000-0000D93C0000}"/>
    <cellStyle name="Akcent 4 2 8 4" xfId="15728" xr:uid="{00000000-0005-0000-0000-0000DA3C0000}"/>
    <cellStyle name="Akcent 4 2 8 4 10" xfId="15729" xr:uid="{00000000-0005-0000-0000-0000DB3C0000}"/>
    <cellStyle name="Akcent 4 2 8 4 11" xfId="15730" xr:uid="{00000000-0005-0000-0000-0000DC3C0000}"/>
    <cellStyle name="Akcent 4 2 8 4 2" xfId="15731" xr:uid="{00000000-0005-0000-0000-0000DD3C0000}"/>
    <cellStyle name="Akcent 4 2 8 4 2 2" xfId="15732" xr:uid="{00000000-0005-0000-0000-0000DE3C0000}"/>
    <cellStyle name="Akcent 4 2 8 4 2 2 2" xfId="15733" xr:uid="{00000000-0005-0000-0000-0000DF3C0000}"/>
    <cellStyle name="Akcent 4 2 8 4 2 2 3" xfId="15734" xr:uid="{00000000-0005-0000-0000-0000E03C0000}"/>
    <cellStyle name="Akcent 4 2 8 4 2 2 4" xfId="15735" xr:uid="{00000000-0005-0000-0000-0000E13C0000}"/>
    <cellStyle name="Akcent 4 2 8 4 2 2 5" xfId="15736" xr:uid="{00000000-0005-0000-0000-0000E23C0000}"/>
    <cellStyle name="Akcent 4 2 8 4 2 2 6" xfId="15737" xr:uid="{00000000-0005-0000-0000-0000E33C0000}"/>
    <cellStyle name="Akcent 4 2 8 4 2 3" xfId="15738" xr:uid="{00000000-0005-0000-0000-0000E43C0000}"/>
    <cellStyle name="Akcent 4 2 8 4 2 4" xfId="15739" xr:uid="{00000000-0005-0000-0000-0000E53C0000}"/>
    <cellStyle name="Akcent 4 2 8 4 2 5" xfId="15740" xr:uid="{00000000-0005-0000-0000-0000E63C0000}"/>
    <cellStyle name="Akcent 4 2 8 4 2 6" xfId="15741" xr:uid="{00000000-0005-0000-0000-0000E73C0000}"/>
    <cellStyle name="Akcent 4 2 8 4 2 7" xfId="15742" xr:uid="{00000000-0005-0000-0000-0000E83C0000}"/>
    <cellStyle name="Akcent 4 2 8 4 3" xfId="15743" xr:uid="{00000000-0005-0000-0000-0000E93C0000}"/>
    <cellStyle name="Akcent 4 2 8 4 4" xfId="15744" xr:uid="{00000000-0005-0000-0000-0000EA3C0000}"/>
    <cellStyle name="Akcent 4 2 8 4 5" xfId="15745" xr:uid="{00000000-0005-0000-0000-0000EB3C0000}"/>
    <cellStyle name="Akcent 4 2 8 4 6" xfId="15746" xr:uid="{00000000-0005-0000-0000-0000EC3C0000}"/>
    <cellStyle name="Akcent 4 2 8 4 7" xfId="15747" xr:uid="{00000000-0005-0000-0000-0000ED3C0000}"/>
    <cellStyle name="Akcent 4 2 8 4 7 2" xfId="15748" xr:uid="{00000000-0005-0000-0000-0000EE3C0000}"/>
    <cellStyle name="Akcent 4 2 8 4 7 3" xfId="15749" xr:uid="{00000000-0005-0000-0000-0000EF3C0000}"/>
    <cellStyle name="Akcent 4 2 8 4 7 4" xfId="15750" xr:uid="{00000000-0005-0000-0000-0000F03C0000}"/>
    <cellStyle name="Akcent 4 2 8 4 7 5" xfId="15751" xr:uid="{00000000-0005-0000-0000-0000F13C0000}"/>
    <cellStyle name="Akcent 4 2 8 4 7 6" xfId="15752" xr:uid="{00000000-0005-0000-0000-0000F23C0000}"/>
    <cellStyle name="Akcent 4 2 8 4 8" xfId="15753" xr:uid="{00000000-0005-0000-0000-0000F33C0000}"/>
    <cellStyle name="Akcent 4 2 8 4 9" xfId="15754" xr:uid="{00000000-0005-0000-0000-0000F43C0000}"/>
    <cellStyle name="Akcent 4 2 8 5" xfId="15755" xr:uid="{00000000-0005-0000-0000-0000F53C0000}"/>
    <cellStyle name="Akcent 4 2 8 5 2" xfId="15756" xr:uid="{00000000-0005-0000-0000-0000F63C0000}"/>
    <cellStyle name="Akcent 4 2 8 5 2 2" xfId="15757" xr:uid="{00000000-0005-0000-0000-0000F73C0000}"/>
    <cellStyle name="Akcent 4 2 8 5 2 3" xfId="15758" xr:uid="{00000000-0005-0000-0000-0000F83C0000}"/>
    <cellStyle name="Akcent 4 2 8 5 2 4" xfId="15759" xr:uid="{00000000-0005-0000-0000-0000F93C0000}"/>
    <cellStyle name="Akcent 4 2 8 5 2 5" xfId="15760" xr:uid="{00000000-0005-0000-0000-0000FA3C0000}"/>
    <cellStyle name="Akcent 4 2 8 5 2 6" xfId="15761" xr:uid="{00000000-0005-0000-0000-0000FB3C0000}"/>
    <cellStyle name="Akcent 4 2 8 5 3" xfId="15762" xr:uid="{00000000-0005-0000-0000-0000FC3C0000}"/>
    <cellStyle name="Akcent 4 2 8 5 4" xfId="15763" xr:uid="{00000000-0005-0000-0000-0000FD3C0000}"/>
    <cellStyle name="Akcent 4 2 8 5 5" xfId="15764" xr:uid="{00000000-0005-0000-0000-0000FE3C0000}"/>
    <cellStyle name="Akcent 4 2 8 5 6" xfId="15765" xr:uid="{00000000-0005-0000-0000-0000FF3C0000}"/>
    <cellStyle name="Akcent 4 2 8 5 7" xfId="15766" xr:uid="{00000000-0005-0000-0000-0000003D0000}"/>
    <cellStyle name="Akcent 4 2 8 6" xfId="15767" xr:uid="{00000000-0005-0000-0000-0000013D0000}"/>
    <cellStyle name="Akcent 4 2 8 7" xfId="15768" xr:uid="{00000000-0005-0000-0000-0000023D0000}"/>
    <cellStyle name="Akcent 4 2 8 8" xfId="15769" xr:uid="{00000000-0005-0000-0000-0000033D0000}"/>
    <cellStyle name="Akcent 4 2 8 9" xfId="15770" xr:uid="{00000000-0005-0000-0000-0000043D0000}"/>
    <cellStyle name="Akcent 4 2 8 9 2" xfId="15771" xr:uid="{00000000-0005-0000-0000-0000053D0000}"/>
    <cellStyle name="Akcent 4 2 8 9 3" xfId="15772" xr:uid="{00000000-0005-0000-0000-0000063D0000}"/>
    <cellStyle name="Akcent 4 2 8 9 4" xfId="15773" xr:uid="{00000000-0005-0000-0000-0000073D0000}"/>
    <cellStyle name="Akcent 4 2 8 9 5" xfId="15774" xr:uid="{00000000-0005-0000-0000-0000083D0000}"/>
    <cellStyle name="Akcent 4 2 8 9 6" xfId="15775" xr:uid="{00000000-0005-0000-0000-0000093D0000}"/>
    <cellStyle name="Akcent 4 2 9" xfId="15776" xr:uid="{00000000-0005-0000-0000-00000A3D0000}"/>
    <cellStyle name="Akcent 4 3" xfId="214" xr:uid="{00000000-0005-0000-0000-00000B3D0000}"/>
    <cellStyle name="Akcent 4 3 2" xfId="15778" xr:uid="{00000000-0005-0000-0000-00000C3D0000}"/>
    <cellStyle name="Akcent 4 3 3" xfId="15779" xr:uid="{00000000-0005-0000-0000-00000D3D0000}"/>
    <cellStyle name="Akcent 4 3 4" xfId="15780" xr:uid="{00000000-0005-0000-0000-00000E3D0000}"/>
    <cellStyle name="Akcent 4 3 5" xfId="15781" xr:uid="{00000000-0005-0000-0000-00000F3D0000}"/>
    <cellStyle name="Akcent 4 3 6" xfId="15777" xr:uid="{00000000-0005-0000-0000-0000103D0000}"/>
    <cellStyle name="Akcent 4 4" xfId="215" xr:uid="{00000000-0005-0000-0000-0000113D0000}"/>
    <cellStyle name="Akcent 4 4 2" xfId="15783" xr:uid="{00000000-0005-0000-0000-0000123D0000}"/>
    <cellStyle name="Akcent 4 4 3" xfId="15784" xr:uid="{00000000-0005-0000-0000-0000133D0000}"/>
    <cellStyle name="Akcent 4 4 4" xfId="15785" xr:uid="{00000000-0005-0000-0000-0000143D0000}"/>
    <cellStyle name="Akcent 4 4 5" xfId="15786" xr:uid="{00000000-0005-0000-0000-0000153D0000}"/>
    <cellStyle name="Akcent 4 4 6" xfId="15782" xr:uid="{00000000-0005-0000-0000-0000163D0000}"/>
    <cellStyle name="Akcent 4 5" xfId="216" xr:uid="{00000000-0005-0000-0000-0000173D0000}"/>
    <cellStyle name="Akcent 4 5 2" xfId="15788" xr:uid="{00000000-0005-0000-0000-0000183D0000}"/>
    <cellStyle name="Akcent 4 5 3" xfId="15789" xr:uid="{00000000-0005-0000-0000-0000193D0000}"/>
    <cellStyle name="Akcent 4 5 4" xfId="15790" xr:uid="{00000000-0005-0000-0000-00001A3D0000}"/>
    <cellStyle name="Akcent 4 5 5" xfId="15791" xr:uid="{00000000-0005-0000-0000-00001B3D0000}"/>
    <cellStyle name="Akcent 4 5 6" xfId="15787" xr:uid="{00000000-0005-0000-0000-00001C3D0000}"/>
    <cellStyle name="Akcent 4 6" xfId="217" xr:uid="{00000000-0005-0000-0000-00001D3D0000}"/>
    <cellStyle name="Akcent 4 6 2" xfId="15793" xr:uid="{00000000-0005-0000-0000-00001E3D0000}"/>
    <cellStyle name="Akcent 4 6 3" xfId="15794" xr:uid="{00000000-0005-0000-0000-00001F3D0000}"/>
    <cellStyle name="Akcent 4 6 4" xfId="15795" xr:uid="{00000000-0005-0000-0000-0000203D0000}"/>
    <cellStyle name="Akcent 4 6 5" xfId="15796" xr:uid="{00000000-0005-0000-0000-0000213D0000}"/>
    <cellStyle name="Akcent 4 6 6" xfId="15792" xr:uid="{00000000-0005-0000-0000-0000223D0000}"/>
    <cellStyle name="Akcent 4 7" xfId="218" xr:uid="{00000000-0005-0000-0000-0000233D0000}"/>
    <cellStyle name="Akcent 4 7 2" xfId="15798" xr:uid="{00000000-0005-0000-0000-0000243D0000}"/>
    <cellStyle name="Akcent 4 7 3" xfId="15799" xr:uid="{00000000-0005-0000-0000-0000253D0000}"/>
    <cellStyle name="Akcent 4 7 4" xfId="15800" xr:uid="{00000000-0005-0000-0000-0000263D0000}"/>
    <cellStyle name="Akcent 4 7 5" xfId="15801" xr:uid="{00000000-0005-0000-0000-0000273D0000}"/>
    <cellStyle name="Akcent 4 7 6" xfId="15797" xr:uid="{00000000-0005-0000-0000-0000283D0000}"/>
    <cellStyle name="Akcent 4 8" xfId="15802" xr:uid="{00000000-0005-0000-0000-0000293D0000}"/>
    <cellStyle name="Akcent 4 8 2" xfId="15803" xr:uid="{00000000-0005-0000-0000-00002A3D0000}"/>
    <cellStyle name="Akcent 4 8 3" xfId="15804" xr:uid="{00000000-0005-0000-0000-00002B3D0000}"/>
    <cellStyle name="Akcent 4 8 4" xfId="15805" xr:uid="{00000000-0005-0000-0000-00002C3D0000}"/>
    <cellStyle name="Akcent 4 9" xfId="15806" xr:uid="{00000000-0005-0000-0000-00002D3D0000}"/>
    <cellStyle name="Akcent 5 1" xfId="15807" xr:uid="{00000000-0005-0000-0000-00002E3D0000}"/>
    <cellStyle name="Akcent 5 10" xfId="15808" xr:uid="{00000000-0005-0000-0000-00002F3D0000}"/>
    <cellStyle name="Akcent 5 11" xfId="15809" xr:uid="{00000000-0005-0000-0000-0000303D0000}"/>
    <cellStyle name="Akcent 5 12" xfId="15810" xr:uid="{00000000-0005-0000-0000-0000313D0000}"/>
    <cellStyle name="Akcent 5 13" xfId="15811" xr:uid="{00000000-0005-0000-0000-0000323D0000}"/>
    <cellStyle name="Akcent 5 14" xfId="15812" xr:uid="{00000000-0005-0000-0000-0000333D0000}"/>
    <cellStyle name="Akcent 5 15" xfId="15813" xr:uid="{00000000-0005-0000-0000-0000343D0000}"/>
    <cellStyle name="Akcent 5 16" xfId="15814" xr:uid="{00000000-0005-0000-0000-0000353D0000}"/>
    <cellStyle name="Akcent 5 17" xfId="15815" xr:uid="{00000000-0005-0000-0000-0000363D0000}"/>
    <cellStyle name="Akcent 5 18" xfId="15816" xr:uid="{00000000-0005-0000-0000-0000373D0000}"/>
    <cellStyle name="Akcent 5 19" xfId="15817" xr:uid="{00000000-0005-0000-0000-0000383D0000}"/>
    <cellStyle name="Akcent 5 2" xfId="219" xr:uid="{00000000-0005-0000-0000-0000393D0000}"/>
    <cellStyle name="Akcent 5 2 10" xfId="15819" xr:uid="{00000000-0005-0000-0000-00003A3D0000}"/>
    <cellStyle name="Akcent 5 2 11" xfId="15820" xr:uid="{00000000-0005-0000-0000-00003B3D0000}"/>
    <cellStyle name="Akcent 5 2 12" xfId="15821" xr:uid="{00000000-0005-0000-0000-00003C3D0000}"/>
    <cellStyle name="Akcent 5 2 13" xfId="15822" xr:uid="{00000000-0005-0000-0000-00003D3D0000}"/>
    <cellStyle name="Akcent 5 2 13 10" xfId="15823" xr:uid="{00000000-0005-0000-0000-00003E3D0000}"/>
    <cellStyle name="Akcent 5 2 13 11" xfId="15824" xr:uid="{00000000-0005-0000-0000-00003F3D0000}"/>
    <cellStyle name="Akcent 5 2 13 12" xfId="15825" xr:uid="{00000000-0005-0000-0000-0000403D0000}"/>
    <cellStyle name="Akcent 5 2 13 2" xfId="15826" xr:uid="{00000000-0005-0000-0000-0000413D0000}"/>
    <cellStyle name="Akcent 5 2 13 2 10" xfId="15827" xr:uid="{00000000-0005-0000-0000-0000423D0000}"/>
    <cellStyle name="Akcent 5 2 13 2 11" xfId="15828" xr:uid="{00000000-0005-0000-0000-0000433D0000}"/>
    <cellStyle name="Akcent 5 2 13 2 2" xfId="15829" xr:uid="{00000000-0005-0000-0000-0000443D0000}"/>
    <cellStyle name="Akcent 5 2 13 2 2 10" xfId="15830" xr:uid="{00000000-0005-0000-0000-0000453D0000}"/>
    <cellStyle name="Akcent 5 2 13 2 2 11" xfId="15831" xr:uid="{00000000-0005-0000-0000-0000463D0000}"/>
    <cellStyle name="Akcent 5 2 13 2 2 2" xfId="15832" xr:uid="{00000000-0005-0000-0000-0000473D0000}"/>
    <cellStyle name="Akcent 5 2 13 2 2 2 2" xfId="15833" xr:uid="{00000000-0005-0000-0000-0000483D0000}"/>
    <cellStyle name="Akcent 5 2 13 2 2 2 2 2" xfId="15834" xr:uid="{00000000-0005-0000-0000-0000493D0000}"/>
    <cellStyle name="Akcent 5 2 13 2 2 2 2 3" xfId="15835" xr:uid="{00000000-0005-0000-0000-00004A3D0000}"/>
    <cellStyle name="Akcent 5 2 13 2 2 2 2 4" xfId="15836" xr:uid="{00000000-0005-0000-0000-00004B3D0000}"/>
    <cellStyle name="Akcent 5 2 13 2 2 2 2 5" xfId="15837" xr:uid="{00000000-0005-0000-0000-00004C3D0000}"/>
    <cellStyle name="Akcent 5 2 13 2 2 2 2 6" xfId="15838" xr:uid="{00000000-0005-0000-0000-00004D3D0000}"/>
    <cellStyle name="Akcent 5 2 13 2 2 2 3" xfId="15839" xr:uid="{00000000-0005-0000-0000-00004E3D0000}"/>
    <cellStyle name="Akcent 5 2 13 2 2 2 4" xfId="15840" xr:uid="{00000000-0005-0000-0000-00004F3D0000}"/>
    <cellStyle name="Akcent 5 2 13 2 2 2 5" xfId="15841" xr:uid="{00000000-0005-0000-0000-0000503D0000}"/>
    <cellStyle name="Akcent 5 2 13 2 2 2 6" xfId="15842" xr:uid="{00000000-0005-0000-0000-0000513D0000}"/>
    <cellStyle name="Akcent 5 2 13 2 2 2 7" xfId="15843" xr:uid="{00000000-0005-0000-0000-0000523D0000}"/>
    <cellStyle name="Akcent 5 2 13 2 2 3" xfId="15844" xr:uid="{00000000-0005-0000-0000-0000533D0000}"/>
    <cellStyle name="Akcent 5 2 13 2 2 4" xfId="15845" xr:uid="{00000000-0005-0000-0000-0000543D0000}"/>
    <cellStyle name="Akcent 5 2 13 2 2 5" xfId="15846" xr:uid="{00000000-0005-0000-0000-0000553D0000}"/>
    <cellStyle name="Akcent 5 2 13 2 2 6" xfId="15847" xr:uid="{00000000-0005-0000-0000-0000563D0000}"/>
    <cellStyle name="Akcent 5 2 13 2 2 7" xfId="15848" xr:uid="{00000000-0005-0000-0000-0000573D0000}"/>
    <cellStyle name="Akcent 5 2 13 2 2 7 2" xfId="15849" xr:uid="{00000000-0005-0000-0000-0000583D0000}"/>
    <cellStyle name="Akcent 5 2 13 2 2 7 3" xfId="15850" xr:uid="{00000000-0005-0000-0000-0000593D0000}"/>
    <cellStyle name="Akcent 5 2 13 2 2 7 4" xfId="15851" xr:uid="{00000000-0005-0000-0000-00005A3D0000}"/>
    <cellStyle name="Akcent 5 2 13 2 2 7 5" xfId="15852" xr:uid="{00000000-0005-0000-0000-00005B3D0000}"/>
    <cellStyle name="Akcent 5 2 13 2 2 7 6" xfId="15853" xr:uid="{00000000-0005-0000-0000-00005C3D0000}"/>
    <cellStyle name="Akcent 5 2 13 2 2 8" xfId="15854" xr:uid="{00000000-0005-0000-0000-00005D3D0000}"/>
    <cellStyle name="Akcent 5 2 13 2 2 9" xfId="15855" xr:uid="{00000000-0005-0000-0000-00005E3D0000}"/>
    <cellStyle name="Akcent 5 2 13 2 3" xfId="15856" xr:uid="{00000000-0005-0000-0000-00005F3D0000}"/>
    <cellStyle name="Akcent 5 2 13 2 3 2" xfId="15857" xr:uid="{00000000-0005-0000-0000-0000603D0000}"/>
    <cellStyle name="Akcent 5 2 13 2 3 2 2" xfId="15858" xr:uid="{00000000-0005-0000-0000-0000613D0000}"/>
    <cellStyle name="Akcent 5 2 13 2 3 2 3" xfId="15859" xr:uid="{00000000-0005-0000-0000-0000623D0000}"/>
    <cellStyle name="Akcent 5 2 13 2 3 2 4" xfId="15860" xr:uid="{00000000-0005-0000-0000-0000633D0000}"/>
    <cellStyle name="Akcent 5 2 13 2 3 2 5" xfId="15861" xr:uid="{00000000-0005-0000-0000-0000643D0000}"/>
    <cellStyle name="Akcent 5 2 13 2 3 2 6" xfId="15862" xr:uid="{00000000-0005-0000-0000-0000653D0000}"/>
    <cellStyle name="Akcent 5 2 13 2 3 3" xfId="15863" xr:uid="{00000000-0005-0000-0000-0000663D0000}"/>
    <cellStyle name="Akcent 5 2 13 2 3 4" xfId="15864" xr:uid="{00000000-0005-0000-0000-0000673D0000}"/>
    <cellStyle name="Akcent 5 2 13 2 3 5" xfId="15865" xr:uid="{00000000-0005-0000-0000-0000683D0000}"/>
    <cellStyle name="Akcent 5 2 13 2 3 6" xfId="15866" xr:uid="{00000000-0005-0000-0000-0000693D0000}"/>
    <cellStyle name="Akcent 5 2 13 2 3 7" xfId="15867" xr:uid="{00000000-0005-0000-0000-00006A3D0000}"/>
    <cellStyle name="Akcent 5 2 13 2 4" xfId="15868" xr:uid="{00000000-0005-0000-0000-00006B3D0000}"/>
    <cellStyle name="Akcent 5 2 13 2 5" xfId="15869" xr:uid="{00000000-0005-0000-0000-00006C3D0000}"/>
    <cellStyle name="Akcent 5 2 13 2 6" xfId="15870" xr:uid="{00000000-0005-0000-0000-00006D3D0000}"/>
    <cellStyle name="Akcent 5 2 13 2 7" xfId="15871" xr:uid="{00000000-0005-0000-0000-00006E3D0000}"/>
    <cellStyle name="Akcent 5 2 13 2 7 2" xfId="15872" xr:uid="{00000000-0005-0000-0000-00006F3D0000}"/>
    <cellStyle name="Akcent 5 2 13 2 7 3" xfId="15873" xr:uid="{00000000-0005-0000-0000-0000703D0000}"/>
    <cellStyle name="Akcent 5 2 13 2 7 4" xfId="15874" xr:uid="{00000000-0005-0000-0000-0000713D0000}"/>
    <cellStyle name="Akcent 5 2 13 2 7 5" xfId="15875" xr:uid="{00000000-0005-0000-0000-0000723D0000}"/>
    <cellStyle name="Akcent 5 2 13 2 7 6" xfId="15876" xr:uid="{00000000-0005-0000-0000-0000733D0000}"/>
    <cellStyle name="Akcent 5 2 13 2 8" xfId="15877" xr:uid="{00000000-0005-0000-0000-0000743D0000}"/>
    <cellStyle name="Akcent 5 2 13 2 9" xfId="15878" xr:uid="{00000000-0005-0000-0000-0000753D0000}"/>
    <cellStyle name="Akcent 5 2 13 3" xfId="15879" xr:uid="{00000000-0005-0000-0000-0000763D0000}"/>
    <cellStyle name="Akcent 5 2 13 3 2" xfId="15880" xr:uid="{00000000-0005-0000-0000-0000773D0000}"/>
    <cellStyle name="Akcent 5 2 13 3 2 2" xfId="15881" xr:uid="{00000000-0005-0000-0000-0000783D0000}"/>
    <cellStyle name="Akcent 5 2 13 3 2 3" xfId="15882" xr:uid="{00000000-0005-0000-0000-0000793D0000}"/>
    <cellStyle name="Akcent 5 2 13 3 2 4" xfId="15883" xr:uid="{00000000-0005-0000-0000-00007A3D0000}"/>
    <cellStyle name="Akcent 5 2 13 3 2 5" xfId="15884" xr:uid="{00000000-0005-0000-0000-00007B3D0000}"/>
    <cellStyle name="Akcent 5 2 13 3 2 6" xfId="15885" xr:uid="{00000000-0005-0000-0000-00007C3D0000}"/>
    <cellStyle name="Akcent 5 2 13 3 3" xfId="15886" xr:uid="{00000000-0005-0000-0000-00007D3D0000}"/>
    <cellStyle name="Akcent 5 2 13 3 4" xfId="15887" xr:uid="{00000000-0005-0000-0000-00007E3D0000}"/>
    <cellStyle name="Akcent 5 2 13 3 5" xfId="15888" xr:uid="{00000000-0005-0000-0000-00007F3D0000}"/>
    <cellStyle name="Akcent 5 2 13 3 6" xfId="15889" xr:uid="{00000000-0005-0000-0000-0000803D0000}"/>
    <cellStyle name="Akcent 5 2 13 3 7" xfId="15890" xr:uid="{00000000-0005-0000-0000-0000813D0000}"/>
    <cellStyle name="Akcent 5 2 13 4" xfId="15891" xr:uid="{00000000-0005-0000-0000-0000823D0000}"/>
    <cellStyle name="Akcent 5 2 13 5" xfId="15892" xr:uid="{00000000-0005-0000-0000-0000833D0000}"/>
    <cellStyle name="Akcent 5 2 13 6" xfId="15893" xr:uid="{00000000-0005-0000-0000-0000843D0000}"/>
    <cellStyle name="Akcent 5 2 13 7" xfId="15894" xr:uid="{00000000-0005-0000-0000-0000853D0000}"/>
    <cellStyle name="Akcent 5 2 13 8" xfId="15895" xr:uid="{00000000-0005-0000-0000-0000863D0000}"/>
    <cellStyle name="Akcent 5 2 13 8 2" xfId="15896" xr:uid="{00000000-0005-0000-0000-0000873D0000}"/>
    <cellStyle name="Akcent 5 2 13 8 3" xfId="15897" xr:uid="{00000000-0005-0000-0000-0000883D0000}"/>
    <cellStyle name="Akcent 5 2 13 8 4" xfId="15898" xr:uid="{00000000-0005-0000-0000-0000893D0000}"/>
    <cellStyle name="Akcent 5 2 13 8 5" xfId="15899" xr:uid="{00000000-0005-0000-0000-00008A3D0000}"/>
    <cellStyle name="Akcent 5 2 13 8 6" xfId="15900" xr:uid="{00000000-0005-0000-0000-00008B3D0000}"/>
    <cellStyle name="Akcent 5 2 13 9" xfId="15901" xr:uid="{00000000-0005-0000-0000-00008C3D0000}"/>
    <cellStyle name="Akcent 5 2 14" xfId="15902" xr:uid="{00000000-0005-0000-0000-00008D3D0000}"/>
    <cellStyle name="Akcent 5 2 14 10" xfId="15903" xr:uid="{00000000-0005-0000-0000-00008E3D0000}"/>
    <cellStyle name="Akcent 5 2 14 11" xfId="15904" xr:uid="{00000000-0005-0000-0000-00008F3D0000}"/>
    <cellStyle name="Akcent 5 2 14 2" xfId="15905" xr:uid="{00000000-0005-0000-0000-0000903D0000}"/>
    <cellStyle name="Akcent 5 2 14 2 2" xfId="15906" xr:uid="{00000000-0005-0000-0000-0000913D0000}"/>
    <cellStyle name="Akcent 5 2 14 2 2 2" xfId="15907" xr:uid="{00000000-0005-0000-0000-0000923D0000}"/>
    <cellStyle name="Akcent 5 2 14 2 2 3" xfId="15908" xr:uid="{00000000-0005-0000-0000-0000933D0000}"/>
    <cellStyle name="Akcent 5 2 14 2 2 4" xfId="15909" xr:uid="{00000000-0005-0000-0000-0000943D0000}"/>
    <cellStyle name="Akcent 5 2 14 2 2 5" xfId="15910" xr:uid="{00000000-0005-0000-0000-0000953D0000}"/>
    <cellStyle name="Akcent 5 2 14 2 2 6" xfId="15911" xr:uid="{00000000-0005-0000-0000-0000963D0000}"/>
    <cellStyle name="Akcent 5 2 14 2 3" xfId="15912" xr:uid="{00000000-0005-0000-0000-0000973D0000}"/>
    <cellStyle name="Akcent 5 2 14 2 4" xfId="15913" xr:uid="{00000000-0005-0000-0000-0000983D0000}"/>
    <cellStyle name="Akcent 5 2 14 2 5" xfId="15914" xr:uid="{00000000-0005-0000-0000-0000993D0000}"/>
    <cellStyle name="Akcent 5 2 14 2 6" xfId="15915" xr:uid="{00000000-0005-0000-0000-00009A3D0000}"/>
    <cellStyle name="Akcent 5 2 14 2 7" xfId="15916" xr:uid="{00000000-0005-0000-0000-00009B3D0000}"/>
    <cellStyle name="Akcent 5 2 14 3" xfId="15917" xr:uid="{00000000-0005-0000-0000-00009C3D0000}"/>
    <cellStyle name="Akcent 5 2 14 4" xfId="15918" xr:uid="{00000000-0005-0000-0000-00009D3D0000}"/>
    <cellStyle name="Akcent 5 2 14 5" xfId="15919" xr:uid="{00000000-0005-0000-0000-00009E3D0000}"/>
    <cellStyle name="Akcent 5 2 14 6" xfId="15920" xr:uid="{00000000-0005-0000-0000-00009F3D0000}"/>
    <cellStyle name="Akcent 5 2 14 7" xfId="15921" xr:uid="{00000000-0005-0000-0000-0000A03D0000}"/>
    <cellStyle name="Akcent 5 2 14 7 2" xfId="15922" xr:uid="{00000000-0005-0000-0000-0000A13D0000}"/>
    <cellStyle name="Akcent 5 2 14 7 3" xfId="15923" xr:uid="{00000000-0005-0000-0000-0000A23D0000}"/>
    <cellStyle name="Akcent 5 2 14 7 4" xfId="15924" xr:uid="{00000000-0005-0000-0000-0000A33D0000}"/>
    <cellStyle name="Akcent 5 2 14 7 5" xfId="15925" xr:uid="{00000000-0005-0000-0000-0000A43D0000}"/>
    <cellStyle name="Akcent 5 2 14 7 6" xfId="15926" xr:uid="{00000000-0005-0000-0000-0000A53D0000}"/>
    <cellStyle name="Akcent 5 2 14 8" xfId="15927" xr:uid="{00000000-0005-0000-0000-0000A63D0000}"/>
    <cellStyle name="Akcent 5 2 14 9" xfId="15928" xr:uid="{00000000-0005-0000-0000-0000A73D0000}"/>
    <cellStyle name="Akcent 5 2 15" xfId="15929" xr:uid="{00000000-0005-0000-0000-0000A83D0000}"/>
    <cellStyle name="Akcent 5 2 15 2" xfId="15930" xr:uid="{00000000-0005-0000-0000-0000A93D0000}"/>
    <cellStyle name="Akcent 5 2 15 2 2" xfId="15931" xr:uid="{00000000-0005-0000-0000-0000AA3D0000}"/>
    <cellStyle name="Akcent 5 2 15 2 3" xfId="15932" xr:uid="{00000000-0005-0000-0000-0000AB3D0000}"/>
    <cellStyle name="Akcent 5 2 15 2 4" xfId="15933" xr:uid="{00000000-0005-0000-0000-0000AC3D0000}"/>
    <cellStyle name="Akcent 5 2 15 2 5" xfId="15934" xr:uid="{00000000-0005-0000-0000-0000AD3D0000}"/>
    <cellStyle name="Akcent 5 2 15 2 6" xfId="15935" xr:uid="{00000000-0005-0000-0000-0000AE3D0000}"/>
    <cellStyle name="Akcent 5 2 15 3" xfId="15936" xr:uid="{00000000-0005-0000-0000-0000AF3D0000}"/>
    <cellStyle name="Akcent 5 2 15 4" xfId="15937" xr:uid="{00000000-0005-0000-0000-0000B03D0000}"/>
    <cellStyle name="Akcent 5 2 15 5" xfId="15938" xr:uid="{00000000-0005-0000-0000-0000B13D0000}"/>
    <cellStyle name="Akcent 5 2 15 6" xfId="15939" xr:uid="{00000000-0005-0000-0000-0000B23D0000}"/>
    <cellStyle name="Akcent 5 2 15 7" xfId="15940" xr:uid="{00000000-0005-0000-0000-0000B33D0000}"/>
    <cellStyle name="Akcent 5 2 16" xfId="15941" xr:uid="{00000000-0005-0000-0000-0000B43D0000}"/>
    <cellStyle name="Akcent 5 2 17" xfId="15942" xr:uid="{00000000-0005-0000-0000-0000B53D0000}"/>
    <cellStyle name="Akcent 5 2 18" xfId="15943" xr:uid="{00000000-0005-0000-0000-0000B63D0000}"/>
    <cellStyle name="Akcent 5 2 19" xfId="15944" xr:uid="{00000000-0005-0000-0000-0000B73D0000}"/>
    <cellStyle name="Akcent 5 2 2" xfId="15945" xr:uid="{00000000-0005-0000-0000-0000B83D0000}"/>
    <cellStyle name="Akcent 5 2 20" xfId="15946" xr:uid="{00000000-0005-0000-0000-0000B93D0000}"/>
    <cellStyle name="Akcent 5 2 21" xfId="15947" xr:uid="{00000000-0005-0000-0000-0000BA3D0000}"/>
    <cellStyle name="Akcent 5 2 21 2" xfId="15948" xr:uid="{00000000-0005-0000-0000-0000BB3D0000}"/>
    <cellStyle name="Akcent 5 2 21 3" xfId="15949" xr:uid="{00000000-0005-0000-0000-0000BC3D0000}"/>
    <cellStyle name="Akcent 5 2 21 4" xfId="15950" xr:uid="{00000000-0005-0000-0000-0000BD3D0000}"/>
    <cellStyle name="Akcent 5 2 21 5" xfId="15951" xr:uid="{00000000-0005-0000-0000-0000BE3D0000}"/>
    <cellStyle name="Akcent 5 2 21 6" xfId="15952" xr:uid="{00000000-0005-0000-0000-0000BF3D0000}"/>
    <cellStyle name="Akcent 5 2 22" xfId="15953" xr:uid="{00000000-0005-0000-0000-0000C03D0000}"/>
    <cellStyle name="Akcent 5 2 23" xfId="15954" xr:uid="{00000000-0005-0000-0000-0000C13D0000}"/>
    <cellStyle name="Akcent 5 2 24" xfId="15955" xr:uid="{00000000-0005-0000-0000-0000C23D0000}"/>
    <cellStyle name="Akcent 5 2 25" xfId="15956" xr:uid="{00000000-0005-0000-0000-0000C33D0000}"/>
    <cellStyle name="Akcent 5 2 26" xfId="15957" xr:uid="{00000000-0005-0000-0000-0000C43D0000}"/>
    <cellStyle name="Akcent 5 2 27" xfId="15958" xr:uid="{00000000-0005-0000-0000-0000C53D0000}"/>
    <cellStyle name="Akcent 5 2 28" xfId="15959" xr:uid="{00000000-0005-0000-0000-0000C63D0000}"/>
    <cellStyle name="Akcent 5 2 29" xfId="15960" xr:uid="{00000000-0005-0000-0000-0000C73D0000}"/>
    <cellStyle name="Akcent 5 2 3" xfId="15961" xr:uid="{00000000-0005-0000-0000-0000C83D0000}"/>
    <cellStyle name="Akcent 5 2 30" xfId="15962" xr:uid="{00000000-0005-0000-0000-0000C93D0000}"/>
    <cellStyle name="Akcent 5 2 31" xfId="15963" xr:uid="{00000000-0005-0000-0000-0000CA3D0000}"/>
    <cellStyle name="Akcent 5 2 32" xfId="15818" xr:uid="{00000000-0005-0000-0000-0000CB3D0000}"/>
    <cellStyle name="Akcent 5 2 33" xfId="37839" xr:uid="{00000000-0005-0000-0000-0000CC3D0000}"/>
    <cellStyle name="Akcent 5 2 4" xfId="15964" xr:uid="{00000000-0005-0000-0000-0000CD3D0000}"/>
    <cellStyle name="Akcent 5 2 5" xfId="15965" xr:uid="{00000000-0005-0000-0000-0000CE3D0000}"/>
    <cellStyle name="Akcent 5 2 6" xfId="15966" xr:uid="{00000000-0005-0000-0000-0000CF3D0000}"/>
    <cellStyle name="Akcent 5 2 6 10" xfId="15967" xr:uid="{00000000-0005-0000-0000-0000D03D0000}"/>
    <cellStyle name="Akcent 5 2 6 11" xfId="15968" xr:uid="{00000000-0005-0000-0000-0000D13D0000}"/>
    <cellStyle name="Akcent 5 2 6 12" xfId="15969" xr:uid="{00000000-0005-0000-0000-0000D23D0000}"/>
    <cellStyle name="Akcent 5 2 6 13" xfId="15970" xr:uid="{00000000-0005-0000-0000-0000D33D0000}"/>
    <cellStyle name="Akcent 5 2 6 2" xfId="15971" xr:uid="{00000000-0005-0000-0000-0000D43D0000}"/>
    <cellStyle name="Akcent 5 2 6 2 10" xfId="15972" xr:uid="{00000000-0005-0000-0000-0000D53D0000}"/>
    <cellStyle name="Akcent 5 2 6 2 11" xfId="15973" xr:uid="{00000000-0005-0000-0000-0000D63D0000}"/>
    <cellStyle name="Akcent 5 2 6 2 12" xfId="15974" xr:uid="{00000000-0005-0000-0000-0000D73D0000}"/>
    <cellStyle name="Akcent 5 2 6 2 2" xfId="15975" xr:uid="{00000000-0005-0000-0000-0000D83D0000}"/>
    <cellStyle name="Akcent 5 2 6 2 2 10" xfId="15976" xr:uid="{00000000-0005-0000-0000-0000D93D0000}"/>
    <cellStyle name="Akcent 5 2 6 2 2 11" xfId="15977" xr:uid="{00000000-0005-0000-0000-0000DA3D0000}"/>
    <cellStyle name="Akcent 5 2 6 2 2 2" xfId="15978" xr:uid="{00000000-0005-0000-0000-0000DB3D0000}"/>
    <cellStyle name="Akcent 5 2 6 2 2 2 10" xfId="15979" xr:uid="{00000000-0005-0000-0000-0000DC3D0000}"/>
    <cellStyle name="Akcent 5 2 6 2 2 2 11" xfId="15980" xr:uid="{00000000-0005-0000-0000-0000DD3D0000}"/>
    <cellStyle name="Akcent 5 2 6 2 2 2 2" xfId="15981" xr:uid="{00000000-0005-0000-0000-0000DE3D0000}"/>
    <cellStyle name="Akcent 5 2 6 2 2 2 2 2" xfId="15982" xr:uid="{00000000-0005-0000-0000-0000DF3D0000}"/>
    <cellStyle name="Akcent 5 2 6 2 2 2 2 2 2" xfId="15983" xr:uid="{00000000-0005-0000-0000-0000E03D0000}"/>
    <cellStyle name="Akcent 5 2 6 2 2 2 2 2 3" xfId="15984" xr:uid="{00000000-0005-0000-0000-0000E13D0000}"/>
    <cellStyle name="Akcent 5 2 6 2 2 2 2 2 4" xfId="15985" xr:uid="{00000000-0005-0000-0000-0000E23D0000}"/>
    <cellStyle name="Akcent 5 2 6 2 2 2 2 2 5" xfId="15986" xr:uid="{00000000-0005-0000-0000-0000E33D0000}"/>
    <cellStyle name="Akcent 5 2 6 2 2 2 2 2 6" xfId="15987" xr:uid="{00000000-0005-0000-0000-0000E43D0000}"/>
    <cellStyle name="Akcent 5 2 6 2 2 2 2 3" xfId="15988" xr:uid="{00000000-0005-0000-0000-0000E53D0000}"/>
    <cellStyle name="Akcent 5 2 6 2 2 2 2 4" xfId="15989" xr:uid="{00000000-0005-0000-0000-0000E63D0000}"/>
    <cellStyle name="Akcent 5 2 6 2 2 2 2 5" xfId="15990" xr:uid="{00000000-0005-0000-0000-0000E73D0000}"/>
    <cellStyle name="Akcent 5 2 6 2 2 2 2 6" xfId="15991" xr:uid="{00000000-0005-0000-0000-0000E83D0000}"/>
    <cellStyle name="Akcent 5 2 6 2 2 2 2 7" xfId="15992" xr:uid="{00000000-0005-0000-0000-0000E93D0000}"/>
    <cellStyle name="Akcent 5 2 6 2 2 2 3" xfId="15993" xr:uid="{00000000-0005-0000-0000-0000EA3D0000}"/>
    <cellStyle name="Akcent 5 2 6 2 2 2 4" xfId="15994" xr:uid="{00000000-0005-0000-0000-0000EB3D0000}"/>
    <cellStyle name="Akcent 5 2 6 2 2 2 5" xfId="15995" xr:uid="{00000000-0005-0000-0000-0000EC3D0000}"/>
    <cellStyle name="Akcent 5 2 6 2 2 2 6" xfId="15996" xr:uid="{00000000-0005-0000-0000-0000ED3D0000}"/>
    <cellStyle name="Akcent 5 2 6 2 2 2 7" xfId="15997" xr:uid="{00000000-0005-0000-0000-0000EE3D0000}"/>
    <cellStyle name="Akcent 5 2 6 2 2 2 7 2" xfId="15998" xr:uid="{00000000-0005-0000-0000-0000EF3D0000}"/>
    <cellStyle name="Akcent 5 2 6 2 2 2 7 3" xfId="15999" xr:uid="{00000000-0005-0000-0000-0000F03D0000}"/>
    <cellStyle name="Akcent 5 2 6 2 2 2 7 4" xfId="16000" xr:uid="{00000000-0005-0000-0000-0000F13D0000}"/>
    <cellStyle name="Akcent 5 2 6 2 2 2 7 5" xfId="16001" xr:uid="{00000000-0005-0000-0000-0000F23D0000}"/>
    <cellStyle name="Akcent 5 2 6 2 2 2 7 6" xfId="16002" xr:uid="{00000000-0005-0000-0000-0000F33D0000}"/>
    <cellStyle name="Akcent 5 2 6 2 2 2 8" xfId="16003" xr:uid="{00000000-0005-0000-0000-0000F43D0000}"/>
    <cellStyle name="Akcent 5 2 6 2 2 2 9" xfId="16004" xr:uid="{00000000-0005-0000-0000-0000F53D0000}"/>
    <cellStyle name="Akcent 5 2 6 2 2 3" xfId="16005" xr:uid="{00000000-0005-0000-0000-0000F63D0000}"/>
    <cellStyle name="Akcent 5 2 6 2 2 3 2" xfId="16006" xr:uid="{00000000-0005-0000-0000-0000F73D0000}"/>
    <cellStyle name="Akcent 5 2 6 2 2 3 2 2" xfId="16007" xr:uid="{00000000-0005-0000-0000-0000F83D0000}"/>
    <cellStyle name="Akcent 5 2 6 2 2 3 2 3" xfId="16008" xr:uid="{00000000-0005-0000-0000-0000F93D0000}"/>
    <cellStyle name="Akcent 5 2 6 2 2 3 2 4" xfId="16009" xr:uid="{00000000-0005-0000-0000-0000FA3D0000}"/>
    <cellStyle name="Akcent 5 2 6 2 2 3 2 5" xfId="16010" xr:uid="{00000000-0005-0000-0000-0000FB3D0000}"/>
    <cellStyle name="Akcent 5 2 6 2 2 3 2 6" xfId="16011" xr:uid="{00000000-0005-0000-0000-0000FC3D0000}"/>
    <cellStyle name="Akcent 5 2 6 2 2 3 3" xfId="16012" xr:uid="{00000000-0005-0000-0000-0000FD3D0000}"/>
    <cellStyle name="Akcent 5 2 6 2 2 3 4" xfId="16013" xr:uid="{00000000-0005-0000-0000-0000FE3D0000}"/>
    <cellStyle name="Akcent 5 2 6 2 2 3 5" xfId="16014" xr:uid="{00000000-0005-0000-0000-0000FF3D0000}"/>
    <cellStyle name="Akcent 5 2 6 2 2 3 6" xfId="16015" xr:uid="{00000000-0005-0000-0000-0000003E0000}"/>
    <cellStyle name="Akcent 5 2 6 2 2 3 7" xfId="16016" xr:uid="{00000000-0005-0000-0000-0000013E0000}"/>
    <cellStyle name="Akcent 5 2 6 2 2 4" xfId="16017" xr:uid="{00000000-0005-0000-0000-0000023E0000}"/>
    <cellStyle name="Akcent 5 2 6 2 2 5" xfId="16018" xr:uid="{00000000-0005-0000-0000-0000033E0000}"/>
    <cellStyle name="Akcent 5 2 6 2 2 6" xfId="16019" xr:uid="{00000000-0005-0000-0000-0000043E0000}"/>
    <cellStyle name="Akcent 5 2 6 2 2 7" xfId="16020" xr:uid="{00000000-0005-0000-0000-0000053E0000}"/>
    <cellStyle name="Akcent 5 2 6 2 2 7 2" xfId="16021" xr:uid="{00000000-0005-0000-0000-0000063E0000}"/>
    <cellStyle name="Akcent 5 2 6 2 2 7 3" xfId="16022" xr:uid="{00000000-0005-0000-0000-0000073E0000}"/>
    <cellStyle name="Akcent 5 2 6 2 2 7 4" xfId="16023" xr:uid="{00000000-0005-0000-0000-0000083E0000}"/>
    <cellStyle name="Akcent 5 2 6 2 2 7 5" xfId="16024" xr:uid="{00000000-0005-0000-0000-0000093E0000}"/>
    <cellStyle name="Akcent 5 2 6 2 2 7 6" xfId="16025" xr:uid="{00000000-0005-0000-0000-00000A3E0000}"/>
    <cellStyle name="Akcent 5 2 6 2 2 8" xfId="16026" xr:uid="{00000000-0005-0000-0000-00000B3E0000}"/>
    <cellStyle name="Akcent 5 2 6 2 2 9" xfId="16027" xr:uid="{00000000-0005-0000-0000-00000C3E0000}"/>
    <cellStyle name="Akcent 5 2 6 2 3" xfId="16028" xr:uid="{00000000-0005-0000-0000-00000D3E0000}"/>
    <cellStyle name="Akcent 5 2 6 2 3 2" xfId="16029" xr:uid="{00000000-0005-0000-0000-00000E3E0000}"/>
    <cellStyle name="Akcent 5 2 6 2 3 2 2" xfId="16030" xr:uid="{00000000-0005-0000-0000-00000F3E0000}"/>
    <cellStyle name="Akcent 5 2 6 2 3 2 3" xfId="16031" xr:uid="{00000000-0005-0000-0000-0000103E0000}"/>
    <cellStyle name="Akcent 5 2 6 2 3 2 4" xfId="16032" xr:uid="{00000000-0005-0000-0000-0000113E0000}"/>
    <cellStyle name="Akcent 5 2 6 2 3 2 5" xfId="16033" xr:uid="{00000000-0005-0000-0000-0000123E0000}"/>
    <cellStyle name="Akcent 5 2 6 2 3 2 6" xfId="16034" xr:uid="{00000000-0005-0000-0000-0000133E0000}"/>
    <cellStyle name="Akcent 5 2 6 2 3 3" xfId="16035" xr:uid="{00000000-0005-0000-0000-0000143E0000}"/>
    <cellStyle name="Akcent 5 2 6 2 3 4" xfId="16036" xr:uid="{00000000-0005-0000-0000-0000153E0000}"/>
    <cellStyle name="Akcent 5 2 6 2 3 5" xfId="16037" xr:uid="{00000000-0005-0000-0000-0000163E0000}"/>
    <cellStyle name="Akcent 5 2 6 2 3 6" xfId="16038" xr:uid="{00000000-0005-0000-0000-0000173E0000}"/>
    <cellStyle name="Akcent 5 2 6 2 3 7" xfId="16039" xr:uid="{00000000-0005-0000-0000-0000183E0000}"/>
    <cellStyle name="Akcent 5 2 6 2 4" xfId="16040" xr:uid="{00000000-0005-0000-0000-0000193E0000}"/>
    <cellStyle name="Akcent 5 2 6 2 5" xfId="16041" xr:uid="{00000000-0005-0000-0000-00001A3E0000}"/>
    <cellStyle name="Akcent 5 2 6 2 6" xfId="16042" xr:uid="{00000000-0005-0000-0000-00001B3E0000}"/>
    <cellStyle name="Akcent 5 2 6 2 7" xfId="16043" xr:uid="{00000000-0005-0000-0000-00001C3E0000}"/>
    <cellStyle name="Akcent 5 2 6 2 8" xfId="16044" xr:uid="{00000000-0005-0000-0000-00001D3E0000}"/>
    <cellStyle name="Akcent 5 2 6 2 8 2" xfId="16045" xr:uid="{00000000-0005-0000-0000-00001E3E0000}"/>
    <cellStyle name="Akcent 5 2 6 2 8 3" xfId="16046" xr:uid="{00000000-0005-0000-0000-00001F3E0000}"/>
    <cellStyle name="Akcent 5 2 6 2 8 4" xfId="16047" xr:uid="{00000000-0005-0000-0000-0000203E0000}"/>
    <cellStyle name="Akcent 5 2 6 2 8 5" xfId="16048" xr:uid="{00000000-0005-0000-0000-0000213E0000}"/>
    <cellStyle name="Akcent 5 2 6 2 8 6" xfId="16049" xr:uid="{00000000-0005-0000-0000-0000223E0000}"/>
    <cellStyle name="Akcent 5 2 6 2 9" xfId="16050" xr:uid="{00000000-0005-0000-0000-0000233E0000}"/>
    <cellStyle name="Akcent 5 2 6 3" xfId="16051" xr:uid="{00000000-0005-0000-0000-0000243E0000}"/>
    <cellStyle name="Akcent 5 2 6 4" xfId="16052" xr:uid="{00000000-0005-0000-0000-0000253E0000}"/>
    <cellStyle name="Akcent 5 2 6 4 10" xfId="16053" xr:uid="{00000000-0005-0000-0000-0000263E0000}"/>
    <cellStyle name="Akcent 5 2 6 4 11" xfId="16054" xr:uid="{00000000-0005-0000-0000-0000273E0000}"/>
    <cellStyle name="Akcent 5 2 6 4 2" xfId="16055" xr:uid="{00000000-0005-0000-0000-0000283E0000}"/>
    <cellStyle name="Akcent 5 2 6 4 2 2" xfId="16056" xr:uid="{00000000-0005-0000-0000-0000293E0000}"/>
    <cellStyle name="Akcent 5 2 6 4 2 2 2" xfId="16057" xr:uid="{00000000-0005-0000-0000-00002A3E0000}"/>
    <cellStyle name="Akcent 5 2 6 4 2 2 3" xfId="16058" xr:uid="{00000000-0005-0000-0000-00002B3E0000}"/>
    <cellStyle name="Akcent 5 2 6 4 2 2 4" xfId="16059" xr:uid="{00000000-0005-0000-0000-00002C3E0000}"/>
    <cellStyle name="Akcent 5 2 6 4 2 2 5" xfId="16060" xr:uid="{00000000-0005-0000-0000-00002D3E0000}"/>
    <cellStyle name="Akcent 5 2 6 4 2 2 6" xfId="16061" xr:uid="{00000000-0005-0000-0000-00002E3E0000}"/>
    <cellStyle name="Akcent 5 2 6 4 2 3" xfId="16062" xr:uid="{00000000-0005-0000-0000-00002F3E0000}"/>
    <cellStyle name="Akcent 5 2 6 4 2 4" xfId="16063" xr:uid="{00000000-0005-0000-0000-0000303E0000}"/>
    <cellStyle name="Akcent 5 2 6 4 2 5" xfId="16064" xr:uid="{00000000-0005-0000-0000-0000313E0000}"/>
    <cellStyle name="Akcent 5 2 6 4 2 6" xfId="16065" xr:uid="{00000000-0005-0000-0000-0000323E0000}"/>
    <cellStyle name="Akcent 5 2 6 4 2 7" xfId="16066" xr:uid="{00000000-0005-0000-0000-0000333E0000}"/>
    <cellStyle name="Akcent 5 2 6 4 3" xfId="16067" xr:uid="{00000000-0005-0000-0000-0000343E0000}"/>
    <cellStyle name="Akcent 5 2 6 4 4" xfId="16068" xr:uid="{00000000-0005-0000-0000-0000353E0000}"/>
    <cellStyle name="Akcent 5 2 6 4 5" xfId="16069" xr:uid="{00000000-0005-0000-0000-0000363E0000}"/>
    <cellStyle name="Akcent 5 2 6 4 6" xfId="16070" xr:uid="{00000000-0005-0000-0000-0000373E0000}"/>
    <cellStyle name="Akcent 5 2 6 4 7" xfId="16071" xr:uid="{00000000-0005-0000-0000-0000383E0000}"/>
    <cellStyle name="Akcent 5 2 6 4 7 2" xfId="16072" xr:uid="{00000000-0005-0000-0000-0000393E0000}"/>
    <cellStyle name="Akcent 5 2 6 4 7 3" xfId="16073" xr:uid="{00000000-0005-0000-0000-00003A3E0000}"/>
    <cellStyle name="Akcent 5 2 6 4 7 4" xfId="16074" xr:uid="{00000000-0005-0000-0000-00003B3E0000}"/>
    <cellStyle name="Akcent 5 2 6 4 7 5" xfId="16075" xr:uid="{00000000-0005-0000-0000-00003C3E0000}"/>
    <cellStyle name="Akcent 5 2 6 4 7 6" xfId="16076" xr:uid="{00000000-0005-0000-0000-00003D3E0000}"/>
    <cellStyle name="Akcent 5 2 6 4 8" xfId="16077" xr:uid="{00000000-0005-0000-0000-00003E3E0000}"/>
    <cellStyle name="Akcent 5 2 6 4 9" xfId="16078" xr:uid="{00000000-0005-0000-0000-00003F3E0000}"/>
    <cellStyle name="Akcent 5 2 6 5" xfId="16079" xr:uid="{00000000-0005-0000-0000-0000403E0000}"/>
    <cellStyle name="Akcent 5 2 6 5 2" xfId="16080" xr:uid="{00000000-0005-0000-0000-0000413E0000}"/>
    <cellStyle name="Akcent 5 2 6 5 2 2" xfId="16081" xr:uid="{00000000-0005-0000-0000-0000423E0000}"/>
    <cellStyle name="Akcent 5 2 6 5 2 3" xfId="16082" xr:uid="{00000000-0005-0000-0000-0000433E0000}"/>
    <cellStyle name="Akcent 5 2 6 5 2 4" xfId="16083" xr:uid="{00000000-0005-0000-0000-0000443E0000}"/>
    <cellStyle name="Akcent 5 2 6 5 2 5" xfId="16084" xr:uid="{00000000-0005-0000-0000-0000453E0000}"/>
    <cellStyle name="Akcent 5 2 6 5 2 6" xfId="16085" xr:uid="{00000000-0005-0000-0000-0000463E0000}"/>
    <cellStyle name="Akcent 5 2 6 5 3" xfId="16086" xr:uid="{00000000-0005-0000-0000-0000473E0000}"/>
    <cellStyle name="Akcent 5 2 6 5 4" xfId="16087" xr:uid="{00000000-0005-0000-0000-0000483E0000}"/>
    <cellStyle name="Akcent 5 2 6 5 5" xfId="16088" xr:uid="{00000000-0005-0000-0000-0000493E0000}"/>
    <cellStyle name="Akcent 5 2 6 5 6" xfId="16089" xr:uid="{00000000-0005-0000-0000-00004A3E0000}"/>
    <cellStyle name="Akcent 5 2 6 5 7" xfId="16090" xr:uid="{00000000-0005-0000-0000-00004B3E0000}"/>
    <cellStyle name="Akcent 5 2 6 6" xfId="16091" xr:uid="{00000000-0005-0000-0000-00004C3E0000}"/>
    <cellStyle name="Akcent 5 2 6 7" xfId="16092" xr:uid="{00000000-0005-0000-0000-00004D3E0000}"/>
    <cellStyle name="Akcent 5 2 6 8" xfId="16093" xr:uid="{00000000-0005-0000-0000-00004E3E0000}"/>
    <cellStyle name="Akcent 5 2 6 9" xfId="16094" xr:uid="{00000000-0005-0000-0000-00004F3E0000}"/>
    <cellStyle name="Akcent 5 2 6 9 2" xfId="16095" xr:uid="{00000000-0005-0000-0000-0000503E0000}"/>
    <cellStyle name="Akcent 5 2 6 9 3" xfId="16096" xr:uid="{00000000-0005-0000-0000-0000513E0000}"/>
    <cellStyle name="Akcent 5 2 6 9 4" xfId="16097" xr:uid="{00000000-0005-0000-0000-0000523E0000}"/>
    <cellStyle name="Akcent 5 2 6 9 5" xfId="16098" xr:uid="{00000000-0005-0000-0000-0000533E0000}"/>
    <cellStyle name="Akcent 5 2 6 9 6" xfId="16099" xr:uid="{00000000-0005-0000-0000-0000543E0000}"/>
    <cellStyle name="Akcent 5 2 7" xfId="16100" xr:uid="{00000000-0005-0000-0000-0000553E0000}"/>
    <cellStyle name="Akcent 5 2 8" xfId="16101" xr:uid="{00000000-0005-0000-0000-0000563E0000}"/>
    <cellStyle name="Akcent 5 2 9" xfId="16102" xr:uid="{00000000-0005-0000-0000-0000573E0000}"/>
    <cellStyle name="Akcent 5 3" xfId="220" xr:uid="{00000000-0005-0000-0000-0000583E0000}"/>
    <cellStyle name="Akcent 5 3 2" xfId="16104" xr:uid="{00000000-0005-0000-0000-0000593E0000}"/>
    <cellStyle name="Akcent 5 3 3" xfId="16105" xr:uid="{00000000-0005-0000-0000-00005A3E0000}"/>
    <cellStyle name="Akcent 5 3 4" xfId="16106" xr:uid="{00000000-0005-0000-0000-00005B3E0000}"/>
    <cellStyle name="Akcent 5 3 5" xfId="16103" xr:uid="{00000000-0005-0000-0000-00005C3E0000}"/>
    <cellStyle name="Akcent 5 4" xfId="221" xr:uid="{00000000-0005-0000-0000-00005D3E0000}"/>
    <cellStyle name="Akcent 5 4 2" xfId="16108" xr:uid="{00000000-0005-0000-0000-00005E3E0000}"/>
    <cellStyle name="Akcent 5 4 3" xfId="16109" xr:uid="{00000000-0005-0000-0000-00005F3E0000}"/>
    <cellStyle name="Akcent 5 4 4" xfId="16110" xr:uid="{00000000-0005-0000-0000-0000603E0000}"/>
    <cellStyle name="Akcent 5 4 5" xfId="16107" xr:uid="{00000000-0005-0000-0000-0000613E0000}"/>
    <cellStyle name="Akcent 5 5" xfId="222" xr:uid="{00000000-0005-0000-0000-0000623E0000}"/>
    <cellStyle name="Akcent 5 5 2" xfId="16112" xr:uid="{00000000-0005-0000-0000-0000633E0000}"/>
    <cellStyle name="Akcent 5 5 3" xfId="16113" xr:uid="{00000000-0005-0000-0000-0000643E0000}"/>
    <cellStyle name="Akcent 5 5 4" xfId="16114" xr:uid="{00000000-0005-0000-0000-0000653E0000}"/>
    <cellStyle name="Akcent 5 5 5" xfId="16111" xr:uid="{00000000-0005-0000-0000-0000663E0000}"/>
    <cellStyle name="Akcent 5 6" xfId="223" xr:uid="{00000000-0005-0000-0000-0000673E0000}"/>
    <cellStyle name="Akcent 5 6 2" xfId="16116" xr:uid="{00000000-0005-0000-0000-0000683E0000}"/>
    <cellStyle name="Akcent 5 6 3" xfId="16117" xr:uid="{00000000-0005-0000-0000-0000693E0000}"/>
    <cellStyle name="Akcent 5 6 4" xfId="16118" xr:uid="{00000000-0005-0000-0000-00006A3E0000}"/>
    <cellStyle name="Akcent 5 6 5" xfId="16115" xr:uid="{00000000-0005-0000-0000-00006B3E0000}"/>
    <cellStyle name="Akcent 5 7" xfId="224" xr:uid="{00000000-0005-0000-0000-00006C3E0000}"/>
    <cellStyle name="Akcent 5 7 2" xfId="16120" xr:uid="{00000000-0005-0000-0000-00006D3E0000}"/>
    <cellStyle name="Akcent 5 7 3" xfId="16121" xr:uid="{00000000-0005-0000-0000-00006E3E0000}"/>
    <cellStyle name="Akcent 5 7 4" xfId="16122" xr:uid="{00000000-0005-0000-0000-00006F3E0000}"/>
    <cellStyle name="Akcent 5 7 5" xfId="16119" xr:uid="{00000000-0005-0000-0000-0000703E0000}"/>
    <cellStyle name="Akcent 5 8" xfId="16123" xr:uid="{00000000-0005-0000-0000-0000713E0000}"/>
    <cellStyle name="Akcent 5 8 2" xfId="16124" xr:uid="{00000000-0005-0000-0000-0000723E0000}"/>
    <cellStyle name="Akcent 5 8 3" xfId="16125" xr:uid="{00000000-0005-0000-0000-0000733E0000}"/>
    <cellStyle name="Akcent 5 8 4" xfId="16126" xr:uid="{00000000-0005-0000-0000-0000743E0000}"/>
    <cellStyle name="Akcent 5 9" xfId="16127" xr:uid="{00000000-0005-0000-0000-0000753E0000}"/>
    <cellStyle name="Akcent 6 1" xfId="16128" xr:uid="{00000000-0005-0000-0000-0000763E0000}"/>
    <cellStyle name="Akcent 6 10" xfId="16129" xr:uid="{00000000-0005-0000-0000-0000773E0000}"/>
    <cellStyle name="Akcent 6 11" xfId="16130" xr:uid="{00000000-0005-0000-0000-0000783E0000}"/>
    <cellStyle name="Akcent 6 12" xfId="16131" xr:uid="{00000000-0005-0000-0000-0000793E0000}"/>
    <cellStyle name="Akcent 6 13" xfId="16132" xr:uid="{00000000-0005-0000-0000-00007A3E0000}"/>
    <cellStyle name="Akcent 6 14" xfId="16133" xr:uid="{00000000-0005-0000-0000-00007B3E0000}"/>
    <cellStyle name="Akcent 6 15" xfId="16134" xr:uid="{00000000-0005-0000-0000-00007C3E0000}"/>
    <cellStyle name="Akcent 6 16" xfId="16135" xr:uid="{00000000-0005-0000-0000-00007D3E0000}"/>
    <cellStyle name="Akcent 6 17" xfId="16136" xr:uid="{00000000-0005-0000-0000-00007E3E0000}"/>
    <cellStyle name="Akcent 6 18" xfId="16137" xr:uid="{00000000-0005-0000-0000-00007F3E0000}"/>
    <cellStyle name="Akcent 6 19" xfId="16138" xr:uid="{00000000-0005-0000-0000-0000803E0000}"/>
    <cellStyle name="Akcent 6 2" xfId="225" xr:uid="{00000000-0005-0000-0000-0000813E0000}"/>
    <cellStyle name="Akcent 6 2 10" xfId="16140" xr:uid="{00000000-0005-0000-0000-0000823E0000}"/>
    <cellStyle name="Akcent 6 2 11" xfId="16141" xr:uid="{00000000-0005-0000-0000-0000833E0000}"/>
    <cellStyle name="Akcent 6 2 12" xfId="16142" xr:uid="{00000000-0005-0000-0000-0000843E0000}"/>
    <cellStyle name="Akcent 6 2 13" xfId="16143" xr:uid="{00000000-0005-0000-0000-0000853E0000}"/>
    <cellStyle name="Akcent 6 2 13 10" xfId="16144" xr:uid="{00000000-0005-0000-0000-0000863E0000}"/>
    <cellStyle name="Akcent 6 2 13 11" xfId="16145" xr:uid="{00000000-0005-0000-0000-0000873E0000}"/>
    <cellStyle name="Akcent 6 2 13 12" xfId="16146" xr:uid="{00000000-0005-0000-0000-0000883E0000}"/>
    <cellStyle name="Akcent 6 2 13 2" xfId="16147" xr:uid="{00000000-0005-0000-0000-0000893E0000}"/>
    <cellStyle name="Akcent 6 2 13 2 10" xfId="16148" xr:uid="{00000000-0005-0000-0000-00008A3E0000}"/>
    <cellStyle name="Akcent 6 2 13 2 11" xfId="16149" xr:uid="{00000000-0005-0000-0000-00008B3E0000}"/>
    <cellStyle name="Akcent 6 2 13 2 2" xfId="16150" xr:uid="{00000000-0005-0000-0000-00008C3E0000}"/>
    <cellStyle name="Akcent 6 2 13 2 2 10" xfId="16151" xr:uid="{00000000-0005-0000-0000-00008D3E0000}"/>
    <cellStyle name="Akcent 6 2 13 2 2 11" xfId="16152" xr:uid="{00000000-0005-0000-0000-00008E3E0000}"/>
    <cellStyle name="Akcent 6 2 13 2 2 2" xfId="16153" xr:uid="{00000000-0005-0000-0000-00008F3E0000}"/>
    <cellStyle name="Akcent 6 2 13 2 2 2 2" xfId="16154" xr:uid="{00000000-0005-0000-0000-0000903E0000}"/>
    <cellStyle name="Akcent 6 2 13 2 2 2 2 2" xfId="16155" xr:uid="{00000000-0005-0000-0000-0000913E0000}"/>
    <cellStyle name="Akcent 6 2 13 2 2 2 2 3" xfId="16156" xr:uid="{00000000-0005-0000-0000-0000923E0000}"/>
    <cellStyle name="Akcent 6 2 13 2 2 2 2 4" xfId="16157" xr:uid="{00000000-0005-0000-0000-0000933E0000}"/>
    <cellStyle name="Akcent 6 2 13 2 2 2 2 5" xfId="16158" xr:uid="{00000000-0005-0000-0000-0000943E0000}"/>
    <cellStyle name="Akcent 6 2 13 2 2 2 2 6" xfId="16159" xr:uid="{00000000-0005-0000-0000-0000953E0000}"/>
    <cellStyle name="Akcent 6 2 13 2 2 2 3" xfId="16160" xr:uid="{00000000-0005-0000-0000-0000963E0000}"/>
    <cellStyle name="Akcent 6 2 13 2 2 2 4" xfId="16161" xr:uid="{00000000-0005-0000-0000-0000973E0000}"/>
    <cellStyle name="Akcent 6 2 13 2 2 2 5" xfId="16162" xr:uid="{00000000-0005-0000-0000-0000983E0000}"/>
    <cellStyle name="Akcent 6 2 13 2 2 2 6" xfId="16163" xr:uid="{00000000-0005-0000-0000-0000993E0000}"/>
    <cellStyle name="Akcent 6 2 13 2 2 2 7" xfId="16164" xr:uid="{00000000-0005-0000-0000-00009A3E0000}"/>
    <cellStyle name="Akcent 6 2 13 2 2 3" xfId="16165" xr:uid="{00000000-0005-0000-0000-00009B3E0000}"/>
    <cellStyle name="Akcent 6 2 13 2 2 4" xfId="16166" xr:uid="{00000000-0005-0000-0000-00009C3E0000}"/>
    <cellStyle name="Akcent 6 2 13 2 2 5" xfId="16167" xr:uid="{00000000-0005-0000-0000-00009D3E0000}"/>
    <cellStyle name="Akcent 6 2 13 2 2 6" xfId="16168" xr:uid="{00000000-0005-0000-0000-00009E3E0000}"/>
    <cellStyle name="Akcent 6 2 13 2 2 7" xfId="16169" xr:uid="{00000000-0005-0000-0000-00009F3E0000}"/>
    <cellStyle name="Akcent 6 2 13 2 2 7 2" xfId="16170" xr:uid="{00000000-0005-0000-0000-0000A03E0000}"/>
    <cellStyle name="Akcent 6 2 13 2 2 7 3" xfId="16171" xr:uid="{00000000-0005-0000-0000-0000A13E0000}"/>
    <cellStyle name="Akcent 6 2 13 2 2 7 4" xfId="16172" xr:uid="{00000000-0005-0000-0000-0000A23E0000}"/>
    <cellStyle name="Akcent 6 2 13 2 2 7 5" xfId="16173" xr:uid="{00000000-0005-0000-0000-0000A33E0000}"/>
    <cellStyle name="Akcent 6 2 13 2 2 7 6" xfId="16174" xr:uid="{00000000-0005-0000-0000-0000A43E0000}"/>
    <cellStyle name="Akcent 6 2 13 2 2 8" xfId="16175" xr:uid="{00000000-0005-0000-0000-0000A53E0000}"/>
    <cellStyle name="Akcent 6 2 13 2 2 9" xfId="16176" xr:uid="{00000000-0005-0000-0000-0000A63E0000}"/>
    <cellStyle name="Akcent 6 2 13 2 3" xfId="16177" xr:uid="{00000000-0005-0000-0000-0000A73E0000}"/>
    <cellStyle name="Akcent 6 2 13 2 3 2" xfId="16178" xr:uid="{00000000-0005-0000-0000-0000A83E0000}"/>
    <cellStyle name="Akcent 6 2 13 2 3 2 2" xfId="16179" xr:uid="{00000000-0005-0000-0000-0000A93E0000}"/>
    <cellStyle name="Akcent 6 2 13 2 3 2 3" xfId="16180" xr:uid="{00000000-0005-0000-0000-0000AA3E0000}"/>
    <cellStyle name="Akcent 6 2 13 2 3 2 4" xfId="16181" xr:uid="{00000000-0005-0000-0000-0000AB3E0000}"/>
    <cellStyle name="Akcent 6 2 13 2 3 2 5" xfId="16182" xr:uid="{00000000-0005-0000-0000-0000AC3E0000}"/>
    <cellStyle name="Akcent 6 2 13 2 3 2 6" xfId="16183" xr:uid="{00000000-0005-0000-0000-0000AD3E0000}"/>
    <cellStyle name="Akcent 6 2 13 2 3 3" xfId="16184" xr:uid="{00000000-0005-0000-0000-0000AE3E0000}"/>
    <cellStyle name="Akcent 6 2 13 2 3 4" xfId="16185" xr:uid="{00000000-0005-0000-0000-0000AF3E0000}"/>
    <cellStyle name="Akcent 6 2 13 2 3 5" xfId="16186" xr:uid="{00000000-0005-0000-0000-0000B03E0000}"/>
    <cellStyle name="Akcent 6 2 13 2 3 6" xfId="16187" xr:uid="{00000000-0005-0000-0000-0000B13E0000}"/>
    <cellStyle name="Akcent 6 2 13 2 3 7" xfId="16188" xr:uid="{00000000-0005-0000-0000-0000B23E0000}"/>
    <cellStyle name="Akcent 6 2 13 2 4" xfId="16189" xr:uid="{00000000-0005-0000-0000-0000B33E0000}"/>
    <cellStyle name="Akcent 6 2 13 2 5" xfId="16190" xr:uid="{00000000-0005-0000-0000-0000B43E0000}"/>
    <cellStyle name="Akcent 6 2 13 2 6" xfId="16191" xr:uid="{00000000-0005-0000-0000-0000B53E0000}"/>
    <cellStyle name="Akcent 6 2 13 2 7" xfId="16192" xr:uid="{00000000-0005-0000-0000-0000B63E0000}"/>
    <cellStyle name="Akcent 6 2 13 2 7 2" xfId="16193" xr:uid="{00000000-0005-0000-0000-0000B73E0000}"/>
    <cellStyle name="Akcent 6 2 13 2 7 3" xfId="16194" xr:uid="{00000000-0005-0000-0000-0000B83E0000}"/>
    <cellStyle name="Akcent 6 2 13 2 7 4" xfId="16195" xr:uid="{00000000-0005-0000-0000-0000B93E0000}"/>
    <cellStyle name="Akcent 6 2 13 2 7 5" xfId="16196" xr:uid="{00000000-0005-0000-0000-0000BA3E0000}"/>
    <cellStyle name="Akcent 6 2 13 2 7 6" xfId="16197" xr:uid="{00000000-0005-0000-0000-0000BB3E0000}"/>
    <cellStyle name="Akcent 6 2 13 2 8" xfId="16198" xr:uid="{00000000-0005-0000-0000-0000BC3E0000}"/>
    <cellStyle name="Akcent 6 2 13 2 9" xfId="16199" xr:uid="{00000000-0005-0000-0000-0000BD3E0000}"/>
    <cellStyle name="Akcent 6 2 13 3" xfId="16200" xr:uid="{00000000-0005-0000-0000-0000BE3E0000}"/>
    <cellStyle name="Akcent 6 2 13 3 2" xfId="16201" xr:uid="{00000000-0005-0000-0000-0000BF3E0000}"/>
    <cellStyle name="Akcent 6 2 13 3 2 2" xfId="16202" xr:uid="{00000000-0005-0000-0000-0000C03E0000}"/>
    <cellStyle name="Akcent 6 2 13 3 2 3" xfId="16203" xr:uid="{00000000-0005-0000-0000-0000C13E0000}"/>
    <cellStyle name="Akcent 6 2 13 3 2 4" xfId="16204" xr:uid="{00000000-0005-0000-0000-0000C23E0000}"/>
    <cellStyle name="Akcent 6 2 13 3 2 5" xfId="16205" xr:uid="{00000000-0005-0000-0000-0000C33E0000}"/>
    <cellStyle name="Akcent 6 2 13 3 2 6" xfId="16206" xr:uid="{00000000-0005-0000-0000-0000C43E0000}"/>
    <cellStyle name="Akcent 6 2 13 3 3" xfId="16207" xr:uid="{00000000-0005-0000-0000-0000C53E0000}"/>
    <cellStyle name="Akcent 6 2 13 3 4" xfId="16208" xr:uid="{00000000-0005-0000-0000-0000C63E0000}"/>
    <cellStyle name="Akcent 6 2 13 3 5" xfId="16209" xr:uid="{00000000-0005-0000-0000-0000C73E0000}"/>
    <cellStyle name="Akcent 6 2 13 3 6" xfId="16210" xr:uid="{00000000-0005-0000-0000-0000C83E0000}"/>
    <cellStyle name="Akcent 6 2 13 3 7" xfId="16211" xr:uid="{00000000-0005-0000-0000-0000C93E0000}"/>
    <cellStyle name="Akcent 6 2 13 4" xfId="16212" xr:uid="{00000000-0005-0000-0000-0000CA3E0000}"/>
    <cellStyle name="Akcent 6 2 13 5" xfId="16213" xr:uid="{00000000-0005-0000-0000-0000CB3E0000}"/>
    <cellStyle name="Akcent 6 2 13 6" xfId="16214" xr:uid="{00000000-0005-0000-0000-0000CC3E0000}"/>
    <cellStyle name="Akcent 6 2 13 7" xfId="16215" xr:uid="{00000000-0005-0000-0000-0000CD3E0000}"/>
    <cellStyle name="Akcent 6 2 13 8" xfId="16216" xr:uid="{00000000-0005-0000-0000-0000CE3E0000}"/>
    <cellStyle name="Akcent 6 2 13 8 2" xfId="16217" xr:uid="{00000000-0005-0000-0000-0000CF3E0000}"/>
    <cellStyle name="Akcent 6 2 13 8 3" xfId="16218" xr:uid="{00000000-0005-0000-0000-0000D03E0000}"/>
    <cellStyle name="Akcent 6 2 13 8 4" xfId="16219" xr:uid="{00000000-0005-0000-0000-0000D13E0000}"/>
    <cellStyle name="Akcent 6 2 13 8 5" xfId="16220" xr:uid="{00000000-0005-0000-0000-0000D23E0000}"/>
    <cellStyle name="Akcent 6 2 13 8 6" xfId="16221" xr:uid="{00000000-0005-0000-0000-0000D33E0000}"/>
    <cellStyle name="Akcent 6 2 13 9" xfId="16222" xr:uid="{00000000-0005-0000-0000-0000D43E0000}"/>
    <cellStyle name="Akcent 6 2 14" xfId="16223" xr:uid="{00000000-0005-0000-0000-0000D53E0000}"/>
    <cellStyle name="Akcent 6 2 14 10" xfId="16224" xr:uid="{00000000-0005-0000-0000-0000D63E0000}"/>
    <cellStyle name="Akcent 6 2 14 11" xfId="16225" xr:uid="{00000000-0005-0000-0000-0000D73E0000}"/>
    <cellStyle name="Akcent 6 2 14 2" xfId="16226" xr:uid="{00000000-0005-0000-0000-0000D83E0000}"/>
    <cellStyle name="Akcent 6 2 14 2 2" xfId="16227" xr:uid="{00000000-0005-0000-0000-0000D93E0000}"/>
    <cellStyle name="Akcent 6 2 14 2 2 2" xfId="16228" xr:uid="{00000000-0005-0000-0000-0000DA3E0000}"/>
    <cellStyle name="Akcent 6 2 14 2 2 3" xfId="16229" xr:uid="{00000000-0005-0000-0000-0000DB3E0000}"/>
    <cellStyle name="Akcent 6 2 14 2 2 4" xfId="16230" xr:uid="{00000000-0005-0000-0000-0000DC3E0000}"/>
    <cellStyle name="Akcent 6 2 14 2 2 5" xfId="16231" xr:uid="{00000000-0005-0000-0000-0000DD3E0000}"/>
    <cellStyle name="Akcent 6 2 14 2 2 6" xfId="16232" xr:uid="{00000000-0005-0000-0000-0000DE3E0000}"/>
    <cellStyle name="Akcent 6 2 14 2 3" xfId="16233" xr:uid="{00000000-0005-0000-0000-0000DF3E0000}"/>
    <cellStyle name="Akcent 6 2 14 2 4" xfId="16234" xr:uid="{00000000-0005-0000-0000-0000E03E0000}"/>
    <cellStyle name="Akcent 6 2 14 2 5" xfId="16235" xr:uid="{00000000-0005-0000-0000-0000E13E0000}"/>
    <cellStyle name="Akcent 6 2 14 2 6" xfId="16236" xr:uid="{00000000-0005-0000-0000-0000E23E0000}"/>
    <cellStyle name="Akcent 6 2 14 2 7" xfId="16237" xr:uid="{00000000-0005-0000-0000-0000E33E0000}"/>
    <cellStyle name="Akcent 6 2 14 3" xfId="16238" xr:uid="{00000000-0005-0000-0000-0000E43E0000}"/>
    <cellStyle name="Akcent 6 2 14 4" xfId="16239" xr:uid="{00000000-0005-0000-0000-0000E53E0000}"/>
    <cellStyle name="Akcent 6 2 14 5" xfId="16240" xr:uid="{00000000-0005-0000-0000-0000E63E0000}"/>
    <cellStyle name="Akcent 6 2 14 6" xfId="16241" xr:uid="{00000000-0005-0000-0000-0000E73E0000}"/>
    <cellStyle name="Akcent 6 2 14 7" xfId="16242" xr:uid="{00000000-0005-0000-0000-0000E83E0000}"/>
    <cellStyle name="Akcent 6 2 14 7 2" xfId="16243" xr:uid="{00000000-0005-0000-0000-0000E93E0000}"/>
    <cellStyle name="Akcent 6 2 14 7 3" xfId="16244" xr:uid="{00000000-0005-0000-0000-0000EA3E0000}"/>
    <cellStyle name="Akcent 6 2 14 7 4" xfId="16245" xr:uid="{00000000-0005-0000-0000-0000EB3E0000}"/>
    <cellStyle name="Akcent 6 2 14 7 5" xfId="16246" xr:uid="{00000000-0005-0000-0000-0000EC3E0000}"/>
    <cellStyle name="Akcent 6 2 14 7 6" xfId="16247" xr:uid="{00000000-0005-0000-0000-0000ED3E0000}"/>
    <cellStyle name="Akcent 6 2 14 8" xfId="16248" xr:uid="{00000000-0005-0000-0000-0000EE3E0000}"/>
    <cellStyle name="Akcent 6 2 14 9" xfId="16249" xr:uid="{00000000-0005-0000-0000-0000EF3E0000}"/>
    <cellStyle name="Akcent 6 2 15" xfId="16250" xr:uid="{00000000-0005-0000-0000-0000F03E0000}"/>
    <cellStyle name="Akcent 6 2 15 2" xfId="16251" xr:uid="{00000000-0005-0000-0000-0000F13E0000}"/>
    <cellStyle name="Akcent 6 2 15 2 2" xfId="16252" xr:uid="{00000000-0005-0000-0000-0000F23E0000}"/>
    <cellStyle name="Akcent 6 2 15 2 3" xfId="16253" xr:uid="{00000000-0005-0000-0000-0000F33E0000}"/>
    <cellStyle name="Akcent 6 2 15 2 4" xfId="16254" xr:uid="{00000000-0005-0000-0000-0000F43E0000}"/>
    <cellStyle name="Akcent 6 2 15 2 5" xfId="16255" xr:uid="{00000000-0005-0000-0000-0000F53E0000}"/>
    <cellStyle name="Akcent 6 2 15 2 6" xfId="16256" xr:uid="{00000000-0005-0000-0000-0000F63E0000}"/>
    <cellStyle name="Akcent 6 2 15 3" xfId="16257" xr:uid="{00000000-0005-0000-0000-0000F73E0000}"/>
    <cellStyle name="Akcent 6 2 15 4" xfId="16258" xr:uid="{00000000-0005-0000-0000-0000F83E0000}"/>
    <cellStyle name="Akcent 6 2 15 5" xfId="16259" xr:uid="{00000000-0005-0000-0000-0000F93E0000}"/>
    <cellStyle name="Akcent 6 2 15 6" xfId="16260" xr:uid="{00000000-0005-0000-0000-0000FA3E0000}"/>
    <cellStyle name="Akcent 6 2 15 7" xfId="16261" xr:uid="{00000000-0005-0000-0000-0000FB3E0000}"/>
    <cellStyle name="Akcent 6 2 16" xfId="16262" xr:uid="{00000000-0005-0000-0000-0000FC3E0000}"/>
    <cellStyle name="Akcent 6 2 17" xfId="16263" xr:uid="{00000000-0005-0000-0000-0000FD3E0000}"/>
    <cellStyle name="Akcent 6 2 18" xfId="16264" xr:uid="{00000000-0005-0000-0000-0000FE3E0000}"/>
    <cellStyle name="Akcent 6 2 19" xfId="16265" xr:uid="{00000000-0005-0000-0000-0000FF3E0000}"/>
    <cellStyle name="Akcent 6 2 2" xfId="16266" xr:uid="{00000000-0005-0000-0000-0000003F0000}"/>
    <cellStyle name="Akcent 6 2 20" xfId="16267" xr:uid="{00000000-0005-0000-0000-0000013F0000}"/>
    <cellStyle name="Akcent 6 2 21" xfId="16268" xr:uid="{00000000-0005-0000-0000-0000023F0000}"/>
    <cellStyle name="Akcent 6 2 21 2" xfId="16269" xr:uid="{00000000-0005-0000-0000-0000033F0000}"/>
    <cellStyle name="Akcent 6 2 21 3" xfId="16270" xr:uid="{00000000-0005-0000-0000-0000043F0000}"/>
    <cellStyle name="Akcent 6 2 21 4" xfId="16271" xr:uid="{00000000-0005-0000-0000-0000053F0000}"/>
    <cellStyle name="Akcent 6 2 21 5" xfId="16272" xr:uid="{00000000-0005-0000-0000-0000063F0000}"/>
    <cellStyle name="Akcent 6 2 21 6" xfId="16273" xr:uid="{00000000-0005-0000-0000-0000073F0000}"/>
    <cellStyle name="Akcent 6 2 22" xfId="16274" xr:uid="{00000000-0005-0000-0000-0000083F0000}"/>
    <cellStyle name="Akcent 6 2 23" xfId="16275" xr:uid="{00000000-0005-0000-0000-0000093F0000}"/>
    <cellStyle name="Akcent 6 2 24" xfId="16276" xr:uid="{00000000-0005-0000-0000-00000A3F0000}"/>
    <cellStyle name="Akcent 6 2 25" xfId="16277" xr:uid="{00000000-0005-0000-0000-00000B3F0000}"/>
    <cellStyle name="Akcent 6 2 26" xfId="16278" xr:uid="{00000000-0005-0000-0000-00000C3F0000}"/>
    <cellStyle name="Akcent 6 2 27" xfId="16279" xr:uid="{00000000-0005-0000-0000-00000D3F0000}"/>
    <cellStyle name="Akcent 6 2 28" xfId="16280" xr:uid="{00000000-0005-0000-0000-00000E3F0000}"/>
    <cellStyle name="Akcent 6 2 29" xfId="16281" xr:uid="{00000000-0005-0000-0000-00000F3F0000}"/>
    <cellStyle name="Akcent 6 2 3" xfId="16282" xr:uid="{00000000-0005-0000-0000-0000103F0000}"/>
    <cellStyle name="Akcent 6 2 30" xfId="16283" xr:uid="{00000000-0005-0000-0000-0000113F0000}"/>
    <cellStyle name="Akcent 6 2 31" xfId="16284" xr:uid="{00000000-0005-0000-0000-0000123F0000}"/>
    <cellStyle name="Akcent 6 2 32" xfId="16139" xr:uid="{00000000-0005-0000-0000-0000133F0000}"/>
    <cellStyle name="Akcent 6 2 33" xfId="37840" xr:uid="{00000000-0005-0000-0000-0000143F0000}"/>
    <cellStyle name="Akcent 6 2 4" xfId="16285" xr:uid="{00000000-0005-0000-0000-0000153F0000}"/>
    <cellStyle name="Akcent 6 2 5" xfId="16286" xr:uid="{00000000-0005-0000-0000-0000163F0000}"/>
    <cellStyle name="Akcent 6 2 6" xfId="16287" xr:uid="{00000000-0005-0000-0000-0000173F0000}"/>
    <cellStyle name="Akcent 6 2 6 10" xfId="16288" xr:uid="{00000000-0005-0000-0000-0000183F0000}"/>
    <cellStyle name="Akcent 6 2 6 11" xfId="16289" xr:uid="{00000000-0005-0000-0000-0000193F0000}"/>
    <cellStyle name="Akcent 6 2 6 12" xfId="16290" xr:uid="{00000000-0005-0000-0000-00001A3F0000}"/>
    <cellStyle name="Akcent 6 2 6 13" xfId="16291" xr:uid="{00000000-0005-0000-0000-00001B3F0000}"/>
    <cellStyle name="Akcent 6 2 6 2" xfId="16292" xr:uid="{00000000-0005-0000-0000-00001C3F0000}"/>
    <cellStyle name="Akcent 6 2 6 2 10" xfId="16293" xr:uid="{00000000-0005-0000-0000-00001D3F0000}"/>
    <cellStyle name="Akcent 6 2 6 2 11" xfId="16294" xr:uid="{00000000-0005-0000-0000-00001E3F0000}"/>
    <cellStyle name="Akcent 6 2 6 2 12" xfId="16295" xr:uid="{00000000-0005-0000-0000-00001F3F0000}"/>
    <cellStyle name="Akcent 6 2 6 2 2" xfId="16296" xr:uid="{00000000-0005-0000-0000-0000203F0000}"/>
    <cellStyle name="Akcent 6 2 6 2 2 10" xfId="16297" xr:uid="{00000000-0005-0000-0000-0000213F0000}"/>
    <cellStyle name="Akcent 6 2 6 2 2 11" xfId="16298" xr:uid="{00000000-0005-0000-0000-0000223F0000}"/>
    <cellStyle name="Akcent 6 2 6 2 2 2" xfId="16299" xr:uid="{00000000-0005-0000-0000-0000233F0000}"/>
    <cellStyle name="Akcent 6 2 6 2 2 2 10" xfId="16300" xr:uid="{00000000-0005-0000-0000-0000243F0000}"/>
    <cellStyle name="Akcent 6 2 6 2 2 2 11" xfId="16301" xr:uid="{00000000-0005-0000-0000-0000253F0000}"/>
    <cellStyle name="Akcent 6 2 6 2 2 2 2" xfId="16302" xr:uid="{00000000-0005-0000-0000-0000263F0000}"/>
    <cellStyle name="Akcent 6 2 6 2 2 2 2 2" xfId="16303" xr:uid="{00000000-0005-0000-0000-0000273F0000}"/>
    <cellStyle name="Akcent 6 2 6 2 2 2 2 2 2" xfId="16304" xr:uid="{00000000-0005-0000-0000-0000283F0000}"/>
    <cellStyle name="Akcent 6 2 6 2 2 2 2 2 3" xfId="16305" xr:uid="{00000000-0005-0000-0000-0000293F0000}"/>
    <cellStyle name="Akcent 6 2 6 2 2 2 2 2 4" xfId="16306" xr:uid="{00000000-0005-0000-0000-00002A3F0000}"/>
    <cellStyle name="Akcent 6 2 6 2 2 2 2 2 5" xfId="16307" xr:uid="{00000000-0005-0000-0000-00002B3F0000}"/>
    <cellStyle name="Akcent 6 2 6 2 2 2 2 2 6" xfId="16308" xr:uid="{00000000-0005-0000-0000-00002C3F0000}"/>
    <cellStyle name="Akcent 6 2 6 2 2 2 2 3" xfId="16309" xr:uid="{00000000-0005-0000-0000-00002D3F0000}"/>
    <cellStyle name="Akcent 6 2 6 2 2 2 2 4" xfId="16310" xr:uid="{00000000-0005-0000-0000-00002E3F0000}"/>
    <cellStyle name="Akcent 6 2 6 2 2 2 2 5" xfId="16311" xr:uid="{00000000-0005-0000-0000-00002F3F0000}"/>
    <cellStyle name="Akcent 6 2 6 2 2 2 2 6" xfId="16312" xr:uid="{00000000-0005-0000-0000-0000303F0000}"/>
    <cellStyle name="Akcent 6 2 6 2 2 2 2 7" xfId="16313" xr:uid="{00000000-0005-0000-0000-0000313F0000}"/>
    <cellStyle name="Akcent 6 2 6 2 2 2 3" xfId="16314" xr:uid="{00000000-0005-0000-0000-0000323F0000}"/>
    <cellStyle name="Akcent 6 2 6 2 2 2 4" xfId="16315" xr:uid="{00000000-0005-0000-0000-0000333F0000}"/>
    <cellStyle name="Akcent 6 2 6 2 2 2 5" xfId="16316" xr:uid="{00000000-0005-0000-0000-0000343F0000}"/>
    <cellStyle name="Akcent 6 2 6 2 2 2 6" xfId="16317" xr:uid="{00000000-0005-0000-0000-0000353F0000}"/>
    <cellStyle name="Akcent 6 2 6 2 2 2 7" xfId="16318" xr:uid="{00000000-0005-0000-0000-0000363F0000}"/>
    <cellStyle name="Akcent 6 2 6 2 2 2 7 2" xfId="16319" xr:uid="{00000000-0005-0000-0000-0000373F0000}"/>
    <cellStyle name="Akcent 6 2 6 2 2 2 7 3" xfId="16320" xr:uid="{00000000-0005-0000-0000-0000383F0000}"/>
    <cellStyle name="Akcent 6 2 6 2 2 2 7 4" xfId="16321" xr:uid="{00000000-0005-0000-0000-0000393F0000}"/>
    <cellStyle name="Akcent 6 2 6 2 2 2 7 5" xfId="16322" xr:uid="{00000000-0005-0000-0000-00003A3F0000}"/>
    <cellStyle name="Akcent 6 2 6 2 2 2 7 6" xfId="16323" xr:uid="{00000000-0005-0000-0000-00003B3F0000}"/>
    <cellStyle name="Akcent 6 2 6 2 2 2 8" xfId="16324" xr:uid="{00000000-0005-0000-0000-00003C3F0000}"/>
    <cellStyle name="Akcent 6 2 6 2 2 2 9" xfId="16325" xr:uid="{00000000-0005-0000-0000-00003D3F0000}"/>
    <cellStyle name="Akcent 6 2 6 2 2 3" xfId="16326" xr:uid="{00000000-0005-0000-0000-00003E3F0000}"/>
    <cellStyle name="Akcent 6 2 6 2 2 3 2" xfId="16327" xr:uid="{00000000-0005-0000-0000-00003F3F0000}"/>
    <cellStyle name="Akcent 6 2 6 2 2 3 2 2" xfId="16328" xr:uid="{00000000-0005-0000-0000-0000403F0000}"/>
    <cellStyle name="Akcent 6 2 6 2 2 3 2 3" xfId="16329" xr:uid="{00000000-0005-0000-0000-0000413F0000}"/>
    <cellStyle name="Akcent 6 2 6 2 2 3 2 4" xfId="16330" xr:uid="{00000000-0005-0000-0000-0000423F0000}"/>
    <cellStyle name="Akcent 6 2 6 2 2 3 2 5" xfId="16331" xr:uid="{00000000-0005-0000-0000-0000433F0000}"/>
    <cellStyle name="Akcent 6 2 6 2 2 3 2 6" xfId="16332" xr:uid="{00000000-0005-0000-0000-0000443F0000}"/>
    <cellStyle name="Akcent 6 2 6 2 2 3 3" xfId="16333" xr:uid="{00000000-0005-0000-0000-0000453F0000}"/>
    <cellStyle name="Akcent 6 2 6 2 2 3 4" xfId="16334" xr:uid="{00000000-0005-0000-0000-0000463F0000}"/>
    <cellStyle name="Akcent 6 2 6 2 2 3 5" xfId="16335" xr:uid="{00000000-0005-0000-0000-0000473F0000}"/>
    <cellStyle name="Akcent 6 2 6 2 2 3 6" xfId="16336" xr:uid="{00000000-0005-0000-0000-0000483F0000}"/>
    <cellStyle name="Akcent 6 2 6 2 2 3 7" xfId="16337" xr:uid="{00000000-0005-0000-0000-0000493F0000}"/>
    <cellStyle name="Akcent 6 2 6 2 2 4" xfId="16338" xr:uid="{00000000-0005-0000-0000-00004A3F0000}"/>
    <cellStyle name="Akcent 6 2 6 2 2 5" xfId="16339" xr:uid="{00000000-0005-0000-0000-00004B3F0000}"/>
    <cellStyle name="Akcent 6 2 6 2 2 6" xfId="16340" xr:uid="{00000000-0005-0000-0000-00004C3F0000}"/>
    <cellStyle name="Akcent 6 2 6 2 2 7" xfId="16341" xr:uid="{00000000-0005-0000-0000-00004D3F0000}"/>
    <cellStyle name="Akcent 6 2 6 2 2 7 2" xfId="16342" xr:uid="{00000000-0005-0000-0000-00004E3F0000}"/>
    <cellStyle name="Akcent 6 2 6 2 2 7 3" xfId="16343" xr:uid="{00000000-0005-0000-0000-00004F3F0000}"/>
    <cellStyle name="Akcent 6 2 6 2 2 7 4" xfId="16344" xr:uid="{00000000-0005-0000-0000-0000503F0000}"/>
    <cellStyle name="Akcent 6 2 6 2 2 7 5" xfId="16345" xr:uid="{00000000-0005-0000-0000-0000513F0000}"/>
    <cellStyle name="Akcent 6 2 6 2 2 7 6" xfId="16346" xr:uid="{00000000-0005-0000-0000-0000523F0000}"/>
    <cellStyle name="Akcent 6 2 6 2 2 8" xfId="16347" xr:uid="{00000000-0005-0000-0000-0000533F0000}"/>
    <cellStyle name="Akcent 6 2 6 2 2 9" xfId="16348" xr:uid="{00000000-0005-0000-0000-0000543F0000}"/>
    <cellStyle name="Akcent 6 2 6 2 3" xfId="16349" xr:uid="{00000000-0005-0000-0000-0000553F0000}"/>
    <cellStyle name="Akcent 6 2 6 2 3 2" xfId="16350" xr:uid="{00000000-0005-0000-0000-0000563F0000}"/>
    <cellStyle name="Akcent 6 2 6 2 3 2 2" xfId="16351" xr:uid="{00000000-0005-0000-0000-0000573F0000}"/>
    <cellStyle name="Akcent 6 2 6 2 3 2 3" xfId="16352" xr:uid="{00000000-0005-0000-0000-0000583F0000}"/>
    <cellStyle name="Akcent 6 2 6 2 3 2 4" xfId="16353" xr:uid="{00000000-0005-0000-0000-0000593F0000}"/>
    <cellStyle name="Akcent 6 2 6 2 3 2 5" xfId="16354" xr:uid="{00000000-0005-0000-0000-00005A3F0000}"/>
    <cellStyle name="Akcent 6 2 6 2 3 2 6" xfId="16355" xr:uid="{00000000-0005-0000-0000-00005B3F0000}"/>
    <cellStyle name="Akcent 6 2 6 2 3 3" xfId="16356" xr:uid="{00000000-0005-0000-0000-00005C3F0000}"/>
    <cellStyle name="Akcent 6 2 6 2 3 4" xfId="16357" xr:uid="{00000000-0005-0000-0000-00005D3F0000}"/>
    <cellStyle name="Akcent 6 2 6 2 3 5" xfId="16358" xr:uid="{00000000-0005-0000-0000-00005E3F0000}"/>
    <cellStyle name="Akcent 6 2 6 2 3 6" xfId="16359" xr:uid="{00000000-0005-0000-0000-00005F3F0000}"/>
    <cellStyle name="Akcent 6 2 6 2 3 7" xfId="16360" xr:uid="{00000000-0005-0000-0000-0000603F0000}"/>
    <cellStyle name="Akcent 6 2 6 2 4" xfId="16361" xr:uid="{00000000-0005-0000-0000-0000613F0000}"/>
    <cellStyle name="Akcent 6 2 6 2 5" xfId="16362" xr:uid="{00000000-0005-0000-0000-0000623F0000}"/>
    <cellStyle name="Akcent 6 2 6 2 6" xfId="16363" xr:uid="{00000000-0005-0000-0000-0000633F0000}"/>
    <cellStyle name="Akcent 6 2 6 2 7" xfId="16364" xr:uid="{00000000-0005-0000-0000-0000643F0000}"/>
    <cellStyle name="Akcent 6 2 6 2 8" xfId="16365" xr:uid="{00000000-0005-0000-0000-0000653F0000}"/>
    <cellStyle name="Akcent 6 2 6 2 8 2" xfId="16366" xr:uid="{00000000-0005-0000-0000-0000663F0000}"/>
    <cellStyle name="Akcent 6 2 6 2 8 3" xfId="16367" xr:uid="{00000000-0005-0000-0000-0000673F0000}"/>
    <cellStyle name="Akcent 6 2 6 2 8 4" xfId="16368" xr:uid="{00000000-0005-0000-0000-0000683F0000}"/>
    <cellStyle name="Akcent 6 2 6 2 8 5" xfId="16369" xr:uid="{00000000-0005-0000-0000-0000693F0000}"/>
    <cellStyle name="Akcent 6 2 6 2 8 6" xfId="16370" xr:uid="{00000000-0005-0000-0000-00006A3F0000}"/>
    <cellStyle name="Akcent 6 2 6 2 9" xfId="16371" xr:uid="{00000000-0005-0000-0000-00006B3F0000}"/>
    <cellStyle name="Akcent 6 2 6 3" xfId="16372" xr:uid="{00000000-0005-0000-0000-00006C3F0000}"/>
    <cellStyle name="Akcent 6 2 6 4" xfId="16373" xr:uid="{00000000-0005-0000-0000-00006D3F0000}"/>
    <cellStyle name="Akcent 6 2 6 4 10" xfId="16374" xr:uid="{00000000-0005-0000-0000-00006E3F0000}"/>
    <cellStyle name="Akcent 6 2 6 4 11" xfId="16375" xr:uid="{00000000-0005-0000-0000-00006F3F0000}"/>
    <cellStyle name="Akcent 6 2 6 4 2" xfId="16376" xr:uid="{00000000-0005-0000-0000-0000703F0000}"/>
    <cellStyle name="Akcent 6 2 6 4 2 2" xfId="16377" xr:uid="{00000000-0005-0000-0000-0000713F0000}"/>
    <cellStyle name="Akcent 6 2 6 4 2 2 2" xfId="16378" xr:uid="{00000000-0005-0000-0000-0000723F0000}"/>
    <cellStyle name="Akcent 6 2 6 4 2 2 3" xfId="16379" xr:uid="{00000000-0005-0000-0000-0000733F0000}"/>
    <cellStyle name="Akcent 6 2 6 4 2 2 4" xfId="16380" xr:uid="{00000000-0005-0000-0000-0000743F0000}"/>
    <cellStyle name="Akcent 6 2 6 4 2 2 5" xfId="16381" xr:uid="{00000000-0005-0000-0000-0000753F0000}"/>
    <cellStyle name="Akcent 6 2 6 4 2 2 6" xfId="16382" xr:uid="{00000000-0005-0000-0000-0000763F0000}"/>
    <cellStyle name="Akcent 6 2 6 4 2 3" xfId="16383" xr:uid="{00000000-0005-0000-0000-0000773F0000}"/>
    <cellStyle name="Akcent 6 2 6 4 2 4" xfId="16384" xr:uid="{00000000-0005-0000-0000-0000783F0000}"/>
    <cellStyle name="Akcent 6 2 6 4 2 5" xfId="16385" xr:uid="{00000000-0005-0000-0000-0000793F0000}"/>
    <cellStyle name="Akcent 6 2 6 4 2 6" xfId="16386" xr:uid="{00000000-0005-0000-0000-00007A3F0000}"/>
    <cellStyle name="Akcent 6 2 6 4 2 7" xfId="16387" xr:uid="{00000000-0005-0000-0000-00007B3F0000}"/>
    <cellStyle name="Akcent 6 2 6 4 3" xfId="16388" xr:uid="{00000000-0005-0000-0000-00007C3F0000}"/>
    <cellStyle name="Akcent 6 2 6 4 4" xfId="16389" xr:uid="{00000000-0005-0000-0000-00007D3F0000}"/>
    <cellStyle name="Akcent 6 2 6 4 5" xfId="16390" xr:uid="{00000000-0005-0000-0000-00007E3F0000}"/>
    <cellStyle name="Akcent 6 2 6 4 6" xfId="16391" xr:uid="{00000000-0005-0000-0000-00007F3F0000}"/>
    <cellStyle name="Akcent 6 2 6 4 7" xfId="16392" xr:uid="{00000000-0005-0000-0000-0000803F0000}"/>
    <cellStyle name="Akcent 6 2 6 4 7 2" xfId="16393" xr:uid="{00000000-0005-0000-0000-0000813F0000}"/>
    <cellStyle name="Akcent 6 2 6 4 7 3" xfId="16394" xr:uid="{00000000-0005-0000-0000-0000823F0000}"/>
    <cellStyle name="Akcent 6 2 6 4 7 4" xfId="16395" xr:uid="{00000000-0005-0000-0000-0000833F0000}"/>
    <cellStyle name="Akcent 6 2 6 4 7 5" xfId="16396" xr:uid="{00000000-0005-0000-0000-0000843F0000}"/>
    <cellStyle name="Akcent 6 2 6 4 7 6" xfId="16397" xr:uid="{00000000-0005-0000-0000-0000853F0000}"/>
    <cellStyle name="Akcent 6 2 6 4 8" xfId="16398" xr:uid="{00000000-0005-0000-0000-0000863F0000}"/>
    <cellStyle name="Akcent 6 2 6 4 9" xfId="16399" xr:uid="{00000000-0005-0000-0000-0000873F0000}"/>
    <cellStyle name="Akcent 6 2 6 5" xfId="16400" xr:uid="{00000000-0005-0000-0000-0000883F0000}"/>
    <cellStyle name="Akcent 6 2 6 5 2" xfId="16401" xr:uid="{00000000-0005-0000-0000-0000893F0000}"/>
    <cellStyle name="Akcent 6 2 6 5 2 2" xfId="16402" xr:uid="{00000000-0005-0000-0000-00008A3F0000}"/>
    <cellStyle name="Akcent 6 2 6 5 2 3" xfId="16403" xr:uid="{00000000-0005-0000-0000-00008B3F0000}"/>
    <cellStyle name="Akcent 6 2 6 5 2 4" xfId="16404" xr:uid="{00000000-0005-0000-0000-00008C3F0000}"/>
    <cellStyle name="Akcent 6 2 6 5 2 5" xfId="16405" xr:uid="{00000000-0005-0000-0000-00008D3F0000}"/>
    <cellStyle name="Akcent 6 2 6 5 2 6" xfId="16406" xr:uid="{00000000-0005-0000-0000-00008E3F0000}"/>
    <cellStyle name="Akcent 6 2 6 5 3" xfId="16407" xr:uid="{00000000-0005-0000-0000-00008F3F0000}"/>
    <cellStyle name="Akcent 6 2 6 5 4" xfId="16408" xr:uid="{00000000-0005-0000-0000-0000903F0000}"/>
    <cellStyle name="Akcent 6 2 6 5 5" xfId="16409" xr:uid="{00000000-0005-0000-0000-0000913F0000}"/>
    <cellStyle name="Akcent 6 2 6 5 6" xfId="16410" xr:uid="{00000000-0005-0000-0000-0000923F0000}"/>
    <cellStyle name="Akcent 6 2 6 5 7" xfId="16411" xr:uid="{00000000-0005-0000-0000-0000933F0000}"/>
    <cellStyle name="Akcent 6 2 6 6" xfId="16412" xr:uid="{00000000-0005-0000-0000-0000943F0000}"/>
    <cellStyle name="Akcent 6 2 6 7" xfId="16413" xr:uid="{00000000-0005-0000-0000-0000953F0000}"/>
    <cellStyle name="Akcent 6 2 6 8" xfId="16414" xr:uid="{00000000-0005-0000-0000-0000963F0000}"/>
    <cellStyle name="Akcent 6 2 6 9" xfId="16415" xr:uid="{00000000-0005-0000-0000-0000973F0000}"/>
    <cellStyle name="Akcent 6 2 6 9 2" xfId="16416" xr:uid="{00000000-0005-0000-0000-0000983F0000}"/>
    <cellStyle name="Akcent 6 2 6 9 3" xfId="16417" xr:uid="{00000000-0005-0000-0000-0000993F0000}"/>
    <cellStyle name="Akcent 6 2 6 9 4" xfId="16418" xr:uid="{00000000-0005-0000-0000-00009A3F0000}"/>
    <cellStyle name="Akcent 6 2 6 9 5" xfId="16419" xr:uid="{00000000-0005-0000-0000-00009B3F0000}"/>
    <cellStyle name="Akcent 6 2 6 9 6" xfId="16420" xr:uid="{00000000-0005-0000-0000-00009C3F0000}"/>
    <cellStyle name="Akcent 6 2 7" xfId="16421" xr:uid="{00000000-0005-0000-0000-00009D3F0000}"/>
    <cellStyle name="Akcent 6 2 8" xfId="16422" xr:uid="{00000000-0005-0000-0000-00009E3F0000}"/>
    <cellStyle name="Akcent 6 2 9" xfId="16423" xr:uid="{00000000-0005-0000-0000-00009F3F0000}"/>
    <cellStyle name="Akcent 6 3" xfId="226" xr:uid="{00000000-0005-0000-0000-0000A03F0000}"/>
    <cellStyle name="Akcent 6 3 2" xfId="16425" xr:uid="{00000000-0005-0000-0000-0000A13F0000}"/>
    <cellStyle name="Akcent 6 3 3" xfId="16426" xr:uid="{00000000-0005-0000-0000-0000A23F0000}"/>
    <cellStyle name="Akcent 6 3 4" xfId="16427" xr:uid="{00000000-0005-0000-0000-0000A33F0000}"/>
    <cellStyle name="Akcent 6 3 5" xfId="16424" xr:uid="{00000000-0005-0000-0000-0000A43F0000}"/>
    <cellStyle name="Akcent 6 4" xfId="227" xr:uid="{00000000-0005-0000-0000-0000A53F0000}"/>
    <cellStyle name="Akcent 6 4 2" xfId="16429" xr:uid="{00000000-0005-0000-0000-0000A63F0000}"/>
    <cellStyle name="Akcent 6 4 3" xfId="16430" xr:uid="{00000000-0005-0000-0000-0000A73F0000}"/>
    <cellStyle name="Akcent 6 4 4" xfId="16431" xr:uid="{00000000-0005-0000-0000-0000A83F0000}"/>
    <cellStyle name="Akcent 6 4 5" xfId="16428" xr:uid="{00000000-0005-0000-0000-0000A93F0000}"/>
    <cellStyle name="Akcent 6 5" xfId="228" xr:uid="{00000000-0005-0000-0000-0000AA3F0000}"/>
    <cellStyle name="Akcent 6 5 2" xfId="16433" xr:uid="{00000000-0005-0000-0000-0000AB3F0000}"/>
    <cellStyle name="Akcent 6 5 3" xfId="16434" xr:uid="{00000000-0005-0000-0000-0000AC3F0000}"/>
    <cellStyle name="Akcent 6 5 4" xfId="16435" xr:uid="{00000000-0005-0000-0000-0000AD3F0000}"/>
    <cellStyle name="Akcent 6 5 5" xfId="16432" xr:uid="{00000000-0005-0000-0000-0000AE3F0000}"/>
    <cellStyle name="Akcent 6 6" xfId="229" xr:uid="{00000000-0005-0000-0000-0000AF3F0000}"/>
    <cellStyle name="Akcent 6 6 2" xfId="16437" xr:uid="{00000000-0005-0000-0000-0000B03F0000}"/>
    <cellStyle name="Akcent 6 6 3" xfId="16438" xr:uid="{00000000-0005-0000-0000-0000B13F0000}"/>
    <cellStyle name="Akcent 6 6 4" xfId="16439" xr:uid="{00000000-0005-0000-0000-0000B23F0000}"/>
    <cellStyle name="Akcent 6 6 5" xfId="16436" xr:uid="{00000000-0005-0000-0000-0000B33F0000}"/>
    <cellStyle name="Akcent 6 7" xfId="230" xr:uid="{00000000-0005-0000-0000-0000B43F0000}"/>
    <cellStyle name="Akcent 6 7 2" xfId="16441" xr:uid="{00000000-0005-0000-0000-0000B53F0000}"/>
    <cellStyle name="Akcent 6 7 3" xfId="16442" xr:uid="{00000000-0005-0000-0000-0000B63F0000}"/>
    <cellStyle name="Akcent 6 7 4" xfId="16443" xr:uid="{00000000-0005-0000-0000-0000B73F0000}"/>
    <cellStyle name="Akcent 6 7 5" xfId="16440" xr:uid="{00000000-0005-0000-0000-0000B83F0000}"/>
    <cellStyle name="Akcent 6 8" xfId="16444" xr:uid="{00000000-0005-0000-0000-0000B93F0000}"/>
    <cellStyle name="Akcent 6 8 2" xfId="16445" xr:uid="{00000000-0005-0000-0000-0000BA3F0000}"/>
    <cellStyle name="Akcent 6 8 3" xfId="16446" xr:uid="{00000000-0005-0000-0000-0000BB3F0000}"/>
    <cellStyle name="Akcent 6 8 4" xfId="16447" xr:uid="{00000000-0005-0000-0000-0000BC3F0000}"/>
    <cellStyle name="Akcent 6 9" xfId="16448" xr:uid="{00000000-0005-0000-0000-0000BD3F0000}"/>
    <cellStyle name="Bad" xfId="16449" xr:uid="{00000000-0005-0000-0000-0000BE3F0000}"/>
    <cellStyle name="Bad 2" xfId="16450" xr:uid="{00000000-0005-0000-0000-0000BF3F0000}"/>
    <cellStyle name="Bad 3" xfId="16451" xr:uid="{00000000-0005-0000-0000-0000C03F0000}"/>
    <cellStyle name="Bad 4" xfId="16452" xr:uid="{00000000-0005-0000-0000-0000C13F0000}"/>
    <cellStyle name="Bad 5" xfId="16453" xr:uid="{00000000-0005-0000-0000-0000C23F0000}"/>
    <cellStyle name="Bad 6" xfId="16454" xr:uid="{00000000-0005-0000-0000-0000C33F0000}"/>
    <cellStyle name="Bad 7" xfId="16455" xr:uid="{00000000-0005-0000-0000-0000C43F0000}"/>
    <cellStyle name="Bad 8" xfId="16456" xr:uid="{00000000-0005-0000-0000-0000C53F0000}"/>
    <cellStyle name="Bad 9" xfId="16457" xr:uid="{00000000-0005-0000-0000-0000C63F0000}"/>
    <cellStyle name="Bad_PGE Rzeszów Budget" xfId="38665" xr:uid="{2042D207-C0C8-4B77-BCB9-1819F8BA24D9}"/>
    <cellStyle name="Buena" xfId="16458" xr:uid="{00000000-0005-0000-0000-0000C73F0000}"/>
    <cellStyle name="Calculation" xfId="16459" xr:uid="{00000000-0005-0000-0000-0000C83F0000}"/>
    <cellStyle name="Calculation 10" xfId="16460" xr:uid="{00000000-0005-0000-0000-0000C93F0000}"/>
    <cellStyle name="Calculation 10 2" xfId="16461" xr:uid="{00000000-0005-0000-0000-0000CA3F0000}"/>
    <cellStyle name="Calculation 11" xfId="16462" xr:uid="{00000000-0005-0000-0000-0000CB3F0000}"/>
    <cellStyle name="Calculation 2" xfId="16463" xr:uid="{00000000-0005-0000-0000-0000CC3F0000}"/>
    <cellStyle name="Calculation 2 2" xfId="16464" xr:uid="{00000000-0005-0000-0000-0000CD3F0000}"/>
    <cellStyle name="Calculation 2 2 2" xfId="16465" xr:uid="{00000000-0005-0000-0000-0000CE3F0000}"/>
    <cellStyle name="Calculation 2 3" xfId="16466" xr:uid="{00000000-0005-0000-0000-0000CF3F0000}"/>
    <cellStyle name="Calculation 3" xfId="16467" xr:uid="{00000000-0005-0000-0000-0000D03F0000}"/>
    <cellStyle name="Calculation 3 2" xfId="16468" xr:uid="{00000000-0005-0000-0000-0000D13F0000}"/>
    <cellStyle name="Calculation 3 2 2" xfId="16469" xr:uid="{00000000-0005-0000-0000-0000D23F0000}"/>
    <cellStyle name="Calculation 3 3" xfId="16470" xr:uid="{00000000-0005-0000-0000-0000D33F0000}"/>
    <cellStyle name="Calculation 4" xfId="16471" xr:uid="{00000000-0005-0000-0000-0000D43F0000}"/>
    <cellStyle name="Calculation 4 2" xfId="16472" xr:uid="{00000000-0005-0000-0000-0000D53F0000}"/>
    <cellStyle name="Calculation 4 2 2" xfId="16473" xr:uid="{00000000-0005-0000-0000-0000D63F0000}"/>
    <cellStyle name="Calculation 4 3" xfId="16474" xr:uid="{00000000-0005-0000-0000-0000D73F0000}"/>
    <cellStyle name="Calculation 5" xfId="16475" xr:uid="{00000000-0005-0000-0000-0000D83F0000}"/>
    <cellStyle name="Calculation 5 2" xfId="16476" xr:uid="{00000000-0005-0000-0000-0000D93F0000}"/>
    <cellStyle name="Calculation 5 2 2" xfId="16477" xr:uid="{00000000-0005-0000-0000-0000DA3F0000}"/>
    <cellStyle name="Calculation 5 3" xfId="16478" xr:uid="{00000000-0005-0000-0000-0000DB3F0000}"/>
    <cellStyle name="Calculation 6" xfId="16479" xr:uid="{00000000-0005-0000-0000-0000DC3F0000}"/>
    <cellStyle name="Calculation 6 2" xfId="16480" xr:uid="{00000000-0005-0000-0000-0000DD3F0000}"/>
    <cellStyle name="Calculation 6 2 2" xfId="16481" xr:uid="{00000000-0005-0000-0000-0000DE3F0000}"/>
    <cellStyle name="Calculation 6 3" xfId="16482" xr:uid="{00000000-0005-0000-0000-0000DF3F0000}"/>
    <cellStyle name="Calculation 7" xfId="16483" xr:uid="{00000000-0005-0000-0000-0000E03F0000}"/>
    <cellStyle name="Calculation 7 2" xfId="16484" xr:uid="{00000000-0005-0000-0000-0000E13F0000}"/>
    <cellStyle name="Calculation 7 2 2" xfId="16485" xr:uid="{00000000-0005-0000-0000-0000E23F0000}"/>
    <cellStyle name="Calculation 7 3" xfId="16486" xr:uid="{00000000-0005-0000-0000-0000E33F0000}"/>
    <cellStyle name="Calculation 8" xfId="16487" xr:uid="{00000000-0005-0000-0000-0000E43F0000}"/>
    <cellStyle name="Calculation 8 2" xfId="16488" xr:uid="{00000000-0005-0000-0000-0000E53F0000}"/>
    <cellStyle name="Calculation 8 2 2" xfId="16489" xr:uid="{00000000-0005-0000-0000-0000E63F0000}"/>
    <cellStyle name="Calculation 8 3" xfId="16490" xr:uid="{00000000-0005-0000-0000-0000E73F0000}"/>
    <cellStyle name="Calculation 9" xfId="16491" xr:uid="{00000000-0005-0000-0000-0000E83F0000}"/>
    <cellStyle name="Calculation 9 2" xfId="16492" xr:uid="{00000000-0005-0000-0000-0000E93F0000}"/>
    <cellStyle name="Calculation 9 2 2" xfId="16493" xr:uid="{00000000-0005-0000-0000-0000EA3F0000}"/>
    <cellStyle name="Calculation 9 3" xfId="16494" xr:uid="{00000000-0005-0000-0000-0000EB3F0000}"/>
    <cellStyle name="Calculation_PGE Rzeszów Budget" xfId="38666" xr:uid="{E96989A3-2448-4180-8200-40CE31222887}"/>
    <cellStyle name="Cálculo" xfId="16495" xr:uid="{00000000-0005-0000-0000-0000EC3F0000}"/>
    <cellStyle name="Cálculo 2" xfId="16496" xr:uid="{00000000-0005-0000-0000-0000ED3F0000}"/>
    <cellStyle name="Celda de comprobación" xfId="16497" xr:uid="{00000000-0005-0000-0000-0000EE3F0000}"/>
    <cellStyle name="Celda vinculada" xfId="16498" xr:uid="{00000000-0005-0000-0000-0000EF3F0000}"/>
    <cellStyle name="Check Cell" xfId="16499" xr:uid="{00000000-0005-0000-0000-0000F03F0000}"/>
    <cellStyle name="Check Cell 2" xfId="16500" xr:uid="{00000000-0005-0000-0000-0000F13F0000}"/>
    <cellStyle name="Check Cell 3" xfId="16501" xr:uid="{00000000-0005-0000-0000-0000F23F0000}"/>
    <cellStyle name="Check Cell 4" xfId="16502" xr:uid="{00000000-0005-0000-0000-0000F33F0000}"/>
    <cellStyle name="Check Cell 5" xfId="16503" xr:uid="{00000000-0005-0000-0000-0000F43F0000}"/>
    <cellStyle name="Check Cell 6" xfId="16504" xr:uid="{00000000-0005-0000-0000-0000F53F0000}"/>
    <cellStyle name="Check Cell 7" xfId="16505" xr:uid="{00000000-0005-0000-0000-0000F63F0000}"/>
    <cellStyle name="Check Cell 8" xfId="16506" xr:uid="{00000000-0005-0000-0000-0000F73F0000}"/>
    <cellStyle name="Check Cell 9" xfId="16507" xr:uid="{00000000-0005-0000-0000-0000F83F0000}"/>
    <cellStyle name="Check Cell_PGE Rzeszów Budget" xfId="38667" xr:uid="{5DB0A36B-BDF9-4C8A-B562-6375DAA4B702}"/>
    <cellStyle name="Comma" xfId="38703" builtinId="3"/>
    <cellStyle name="Currency" xfId="37816" builtinId="4"/>
    <cellStyle name="Dane wejściowe 1" xfId="16508" xr:uid="{00000000-0005-0000-0000-0000FD3F0000}"/>
    <cellStyle name="Dane wejściowe 1 2" xfId="16509" xr:uid="{00000000-0005-0000-0000-0000FE3F0000}"/>
    <cellStyle name="Dane wejściowe 1 2 2" xfId="16510" xr:uid="{00000000-0005-0000-0000-0000FF3F0000}"/>
    <cellStyle name="Dane wejściowe 1 3" xfId="16511" xr:uid="{00000000-0005-0000-0000-000000400000}"/>
    <cellStyle name="Dane wejściowe 10" xfId="16512" xr:uid="{00000000-0005-0000-0000-000001400000}"/>
    <cellStyle name="Dane wejściowe 10 2" xfId="16513" xr:uid="{00000000-0005-0000-0000-000002400000}"/>
    <cellStyle name="Dane wejściowe 10 2 2" xfId="16514" xr:uid="{00000000-0005-0000-0000-000003400000}"/>
    <cellStyle name="Dane wejściowe 10 3" xfId="16515" xr:uid="{00000000-0005-0000-0000-000004400000}"/>
    <cellStyle name="Dane wejściowe 11" xfId="16516" xr:uid="{00000000-0005-0000-0000-000005400000}"/>
    <cellStyle name="Dane wejściowe 11 2" xfId="16517" xr:uid="{00000000-0005-0000-0000-000006400000}"/>
    <cellStyle name="Dane wejściowe 11 2 2" xfId="16518" xr:uid="{00000000-0005-0000-0000-000007400000}"/>
    <cellStyle name="Dane wejściowe 11 3" xfId="16519" xr:uid="{00000000-0005-0000-0000-000008400000}"/>
    <cellStyle name="Dane wejściowe 12" xfId="16520" xr:uid="{00000000-0005-0000-0000-000009400000}"/>
    <cellStyle name="Dane wejściowe 12 2" xfId="16521" xr:uid="{00000000-0005-0000-0000-00000A400000}"/>
    <cellStyle name="Dane wejściowe 12 2 2" xfId="16522" xr:uid="{00000000-0005-0000-0000-00000B400000}"/>
    <cellStyle name="Dane wejściowe 12 3" xfId="16523" xr:uid="{00000000-0005-0000-0000-00000C400000}"/>
    <cellStyle name="Dane wejściowe 13" xfId="16524" xr:uid="{00000000-0005-0000-0000-00000D400000}"/>
    <cellStyle name="Dane wejściowe 13 2" xfId="16525" xr:uid="{00000000-0005-0000-0000-00000E400000}"/>
    <cellStyle name="Dane wejściowe 13 2 2" xfId="16526" xr:uid="{00000000-0005-0000-0000-00000F400000}"/>
    <cellStyle name="Dane wejściowe 13 3" xfId="16527" xr:uid="{00000000-0005-0000-0000-000010400000}"/>
    <cellStyle name="Dane wejściowe 14" xfId="16528" xr:uid="{00000000-0005-0000-0000-000011400000}"/>
    <cellStyle name="Dane wejściowe 14 2" xfId="16529" xr:uid="{00000000-0005-0000-0000-000012400000}"/>
    <cellStyle name="Dane wejściowe 14 2 2" xfId="16530" xr:uid="{00000000-0005-0000-0000-000013400000}"/>
    <cellStyle name="Dane wejściowe 14 3" xfId="16531" xr:uid="{00000000-0005-0000-0000-000014400000}"/>
    <cellStyle name="Dane wejściowe 15" xfId="16532" xr:uid="{00000000-0005-0000-0000-000015400000}"/>
    <cellStyle name="Dane wejściowe 15 2" xfId="16533" xr:uid="{00000000-0005-0000-0000-000016400000}"/>
    <cellStyle name="Dane wejściowe 15 2 2" xfId="16534" xr:uid="{00000000-0005-0000-0000-000017400000}"/>
    <cellStyle name="Dane wejściowe 15 3" xfId="16535" xr:uid="{00000000-0005-0000-0000-000018400000}"/>
    <cellStyle name="Dane wejściowe 16" xfId="16536" xr:uid="{00000000-0005-0000-0000-000019400000}"/>
    <cellStyle name="Dane wejściowe 16 2" xfId="16537" xr:uid="{00000000-0005-0000-0000-00001A400000}"/>
    <cellStyle name="Dane wejściowe 16 2 2" xfId="16538" xr:uid="{00000000-0005-0000-0000-00001B400000}"/>
    <cellStyle name="Dane wejściowe 16 3" xfId="16539" xr:uid="{00000000-0005-0000-0000-00001C400000}"/>
    <cellStyle name="Dane wejściowe 17" xfId="16540" xr:uid="{00000000-0005-0000-0000-00001D400000}"/>
    <cellStyle name="Dane wejściowe 17 2" xfId="16541" xr:uid="{00000000-0005-0000-0000-00001E400000}"/>
    <cellStyle name="Dane wejściowe 17 2 2" xfId="16542" xr:uid="{00000000-0005-0000-0000-00001F400000}"/>
    <cellStyle name="Dane wejściowe 17 3" xfId="16543" xr:uid="{00000000-0005-0000-0000-000020400000}"/>
    <cellStyle name="Dane wejściowe 18" xfId="16544" xr:uid="{00000000-0005-0000-0000-000021400000}"/>
    <cellStyle name="Dane wejściowe 18 2" xfId="16545" xr:uid="{00000000-0005-0000-0000-000022400000}"/>
    <cellStyle name="Dane wejściowe 18 2 2" xfId="16546" xr:uid="{00000000-0005-0000-0000-000023400000}"/>
    <cellStyle name="Dane wejściowe 18 3" xfId="16547" xr:uid="{00000000-0005-0000-0000-000024400000}"/>
    <cellStyle name="Dane wejściowe 19" xfId="16548" xr:uid="{00000000-0005-0000-0000-000025400000}"/>
    <cellStyle name="Dane wejściowe 19 2" xfId="16549" xr:uid="{00000000-0005-0000-0000-000026400000}"/>
    <cellStyle name="Dane wejściowe 19 2 2" xfId="16550" xr:uid="{00000000-0005-0000-0000-000027400000}"/>
    <cellStyle name="Dane wejściowe 19 3" xfId="16551" xr:uid="{00000000-0005-0000-0000-000028400000}"/>
    <cellStyle name="Dane wejściowe 2" xfId="231" xr:uid="{00000000-0005-0000-0000-000029400000}"/>
    <cellStyle name="Dane wejściowe 2 10" xfId="16553" xr:uid="{00000000-0005-0000-0000-00002A400000}"/>
    <cellStyle name="Dane wejściowe 2 10 2" xfId="16554" xr:uid="{00000000-0005-0000-0000-00002B400000}"/>
    <cellStyle name="Dane wejściowe 2 10 2 2" xfId="16555" xr:uid="{00000000-0005-0000-0000-00002C400000}"/>
    <cellStyle name="Dane wejściowe 2 10 3" xfId="16556" xr:uid="{00000000-0005-0000-0000-00002D400000}"/>
    <cellStyle name="Dane wejściowe 2 11" xfId="16557" xr:uid="{00000000-0005-0000-0000-00002E400000}"/>
    <cellStyle name="Dane wejściowe 2 11 2" xfId="16558" xr:uid="{00000000-0005-0000-0000-00002F400000}"/>
    <cellStyle name="Dane wejściowe 2 11 2 2" xfId="16559" xr:uid="{00000000-0005-0000-0000-000030400000}"/>
    <cellStyle name="Dane wejściowe 2 11 3" xfId="16560" xr:uid="{00000000-0005-0000-0000-000031400000}"/>
    <cellStyle name="Dane wejściowe 2 12" xfId="16561" xr:uid="{00000000-0005-0000-0000-000032400000}"/>
    <cellStyle name="Dane wejściowe 2 12 2" xfId="16562" xr:uid="{00000000-0005-0000-0000-000033400000}"/>
    <cellStyle name="Dane wejściowe 2 12 2 2" xfId="16563" xr:uid="{00000000-0005-0000-0000-000034400000}"/>
    <cellStyle name="Dane wejściowe 2 12 3" xfId="16564" xr:uid="{00000000-0005-0000-0000-000035400000}"/>
    <cellStyle name="Dane wejściowe 2 13" xfId="16565" xr:uid="{00000000-0005-0000-0000-000036400000}"/>
    <cellStyle name="Dane wejściowe 2 13 10" xfId="16566" xr:uid="{00000000-0005-0000-0000-000037400000}"/>
    <cellStyle name="Dane wejściowe 2 13 10 2" xfId="16567" xr:uid="{00000000-0005-0000-0000-000038400000}"/>
    <cellStyle name="Dane wejściowe 2 13 10 2 2" xfId="16568" xr:uid="{00000000-0005-0000-0000-000039400000}"/>
    <cellStyle name="Dane wejściowe 2 13 10 3" xfId="16569" xr:uid="{00000000-0005-0000-0000-00003A400000}"/>
    <cellStyle name="Dane wejściowe 2 13 11" xfId="16570" xr:uid="{00000000-0005-0000-0000-00003B400000}"/>
    <cellStyle name="Dane wejściowe 2 13 11 2" xfId="16571" xr:uid="{00000000-0005-0000-0000-00003C400000}"/>
    <cellStyle name="Dane wejściowe 2 13 12" xfId="16572" xr:uid="{00000000-0005-0000-0000-00003D400000}"/>
    <cellStyle name="Dane wejściowe 2 13 12 2" xfId="16573" xr:uid="{00000000-0005-0000-0000-00003E400000}"/>
    <cellStyle name="Dane wejściowe 2 13 13" xfId="16574" xr:uid="{00000000-0005-0000-0000-00003F400000}"/>
    <cellStyle name="Dane wejściowe 2 13 2" xfId="16575" xr:uid="{00000000-0005-0000-0000-000040400000}"/>
    <cellStyle name="Dane wejściowe 2 13 2 10" xfId="16576" xr:uid="{00000000-0005-0000-0000-000041400000}"/>
    <cellStyle name="Dane wejściowe 2 13 2 10 2" xfId="16577" xr:uid="{00000000-0005-0000-0000-000042400000}"/>
    <cellStyle name="Dane wejściowe 2 13 2 11" xfId="16578" xr:uid="{00000000-0005-0000-0000-000043400000}"/>
    <cellStyle name="Dane wejściowe 2 13 2 11 2" xfId="16579" xr:uid="{00000000-0005-0000-0000-000044400000}"/>
    <cellStyle name="Dane wejściowe 2 13 2 12" xfId="16580" xr:uid="{00000000-0005-0000-0000-000045400000}"/>
    <cellStyle name="Dane wejściowe 2 13 2 2" xfId="16581" xr:uid="{00000000-0005-0000-0000-000046400000}"/>
    <cellStyle name="Dane wejściowe 2 13 2 2 10" xfId="16582" xr:uid="{00000000-0005-0000-0000-000047400000}"/>
    <cellStyle name="Dane wejściowe 2 13 2 2 10 2" xfId="16583" xr:uid="{00000000-0005-0000-0000-000048400000}"/>
    <cellStyle name="Dane wejściowe 2 13 2 2 11" xfId="16584" xr:uid="{00000000-0005-0000-0000-000049400000}"/>
    <cellStyle name="Dane wejściowe 2 13 2 2 11 2" xfId="16585" xr:uid="{00000000-0005-0000-0000-00004A400000}"/>
    <cellStyle name="Dane wejściowe 2 13 2 2 12" xfId="16586" xr:uid="{00000000-0005-0000-0000-00004B400000}"/>
    <cellStyle name="Dane wejściowe 2 13 2 2 2" xfId="16587" xr:uid="{00000000-0005-0000-0000-00004C400000}"/>
    <cellStyle name="Dane wejściowe 2 13 2 2 2 2" xfId="16588" xr:uid="{00000000-0005-0000-0000-00004D400000}"/>
    <cellStyle name="Dane wejściowe 2 13 2 2 2 2 2" xfId="16589" xr:uid="{00000000-0005-0000-0000-00004E400000}"/>
    <cellStyle name="Dane wejściowe 2 13 2 2 2 2 2 2" xfId="16590" xr:uid="{00000000-0005-0000-0000-00004F400000}"/>
    <cellStyle name="Dane wejściowe 2 13 2 2 2 2 2 2 2" xfId="16591" xr:uid="{00000000-0005-0000-0000-000050400000}"/>
    <cellStyle name="Dane wejściowe 2 13 2 2 2 2 2 3" xfId="16592" xr:uid="{00000000-0005-0000-0000-000051400000}"/>
    <cellStyle name="Dane wejściowe 2 13 2 2 2 2 3" xfId="16593" xr:uid="{00000000-0005-0000-0000-000052400000}"/>
    <cellStyle name="Dane wejściowe 2 13 2 2 2 2 3 2" xfId="16594" xr:uid="{00000000-0005-0000-0000-000053400000}"/>
    <cellStyle name="Dane wejściowe 2 13 2 2 2 2 3 2 2" xfId="16595" xr:uid="{00000000-0005-0000-0000-000054400000}"/>
    <cellStyle name="Dane wejściowe 2 13 2 2 2 2 3 3" xfId="16596" xr:uid="{00000000-0005-0000-0000-000055400000}"/>
    <cellStyle name="Dane wejściowe 2 13 2 2 2 2 4" xfId="16597" xr:uid="{00000000-0005-0000-0000-000056400000}"/>
    <cellStyle name="Dane wejściowe 2 13 2 2 2 2 4 2" xfId="16598" xr:uid="{00000000-0005-0000-0000-000057400000}"/>
    <cellStyle name="Dane wejściowe 2 13 2 2 2 2 4 2 2" xfId="16599" xr:uid="{00000000-0005-0000-0000-000058400000}"/>
    <cellStyle name="Dane wejściowe 2 13 2 2 2 2 4 3" xfId="16600" xr:uid="{00000000-0005-0000-0000-000059400000}"/>
    <cellStyle name="Dane wejściowe 2 13 2 2 2 2 5" xfId="16601" xr:uid="{00000000-0005-0000-0000-00005A400000}"/>
    <cellStyle name="Dane wejściowe 2 13 2 2 2 2 5 2" xfId="16602" xr:uid="{00000000-0005-0000-0000-00005B400000}"/>
    <cellStyle name="Dane wejściowe 2 13 2 2 2 2 6" xfId="16603" xr:uid="{00000000-0005-0000-0000-00005C400000}"/>
    <cellStyle name="Dane wejściowe 2 13 2 2 2 2 6 2" xfId="16604" xr:uid="{00000000-0005-0000-0000-00005D400000}"/>
    <cellStyle name="Dane wejściowe 2 13 2 2 2 2 7" xfId="16605" xr:uid="{00000000-0005-0000-0000-00005E400000}"/>
    <cellStyle name="Dane wejściowe 2 13 2 2 2 3" xfId="16606" xr:uid="{00000000-0005-0000-0000-00005F400000}"/>
    <cellStyle name="Dane wejściowe 2 13 2 2 2 3 2" xfId="16607" xr:uid="{00000000-0005-0000-0000-000060400000}"/>
    <cellStyle name="Dane wejściowe 2 13 2 2 2 3 2 2" xfId="16608" xr:uid="{00000000-0005-0000-0000-000061400000}"/>
    <cellStyle name="Dane wejściowe 2 13 2 2 2 3 3" xfId="16609" xr:uid="{00000000-0005-0000-0000-000062400000}"/>
    <cellStyle name="Dane wejściowe 2 13 2 2 2 4" xfId="16610" xr:uid="{00000000-0005-0000-0000-000063400000}"/>
    <cellStyle name="Dane wejściowe 2 13 2 2 2 4 2" xfId="16611" xr:uid="{00000000-0005-0000-0000-000064400000}"/>
    <cellStyle name="Dane wejściowe 2 13 2 2 2 4 2 2" xfId="16612" xr:uid="{00000000-0005-0000-0000-000065400000}"/>
    <cellStyle name="Dane wejściowe 2 13 2 2 2 4 3" xfId="16613" xr:uid="{00000000-0005-0000-0000-000066400000}"/>
    <cellStyle name="Dane wejściowe 2 13 2 2 2 5" xfId="16614" xr:uid="{00000000-0005-0000-0000-000067400000}"/>
    <cellStyle name="Dane wejściowe 2 13 2 2 2 5 2" xfId="16615" xr:uid="{00000000-0005-0000-0000-000068400000}"/>
    <cellStyle name="Dane wejściowe 2 13 2 2 2 5 2 2" xfId="16616" xr:uid="{00000000-0005-0000-0000-000069400000}"/>
    <cellStyle name="Dane wejściowe 2 13 2 2 2 5 3" xfId="16617" xr:uid="{00000000-0005-0000-0000-00006A400000}"/>
    <cellStyle name="Dane wejściowe 2 13 2 2 2 6" xfId="16618" xr:uid="{00000000-0005-0000-0000-00006B400000}"/>
    <cellStyle name="Dane wejściowe 2 13 2 2 2 6 2" xfId="16619" xr:uid="{00000000-0005-0000-0000-00006C400000}"/>
    <cellStyle name="Dane wejściowe 2 13 2 2 2 7" xfId="16620" xr:uid="{00000000-0005-0000-0000-00006D400000}"/>
    <cellStyle name="Dane wejściowe 2 13 2 2 2 7 2" xfId="16621" xr:uid="{00000000-0005-0000-0000-00006E400000}"/>
    <cellStyle name="Dane wejściowe 2 13 2 2 2 8" xfId="16622" xr:uid="{00000000-0005-0000-0000-00006F400000}"/>
    <cellStyle name="Dane wejściowe 2 13 2 2 3" xfId="16623" xr:uid="{00000000-0005-0000-0000-000070400000}"/>
    <cellStyle name="Dane wejściowe 2 13 2 2 3 2" xfId="16624" xr:uid="{00000000-0005-0000-0000-000071400000}"/>
    <cellStyle name="Dane wejściowe 2 13 2 2 3 2 2" xfId="16625" xr:uid="{00000000-0005-0000-0000-000072400000}"/>
    <cellStyle name="Dane wejściowe 2 13 2 2 3 3" xfId="16626" xr:uid="{00000000-0005-0000-0000-000073400000}"/>
    <cellStyle name="Dane wejściowe 2 13 2 2 4" xfId="16627" xr:uid="{00000000-0005-0000-0000-000074400000}"/>
    <cellStyle name="Dane wejściowe 2 13 2 2 4 2" xfId="16628" xr:uid="{00000000-0005-0000-0000-000075400000}"/>
    <cellStyle name="Dane wejściowe 2 13 2 2 4 2 2" xfId="16629" xr:uid="{00000000-0005-0000-0000-000076400000}"/>
    <cellStyle name="Dane wejściowe 2 13 2 2 4 3" xfId="16630" xr:uid="{00000000-0005-0000-0000-000077400000}"/>
    <cellStyle name="Dane wejściowe 2 13 2 2 5" xfId="16631" xr:uid="{00000000-0005-0000-0000-000078400000}"/>
    <cellStyle name="Dane wejściowe 2 13 2 2 5 2" xfId="16632" xr:uid="{00000000-0005-0000-0000-000079400000}"/>
    <cellStyle name="Dane wejściowe 2 13 2 2 5 2 2" xfId="16633" xr:uid="{00000000-0005-0000-0000-00007A400000}"/>
    <cellStyle name="Dane wejściowe 2 13 2 2 5 3" xfId="16634" xr:uid="{00000000-0005-0000-0000-00007B400000}"/>
    <cellStyle name="Dane wejściowe 2 13 2 2 6" xfId="16635" xr:uid="{00000000-0005-0000-0000-00007C400000}"/>
    <cellStyle name="Dane wejściowe 2 13 2 2 6 2" xfId="16636" xr:uid="{00000000-0005-0000-0000-00007D400000}"/>
    <cellStyle name="Dane wejściowe 2 13 2 2 6 2 2" xfId="16637" xr:uid="{00000000-0005-0000-0000-00007E400000}"/>
    <cellStyle name="Dane wejściowe 2 13 2 2 6 3" xfId="16638" xr:uid="{00000000-0005-0000-0000-00007F400000}"/>
    <cellStyle name="Dane wejściowe 2 13 2 2 7" xfId="16639" xr:uid="{00000000-0005-0000-0000-000080400000}"/>
    <cellStyle name="Dane wejściowe 2 13 2 2 7 2" xfId="16640" xr:uid="{00000000-0005-0000-0000-000081400000}"/>
    <cellStyle name="Dane wejściowe 2 13 2 2 7 2 2" xfId="16641" xr:uid="{00000000-0005-0000-0000-000082400000}"/>
    <cellStyle name="Dane wejściowe 2 13 2 2 7 2 2 2" xfId="16642" xr:uid="{00000000-0005-0000-0000-000083400000}"/>
    <cellStyle name="Dane wejściowe 2 13 2 2 7 2 3" xfId="16643" xr:uid="{00000000-0005-0000-0000-000084400000}"/>
    <cellStyle name="Dane wejściowe 2 13 2 2 7 3" xfId="16644" xr:uid="{00000000-0005-0000-0000-000085400000}"/>
    <cellStyle name="Dane wejściowe 2 13 2 2 7 3 2" xfId="16645" xr:uid="{00000000-0005-0000-0000-000086400000}"/>
    <cellStyle name="Dane wejściowe 2 13 2 2 7 3 2 2" xfId="16646" xr:uid="{00000000-0005-0000-0000-000087400000}"/>
    <cellStyle name="Dane wejściowe 2 13 2 2 7 3 3" xfId="16647" xr:uid="{00000000-0005-0000-0000-000088400000}"/>
    <cellStyle name="Dane wejściowe 2 13 2 2 7 4" xfId="16648" xr:uid="{00000000-0005-0000-0000-000089400000}"/>
    <cellStyle name="Dane wejściowe 2 13 2 2 7 4 2" xfId="16649" xr:uid="{00000000-0005-0000-0000-00008A400000}"/>
    <cellStyle name="Dane wejściowe 2 13 2 2 7 4 2 2" xfId="16650" xr:uid="{00000000-0005-0000-0000-00008B400000}"/>
    <cellStyle name="Dane wejściowe 2 13 2 2 7 4 3" xfId="16651" xr:uid="{00000000-0005-0000-0000-00008C400000}"/>
    <cellStyle name="Dane wejściowe 2 13 2 2 7 5" xfId="16652" xr:uid="{00000000-0005-0000-0000-00008D400000}"/>
    <cellStyle name="Dane wejściowe 2 13 2 2 7 5 2" xfId="16653" xr:uid="{00000000-0005-0000-0000-00008E400000}"/>
    <cellStyle name="Dane wejściowe 2 13 2 2 7 6" xfId="16654" xr:uid="{00000000-0005-0000-0000-00008F400000}"/>
    <cellStyle name="Dane wejściowe 2 13 2 2 7 6 2" xfId="16655" xr:uid="{00000000-0005-0000-0000-000090400000}"/>
    <cellStyle name="Dane wejściowe 2 13 2 2 7 7" xfId="16656" xr:uid="{00000000-0005-0000-0000-000091400000}"/>
    <cellStyle name="Dane wejściowe 2 13 2 2 8" xfId="16657" xr:uid="{00000000-0005-0000-0000-000092400000}"/>
    <cellStyle name="Dane wejściowe 2 13 2 2 8 2" xfId="16658" xr:uid="{00000000-0005-0000-0000-000093400000}"/>
    <cellStyle name="Dane wejściowe 2 13 2 2 8 2 2" xfId="16659" xr:uid="{00000000-0005-0000-0000-000094400000}"/>
    <cellStyle name="Dane wejściowe 2 13 2 2 8 3" xfId="16660" xr:uid="{00000000-0005-0000-0000-000095400000}"/>
    <cellStyle name="Dane wejściowe 2 13 2 2 9" xfId="16661" xr:uid="{00000000-0005-0000-0000-000096400000}"/>
    <cellStyle name="Dane wejściowe 2 13 2 2 9 2" xfId="16662" xr:uid="{00000000-0005-0000-0000-000097400000}"/>
    <cellStyle name="Dane wejściowe 2 13 2 2 9 2 2" xfId="16663" xr:uid="{00000000-0005-0000-0000-000098400000}"/>
    <cellStyle name="Dane wejściowe 2 13 2 2 9 3" xfId="16664" xr:uid="{00000000-0005-0000-0000-000099400000}"/>
    <cellStyle name="Dane wejściowe 2 13 2 3" xfId="16665" xr:uid="{00000000-0005-0000-0000-00009A400000}"/>
    <cellStyle name="Dane wejściowe 2 13 2 3 2" xfId="16666" xr:uid="{00000000-0005-0000-0000-00009B400000}"/>
    <cellStyle name="Dane wejściowe 2 13 2 3 2 2" xfId="16667" xr:uid="{00000000-0005-0000-0000-00009C400000}"/>
    <cellStyle name="Dane wejściowe 2 13 2 3 2 2 2" xfId="16668" xr:uid="{00000000-0005-0000-0000-00009D400000}"/>
    <cellStyle name="Dane wejściowe 2 13 2 3 2 2 2 2" xfId="16669" xr:uid="{00000000-0005-0000-0000-00009E400000}"/>
    <cellStyle name="Dane wejściowe 2 13 2 3 2 2 3" xfId="16670" xr:uid="{00000000-0005-0000-0000-00009F400000}"/>
    <cellStyle name="Dane wejściowe 2 13 2 3 2 3" xfId="16671" xr:uid="{00000000-0005-0000-0000-0000A0400000}"/>
    <cellStyle name="Dane wejściowe 2 13 2 3 2 3 2" xfId="16672" xr:uid="{00000000-0005-0000-0000-0000A1400000}"/>
    <cellStyle name="Dane wejściowe 2 13 2 3 2 3 2 2" xfId="16673" xr:uid="{00000000-0005-0000-0000-0000A2400000}"/>
    <cellStyle name="Dane wejściowe 2 13 2 3 2 3 3" xfId="16674" xr:uid="{00000000-0005-0000-0000-0000A3400000}"/>
    <cellStyle name="Dane wejściowe 2 13 2 3 2 4" xfId="16675" xr:uid="{00000000-0005-0000-0000-0000A4400000}"/>
    <cellStyle name="Dane wejściowe 2 13 2 3 2 4 2" xfId="16676" xr:uid="{00000000-0005-0000-0000-0000A5400000}"/>
    <cellStyle name="Dane wejściowe 2 13 2 3 2 4 2 2" xfId="16677" xr:uid="{00000000-0005-0000-0000-0000A6400000}"/>
    <cellStyle name="Dane wejściowe 2 13 2 3 2 4 3" xfId="16678" xr:uid="{00000000-0005-0000-0000-0000A7400000}"/>
    <cellStyle name="Dane wejściowe 2 13 2 3 2 5" xfId="16679" xr:uid="{00000000-0005-0000-0000-0000A8400000}"/>
    <cellStyle name="Dane wejściowe 2 13 2 3 2 5 2" xfId="16680" xr:uid="{00000000-0005-0000-0000-0000A9400000}"/>
    <cellStyle name="Dane wejściowe 2 13 2 3 2 6" xfId="16681" xr:uid="{00000000-0005-0000-0000-0000AA400000}"/>
    <cellStyle name="Dane wejściowe 2 13 2 3 2 6 2" xfId="16682" xr:uid="{00000000-0005-0000-0000-0000AB400000}"/>
    <cellStyle name="Dane wejściowe 2 13 2 3 2 7" xfId="16683" xr:uid="{00000000-0005-0000-0000-0000AC400000}"/>
    <cellStyle name="Dane wejściowe 2 13 2 3 3" xfId="16684" xr:uid="{00000000-0005-0000-0000-0000AD400000}"/>
    <cellStyle name="Dane wejściowe 2 13 2 3 3 2" xfId="16685" xr:uid="{00000000-0005-0000-0000-0000AE400000}"/>
    <cellStyle name="Dane wejściowe 2 13 2 3 3 2 2" xfId="16686" xr:uid="{00000000-0005-0000-0000-0000AF400000}"/>
    <cellStyle name="Dane wejściowe 2 13 2 3 3 3" xfId="16687" xr:uid="{00000000-0005-0000-0000-0000B0400000}"/>
    <cellStyle name="Dane wejściowe 2 13 2 3 4" xfId="16688" xr:uid="{00000000-0005-0000-0000-0000B1400000}"/>
    <cellStyle name="Dane wejściowe 2 13 2 3 4 2" xfId="16689" xr:uid="{00000000-0005-0000-0000-0000B2400000}"/>
    <cellStyle name="Dane wejściowe 2 13 2 3 4 2 2" xfId="16690" xr:uid="{00000000-0005-0000-0000-0000B3400000}"/>
    <cellStyle name="Dane wejściowe 2 13 2 3 4 3" xfId="16691" xr:uid="{00000000-0005-0000-0000-0000B4400000}"/>
    <cellStyle name="Dane wejściowe 2 13 2 3 5" xfId="16692" xr:uid="{00000000-0005-0000-0000-0000B5400000}"/>
    <cellStyle name="Dane wejściowe 2 13 2 3 5 2" xfId="16693" xr:uid="{00000000-0005-0000-0000-0000B6400000}"/>
    <cellStyle name="Dane wejściowe 2 13 2 3 5 2 2" xfId="16694" xr:uid="{00000000-0005-0000-0000-0000B7400000}"/>
    <cellStyle name="Dane wejściowe 2 13 2 3 5 3" xfId="16695" xr:uid="{00000000-0005-0000-0000-0000B8400000}"/>
    <cellStyle name="Dane wejściowe 2 13 2 3 6" xfId="16696" xr:uid="{00000000-0005-0000-0000-0000B9400000}"/>
    <cellStyle name="Dane wejściowe 2 13 2 3 6 2" xfId="16697" xr:uid="{00000000-0005-0000-0000-0000BA400000}"/>
    <cellStyle name="Dane wejściowe 2 13 2 3 7" xfId="16698" xr:uid="{00000000-0005-0000-0000-0000BB400000}"/>
    <cellStyle name="Dane wejściowe 2 13 2 3 7 2" xfId="16699" xr:uid="{00000000-0005-0000-0000-0000BC400000}"/>
    <cellStyle name="Dane wejściowe 2 13 2 3 8" xfId="16700" xr:uid="{00000000-0005-0000-0000-0000BD400000}"/>
    <cellStyle name="Dane wejściowe 2 13 2 4" xfId="16701" xr:uid="{00000000-0005-0000-0000-0000BE400000}"/>
    <cellStyle name="Dane wejściowe 2 13 2 4 2" xfId="16702" xr:uid="{00000000-0005-0000-0000-0000BF400000}"/>
    <cellStyle name="Dane wejściowe 2 13 2 4 2 2" xfId="16703" xr:uid="{00000000-0005-0000-0000-0000C0400000}"/>
    <cellStyle name="Dane wejściowe 2 13 2 4 3" xfId="16704" xr:uid="{00000000-0005-0000-0000-0000C1400000}"/>
    <cellStyle name="Dane wejściowe 2 13 2 5" xfId="16705" xr:uid="{00000000-0005-0000-0000-0000C2400000}"/>
    <cellStyle name="Dane wejściowe 2 13 2 5 2" xfId="16706" xr:uid="{00000000-0005-0000-0000-0000C3400000}"/>
    <cellStyle name="Dane wejściowe 2 13 2 5 2 2" xfId="16707" xr:uid="{00000000-0005-0000-0000-0000C4400000}"/>
    <cellStyle name="Dane wejściowe 2 13 2 5 3" xfId="16708" xr:uid="{00000000-0005-0000-0000-0000C5400000}"/>
    <cellStyle name="Dane wejściowe 2 13 2 6" xfId="16709" xr:uid="{00000000-0005-0000-0000-0000C6400000}"/>
    <cellStyle name="Dane wejściowe 2 13 2 6 2" xfId="16710" xr:uid="{00000000-0005-0000-0000-0000C7400000}"/>
    <cellStyle name="Dane wejściowe 2 13 2 6 2 2" xfId="16711" xr:uid="{00000000-0005-0000-0000-0000C8400000}"/>
    <cellStyle name="Dane wejściowe 2 13 2 6 3" xfId="16712" xr:uid="{00000000-0005-0000-0000-0000C9400000}"/>
    <cellStyle name="Dane wejściowe 2 13 2 7" xfId="16713" xr:uid="{00000000-0005-0000-0000-0000CA400000}"/>
    <cellStyle name="Dane wejściowe 2 13 2 7 2" xfId="16714" xr:uid="{00000000-0005-0000-0000-0000CB400000}"/>
    <cellStyle name="Dane wejściowe 2 13 2 7 2 2" xfId="16715" xr:uid="{00000000-0005-0000-0000-0000CC400000}"/>
    <cellStyle name="Dane wejściowe 2 13 2 7 2 2 2" xfId="16716" xr:uid="{00000000-0005-0000-0000-0000CD400000}"/>
    <cellStyle name="Dane wejściowe 2 13 2 7 2 3" xfId="16717" xr:uid="{00000000-0005-0000-0000-0000CE400000}"/>
    <cellStyle name="Dane wejściowe 2 13 2 7 3" xfId="16718" xr:uid="{00000000-0005-0000-0000-0000CF400000}"/>
    <cellStyle name="Dane wejściowe 2 13 2 7 3 2" xfId="16719" xr:uid="{00000000-0005-0000-0000-0000D0400000}"/>
    <cellStyle name="Dane wejściowe 2 13 2 7 3 2 2" xfId="16720" xr:uid="{00000000-0005-0000-0000-0000D1400000}"/>
    <cellStyle name="Dane wejściowe 2 13 2 7 3 3" xfId="16721" xr:uid="{00000000-0005-0000-0000-0000D2400000}"/>
    <cellStyle name="Dane wejściowe 2 13 2 7 4" xfId="16722" xr:uid="{00000000-0005-0000-0000-0000D3400000}"/>
    <cellStyle name="Dane wejściowe 2 13 2 7 4 2" xfId="16723" xr:uid="{00000000-0005-0000-0000-0000D4400000}"/>
    <cellStyle name="Dane wejściowe 2 13 2 7 4 2 2" xfId="16724" xr:uid="{00000000-0005-0000-0000-0000D5400000}"/>
    <cellStyle name="Dane wejściowe 2 13 2 7 4 3" xfId="16725" xr:uid="{00000000-0005-0000-0000-0000D6400000}"/>
    <cellStyle name="Dane wejściowe 2 13 2 7 5" xfId="16726" xr:uid="{00000000-0005-0000-0000-0000D7400000}"/>
    <cellStyle name="Dane wejściowe 2 13 2 7 5 2" xfId="16727" xr:uid="{00000000-0005-0000-0000-0000D8400000}"/>
    <cellStyle name="Dane wejściowe 2 13 2 7 6" xfId="16728" xr:uid="{00000000-0005-0000-0000-0000D9400000}"/>
    <cellStyle name="Dane wejściowe 2 13 2 7 6 2" xfId="16729" xr:uid="{00000000-0005-0000-0000-0000DA400000}"/>
    <cellStyle name="Dane wejściowe 2 13 2 7 7" xfId="16730" xr:uid="{00000000-0005-0000-0000-0000DB400000}"/>
    <cellStyle name="Dane wejściowe 2 13 2 8" xfId="16731" xr:uid="{00000000-0005-0000-0000-0000DC400000}"/>
    <cellStyle name="Dane wejściowe 2 13 2 8 2" xfId="16732" xr:uid="{00000000-0005-0000-0000-0000DD400000}"/>
    <cellStyle name="Dane wejściowe 2 13 2 8 2 2" xfId="16733" xr:uid="{00000000-0005-0000-0000-0000DE400000}"/>
    <cellStyle name="Dane wejściowe 2 13 2 8 3" xfId="16734" xr:uid="{00000000-0005-0000-0000-0000DF400000}"/>
    <cellStyle name="Dane wejściowe 2 13 2 9" xfId="16735" xr:uid="{00000000-0005-0000-0000-0000E0400000}"/>
    <cellStyle name="Dane wejściowe 2 13 2 9 2" xfId="16736" xr:uid="{00000000-0005-0000-0000-0000E1400000}"/>
    <cellStyle name="Dane wejściowe 2 13 2 9 2 2" xfId="16737" xr:uid="{00000000-0005-0000-0000-0000E2400000}"/>
    <cellStyle name="Dane wejściowe 2 13 2 9 3" xfId="16738" xr:uid="{00000000-0005-0000-0000-0000E3400000}"/>
    <cellStyle name="Dane wejściowe 2 13 3" xfId="16739" xr:uid="{00000000-0005-0000-0000-0000E4400000}"/>
    <cellStyle name="Dane wejściowe 2 13 3 2" xfId="16740" xr:uid="{00000000-0005-0000-0000-0000E5400000}"/>
    <cellStyle name="Dane wejściowe 2 13 3 2 2" xfId="16741" xr:uid="{00000000-0005-0000-0000-0000E6400000}"/>
    <cellStyle name="Dane wejściowe 2 13 3 2 2 2" xfId="16742" xr:uid="{00000000-0005-0000-0000-0000E7400000}"/>
    <cellStyle name="Dane wejściowe 2 13 3 2 2 2 2" xfId="16743" xr:uid="{00000000-0005-0000-0000-0000E8400000}"/>
    <cellStyle name="Dane wejściowe 2 13 3 2 2 3" xfId="16744" xr:uid="{00000000-0005-0000-0000-0000E9400000}"/>
    <cellStyle name="Dane wejściowe 2 13 3 2 3" xfId="16745" xr:uid="{00000000-0005-0000-0000-0000EA400000}"/>
    <cellStyle name="Dane wejściowe 2 13 3 2 3 2" xfId="16746" xr:uid="{00000000-0005-0000-0000-0000EB400000}"/>
    <cellStyle name="Dane wejściowe 2 13 3 2 3 2 2" xfId="16747" xr:uid="{00000000-0005-0000-0000-0000EC400000}"/>
    <cellStyle name="Dane wejściowe 2 13 3 2 3 3" xfId="16748" xr:uid="{00000000-0005-0000-0000-0000ED400000}"/>
    <cellStyle name="Dane wejściowe 2 13 3 2 4" xfId="16749" xr:uid="{00000000-0005-0000-0000-0000EE400000}"/>
    <cellStyle name="Dane wejściowe 2 13 3 2 4 2" xfId="16750" xr:uid="{00000000-0005-0000-0000-0000EF400000}"/>
    <cellStyle name="Dane wejściowe 2 13 3 2 4 2 2" xfId="16751" xr:uid="{00000000-0005-0000-0000-0000F0400000}"/>
    <cellStyle name="Dane wejściowe 2 13 3 2 4 3" xfId="16752" xr:uid="{00000000-0005-0000-0000-0000F1400000}"/>
    <cellStyle name="Dane wejściowe 2 13 3 2 5" xfId="16753" xr:uid="{00000000-0005-0000-0000-0000F2400000}"/>
    <cellStyle name="Dane wejściowe 2 13 3 2 5 2" xfId="16754" xr:uid="{00000000-0005-0000-0000-0000F3400000}"/>
    <cellStyle name="Dane wejściowe 2 13 3 2 6" xfId="16755" xr:uid="{00000000-0005-0000-0000-0000F4400000}"/>
    <cellStyle name="Dane wejściowe 2 13 3 2 6 2" xfId="16756" xr:uid="{00000000-0005-0000-0000-0000F5400000}"/>
    <cellStyle name="Dane wejściowe 2 13 3 2 7" xfId="16757" xr:uid="{00000000-0005-0000-0000-0000F6400000}"/>
    <cellStyle name="Dane wejściowe 2 13 3 3" xfId="16758" xr:uid="{00000000-0005-0000-0000-0000F7400000}"/>
    <cellStyle name="Dane wejściowe 2 13 3 3 2" xfId="16759" xr:uid="{00000000-0005-0000-0000-0000F8400000}"/>
    <cellStyle name="Dane wejściowe 2 13 3 3 2 2" xfId="16760" xr:uid="{00000000-0005-0000-0000-0000F9400000}"/>
    <cellStyle name="Dane wejściowe 2 13 3 3 3" xfId="16761" xr:uid="{00000000-0005-0000-0000-0000FA400000}"/>
    <cellStyle name="Dane wejściowe 2 13 3 4" xfId="16762" xr:uid="{00000000-0005-0000-0000-0000FB400000}"/>
    <cellStyle name="Dane wejściowe 2 13 3 4 2" xfId="16763" xr:uid="{00000000-0005-0000-0000-0000FC400000}"/>
    <cellStyle name="Dane wejściowe 2 13 3 4 2 2" xfId="16764" xr:uid="{00000000-0005-0000-0000-0000FD400000}"/>
    <cellStyle name="Dane wejściowe 2 13 3 4 3" xfId="16765" xr:uid="{00000000-0005-0000-0000-0000FE400000}"/>
    <cellStyle name="Dane wejściowe 2 13 3 5" xfId="16766" xr:uid="{00000000-0005-0000-0000-0000FF400000}"/>
    <cellStyle name="Dane wejściowe 2 13 3 5 2" xfId="16767" xr:uid="{00000000-0005-0000-0000-000000410000}"/>
    <cellStyle name="Dane wejściowe 2 13 3 5 2 2" xfId="16768" xr:uid="{00000000-0005-0000-0000-000001410000}"/>
    <cellStyle name="Dane wejściowe 2 13 3 5 3" xfId="16769" xr:uid="{00000000-0005-0000-0000-000002410000}"/>
    <cellStyle name="Dane wejściowe 2 13 3 6" xfId="16770" xr:uid="{00000000-0005-0000-0000-000003410000}"/>
    <cellStyle name="Dane wejściowe 2 13 3 6 2" xfId="16771" xr:uid="{00000000-0005-0000-0000-000004410000}"/>
    <cellStyle name="Dane wejściowe 2 13 3 7" xfId="16772" xr:uid="{00000000-0005-0000-0000-000005410000}"/>
    <cellStyle name="Dane wejściowe 2 13 3 7 2" xfId="16773" xr:uid="{00000000-0005-0000-0000-000006410000}"/>
    <cellStyle name="Dane wejściowe 2 13 3 8" xfId="16774" xr:uid="{00000000-0005-0000-0000-000007410000}"/>
    <cellStyle name="Dane wejściowe 2 13 4" xfId="16775" xr:uid="{00000000-0005-0000-0000-000008410000}"/>
    <cellStyle name="Dane wejściowe 2 13 4 2" xfId="16776" xr:uid="{00000000-0005-0000-0000-000009410000}"/>
    <cellStyle name="Dane wejściowe 2 13 4 2 2" xfId="16777" xr:uid="{00000000-0005-0000-0000-00000A410000}"/>
    <cellStyle name="Dane wejściowe 2 13 4 3" xfId="16778" xr:uid="{00000000-0005-0000-0000-00000B410000}"/>
    <cellStyle name="Dane wejściowe 2 13 5" xfId="16779" xr:uid="{00000000-0005-0000-0000-00000C410000}"/>
    <cellStyle name="Dane wejściowe 2 13 5 2" xfId="16780" xr:uid="{00000000-0005-0000-0000-00000D410000}"/>
    <cellStyle name="Dane wejściowe 2 13 5 2 2" xfId="16781" xr:uid="{00000000-0005-0000-0000-00000E410000}"/>
    <cellStyle name="Dane wejściowe 2 13 5 3" xfId="16782" xr:uid="{00000000-0005-0000-0000-00000F410000}"/>
    <cellStyle name="Dane wejściowe 2 13 6" xfId="16783" xr:uid="{00000000-0005-0000-0000-000010410000}"/>
    <cellStyle name="Dane wejściowe 2 13 6 2" xfId="16784" xr:uid="{00000000-0005-0000-0000-000011410000}"/>
    <cellStyle name="Dane wejściowe 2 13 6 2 2" xfId="16785" xr:uid="{00000000-0005-0000-0000-000012410000}"/>
    <cellStyle name="Dane wejściowe 2 13 6 3" xfId="16786" xr:uid="{00000000-0005-0000-0000-000013410000}"/>
    <cellStyle name="Dane wejściowe 2 13 7" xfId="16787" xr:uid="{00000000-0005-0000-0000-000014410000}"/>
    <cellStyle name="Dane wejściowe 2 13 7 2" xfId="16788" xr:uid="{00000000-0005-0000-0000-000015410000}"/>
    <cellStyle name="Dane wejściowe 2 13 7 2 2" xfId="16789" xr:uid="{00000000-0005-0000-0000-000016410000}"/>
    <cellStyle name="Dane wejściowe 2 13 7 3" xfId="16790" xr:uid="{00000000-0005-0000-0000-000017410000}"/>
    <cellStyle name="Dane wejściowe 2 13 8" xfId="16791" xr:uid="{00000000-0005-0000-0000-000018410000}"/>
    <cellStyle name="Dane wejściowe 2 13 8 2" xfId="16792" xr:uid="{00000000-0005-0000-0000-000019410000}"/>
    <cellStyle name="Dane wejściowe 2 13 8 2 2" xfId="16793" xr:uid="{00000000-0005-0000-0000-00001A410000}"/>
    <cellStyle name="Dane wejściowe 2 13 8 2 2 2" xfId="16794" xr:uid="{00000000-0005-0000-0000-00001B410000}"/>
    <cellStyle name="Dane wejściowe 2 13 8 2 3" xfId="16795" xr:uid="{00000000-0005-0000-0000-00001C410000}"/>
    <cellStyle name="Dane wejściowe 2 13 8 3" xfId="16796" xr:uid="{00000000-0005-0000-0000-00001D410000}"/>
    <cellStyle name="Dane wejściowe 2 13 8 3 2" xfId="16797" xr:uid="{00000000-0005-0000-0000-00001E410000}"/>
    <cellStyle name="Dane wejściowe 2 13 8 3 2 2" xfId="16798" xr:uid="{00000000-0005-0000-0000-00001F410000}"/>
    <cellStyle name="Dane wejściowe 2 13 8 3 3" xfId="16799" xr:uid="{00000000-0005-0000-0000-000020410000}"/>
    <cellStyle name="Dane wejściowe 2 13 8 4" xfId="16800" xr:uid="{00000000-0005-0000-0000-000021410000}"/>
    <cellStyle name="Dane wejściowe 2 13 8 4 2" xfId="16801" xr:uid="{00000000-0005-0000-0000-000022410000}"/>
    <cellStyle name="Dane wejściowe 2 13 8 4 2 2" xfId="16802" xr:uid="{00000000-0005-0000-0000-000023410000}"/>
    <cellStyle name="Dane wejściowe 2 13 8 4 3" xfId="16803" xr:uid="{00000000-0005-0000-0000-000024410000}"/>
    <cellStyle name="Dane wejściowe 2 13 8 5" xfId="16804" xr:uid="{00000000-0005-0000-0000-000025410000}"/>
    <cellStyle name="Dane wejściowe 2 13 8 5 2" xfId="16805" xr:uid="{00000000-0005-0000-0000-000026410000}"/>
    <cellStyle name="Dane wejściowe 2 13 8 6" xfId="16806" xr:uid="{00000000-0005-0000-0000-000027410000}"/>
    <cellStyle name="Dane wejściowe 2 13 8 6 2" xfId="16807" xr:uid="{00000000-0005-0000-0000-000028410000}"/>
    <cellStyle name="Dane wejściowe 2 13 8 7" xfId="16808" xr:uid="{00000000-0005-0000-0000-000029410000}"/>
    <cellStyle name="Dane wejściowe 2 13 9" xfId="16809" xr:uid="{00000000-0005-0000-0000-00002A410000}"/>
    <cellStyle name="Dane wejściowe 2 13 9 2" xfId="16810" xr:uid="{00000000-0005-0000-0000-00002B410000}"/>
    <cellStyle name="Dane wejściowe 2 13 9 2 2" xfId="16811" xr:uid="{00000000-0005-0000-0000-00002C410000}"/>
    <cellStyle name="Dane wejściowe 2 13 9 3" xfId="16812" xr:uid="{00000000-0005-0000-0000-00002D410000}"/>
    <cellStyle name="Dane wejściowe 2 14" xfId="16813" xr:uid="{00000000-0005-0000-0000-00002E410000}"/>
    <cellStyle name="Dane wejściowe 2 14 10" xfId="16814" xr:uid="{00000000-0005-0000-0000-00002F410000}"/>
    <cellStyle name="Dane wejściowe 2 14 10 2" xfId="16815" xr:uid="{00000000-0005-0000-0000-000030410000}"/>
    <cellStyle name="Dane wejściowe 2 14 11" xfId="16816" xr:uid="{00000000-0005-0000-0000-000031410000}"/>
    <cellStyle name="Dane wejściowe 2 14 11 2" xfId="16817" xr:uid="{00000000-0005-0000-0000-000032410000}"/>
    <cellStyle name="Dane wejściowe 2 14 12" xfId="16818" xr:uid="{00000000-0005-0000-0000-000033410000}"/>
    <cellStyle name="Dane wejściowe 2 14 2" xfId="16819" xr:uid="{00000000-0005-0000-0000-000034410000}"/>
    <cellStyle name="Dane wejściowe 2 14 2 2" xfId="16820" xr:uid="{00000000-0005-0000-0000-000035410000}"/>
    <cellStyle name="Dane wejściowe 2 14 2 2 2" xfId="16821" xr:uid="{00000000-0005-0000-0000-000036410000}"/>
    <cellStyle name="Dane wejściowe 2 14 2 2 2 2" xfId="16822" xr:uid="{00000000-0005-0000-0000-000037410000}"/>
    <cellStyle name="Dane wejściowe 2 14 2 2 2 2 2" xfId="16823" xr:uid="{00000000-0005-0000-0000-000038410000}"/>
    <cellStyle name="Dane wejściowe 2 14 2 2 2 3" xfId="16824" xr:uid="{00000000-0005-0000-0000-000039410000}"/>
    <cellStyle name="Dane wejściowe 2 14 2 2 3" xfId="16825" xr:uid="{00000000-0005-0000-0000-00003A410000}"/>
    <cellStyle name="Dane wejściowe 2 14 2 2 3 2" xfId="16826" xr:uid="{00000000-0005-0000-0000-00003B410000}"/>
    <cellStyle name="Dane wejściowe 2 14 2 2 3 2 2" xfId="16827" xr:uid="{00000000-0005-0000-0000-00003C410000}"/>
    <cellStyle name="Dane wejściowe 2 14 2 2 3 3" xfId="16828" xr:uid="{00000000-0005-0000-0000-00003D410000}"/>
    <cellStyle name="Dane wejściowe 2 14 2 2 4" xfId="16829" xr:uid="{00000000-0005-0000-0000-00003E410000}"/>
    <cellStyle name="Dane wejściowe 2 14 2 2 4 2" xfId="16830" xr:uid="{00000000-0005-0000-0000-00003F410000}"/>
    <cellStyle name="Dane wejściowe 2 14 2 2 4 2 2" xfId="16831" xr:uid="{00000000-0005-0000-0000-000040410000}"/>
    <cellStyle name="Dane wejściowe 2 14 2 2 4 3" xfId="16832" xr:uid="{00000000-0005-0000-0000-000041410000}"/>
    <cellStyle name="Dane wejściowe 2 14 2 2 5" xfId="16833" xr:uid="{00000000-0005-0000-0000-000042410000}"/>
    <cellStyle name="Dane wejściowe 2 14 2 2 5 2" xfId="16834" xr:uid="{00000000-0005-0000-0000-000043410000}"/>
    <cellStyle name="Dane wejściowe 2 14 2 2 6" xfId="16835" xr:uid="{00000000-0005-0000-0000-000044410000}"/>
    <cellStyle name="Dane wejściowe 2 14 2 2 6 2" xfId="16836" xr:uid="{00000000-0005-0000-0000-000045410000}"/>
    <cellStyle name="Dane wejściowe 2 14 2 2 7" xfId="16837" xr:uid="{00000000-0005-0000-0000-000046410000}"/>
    <cellStyle name="Dane wejściowe 2 14 2 3" xfId="16838" xr:uid="{00000000-0005-0000-0000-000047410000}"/>
    <cellStyle name="Dane wejściowe 2 14 2 3 2" xfId="16839" xr:uid="{00000000-0005-0000-0000-000048410000}"/>
    <cellStyle name="Dane wejściowe 2 14 2 3 2 2" xfId="16840" xr:uid="{00000000-0005-0000-0000-000049410000}"/>
    <cellStyle name="Dane wejściowe 2 14 2 3 3" xfId="16841" xr:uid="{00000000-0005-0000-0000-00004A410000}"/>
    <cellStyle name="Dane wejściowe 2 14 2 4" xfId="16842" xr:uid="{00000000-0005-0000-0000-00004B410000}"/>
    <cellStyle name="Dane wejściowe 2 14 2 4 2" xfId="16843" xr:uid="{00000000-0005-0000-0000-00004C410000}"/>
    <cellStyle name="Dane wejściowe 2 14 2 4 2 2" xfId="16844" xr:uid="{00000000-0005-0000-0000-00004D410000}"/>
    <cellStyle name="Dane wejściowe 2 14 2 4 3" xfId="16845" xr:uid="{00000000-0005-0000-0000-00004E410000}"/>
    <cellStyle name="Dane wejściowe 2 14 2 5" xfId="16846" xr:uid="{00000000-0005-0000-0000-00004F410000}"/>
    <cellStyle name="Dane wejściowe 2 14 2 5 2" xfId="16847" xr:uid="{00000000-0005-0000-0000-000050410000}"/>
    <cellStyle name="Dane wejściowe 2 14 2 5 2 2" xfId="16848" xr:uid="{00000000-0005-0000-0000-000051410000}"/>
    <cellStyle name="Dane wejściowe 2 14 2 5 3" xfId="16849" xr:uid="{00000000-0005-0000-0000-000052410000}"/>
    <cellStyle name="Dane wejściowe 2 14 2 6" xfId="16850" xr:uid="{00000000-0005-0000-0000-000053410000}"/>
    <cellStyle name="Dane wejściowe 2 14 2 6 2" xfId="16851" xr:uid="{00000000-0005-0000-0000-000054410000}"/>
    <cellStyle name="Dane wejściowe 2 14 2 7" xfId="16852" xr:uid="{00000000-0005-0000-0000-000055410000}"/>
    <cellStyle name="Dane wejściowe 2 14 2 7 2" xfId="16853" xr:uid="{00000000-0005-0000-0000-000056410000}"/>
    <cellStyle name="Dane wejściowe 2 14 2 8" xfId="16854" xr:uid="{00000000-0005-0000-0000-000057410000}"/>
    <cellStyle name="Dane wejściowe 2 14 3" xfId="16855" xr:uid="{00000000-0005-0000-0000-000058410000}"/>
    <cellStyle name="Dane wejściowe 2 14 3 2" xfId="16856" xr:uid="{00000000-0005-0000-0000-000059410000}"/>
    <cellStyle name="Dane wejściowe 2 14 3 2 2" xfId="16857" xr:uid="{00000000-0005-0000-0000-00005A410000}"/>
    <cellStyle name="Dane wejściowe 2 14 3 3" xfId="16858" xr:uid="{00000000-0005-0000-0000-00005B410000}"/>
    <cellStyle name="Dane wejściowe 2 14 4" xfId="16859" xr:uid="{00000000-0005-0000-0000-00005C410000}"/>
    <cellStyle name="Dane wejściowe 2 14 4 2" xfId="16860" xr:uid="{00000000-0005-0000-0000-00005D410000}"/>
    <cellStyle name="Dane wejściowe 2 14 4 2 2" xfId="16861" xr:uid="{00000000-0005-0000-0000-00005E410000}"/>
    <cellStyle name="Dane wejściowe 2 14 4 3" xfId="16862" xr:uid="{00000000-0005-0000-0000-00005F410000}"/>
    <cellStyle name="Dane wejściowe 2 14 5" xfId="16863" xr:uid="{00000000-0005-0000-0000-000060410000}"/>
    <cellStyle name="Dane wejściowe 2 14 5 2" xfId="16864" xr:uid="{00000000-0005-0000-0000-000061410000}"/>
    <cellStyle name="Dane wejściowe 2 14 5 2 2" xfId="16865" xr:uid="{00000000-0005-0000-0000-000062410000}"/>
    <cellStyle name="Dane wejściowe 2 14 5 3" xfId="16866" xr:uid="{00000000-0005-0000-0000-000063410000}"/>
    <cellStyle name="Dane wejściowe 2 14 6" xfId="16867" xr:uid="{00000000-0005-0000-0000-000064410000}"/>
    <cellStyle name="Dane wejściowe 2 14 6 2" xfId="16868" xr:uid="{00000000-0005-0000-0000-000065410000}"/>
    <cellStyle name="Dane wejściowe 2 14 6 2 2" xfId="16869" xr:uid="{00000000-0005-0000-0000-000066410000}"/>
    <cellStyle name="Dane wejściowe 2 14 6 3" xfId="16870" xr:uid="{00000000-0005-0000-0000-000067410000}"/>
    <cellStyle name="Dane wejściowe 2 14 7" xfId="16871" xr:uid="{00000000-0005-0000-0000-000068410000}"/>
    <cellStyle name="Dane wejściowe 2 14 7 2" xfId="16872" xr:uid="{00000000-0005-0000-0000-000069410000}"/>
    <cellStyle name="Dane wejściowe 2 14 7 2 2" xfId="16873" xr:uid="{00000000-0005-0000-0000-00006A410000}"/>
    <cellStyle name="Dane wejściowe 2 14 7 2 2 2" xfId="16874" xr:uid="{00000000-0005-0000-0000-00006B410000}"/>
    <cellStyle name="Dane wejściowe 2 14 7 2 3" xfId="16875" xr:uid="{00000000-0005-0000-0000-00006C410000}"/>
    <cellStyle name="Dane wejściowe 2 14 7 3" xfId="16876" xr:uid="{00000000-0005-0000-0000-00006D410000}"/>
    <cellStyle name="Dane wejściowe 2 14 7 3 2" xfId="16877" xr:uid="{00000000-0005-0000-0000-00006E410000}"/>
    <cellStyle name="Dane wejściowe 2 14 7 3 2 2" xfId="16878" xr:uid="{00000000-0005-0000-0000-00006F410000}"/>
    <cellStyle name="Dane wejściowe 2 14 7 3 3" xfId="16879" xr:uid="{00000000-0005-0000-0000-000070410000}"/>
    <cellStyle name="Dane wejściowe 2 14 7 4" xfId="16880" xr:uid="{00000000-0005-0000-0000-000071410000}"/>
    <cellStyle name="Dane wejściowe 2 14 7 4 2" xfId="16881" xr:uid="{00000000-0005-0000-0000-000072410000}"/>
    <cellStyle name="Dane wejściowe 2 14 7 4 2 2" xfId="16882" xr:uid="{00000000-0005-0000-0000-000073410000}"/>
    <cellStyle name="Dane wejściowe 2 14 7 4 3" xfId="16883" xr:uid="{00000000-0005-0000-0000-000074410000}"/>
    <cellStyle name="Dane wejściowe 2 14 7 5" xfId="16884" xr:uid="{00000000-0005-0000-0000-000075410000}"/>
    <cellStyle name="Dane wejściowe 2 14 7 5 2" xfId="16885" xr:uid="{00000000-0005-0000-0000-000076410000}"/>
    <cellStyle name="Dane wejściowe 2 14 7 6" xfId="16886" xr:uid="{00000000-0005-0000-0000-000077410000}"/>
    <cellStyle name="Dane wejściowe 2 14 7 6 2" xfId="16887" xr:uid="{00000000-0005-0000-0000-000078410000}"/>
    <cellStyle name="Dane wejściowe 2 14 7 7" xfId="16888" xr:uid="{00000000-0005-0000-0000-000079410000}"/>
    <cellStyle name="Dane wejściowe 2 14 8" xfId="16889" xr:uid="{00000000-0005-0000-0000-00007A410000}"/>
    <cellStyle name="Dane wejściowe 2 14 8 2" xfId="16890" xr:uid="{00000000-0005-0000-0000-00007B410000}"/>
    <cellStyle name="Dane wejściowe 2 14 8 2 2" xfId="16891" xr:uid="{00000000-0005-0000-0000-00007C410000}"/>
    <cellStyle name="Dane wejściowe 2 14 8 3" xfId="16892" xr:uid="{00000000-0005-0000-0000-00007D410000}"/>
    <cellStyle name="Dane wejściowe 2 14 9" xfId="16893" xr:uid="{00000000-0005-0000-0000-00007E410000}"/>
    <cellStyle name="Dane wejściowe 2 14 9 2" xfId="16894" xr:uid="{00000000-0005-0000-0000-00007F410000}"/>
    <cellStyle name="Dane wejściowe 2 14 9 2 2" xfId="16895" xr:uid="{00000000-0005-0000-0000-000080410000}"/>
    <cellStyle name="Dane wejściowe 2 14 9 3" xfId="16896" xr:uid="{00000000-0005-0000-0000-000081410000}"/>
    <cellStyle name="Dane wejściowe 2 15" xfId="16897" xr:uid="{00000000-0005-0000-0000-000082410000}"/>
    <cellStyle name="Dane wejściowe 2 15 2" xfId="16898" xr:uid="{00000000-0005-0000-0000-000083410000}"/>
    <cellStyle name="Dane wejściowe 2 15 2 2" xfId="16899" xr:uid="{00000000-0005-0000-0000-000084410000}"/>
    <cellStyle name="Dane wejściowe 2 15 2 2 2" xfId="16900" xr:uid="{00000000-0005-0000-0000-000085410000}"/>
    <cellStyle name="Dane wejściowe 2 15 2 2 2 2" xfId="16901" xr:uid="{00000000-0005-0000-0000-000086410000}"/>
    <cellStyle name="Dane wejściowe 2 15 2 2 3" xfId="16902" xr:uid="{00000000-0005-0000-0000-000087410000}"/>
    <cellStyle name="Dane wejściowe 2 15 2 3" xfId="16903" xr:uid="{00000000-0005-0000-0000-000088410000}"/>
    <cellStyle name="Dane wejściowe 2 15 2 3 2" xfId="16904" xr:uid="{00000000-0005-0000-0000-000089410000}"/>
    <cellStyle name="Dane wejściowe 2 15 2 3 2 2" xfId="16905" xr:uid="{00000000-0005-0000-0000-00008A410000}"/>
    <cellStyle name="Dane wejściowe 2 15 2 3 3" xfId="16906" xr:uid="{00000000-0005-0000-0000-00008B410000}"/>
    <cellStyle name="Dane wejściowe 2 15 2 4" xfId="16907" xr:uid="{00000000-0005-0000-0000-00008C410000}"/>
    <cellStyle name="Dane wejściowe 2 15 2 4 2" xfId="16908" xr:uid="{00000000-0005-0000-0000-00008D410000}"/>
    <cellStyle name="Dane wejściowe 2 15 2 4 2 2" xfId="16909" xr:uid="{00000000-0005-0000-0000-00008E410000}"/>
    <cellStyle name="Dane wejściowe 2 15 2 4 3" xfId="16910" xr:uid="{00000000-0005-0000-0000-00008F410000}"/>
    <cellStyle name="Dane wejściowe 2 15 2 5" xfId="16911" xr:uid="{00000000-0005-0000-0000-000090410000}"/>
    <cellStyle name="Dane wejściowe 2 15 2 5 2" xfId="16912" xr:uid="{00000000-0005-0000-0000-000091410000}"/>
    <cellStyle name="Dane wejściowe 2 15 2 6" xfId="16913" xr:uid="{00000000-0005-0000-0000-000092410000}"/>
    <cellStyle name="Dane wejściowe 2 15 2 6 2" xfId="16914" xr:uid="{00000000-0005-0000-0000-000093410000}"/>
    <cellStyle name="Dane wejściowe 2 15 2 7" xfId="16915" xr:uid="{00000000-0005-0000-0000-000094410000}"/>
    <cellStyle name="Dane wejściowe 2 15 3" xfId="16916" xr:uid="{00000000-0005-0000-0000-000095410000}"/>
    <cellStyle name="Dane wejściowe 2 15 3 2" xfId="16917" xr:uid="{00000000-0005-0000-0000-000096410000}"/>
    <cellStyle name="Dane wejściowe 2 15 3 2 2" xfId="16918" xr:uid="{00000000-0005-0000-0000-000097410000}"/>
    <cellStyle name="Dane wejściowe 2 15 3 3" xfId="16919" xr:uid="{00000000-0005-0000-0000-000098410000}"/>
    <cellStyle name="Dane wejściowe 2 15 4" xfId="16920" xr:uid="{00000000-0005-0000-0000-000099410000}"/>
    <cellStyle name="Dane wejściowe 2 15 4 2" xfId="16921" xr:uid="{00000000-0005-0000-0000-00009A410000}"/>
    <cellStyle name="Dane wejściowe 2 15 4 2 2" xfId="16922" xr:uid="{00000000-0005-0000-0000-00009B410000}"/>
    <cellStyle name="Dane wejściowe 2 15 4 3" xfId="16923" xr:uid="{00000000-0005-0000-0000-00009C410000}"/>
    <cellStyle name="Dane wejściowe 2 15 5" xfId="16924" xr:uid="{00000000-0005-0000-0000-00009D410000}"/>
    <cellStyle name="Dane wejściowe 2 15 5 2" xfId="16925" xr:uid="{00000000-0005-0000-0000-00009E410000}"/>
    <cellStyle name="Dane wejściowe 2 15 5 2 2" xfId="16926" xr:uid="{00000000-0005-0000-0000-00009F410000}"/>
    <cellStyle name="Dane wejściowe 2 15 5 3" xfId="16927" xr:uid="{00000000-0005-0000-0000-0000A0410000}"/>
    <cellStyle name="Dane wejściowe 2 15 6" xfId="16928" xr:uid="{00000000-0005-0000-0000-0000A1410000}"/>
    <cellStyle name="Dane wejściowe 2 15 6 2" xfId="16929" xr:uid="{00000000-0005-0000-0000-0000A2410000}"/>
    <cellStyle name="Dane wejściowe 2 15 7" xfId="16930" xr:uid="{00000000-0005-0000-0000-0000A3410000}"/>
    <cellStyle name="Dane wejściowe 2 15 7 2" xfId="16931" xr:uid="{00000000-0005-0000-0000-0000A4410000}"/>
    <cellStyle name="Dane wejściowe 2 15 8" xfId="16932" xr:uid="{00000000-0005-0000-0000-0000A5410000}"/>
    <cellStyle name="Dane wejściowe 2 16" xfId="16933" xr:uid="{00000000-0005-0000-0000-0000A6410000}"/>
    <cellStyle name="Dane wejściowe 2 16 2" xfId="16934" xr:uid="{00000000-0005-0000-0000-0000A7410000}"/>
    <cellStyle name="Dane wejściowe 2 16 2 2" xfId="16935" xr:uid="{00000000-0005-0000-0000-0000A8410000}"/>
    <cellStyle name="Dane wejściowe 2 16 3" xfId="16936" xr:uid="{00000000-0005-0000-0000-0000A9410000}"/>
    <cellStyle name="Dane wejściowe 2 17" xfId="16937" xr:uid="{00000000-0005-0000-0000-0000AA410000}"/>
    <cellStyle name="Dane wejściowe 2 17 2" xfId="16938" xr:uid="{00000000-0005-0000-0000-0000AB410000}"/>
    <cellStyle name="Dane wejściowe 2 17 2 2" xfId="16939" xr:uid="{00000000-0005-0000-0000-0000AC410000}"/>
    <cellStyle name="Dane wejściowe 2 17 3" xfId="16940" xr:uid="{00000000-0005-0000-0000-0000AD410000}"/>
    <cellStyle name="Dane wejściowe 2 18" xfId="16941" xr:uid="{00000000-0005-0000-0000-0000AE410000}"/>
    <cellStyle name="Dane wejściowe 2 18 2" xfId="16942" xr:uid="{00000000-0005-0000-0000-0000AF410000}"/>
    <cellStyle name="Dane wejściowe 2 18 2 2" xfId="16943" xr:uid="{00000000-0005-0000-0000-0000B0410000}"/>
    <cellStyle name="Dane wejściowe 2 18 3" xfId="16944" xr:uid="{00000000-0005-0000-0000-0000B1410000}"/>
    <cellStyle name="Dane wejściowe 2 19" xfId="16945" xr:uid="{00000000-0005-0000-0000-0000B2410000}"/>
    <cellStyle name="Dane wejściowe 2 19 2" xfId="16946" xr:uid="{00000000-0005-0000-0000-0000B3410000}"/>
    <cellStyle name="Dane wejściowe 2 19 2 2" xfId="16947" xr:uid="{00000000-0005-0000-0000-0000B4410000}"/>
    <cellStyle name="Dane wejściowe 2 19 3" xfId="16948" xr:uid="{00000000-0005-0000-0000-0000B5410000}"/>
    <cellStyle name="Dane wejściowe 2 2" xfId="16949" xr:uid="{00000000-0005-0000-0000-0000B6410000}"/>
    <cellStyle name="Dane wejściowe 2 2 10" xfId="16950" xr:uid="{00000000-0005-0000-0000-0000B7410000}"/>
    <cellStyle name="Dane wejściowe 2 2 10 10" xfId="16951" xr:uid="{00000000-0005-0000-0000-0000B8410000}"/>
    <cellStyle name="Dane wejściowe 2 2 10 10 2" xfId="16952" xr:uid="{00000000-0005-0000-0000-0000B9410000}"/>
    <cellStyle name="Dane wejściowe 2 2 10 10 2 2" xfId="16953" xr:uid="{00000000-0005-0000-0000-0000BA410000}"/>
    <cellStyle name="Dane wejściowe 2 2 10 10 3" xfId="16954" xr:uid="{00000000-0005-0000-0000-0000BB410000}"/>
    <cellStyle name="Dane wejściowe 2 2 10 11" xfId="16955" xr:uid="{00000000-0005-0000-0000-0000BC410000}"/>
    <cellStyle name="Dane wejściowe 2 2 10 11 2" xfId="16956" xr:uid="{00000000-0005-0000-0000-0000BD410000}"/>
    <cellStyle name="Dane wejściowe 2 2 10 12" xfId="16957" xr:uid="{00000000-0005-0000-0000-0000BE410000}"/>
    <cellStyle name="Dane wejściowe 2 2 10 12 2" xfId="16958" xr:uid="{00000000-0005-0000-0000-0000BF410000}"/>
    <cellStyle name="Dane wejściowe 2 2 10 13" xfId="16959" xr:uid="{00000000-0005-0000-0000-0000C0410000}"/>
    <cellStyle name="Dane wejściowe 2 2 10 2" xfId="16960" xr:uid="{00000000-0005-0000-0000-0000C1410000}"/>
    <cellStyle name="Dane wejściowe 2 2 10 2 10" xfId="16961" xr:uid="{00000000-0005-0000-0000-0000C2410000}"/>
    <cellStyle name="Dane wejściowe 2 2 10 2 10 2" xfId="16962" xr:uid="{00000000-0005-0000-0000-0000C3410000}"/>
    <cellStyle name="Dane wejściowe 2 2 10 2 11" xfId="16963" xr:uid="{00000000-0005-0000-0000-0000C4410000}"/>
    <cellStyle name="Dane wejściowe 2 2 10 2 11 2" xfId="16964" xr:uid="{00000000-0005-0000-0000-0000C5410000}"/>
    <cellStyle name="Dane wejściowe 2 2 10 2 12" xfId="16965" xr:uid="{00000000-0005-0000-0000-0000C6410000}"/>
    <cellStyle name="Dane wejściowe 2 2 10 2 2" xfId="16966" xr:uid="{00000000-0005-0000-0000-0000C7410000}"/>
    <cellStyle name="Dane wejściowe 2 2 10 2 2 10" xfId="16967" xr:uid="{00000000-0005-0000-0000-0000C8410000}"/>
    <cellStyle name="Dane wejściowe 2 2 10 2 2 10 2" xfId="16968" xr:uid="{00000000-0005-0000-0000-0000C9410000}"/>
    <cellStyle name="Dane wejściowe 2 2 10 2 2 11" xfId="16969" xr:uid="{00000000-0005-0000-0000-0000CA410000}"/>
    <cellStyle name="Dane wejściowe 2 2 10 2 2 11 2" xfId="16970" xr:uid="{00000000-0005-0000-0000-0000CB410000}"/>
    <cellStyle name="Dane wejściowe 2 2 10 2 2 12" xfId="16971" xr:uid="{00000000-0005-0000-0000-0000CC410000}"/>
    <cellStyle name="Dane wejściowe 2 2 10 2 2 2" xfId="16972" xr:uid="{00000000-0005-0000-0000-0000CD410000}"/>
    <cellStyle name="Dane wejściowe 2 2 10 2 2 2 2" xfId="16973" xr:uid="{00000000-0005-0000-0000-0000CE410000}"/>
    <cellStyle name="Dane wejściowe 2 2 10 2 2 2 2 2" xfId="16974" xr:uid="{00000000-0005-0000-0000-0000CF410000}"/>
    <cellStyle name="Dane wejściowe 2 2 10 2 2 2 2 2 2" xfId="16975" xr:uid="{00000000-0005-0000-0000-0000D0410000}"/>
    <cellStyle name="Dane wejściowe 2 2 10 2 2 2 2 2 2 2" xfId="16976" xr:uid="{00000000-0005-0000-0000-0000D1410000}"/>
    <cellStyle name="Dane wejściowe 2 2 10 2 2 2 2 2 3" xfId="16977" xr:uid="{00000000-0005-0000-0000-0000D2410000}"/>
    <cellStyle name="Dane wejściowe 2 2 10 2 2 2 2 3" xfId="16978" xr:uid="{00000000-0005-0000-0000-0000D3410000}"/>
    <cellStyle name="Dane wejściowe 2 2 10 2 2 2 2 3 2" xfId="16979" xr:uid="{00000000-0005-0000-0000-0000D4410000}"/>
    <cellStyle name="Dane wejściowe 2 2 10 2 2 2 2 3 2 2" xfId="16980" xr:uid="{00000000-0005-0000-0000-0000D5410000}"/>
    <cellStyle name="Dane wejściowe 2 2 10 2 2 2 2 3 3" xfId="16981" xr:uid="{00000000-0005-0000-0000-0000D6410000}"/>
    <cellStyle name="Dane wejściowe 2 2 10 2 2 2 2 4" xfId="16982" xr:uid="{00000000-0005-0000-0000-0000D7410000}"/>
    <cellStyle name="Dane wejściowe 2 2 10 2 2 2 2 4 2" xfId="16983" xr:uid="{00000000-0005-0000-0000-0000D8410000}"/>
    <cellStyle name="Dane wejściowe 2 2 10 2 2 2 2 4 2 2" xfId="16984" xr:uid="{00000000-0005-0000-0000-0000D9410000}"/>
    <cellStyle name="Dane wejściowe 2 2 10 2 2 2 2 4 3" xfId="16985" xr:uid="{00000000-0005-0000-0000-0000DA410000}"/>
    <cellStyle name="Dane wejściowe 2 2 10 2 2 2 2 5" xfId="16986" xr:uid="{00000000-0005-0000-0000-0000DB410000}"/>
    <cellStyle name="Dane wejściowe 2 2 10 2 2 2 2 5 2" xfId="16987" xr:uid="{00000000-0005-0000-0000-0000DC410000}"/>
    <cellStyle name="Dane wejściowe 2 2 10 2 2 2 2 6" xfId="16988" xr:uid="{00000000-0005-0000-0000-0000DD410000}"/>
    <cellStyle name="Dane wejściowe 2 2 10 2 2 2 2 6 2" xfId="16989" xr:uid="{00000000-0005-0000-0000-0000DE410000}"/>
    <cellStyle name="Dane wejściowe 2 2 10 2 2 2 2 7" xfId="16990" xr:uid="{00000000-0005-0000-0000-0000DF410000}"/>
    <cellStyle name="Dane wejściowe 2 2 10 2 2 2 3" xfId="16991" xr:uid="{00000000-0005-0000-0000-0000E0410000}"/>
    <cellStyle name="Dane wejściowe 2 2 10 2 2 2 3 2" xfId="16992" xr:uid="{00000000-0005-0000-0000-0000E1410000}"/>
    <cellStyle name="Dane wejściowe 2 2 10 2 2 2 3 2 2" xfId="16993" xr:uid="{00000000-0005-0000-0000-0000E2410000}"/>
    <cellStyle name="Dane wejściowe 2 2 10 2 2 2 3 3" xfId="16994" xr:uid="{00000000-0005-0000-0000-0000E3410000}"/>
    <cellStyle name="Dane wejściowe 2 2 10 2 2 2 4" xfId="16995" xr:uid="{00000000-0005-0000-0000-0000E4410000}"/>
    <cellStyle name="Dane wejściowe 2 2 10 2 2 2 4 2" xfId="16996" xr:uid="{00000000-0005-0000-0000-0000E5410000}"/>
    <cellStyle name="Dane wejściowe 2 2 10 2 2 2 4 2 2" xfId="16997" xr:uid="{00000000-0005-0000-0000-0000E6410000}"/>
    <cellStyle name="Dane wejściowe 2 2 10 2 2 2 4 3" xfId="16998" xr:uid="{00000000-0005-0000-0000-0000E7410000}"/>
    <cellStyle name="Dane wejściowe 2 2 10 2 2 2 5" xfId="16999" xr:uid="{00000000-0005-0000-0000-0000E8410000}"/>
    <cellStyle name="Dane wejściowe 2 2 10 2 2 2 5 2" xfId="17000" xr:uid="{00000000-0005-0000-0000-0000E9410000}"/>
    <cellStyle name="Dane wejściowe 2 2 10 2 2 2 5 2 2" xfId="17001" xr:uid="{00000000-0005-0000-0000-0000EA410000}"/>
    <cellStyle name="Dane wejściowe 2 2 10 2 2 2 5 3" xfId="17002" xr:uid="{00000000-0005-0000-0000-0000EB410000}"/>
    <cellStyle name="Dane wejściowe 2 2 10 2 2 2 6" xfId="17003" xr:uid="{00000000-0005-0000-0000-0000EC410000}"/>
    <cellStyle name="Dane wejściowe 2 2 10 2 2 2 6 2" xfId="17004" xr:uid="{00000000-0005-0000-0000-0000ED410000}"/>
    <cellStyle name="Dane wejściowe 2 2 10 2 2 2 7" xfId="17005" xr:uid="{00000000-0005-0000-0000-0000EE410000}"/>
    <cellStyle name="Dane wejściowe 2 2 10 2 2 2 7 2" xfId="17006" xr:uid="{00000000-0005-0000-0000-0000EF410000}"/>
    <cellStyle name="Dane wejściowe 2 2 10 2 2 2 8" xfId="17007" xr:uid="{00000000-0005-0000-0000-0000F0410000}"/>
    <cellStyle name="Dane wejściowe 2 2 10 2 2 3" xfId="17008" xr:uid="{00000000-0005-0000-0000-0000F1410000}"/>
    <cellStyle name="Dane wejściowe 2 2 10 2 2 3 2" xfId="17009" xr:uid="{00000000-0005-0000-0000-0000F2410000}"/>
    <cellStyle name="Dane wejściowe 2 2 10 2 2 3 2 2" xfId="17010" xr:uid="{00000000-0005-0000-0000-0000F3410000}"/>
    <cellStyle name="Dane wejściowe 2 2 10 2 2 3 3" xfId="17011" xr:uid="{00000000-0005-0000-0000-0000F4410000}"/>
    <cellStyle name="Dane wejściowe 2 2 10 2 2 4" xfId="17012" xr:uid="{00000000-0005-0000-0000-0000F5410000}"/>
    <cellStyle name="Dane wejściowe 2 2 10 2 2 4 2" xfId="17013" xr:uid="{00000000-0005-0000-0000-0000F6410000}"/>
    <cellStyle name="Dane wejściowe 2 2 10 2 2 4 2 2" xfId="17014" xr:uid="{00000000-0005-0000-0000-0000F7410000}"/>
    <cellStyle name="Dane wejściowe 2 2 10 2 2 4 3" xfId="17015" xr:uid="{00000000-0005-0000-0000-0000F8410000}"/>
    <cellStyle name="Dane wejściowe 2 2 10 2 2 5" xfId="17016" xr:uid="{00000000-0005-0000-0000-0000F9410000}"/>
    <cellStyle name="Dane wejściowe 2 2 10 2 2 5 2" xfId="17017" xr:uid="{00000000-0005-0000-0000-0000FA410000}"/>
    <cellStyle name="Dane wejściowe 2 2 10 2 2 5 2 2" xfId="17018" xr:uid="{00000000-0005-0000-0000-0000FB410000}"/>
    <cellStyle name="Dane wejściowe 2 2 10 2 2 5 3" xfId="17019" xr:uid="{00000000-0005-0000-0000-0000FC410000}"/>
    <cellStyle name="Dane wejściowe 2 2 10 2 2 6" xfId="17020" xr:uid="{00000000-0005-0000-0000-0000FD410000}"/>
    <cellStyle name="Dane wejściowe 2 2 10 2 2 6 2" xfId="17021" xr:uid="{00000000-0005-0000-0000-0000FE410000}"/>
    <cellStyle name="Dane wejściowe 2 2 10 2 2 6 2 2" xfId="17022" xr:uid="{00000000-0005-0000-0000-0000FF410000}"/>
    <cellStyle name="Dane wejściowe 2 2 10 2 2 6 3" xfId="17023" xr:uid="{00000000-0005-0000-0000-000000420000}"/>
    <cellStyle name="Dane wejściowe 2 2 10 2 2 7" xfId="17024" xr:uid="{00000000-0005-0000-0000-000001420000}"/>
    <cellStyle name="Dane wejściowe 2 2 10 2 2 7 2" xfId="17025" xr:uid="{00000000-0005-0000-0000-000002420000}"/>
    <cellStyle name="Dane wejściowe 2 2 10 2 2 7 2 2" xfId="17026" xr:uid="{00000000-0005-0000-0000-000003420000}"/>
    <cellStyle name="Dane wejściowe 2 2 10 2 2 7 2 2 2" xfId="17027" xr:uid="{00000000-0005-0000-0000-000004420000}"/>
    <cellStyle name="Dane wejściowe 2 2 10 2 2 7 2 3" xfId="17028" xr:uid="{00000000-0005-0000-0000-000005420000}"/>
    <cellStyle name="Dane wejściowe 2 2 10 2 2 7 3" xfId="17029" xr:uid="{00000000-0005-0000-0000-000006420000}"/>
    <cellStyle name="Dane wejściowe 2 2 10 2 2 7 3 2" xfId="17030" xr:uid="{00000000-0005-0000-0000-000007420000}"/>
    <cellStyle name="Dane wejściowe 2 2 10 2 2 7 3 2 2" xfId="17031" xr:uid="{00000000-0005-0000-0000-000008420000}"/>
    <cellStyle name="Dane wejściowe 2 2 10 2 2 7 3 3" xfId="17032" xr:uid="{00000000-0005-0000-0000-000009420000}"/>
    <cellStyle name="Dane wejściowe 2 2 10 2 2 7 4" xfId="17033" xr:uid="{00000000-0005-0000-0000-00000A420000}"/>
    <cellStyle name="Dane wejściowe 2 2 10 2 2 7 4 2" xfId="17034" xr:uid="{00000000-0005-0000-0000-00000B420000}"/>
    <cellStyle name="Dane wejściowe 2 2 10 2 2 7 4 2 2" xfId="17035" xr:uid="{00000000-0005-0000-0000-00000C420000}"/>
    <cellStyle name="Dane wejściowe 2 2 10 2 2 7 4 3" xfId="17036" xr:uid="{00000000-0005-0000-0000-00000D420000}"/>
    <cellStyle name="Dane wejściowe 2 2 10 2 2 7 5" xfId="17037" xr:uid="{00000000-0005-0000-0000-00000E420000}"/>
    <cellStyle name="Dane wejściowe 2 2 10 2 2 7 5 2" xfId="17038" xr:uid="{00000000-0005-0000-0000-00000F420000}"/>
    <cellStyle name="Dane wejściowe 2 2 10 2 2 7 6" xfId="17039" xr:uid="{00000000-0005-0000-0000-000010420000}"/>
    <cellStyle name="Dane wejściowe 2 2 10 2 2 7 6 2" xfId="17040" xr:uid="{00000000-0005-0000-0000-000011420000}"/>
    <cellStyle name="Dane wejściowe 2 2 10 2 2 7 7" xfId="17041" xr:uid="{00000000-0005-0000-0000-000012420000}"/>
    <cellStyle name="Dane wejściowe 2 2 10 2 2 8" xfId="17042" xr:uid="{00000000-0005-0000-0000-000013420000}"/>
    <cellStyle name="Dane wejściowe 2 2 10 2 2 8 2" xfId="17043" xr:uid="{00000000-0005-0000-0000-000014420000}"/>
    <cellStyle name="Dane wejściowe 2 2 10 2 2 8 2 2" xfId="17044" xr:uid="{00000000-0005-0000-0000-000015420000}"/>
    <cellStyle name="Dane wejściowe 2 2 10 2 2 8 3" xfId="17045" xr:uid="{00000000-0005-0000-0000-000016420000}"/>
    <cellStyle name="Dane wejściowe 2 2 10 2 2 9" xfId="17046" xr:uid="{00000000-0005-0000-0000-000017420000}"/>
    <cellStyle name="Dane wejściowe 2 2 10 2 2 9 2" xfId="17047" xr:uid="{00000000-0005-0000-0000-000018420000}"/>
    <cellStyle name="Dane wejściowe 2 2 10 2 2 9 2 2" xfId="17048" xr:uid="{00000000-0005-0000-0000-000019420000}"/>
    <cellStyle name="Dane wejściowe 2 2 10 2 2 9 3" xfId="17049" xr:uid="{00000000-0005-0000-0000-00001A420000}"/>
    <cellStyle name="Dane wejściowe 2 2 10 2 3" xfId="17050" xr:uid="{00000000-0005-0000-0000-00001B420000}"/>
    <cellStyle name="Dane wejściowe 2 2 10 2 3 2" xfId="17051" xr:uid="{00000000-0005-0000-0000-00001C420000}"/>
    <cellStyle name="Dane wejściowe 2 2 10 2 3 2 2" xfId="17052" xr:uid="{00000000-0005-0000-0000-00001D420000}"/>
    <cellStyle name="Dane wejściowe 2 2 10 2 3 2 2 2" xfId="17053" xr:uid="{00000000-0005-0000-0000-00001E420000}"/>
    <cellStyle name="Dane wejściowe 2 2 10 2 3 2 2 2 2" xfId="17054" xr:uid="{00000000-0005-0000-0000-00001F420000}"/>
    <cellStyle name="Dane wejściowe 2 2 10 2 3 2 2 3" xfId="17055" xr:uid="{00000000-0005-0000-0000-000020420000}"/>
    <cellStyle name="Dane wejściowe 2 2 10 2 3 2 3" xfId="17056" xr:uid="{00000000-0005-0000-0000-000021420000}"/>
    <cellStyle name="Dane wejściowe 2 2 10 2 3 2 3 2" xfId="17057" xr:uid="{00000000-0005-0000-0000-000022420000}"/>
    <cellStyle name="Dane wejściowe 2 2 10 2 3 2 3 2 2" xfId="17058" xr:uid="{00000000-0005-0000-0000-000023420000}"/>
    <cellStyle name="Dane wejściowe 2 2 10 2 3 2 3 3" xfId="17059" xr:uid="{00000000-0005-0000-0000-000024420000}"/>
    <cellStyle name="Dane wejściowe 2 2 10 2 3 2 4" xfId="17060" xr:uid="{00000000-0005-0000-0000-000025420000}"/>
    <cellStyle name="Dane wejściowe 2 2 10 2 3 2 4 2" xfId="17061" xr:uid="{00000000-0005-0000-0000-000026420000}"/>
    <cellStyle name="Dane wejściowe 2 2 10 2 3 2 4 2 2" xfId="17062" xr:uid="{00000000-0005-0000-0000-000027420000}"/>
    <cellStyle name="Dane wejściowe 2 2 10 2 3 2 4 3" xfId="17063" xr:uid="{00000000-0005-0000-0000-000028420000}"/>
    <cellStyle name="Dane wejściowe 2 2 10 2 3 2 5" xfId="17064" xr:uid="{00000000-0005-0000-0000-000029420000}"/>
    <cellStyle name="Dane wejściowe 2 2 10 2 3 2 5 2" xfId="17065" xr:uid="{00000000-0005-0000-0000-00002A420000}"/>
    <cellStyle name="Dane wejściowe 2 2 10 2 3 2 6" xfId="17066" xr:uid="{00000000-0005-0000-0000-00002B420000}"/>
    <cellStyle name="Dane wejściowe 2 2 10 2 3 2 6 2" xfId="17067" xr:uid="{00000000-0005-0000-0000-00002C420000}"/>
    <cellStyle name="Dane wejściowe 2 2 10 2 3 2 7" xfId="17068" xr:uid="{00000000-0005-0000-0000-00002D420000}"/>
    <cellStyle name="Dane wejściowe 2 2 10 2 3 3" xfId="17069" xr:uid="{00000000-0005-0000-0000-00002E420000}"/>
    <cellStyle name="Dane wejściowe 2 2 10 2 3 3 2" xfId="17070" xr:uid="{00000000-0005-0000-0000-00002F420000}"/>
    <cellStyle name="Dane wejściowe 2 2 10 2 3 3 2 2" xfId="17071" xr:uid="{00000000-0005-0000-0000-000030420000}"/>
    <cellStyle name="Dane wejściowe 2 2 10 2 3 3 3" xfId="17072" xr:uid="{00000000-0005-0000-0000-000031420000}"/>
    <cellStyle name="Dane wejściowe 2 2 10 2 3 4" xfId="17073" xr:uid="{00000000-0005-0000-0000-000032420000}"/>
    <cellStyle name="Dane wejściowe 2 2 10 2 3 4 2" xfId="17074" xr:uid="{00000000-0005-0000-0000-000033420000}"/>
    <cellStyle name="Dane wejściowe 2 2 10 2 3 4 2 2" xfId="17075" xr:uid="{00000000-0005-0000-0000-000034420000}"/>
    <cellStyle name="Dane wejściowe 2 2 10 2 3 4 3" xfId="17076" xr:uid="{00000000-0005-0000-0000-000035420000}"/>
    <cellStyle name="Dane wejściowe 2 2 10 2 3 5" xfId="17077" xr:uid="{00000000-0005-0000-0000-000036420000}"/>
    <cellStyle name="Dane wejściowe 2 2 10 2 3 5 2" xfId="17078" xr:uid="{00000000-0005-0000-0000-000037420000}"/>
    <cellStyle name="Dane wejściowe 2 2 10 2 3 5 2 2" xfId="17079" xr:uid="{00000000-0005-0000-0000-000038420000}"/>
    <cellStyle name="Dane wejściowe 2 2 10 2 3 5 3" xfId="17080" xr:uid="{00000000-0005-0000-0000-000039420000}"/>
    <cellStyle name="Dane wejściowe 2 2 10 2 3 6" xfId="17081" xr:uid="{00000000-0005-0000-0000-00003A420000}"/>
    <cellStyle name="Dane wejściowe 2 2 10 2 3 6 2" xfId="17082" xr:uid="{00000000-0005-0000-0000-00003B420000}"/>
    <cellStyle name="Dane wejściowe 2 2 10 2 3 7" xfId="17083" xr:uid="{00000000-0005-0000-0000-00003C420000}"/>
    <cellStyle name="Dane wejściowe 2 2 10 2 3 7 2" xfId="17084" xr:uid="{00000000-0005-0000-0000-00003D420000}"/>
    <cellStyle name="Dane wejściowe 2 2 10 2 3 8" xfId="17085" xr:uid="{00000000-0005-0000-0000-00003E420000}"/>
    <cellStyle name="Dane wejściowe 2 2 10 2 4" xfId="17086" xr:uid="{00000000-0005-0000-0000-00003F420000}"/>
    <cellStyle name="Dane wejściowe 2 2 10 2 4 2" xfId="17087" xr:uid="{00000000-0005-0000-0000-000040420000}"/>
    <cellStyle name="Dane wejściowe 2 2 10 2 4 2 2" xfId="17088" xr:uid="{00000000-0005-0000-0000-000041420000}"/>
    <cellStyle name="Dane wejściowe 2 2 10 2 4 3" xfId="17089" xr:uid="{00000000-0005-0000-0000-000042420000}"/>
    <cellStyle name="Dane wejściowe 2 2 10 2 5" xfId="17090" xr:uid="{00000000-0005-0000-0000-000043420000}"/>
    <cellStyle name="Dane wejściowe 2 2 10 2 5 2" xfId="17091" xr:uid="{00000000-0005-0000-0000-000044420000}"/>
    <cellStyle name="Dane wejściowe 2 2 10 2 5 2 2" xfId="17092" xr:uid="{00000000-0005-0000-0000-000045420000}"/>
    <cellStyle name="Dane wejściowe 2 2 10 2 5 3" xfId="17093" xr:uid="{00000000-0005-0000-0000-000046420000}"/>
    <cellStyle name="Dane wejściowe 2 2 10 2 6" xfId="17094" xr:uid="{00000000-0005-0000-0000-000047420000}"/>
    <cellStyle name="Dane wejściowe 2 2 10 2 6 2" xfId="17095" xr:uid="{00000000-0005-0000-0000-000048420000}"/>
    <cellStyle name="Dane wejściowe 2 2 10 2 6 2 2" xfId="17096" xr:uid="{00000000-0005-0000-0000-000049420000}"/>
    <cellStyle name="Dane wejściowe 2 2 10 2 6 3" xfId="17097" xr:uid="{00000000-0005-0000-0000-00004A420000}"/>
    <cellStyle name="Dane wejściowe 2 2 10 2 7" xfId="17098" xr:uid="{00000000-0005-0000-0000-00004B420000}"/>
    <cellStyle name="Dane wejściowe 2 2 10 2 7 2" xfId="17099" xr:uid="{00000000-0005-0000-0000-00004C420000}"/>
    <cellStyle name="Dane wejściowe 2 2 10 2 7 2 2" xfId="17100" xr:uid="{00000000-0005-0000-0000-00004D420000}"/>
    <cellStyle name="Dane wejściowe 2 2 10 2 7 2 2 2" xfId="17101" xr:uid="{00000000-0005-0000-0000-00004E420000}"/>
    <cellStyle name="Dane wejściowe 2 2 10 2 7 2 3" xfId="17102" xr:uid="{00000000-0005-0000-0000-00004F420000}"/>
    <cellStyle name="Dane wejściowe 2 2 10 2 7 3" xfId="17103" xr:uid="{00000000-0005-0000-0000-000050420000}"/>
    <cellStyle name="Dane wejściowe 2 2 10 2 7 3 2" xfId="17104" xr:uid="{00000000-0005-0000-0000-000051420000}"/>
    <cellStyle name="Dane wejściowe 2 2 10 2 7 3 2 2" xfId="17105" xr:uid="{00000000-0005-0000-0000-000052420000}"/>
    <cellStyle name="Dane wejściowe 2 2 10 2 7 3 3" xfId="17106" xr:uid="{00000000-0005-0000-0000-000053420000}"/>
    <cellStyle name="Dane wejściowe 2 2 10 2 7 4" xfId="17107" xr:uid="{00000000-0005-0000-0000-000054420000}"/>
    <cellStyle name="Dane wejściowe 2 2 10 2 7 4 2" xfId="17108" xr:uid="{00000000-0005-0000-0000-000055420000}"/>
    <cellStyle name="Dane wejściowe 2 2 10 2 7 4 2 2" xfId="17109" xr:uid="{00000000-0005-0000-0000-000056420000}"/>
    <cellStyle name="Dane wejściowe 2 2 10 2 7 4 3" xfId="17110" xr:uid="{00000000-0005-0000-0000-000057420000}"/>
    <cellStyle name="Dane wejściowe 2 2 10 2 7 5" xfId="17111" xr:uid="{00000000-0005-0000-0000-000058420000}"/>
    <cellStyle name="Dane wejściowe 2 2 10 2 7 5 2" xfId="17112" xr:uid="{00000000-0005-0000-0000-000059420000}"/>
    <cellStyle name="Dane wejściowe 2 2 10 2 7 6" xfId="17113" xr:uid="{00000000-0005-0000-0000-00005A420000}"/>
    <cellStyle name="Dane wejściowe 2 2 10 2 7 6 2" xfId="17114" xr:uid="{00000000-0005-0000-0000-00005B420000}"/>
    <cellStyle name="Dane wejściowe 2 2 10 2 7 7" xfId="17115" xr:uid="{00000000-0005-0000-0000-00005C420000}"/>
    <cellStyle name="Dane wejściowe 2 2 10 2 8" xfId="17116" xr:uid="{00000000-0005-0000-0000-00005D420000}"/>
    <cellStyle name="Dane wejściowe 2 2 10 2 8 2" xfId="17117" xr:uid="{00000000-0005-0000-0000-00005E420000}"/>
    <cellStyle name="Dane wejściowe 2 2 10 2 8 2 2" xfId="17118" xr:uid="{00000000-0005-0000-0000-00005F420000}"/>
    <cellStyle name="Dane wejściowe 2 2 10 2 8 3" xfId="17119" xr:uid="{00000000-0005-0000-0000-000060420000}"/>
    <cellStyle name="Dane wejściowe 2 2 10 2 9" xfId="17120" xr:uid="{00000000-0005-0000-0000-000061420000}"/>
    <cellStyle name="Dane wejściowe 2 2 10 2 9 2" xfId="17121" xr:uid="{00000000-0005-0000-0000-000062420000}"/>
    <cellStyle name="Dane wejściowe 2 2 10 2 9 2 2" xfId="17122" xr:uid="{00000000-0005-0000-0000-000063420000}"/>
    <cellStyle name="Dane wejściowe 2 2 10 2 9 3" xfId="17123" xr:uid="{00000000-0005-0000-0000-000064420000}"/>
    <cellStyle name="Dane wejściowe 2 2 10 3" xfId="17124" xr:uid="{00000000-0005-0000-0000-000065420000}"/>
    <cellStyle name="Dane wejściowe 2 2 10 3 2" xfId="17125" xr:uid="{00000000-0005-0000-0000-000066420000}"/>
    <cellStyle name="Dane wejściowe 2 2 10 3 2 2" xfId="17126" xr:uid="{00000000-0005-0000-0000-000067420000}"/>
    <cellStyle name="Dane wejściowe 2 2 10 3 2 2 2" xfId="17127" xr:uid="{00000000-0005-0000-0000-000068420000}"/>
    <cellStyle name="Dane wejściowe 2 2 10 3 2 2 2 2" xfId="17128" xr:uid="{00000000-0005-0000-0000-000069420000}"/>
    <cellStyle name="Dane wejściowe 2 2 10 3 2 2 3" xfId="17129" xr:uid="{00000000-0005-0000-0000-00006A420000}"/>
    <cellStyle name="Dane wejściowe 2 2 10 3 2 3" xfId="17130" xr:uid="{00000000-0005-0000-0000-00006B420000}"/>
    <cellStyle name="Dane wejściowe 2 2 10 3 2 3 2" xfId="17131" xr:uid="{00000000-0005-0000-0000-00006C420000}"/>
    <cellStyle name="Dane wejściowe 2 2 10 3 2 3 2 2" xfId="17132" xr:uid="{00000000-0005-0000-0000-00006D420000}"/>
    <cellStyle name="Dane wejściowe 2 2 10 3 2 3 3" xfId="17133" xr:uid="{00000000-0005-0000-0000-00006E420000}"/>
    <cellStyle name="Dane wejściowe 2 2 10 3 2 4" xfId="17134" xr:uid="{00000000-0005-0000-0000-00006F420000}"/>
    <cellStyle name="Dane wejściowe 2 2 10 3 2 4 2" xfId="17135" xr:uid="{00000000-0005-0000-0000-000070420000}"/>
    <cellStyle name="Dane wejściowe 2 2 10 3 2 4 2 2" xfId="17136" xr:uid="{00000000-0005-0000-0000-000071420000}"/>
    <cellStyle name="Dane wejściowe 2 2 10 3 2 4 3" xfId="17137" xr:uid="{00000000-0005-0000-0000-000072420000}"/>
    <cellStyle name="Dane wejściowe 2 2 10 3 2 5" xfId="17138" xr:uid="{00000000-0005-0000-0000-000073420000}"/>
    <cellStyle name="Dane wejściowe 2 2 10 3 2 5 2" xfId="17139" xr:uid="{00000000-0005-0000-0000-000074420000}"/>
    <cellStyle name="Dane wejściowe 2 2 10 3 2 6" xfId="17140" xr:uid="{00000000-0005-0000-0000-000075420000}"/>
    <cellStyle name="Dane wejściowe 2 2 10 3 2 6 2" xfId="17141" xr:uid="{00000000-0005-0000-0000-000076420000}"/>
    <cellStyle name="Dane wejściowe 2 2 10 3 2 7" xfId="17142" xr:uid="{00000000-0005-0000-0000-000077420000}"/>
    <cellStyle name="Dane wejściowe 2 2 10 3 3" xfId="17143" xr:uid="{00000000-0005-0000-0000-000078420000}"/>
    <cellStyle name="Dane wejściowe 2 2 10 3 3 2" xfId="17144" xr:uid="{00000000-0005-0000-0000-000079420000}"/>
    <cellStyle name="Dane wejściowe 2 2 10 3 3 2 2" xfId="17145" xr:uid="{00000000-0005-0000-0000-00007A420000}"/>
    <cellStyle name="Dane wejściowe 2 2 10 3 3 3" xfId="17146" xr:uid="{00000000-0005-0000-0000-00007B420000}"/>
    <cellStyle name="Dane wejściowe 2 2 10 3 4" xfId="17147" xr:uid="{00000000-0005-0000-0000-00007C420000}"/>
    <cellStyle name="Dane wejściowe 2 2 10 3 4 2" xfId="17148" xr:uid="{00000000-0005-0000-0000-00007D420000}"/>
    <cellStyle name="Dane wejściowe 2 2 10 3 4 2 2" xfId="17149" xr:uid="{00000000-0005-0000-0000-00007E420000}"/>
    <cellStyle name="Dane wejściowe 2 2 10 3 4 3" xfId="17150" xr:uid="{00000000-0005-0000-0000-00007F420000}"/>
    <cellStyle name="Dane wejściowe 2 2 10 3 5" xfId="17151" xr:uid="{00000000-0005-0000-0000-000080420000}"/>
    <cellStyle name="Dane wejściowe 2 2 10 3 5 2" xfId="17152" xr:uid="{00000000-0005-0000-0000-000081420000}"/>
    <cellStyle name="Dane wejściowe 2 2 10 3 5 2 2" xfId="17153" xr:uid="{00000000-0005-0000-0000-000082420000}"/>
    <cellStyle name="Dane wejściowe 2 2 10 3 5 3" xfId="17154" xr:uid="{00000000-0005-0000-0000-000083420000}"/>
    <cellStyle name="Dane wejściowe 2 2 10 3 6" xfId="17155" xr:uid="{00000000-0005-0000-0000-000084420000}"/>
    <cellStyle name="Dane wejściowe 2 2 10 3 6 2" xfId="17156" xr:uid="{00000000-0005-0000-0000-000085420000}"/>
    <cellStyle name="Dane wejściowe 2 2 10 3 7" xfId="17157" xr:uid="{00000000-0005-0000-0000-000086420000}"/>
    <cellStyle name="Dane wejściowe 2 2 10 3 7 2" xfId="17158" xr:uid="{00000000-0005-0000-0000-000087420000}"/>
    <cellStyle name="Dane wejściowe 2 2 10 3 8" xfId="17159" xr:uid="{00000000-0005-0000-0000-000088420000}"/>
    <cellStyle name="Dane wejściowe 2 2 10 4" xfId="17160" xr:uid="{00000000-0005-0000-0000-000089420000}"/>
    <cellStyle name="Dane wejściowe 2 2 10 4 2" xfId="17161" xr:uid="{00000000-0005-0000-0000-00008A420000}"/>
    <cellStyle name="Dane wejściowe 2 2 10 4 2 2" xfId="17162" xr:uid="{00000000-0005-0000-0000-00008B420000}"/>
    <cellStyle name="Dane wejściowe 2 2 10 4 3" xfId="17163" xr:uid="{00000000-0005-0000-0000-00008C420000}"/>
    <cellStyle name="Dane wejściowe 2 2 10 5" xfId="17164" xr:uid="{00000000-0005-0000-0000-00008D420000}"/>
    <cellStyle name="Dane wejściowe 2 2 10 5 2" xfId="17165" xr:uid="{00000000-0005-0000-0000-00008E420000}"/>
    <cellStyle name="Dane wejściowe 2 2 10 5 2 2" xfId="17166" xr:uid="{00000000-0005-0000-0000-00008F420000}"/>
    <cellStyle name="Dane wejściowe 2 2 10 5 3" xfId="17167" xr:uid="{00000000-0005-0000-0000-000090420000}"/>
    <cellStyle name="Dane wejściowe 2 2 10 6" xfId="17168" xr:uid="{00000000-0005-0000-0000-000091420000}"/>
    <cellStyle name="Dane wejściowe 2 2 10 6 2" xfId="17169" xr:uid="{00000000-0005-0000-0000-000092420000}"/>
    <cellStyle name="Dane wejściowe 2 2 10 6 2 2" xfId="17170" xr:uid="{00000000-0005-0000-0000-000093420000}"/>
    <cellStyle name="Dane wejściowe 2 2 10 6 3" xfId="17171" xr:uid="{00000000-0005-0000-0000-000094420000}"/>
    <cellStyle name="Dane wejściowe 2 2 10 7" xfId="17172" xr:uid="{00000000-0005-0000-0000-000095420000}"/>
    <cellStyle name="Dane wejściowe 2 2 10 7 2" xfId="17173" xr:uid="{00000000-0005-0000-0000-000096420000}"/>
    <cellStyle name="Dane wejściowe 2 2 10 7 2 2" xfId="17174" xr:uid="{00000000-0005-0000-0000-000097420000}"/>
    <cellStyle name="Dane wejściowe 2 2 10 7 3" xfId="17175" xr:uid="{00000000-0005-0000-0000-000098420000}"/>
    <cellStyle name="Dane wejściowe 2 2 10 8" xfId="17176" xr:uid="{00000000-0005-0000-0000-000099420000}"/>
    <cellStyle name="Dane wejściowe 2 2 10 8 2" xfId="17177" xr:uid="{00000000-0005-0000-0000-00009A420000}"/>
    <cellStyle name="Dane wejściowe 2 2 10 8 2 2" xfId="17178" xr:uid="{00000000-0005-0000-0000-00009B420000}"/>
    <cellStyle name="Dane wejściowe 2 2 10 8 2 2 2" xfId="17179" xr:uid="{00000000-0005-0000-0000-00009C420000}"/>
    <cellStyle name="Dane wejściowe 2 2 10 8 2 3" xfId="17180" xr:uid="{00000000-0005-0000-0000-00009D420000}"/>
    <cellStyle name="Dane wejściowe 2 2 10 8 3" xfId="17181" xr:uid="{00000000-0005-0000-0000-00009E420000}"/>
    <cellStyle name="Dane wejściowe 2 2 10 8 3 2" xfId="17182" xr:uid="{00000000-0005-0000-0000-00009F420000}"/>
    <cellStyle name="Dane wejściowe 2 2 10 8 3 2 2" xfId="17183" xr:uid="{00000000-0005-0000-0000-0000A0420000}"/>
    <cellStyle name="Dane wejściowe 2 2 10 8 3 3" xfId="17184" xr:uid="{00000000-0005-0000-0000-0000A1420000}"/>
    <cellStyle name="Dane wejściowe 2 2 10 8 4" xfId="17185" xr:uid="{00000000-0005-0000-0000-0000A2420000}"/>
    <cellStyle name="Dane wejściowe 2 2 10 8 4 2" xfId="17186" xr:uid="{00000000-0005-0000-0000-0000A3420000}"/>
    <cellStyle name="Dane wejściowe 2 2 10 8 4 2 2" xfId="17187" xr:uid="{00000000-0005-0000-0000-0000A4420000}"/>
    <cellStyle name="Dane wejściowe 2 2 10 8 4 3" xfId="17188" xr:uid="{00000000-0005-0000-0000-0000A5420000}"/>
    <cellStyle name="Dane wejściowe 2 2 10 8 5" xfId="17189" xr:uid="{00000000-0005-0000-0000-0000A6420000}"/>
    <cellStyle name="Dane wejściowe 2 2 10 8 5 2" xfId="17190" xr:uid="{00000000-0005-0000-0000-0000A7420000}"/>
    <cellStyle name="Dane wejściowe 2 2 10 8 6" xfId="17191" xr:uid="{00000000-0005-0000-0000-0000A8420000}"/>
    <cellStyle name="Dane wejściowe 2 2 10 8 6 2" xfId="17192" xr:uid="{00000000-0005-0000-0000-0000A9420000}"/>
    <cellStyle name="Dane wejściowe 2 2 10 8 7" xfId="17193" xr:uid="{00000000-0005-0000-0000-0000AA420000}"/>
    <cellStyle name="Dane wejściowe 2 2 10 9" xfId="17194" xr:uid="{00000000-0005-0000-0000-0000AB420000}"/>
    <cellStyle name="Dane wejściowe 2 2 10 9 2" xfId="17195" xr:uid="{00000000-0005-0000-0000-0000AC420000}"/>
    <cellStyle name="Dane wejściowe 2 2 10 9 2 2" xfId="17196" xr:uid="{00000000-0005-0000-0000-0000AD420000}"/>
    <cellStyle name="Dane wejściowe 2 2 10 9 3" xfId="17197" xr:uid="{00000000-0005-0000-0000-0000AE420000}"/>
    <cellStyle name="Dane wejściowe 2 2 11" xfId="17198" xr:uid="{00000000-0005-0000-0000-0000AF420000}"/>
    <cellStyle name="Dane wejściowe 2 2 11 10" xfId="17199" xr:uid="{00000000-0005-0000-0000-0000B0420000}"/>
    <cellStyle name="Dane wejściowe 2 2 11 10 2" xfId="17200" xr:uid="{00000000-0005-0000-0000-0000B1420000}"/>
    <cellStyle name="Dane wejściowe 2 2 11 11" xfId="17201" xr:uid="{00000000-0005-0000-0000-0000B2420000}"/>
    <cellStyle name="Dane wejściowe 2 2 11 11 2" xfId="17202" xr:uid="{00000000-0005-0000-0000-0000B3420000}"/>
    <cellStyle name="Dane wejściowe 2 2 11 12" xfId="17203" xr:uid="{00000000-0005-0000-0000-0000B4420000}"/>
    <cellStyle name="Dane wejściowe 2 2 11 2" xfId="17204" xr:uid="{00000000-0005-0000-0000-0000B5420000}"/>
    <cellStyle name="Dane wejściowe 2 2 11 2 2" xfId="17205" xr:uid="{00000000-0005-0000-0000-0000B6420000}"/>
    <cellStyle name="Dane wejściowe 2 2 11 2 2 2" xfId="17206" xr:uid="{00000000-0005-0000-0000-0000B7420000}"/>
    <cellStyle name="Dane wejściowe 2 2 11 2 2 2 2" xfId="17207" xr:uid="{00000000-0005-0000-0000-0000B8420000}"/>
    <cellStyle name="Dane wejściowe 2 2 11 2 2 2 2 2" xfId="17208" xr:uid="{00000000-0005-0000-0000-0000B9420000}"/>
    <cellStyle name="Dane wejściowe 2 2 11 2 2 2 3" xfId="17209" xr:uid="{00000000-0005-0000-0000-0000BA420000}"/>
    <cellStyle name="Dane wejściowe 2 2 11 2 2 3" xfId="17210" xr:uid="{00000000-0005-0000-0000-0000BB420000}"/>
    <cellStyle name="Dane wejściowe 2 2 11 2 2 3 2" xfId="17211" xr:uid="{00000000-0005-0000-0000-0000BC420000}"/>
    <cellStyle name="Dane wejściowe 2 2 11 2 2 3 2 2" xfId="17212" xr:uid="{00000000-0005-0000-0000-0000BD420000}"/>
    <cellStyle name="Dane wejściowe 2 2 11 2 2 3 3" xfId="17213" xr:uid="{00000000-0005-0000-0000-0000BE420000}"/>
    <cellStyle name="Dane wejściowe 2 2 11 2 2 4" xfId="17214" xr:uid="{00000000-0005-0000-0000-0000BF420000}"/>
    <cellStyle name="Dane wejściowe 2 2 11 2 2 4 2" xfId="17215" xr:uid="{00000000-0005-0000-0000-0000C0420000}"/>
    <cellStyle name="Dane wejściowe 2 2 11 2 2 4 2 2" xfId="17216" xr:uid="{00000000-0005-0000-0000-0000C1420000}"/>
    <cellStyle name="Dane wejściowe 2 2 11 2 2 4 3" xfId="17217" xr:uid="{00000000-0005-0000-0000-0000C2420000}"/>
    <cellStyle name="Dane wejściowe 2 2 11 2 2 5" xfId="17218" xr:uid="{00000000-0005-0000-0000-0000C3420000}"/>
    <cellStyle name="Dane wejściowe 2 2 11 2 2 5 2" xfId="17219" xr:uid="{00000000-0005-0000-0000-0000C4420000}"/>
    <cellStyle name="Dane wejściowe 2 2 11 2 2 6" xfId="17220" xr:uid="{00000000-0005-0000-0000-0000C5420000}"/>
    <cellStyle name="Dane wejściowe 2 2 11 2 2 6 2" xfId="17221" xr:uid="{00000000-0005-0000-0000-0000C6420000}"/>
    <cellStyle name="Dane wejściowe 2 2 11 2 2 7" xfId="17222" xr:uid="{00000000-0005-0000-0000-0000C7420000}"/>
    <cellStyle name="Dane wejściowe 2 2 11 2 3" xfId="17223" xr:uid="{00000000-0005-0000-0000-0000C8420000}"/>
    <cellStyle name="Dane wejściowe 2 2 11 2 3 2" xfId="17224" xr:uid="{00000000-0005-0000-0000-0000C9420000}"/>
    <cellStyle name="Dane wejściowe 2 2 11 2 3 2 2" xfId="17225" xr:uid="{00000000-0005-0000-0000-0000CA420000}"/>
    <cellStyle name="Dane wejściowe 2 2 11 2 3 3" xfId="17226" xr:uid="{00000000-0005-0000-0000-0000CB420000}"/>
    <cellStyle name="Dane wejściowe 2 2 11 2 4" xfId="17227" xr:uid="{00000000-0005-0000-0000-0000CC420000}"/>
    <cellStyle name="Dane wejściowe 2 2 11 2 4 2" xfId="17228" xr:uid="{00000000-0005-0000-0000-0000CD420000}"/>
    <cellStyle name="Dane wejściowe 2 2 11 2 4 2 2" xfId="17229" xr:uid="{00000000-0005-0000-0000-0000CE420000}"/>
    <cellStyle name="Dane wejściowe 2 2 11 2 4 3" xfId="17230" xr:uid="{00000000-0005-0000-0000-0000CF420000}"/>
    <cellStyle name="Dane wejściowe 2 2 11 2 5" xfId="17231" xr:uid="{00000000-0005-0000-0000-0000D0420000}"/>
    <cellStyle name="Dane wejściowe 2 2 11 2 5 2" xfId="17232" xr:uid="{00000000-0005-0000-0000-0000D1420000}"/>
    <cellStyle name="Dane wejściowe 2 2 11 2 5 2 2" xfId="17233" xr:uid="{00000000-0005-0000-0000-0000D2420000}"/>
    <cellStyle name="Dane wejściowe 2 2 11 2 5 3" xfId="17234" xr:uid="{00000000-0005-0000-0000-0000D3420000}"/>
    <cellStyle name="Dane wejściowe 2 2 11 2 6" xfId="17235" xr:uid="{00000000-0005-0000-0000-0000D4420000}"/>
    <cellStyle name="Dane wejściowe 2 2 11 2 6 2" xfId="17236" xr:uid="{00000000-0005-0000-0000-0000D5420000}"/>
    <cellStyle name="Dane wejściowe 2 2 11 2 7" xfId="17237" xr:uid="{00000000-0005-0000-0000-0000D6420000}"/>
    <cellStyle name="Dane wejściowe 2 2 11 2 7 2" xfId="17238" xr:uid="{00000000-0005-0000-0000-0000D7420000}"/>
    <cellStyle name="Dane wejściowe 2 2 11 2 8" xfId="17239" xr:uid="{00000000-0005-0000-0000-0000D8420000}"/>
    <cellStyle name="Dane wejściowe 2 2 11 3" xfId="17240" xr:uid="{00000000-0005-0000-0000-0000D9420000}"/>
    <cellStyle name="Dane wejściowe 2 2 11 3 2" xfId="17241" xr:uid="{00000000-0005-0000-0000-0000DA420000}"/>
    <cellStyle name="Dane wejściowe 2 2 11 3 2 2" xfId="17242" xr:uid="{00000000-0005-0000-0000-0000DB420000}"/>
    <cellStyle name="Dane wejściowe 2 2 11 3 3" xfId="17243" xr:uid="{00000000-0005-0000-0000-0000DC420000}"/>
    <cellStyle name="Dane wejściowe 2 2 11 4" xfId="17244" xr:uid="{00000000-0005-0000-0000-0000DD420000}"/>
    <cellStyle name="Dane wejściowe 2 2 11 4 2" xfId="17245" xr:uid="{00000000-0005-0000-0000-0000DE420000}"/>
    <cellStyle name="Dane wejściowe 2 2 11 4 2 2" xfId="17246" xr:uid="{00000000-0005-0000-0000-0000DF420000}"/>
    <cellStyle name="Dane wejściowe 2 2 11 4 3" xfId="17247" xr:uid="{00000000-0005-0000-0000-0000E0420000}"/>
    <cellStyle name="Dane wejściowe 2 2 11 5" xfId="17248" xr:uid="{00000000-0005-0000-0000-0000E1420000}"/>
    <cellStyle name="Dane wejściowe 2 2 11 5 2" xfId="17249" xr:uid="{00000000-0005-0000-0000-0000E2420000}"/>
    <cellStyle name="Dane wejściowe 2 2 11 5 2 2" xfId="17250" xr:uid="{00000000-0005-0000-0000-0000E3420000}"/>
    <cellStyle name="Dane wejściowe 2 2 11 5 3" xfId="17251" xr:uid="{00000000-0005-0000-0000-0000E4420000}"/>
    <cellStyle name="Dane wejściowe 2 2 11 6" xfId="17252" xr:uid="{00000000-0005-0000-0000-0000E5420000}"/>
    <cellStyle name="Dane wejściowe 2 2 11 6 2" xfId="17253" xr:uid="{00000000-0005-0000-0000-0000E6420000}"/>
    <cellStyle name="Dane wejściowe 2 2 11 6 2 2" xfId="17254" xr:uid="{00000000-0005-0000-0000-0000E7420000}"/>
    <cellStyle name="Dane wejściowe 2 2 11 6 3" xfId="17255" xr:uid="{00000000-0005-0000-0000-0000E8420000}"/>
    <cellStyle name="Dane wejściowe 2 2 11 7" xfId="17256" xr:uid="{00000000-0005-0000-0000-0000E9420000}"/>
    <cellStyle name="Dane wejściowe 2 2 11 7 2" xfId="17257" xr:uid="{00000000-0005-0000-0000-0000EA420000}"/>
    <cellStyle name="Dane wejściowe 2 2 11 7 2 2" xfId="17258" xr:uid="{00000000-0005-0000-0000-0000EB420000}"/>
    <cellStyle name="Dane wejściowe 2 2 11 7 2 2 2" xfId="17259" xr:uid="{00000000-0005-0000-0000-0000EC420000}"/>
    <cellStyle name="Dane wejściowe 2 2 11 7 2 3" xfId="17260" xr:uid="{00000000-0005-0000-0000-0000ED420000}"/>
    <cellStyle name="Dane wejściowe 2 2 11 7 3" xfId="17261" xr:uid="{00000000-0005-0000-0000-0000EE420000}"/>
    <cellStyle name="Dane wejściowe 2 2 11 7 3 2" xfId="17262" xr:uid="{00000000-0005-0000-0000-0000EF420000}"/>
    <cellStyle name="Dane wejściowe 2 2 11 7 3 2 2" xfId="17263" xr:uid="{00000000-0005-0000-0000-0000F0420000}"/>
    <cellStyle name="Dane wejściowe 2 2 11 7 3 3" xfId="17264" xr:uid="{00000000-0005-0000-0000-0000F1420000}"/>
    <cellStyle name="Dane wejściowe 2 2 11 7 4" xfId="17265" xr:uid="{00000000-0005-0000-0000-0000F2420000}"/>
    <cellStyle name="Dane wejściowe 2 2 11 7 4 2" xfId="17266" xr:uid="{00000000-0005-0000-0000-0000F3420000}"/>
    <cellStyle name="Dane wejściowe 2 2 11 7 4 2 2" xfId="17267" xr:uid="{00000000-0005-0000-0000-0000F4420000}"/>
    <cellStyle name="Dane wejściowe 2 2 11 7 4 3" xfId="17268" xr:uid="{00000000-0005-0000-0000-0000F5420000}"/>
    <cellStyle name="Dane wejściowe 2 2 11 7 5" xfId="17269" xr:uid="{00000000-0005-0000-0000-0000F6420000}"/>
    <cellStyle name="Dane wejściowe 2 2 11 7 5 2" xfId="17270" xr:uid="{00000000-0005-0000-0000-0000F7420000}"/>
    <cellStyle name="Dane wejściowe 2 2 11 7 6" xfId="17271" xr:uid="{00000000-0005-0000-0000-0000F8420000}"/>
    <cellStyle name="Dane wejściowe 2 2 11 7 6 2" xfId="17272" xr:uid="{00000000-0005-0000-0000-0000F9420000}"/>
    <cellStyle name="Dane wejściowe 2 2 11 7 7" xfId="17273" xr:uid="{00000000-0005-0000-0000-0000FA420000}"/>
    <cellStyle name="Dane wejściowe 2 2 11 8" xfId="17274" xr:uid="{00000000-0005-0000-0000-0000FB420000}"/>
    <cellStyle name="Dane wejściowe 2 2 11 8 2" xfId="17275" xr:uid="{00000000-0005-0000-0000-0000FC420000}"/>
    <cellStyle name="Dane wejściowe 2 2 11 8 2 2" xfId="17276" xr:uid="{00000000-0005-0000-0000-0000FD420000}"/>
    <cellStyle name="Dane wejściowe 2 2 11 8 3" xfId="17277" xr:uid="{00000000-0005-0000-0000-0000FE420000}"/>
    <cellStyle name="Dane wejściowe 2 2 11 9" xfId="17278" xr:uid="{00000000-0005-0000-0000-0000FF420000}"/>
    <cellStyle name="Dane wejściowe 2 2 11 9 2" xfId="17279" xr:uid="{00000000-0005-0000-0000-000000430000}"/>
    <cellStyle name="Dane wejściowe 2 2 11 9 2 2" xfId="17280" xr:uid="{00000000-0005-0000-0000-000001430000}"/>
    <cellStyle name="Dane wejściowe 2 2 11 9 3" xfId="17281" xr:uid="{00000000-0005-0000-0000-000002430000}"/>
    <cellStyle name="Dane wejściowe 2 2 12" xfId="17282" xr:uid="{00000000-0005-0000-0000-000003430000}"/>
    <cellStyle name="Dane wejściowe 2 2 12 2" xfId="17283" xr:uid="{00000000-0005-0000-0000-000004430000}"/>
    <cellStyle name="Dane wejściowe 2 2 12 2 2" xfId="17284" xr:uid="{00000000-0005-0000-0000-000005430000}"/>
    <cellStyle name="Dane wejściowe 2 2 12 2 2 2" xfId="17285" xr:uid="{00000000-0005-0000-0000-000006430000}"/>
    <cellStyle name="Dane wejściowe 2 2 12 2 2 2 2" xfId="17286" xr:uid="{00000000-0005-0000-0000-000007430000}"/>
    <cellStyle name="Dane wejściowe 2 2 12 2 2 3" xfId="17287" xr:uid="{00000000-0005-0000-0000-000008430000}"/>
    <cellStyle name="Dane wejściowe 2 2 12 2 3" xfId="17288" xr:uid="{00000000-0005-0000-0000-000009430000}"/>
    <cellStyle name="Dane wejściowe 2 2 12 2 3 2" xfId="17289" xr:uid="{00000000-0005-0000-0000-00000A430000}"/>
    <cellStyle name="Dane wejściowe 2 2 12 2 3 2 2" xfId="17290" xr:uid="{00000000-0005-0000-0000-00000B430000}"/>
    <cellStyle name="Dane wejściowe 2 2 12 2 3 3" xfId="17291" xr:uid="{00000000-0005-0000-0000-00000C430000}"/>
    <cellStyle name="Dane wejściowe 2 2 12 2 4" xfId="17292" xr:uid="{00000000-0005-0000-0000-00000D430000}"/>
    <cellStyle name="Dane wejściowe 2 2 12 2 4 2" xfId="17293" xr:uid="{00000000-0005-0000-0000-00000E430000}"/>
    <cellStyle name="Dane wejściowe 2 2 12 2 4 2 2" xfId="17294" xr:uid="{00000000-0005-0000-0000-00000F430000}"/>
    <cellStyle name="Dane wejściowe 2 2 12 2 4 3" xfId="17295" xr:uid="{00000000-0005-0000-0000-000010430000}"/>
    <cellStyle name="Dane wejściowe 2 2 12 2 5" xfId="17296" xr:uid="{00000000-0005-0000-0000-000011430000}"/>
    <cellStyle name="Dane wejściowe 2 2 12 2 5 2" xfId="17297" xr:uid="{00000000-0005-0000-0000-000012430000}"/>
    <cellStyle name="Dane wejściowe 2 2 12 2 6" xfId="17298" xr:uid="{00000000-0005-0000-0000-000013430000}"/>
    <cellStyle name="Dane wejściowe 2 2 12 2 6 2" xfId="17299" xr:uid="{00000000-0005-0000-0000-000014430000}"/>
    <cellStyle name="Dane wejściowe 2 2 12 2 7" xfId="17300" xr:uid="{00000000-0005-0000-0000-000015430000}"/>
    <cellStyle name="Dane wejściowe 2 2 12 3" xfId="17301" xr:uid="{00000000-0005-0000-0000-000016430000}"/>
    <cellStyle name="Dane wejściowe 2 2 12 3 2" xfId="17302" xr:uid="{00000000-0005-0000-0000-000017430000}"/>
    <cellStyle name="Dane wejściowe 2 2 12 3 2 2" xfId="17303" xr:uid="{00000000-0005-0000-0000-000018430000}"/>
    <cellStyle name="Dane wejściowe 2 2 12 3 3" xfId="17304" xr:uid="{00000000-0005-0000-0000-000019430000}"/>
    <cellStyle name="Dane wejściowe 2 2 12 4" xfId="17305" xr:uid="{00000000-0005-0000-0000-00001A430000}"/>
    <cellStyle name="Dane wejściowe 2 2 12 4 2" xfId="17306" xr:uid="{00000000-0005-0000-0000-00001B430000}"/>
    <cellStyle name="Dane wejściowe 2 2 12 4 2 2" xfId="17307" xr:uid="{00000000-0005-0000-0000-00001C430000}"/>
    <cellStyle name="Dane wejściowe 2 2 12 4 3" xfId="17308" xr:uid="{00000000-0005-0000-0000-00001D430000}"/>
    <cellStyle name="Dane wejściowe 2 2 12 5" xfId="17309" xr:uid="{00000000-0005-0000-0000-00001E430000}"/>
    <cellStyle name="Dane wejściowe 2 2 12 5 2" xfId="17310" xr:uid="{00000000-0005-0000-0000-00001F430000}"/>
    <cellStyle name="Dane wejściowe 2 2 12 5 2 2" xfId="17311" xr:uid="{00000000-0005-0000-0000-000020430000}"/>
    <cellStyle name="Dane wejściowe 2 2 12 5 3" xfId="17312" xr:uid="{00000000-0005-0000-0000-000021430000}"/>
    <cellStyle name="Dane wejściowe 2 2 12 6" xfId="17313" xr:uid="{00000000-0005-0000-0000-000022430000}"/>
    <cellStyle name="Dane wejściowe 2 2 12 6 2" xfId="17314" xr:uid="{00000000-0005-0000-0000-000023430000}"/>
    <cellStyle name="Dane wejściowe 2 2 12 7" xfId="17315" xr:uid="{00000000-0005-0000-0000-000024430000}"/>
    <cellStyle name="Dane wejściowe 2 2 12 7 2" xfId="17316" xr:uid="{00000000-0005-0000-0000-000025430000}"/>
    <cellStyle name="Dane wejściowe 2 2 12 8" xfId="17317" xr:uid="{00000000-0005-0000-0000-000026430000}"/>
    <cellStyle name="Dane wejściowe 2 2 13" xfId="17318" xr:uid="{00000000-0005-0000-0000-000027430000}"/>
    <cellStyle name="Dane wejściowe 2 2 13 2" xfId="17319" xr:uid="{00000000-0005-0000-0000-000028430000}"/>
    <cellStyle name="Dane wejściowe 2 2 13 2 2" xfId="17320" xr:uid="{00000000-0005-0000-0000-000029430000}"/>
    <cellStyle name="Dane wejściowe 2 2 13 3" xfId="17321" xr:uid="{00000000-0005-0000-0000-00002A430000}"/>
    <cellStyle name="Dane wejściowe 2 2 14" xfId="17322" xr:uid="{00000000-0005-0000-0000-00002B430000}"/>
    <cellStyle name="Dane wejściowe 2 2 14 2" xfId="17323" xr:uid="{00000000-0005-0000-0000-00002C430000}"/>
    <cellStyle name="Dane wejściowe 2 2 14 2 2" xfId="17324" xr:uid="{00000000-0005-0000-0000-00002D430000}"/>
    <cellStyle name="Dane wejściowe 2 2 14 3" xfId="17325" xr:uid="{00000000-0005-0000-0000-00002E430000}"/>
    <cellStyle name="Dane wejściowe 2 2 15" xfId="17326" xr:uid="{00000000-0005-0000-0000-00002F430000}"/>
    <cellStyle name="Dane wejściowe 2 2 15 2" xfId="17327" xr:uid="{00000000-0005-0000-0000-000030430000}"/>
    <cellStyle name="Dane wejściowe 2 2 15 2 2" xfId="17328" xr:uid="{00000000-0005-0000-0000-000031430000}"/>
    <cellStyle name="Dane wejściowe 2 2 15 3" xfId="17329" xr:uid="{00000000-0005-0000-0000-000032430000}"/>
    <cellStyle name="Dane wejściowe 2 2 16" xfId="17330" xr:uid="{00000000-0005-0000-0000-000033430000}"/>
    <cellStyle name="Dane wejściowe 2 2 16 2" xfId="17331" xr:uid="{00000000-0005-0000-0000-000034430000}"/>
    <cellStyle name="Dane wejściowe 2 2 16 2 2" xfId="17332" xr:uid="{00000000-0005-0000-0000-000035430000}"/>
    <cellStyle name="Dane wejściowe 2 2 16 3" xfId="17333" xr:uid="{00000000-0005-0000-0000-000036430000}"/>
    <cellStyle name="Dane wejściowe 2 2 17" xfId="17334" xr:uid="{00000000-0005-0000-0000-000037430000}"/>
    <cellStyle name="Dane wejściowe 2 2 17 2" xfId="17335" xr:uid="{00000000-0005-0000-0000-000038430000}"/>
    <cellStyle name="Dane wejściowe 2 2 17 2 2" xfId="17336" xr:uid="{00000000-0005-0000-0000-000039430000}"/>
    <cellStyle name="Dane wejściowe 2 2 17 3" xfId="17337" xr:uid="{00000000-0005-0000-0000-00003A430000}"/>
    <cellStyle name="Dane wejściowe 2 2 18" xfId="17338" xr:uid="{00000000-0005-0000-0000-00003B430000}"/>
    <cellStyle name="Dane wejściowe 2 2 18 2" xfId="17339" xr:uid="{00000000-0005-0000-0000-00003C430000}"/>
    <cellStyle name="Dane wejściowe 2 2 18 2 2" xfId="17340" xr:uid="{00000000-0005-0000-0000-00003D430000}"/>
    <cellStyle name="Dane wejściowe 2 2 18 2 2 2" xfId="17341" xr:uid="{00000000-0005-0000-0000-00003E430000}"/>
    <cellStyle name="Dane wejściowe 2 2 18 2 3" xfId="17342" xr:uid="{00000000-0005-0000-0000-00003F430000}"/>
    <cellStyle name="Dane wejściowe 2 2 18 3" xfId="17343" xr:uid="{00000000-0005-0000-0000-000040430000}"/>
    <cellStyle name="Dane wejściowe 2 2 18 3 2" xfId="17344" xr:uid="{00000000-0005-0000-0000-000041430000}"/>
    <cellStyle name="Dane wejściowe 2 2 18 3 2 2" xfId="17345" xr:uid="{00000000-0005-0000-0000-000042430000}"/>
    <cellStyle name="Dane wejściowe 2 2 18 3 3" xfId="17346" xr:uid="{00000000-0005-0000-0000-000043430000}"/>
    <cellStyle name="Dane wejściowe 2 2 18 4" xfId="17347" xr:uid="{00000000-0005-0000-0000-000044430000}"/>
    <cellStyle name="Dane wejściowe 2 2 18 4 2" xfId="17348" xr:uid="{00000000-0005-0000-0000-000045430000}"/>
    <cellStyle name="Dane wejściowe 2 2 18 4 2 2" xfId="17349" xr:uid="{00000000-0005-0000-0000-000046430000}"/>
    <cellStyle name="Dane wejściowe 2 2 18 4 3" xfId="17350" xr:uid="{00000000-0005-0000-0000-000047430000}"/>
    <cellStyle name="Dane wejściowe 2 2 18 5" xfId="17351" xr:uid="{00000000-0005-0000-0000-000048430000}"/>
    <cellStyle name="Dane wejściowe 2 2 18 5 2" xfId="17352" xr:uid="{00000000-0005-0000-0000-000049430000}"/>
    <cellStyle name="Dane wejściowe 2 2 18 6" xfId="17353" xr:uid="{00000000-0005-0000-0000-00004A430000}"/>
    <cellStyle name="Dane wejściowe 2 2 18 6 2" xfId="17354" xr:uid="{00000000-0005-0000-0000-00004B430000}"/>
    <cellStyle name="Dane wejściowe 2 2 18 7" xfId="17355" xr:uid="{00000000-0005-0000-0000-00004C430000}"/>
    <cellStyle name="Dane wejściowe 2 2 19" xfId="17356" xr:uid="{00000000-0005-0000-0000-00004D430000}"/>
    <cellStyle name="Dane wejściowe 2 2 19 2" xfId="17357" xr:uid="{00000000-0005-0000-0000-00004E430000}"/>
    <cellStyle name="Dane wejściowe 2 2 19 2 2" xfId="17358" xr:uid="{00000000-0005-0000-0000-00004F430000}"/>
    <cellStyle name="Dane wejściowe 2 2 19 3" xfId="17359" xr:uid="{00000000-0005-0000-0000-000050430000}"/>
    <cellStyle name="Dane wejściowe 2 2 2" xfId="17360" xr:uid="{00000000-0005-0000-0000-000051430000}"/>
    <cellStyle name="Dane wejściowe 2 2 2 10" xfId="17361" xr:uid="{00000000-0005-0000-0000-000052430000}"/>
    <cellStyle name="Dane wejściowe 2 2 2 10 2" xfId="17362" xr:uid="{00000000-0005-0000-0000-000053430000}"/>
    <cellStyle name="Dane wejściowe 2 2 2 10 2 2" xfId="17363" xr:uid="{00000000-0005-0000-0000-000054430000}"/>
    <cellStyle name="Dane wejściowe 2 2 2 10 3" xfId="17364" xr:uid="{00000000-0005-0000-0000-000055430000}"/>
    <cellStyle name="Dane wejściowe 2 2 2 11" xfId="17365" xr:uid="{00000000-0005-0000-0000-000056430000}"/>
    <cellStyle name="Dane wejściowe 2 2 2 11 2" xfId="17366" xr:uid="{00000000-0005-0000-0000-000057430000}"/>
    <cellStyle name="Dane wejściowe 2 2 2 11 2 2" xfId="17367" xr:uid="{00000000-0005-0000-0000-000058430000}"/>
    <cellStyle name="Dane wejściowe 2 2 2 11 3" xfId="17368" xr:uid="{00000000-0005-0000-0000-000059430000}"/>
    <cellStyle name="Dane wejściowe 2 2 2 12" xfId="17369" xr:uid="{00000000-0005-0000-0000-00005A430000}"/>
    <cellStyle name="Dane wejściowe 2 2 2 12 2" xfId="17370" xr:uid="{00000000-0005-0000-0000-00005B430000}"/>
    <cellStyle name="Dane wejściowe 2 2 2 13" xfId="17371" xr:uid="{00000000-0005-0000-0000-00005C430000}"/>
    <cellStyle name="Dane wejściowe 2 2 2 2" xfId="17372" xr:uid="{00000000-0005-0000-0000-00005D430000}"/>
    <cellStyle name="Dane wejściowe 2 2 2 2 10" xfId="17373" xr:uid="{00000000-0005-0000-0000-00005E430000}"/>
    <cellStyle name="Dane wejściowe 2 2 2 2 10 2" xfId="17374" xr:uid="{00000000-0005-0000-0000-00005F430000}"/>
    <cellStyle name="Dane wejściowe 2 2 2 2 10 2 2" xfId="17375" xr:uid="{00000000-0005-0000-0000-000060430000}"/>
    <cellStyle name="Dane wejściowe 2 2 2 2 10 3" xfId="17376" xr:uid="{00000000-0005-0000-0000-000061430000}"/>
    <cellStyle name="Dane wejściowe 2 2 2 2 11" xfId="17377" xr:uid="{00000000-0005-0000-0000-000062430000}"/>
    <cellStyle name="Dane wejściowe 2 2 2 2 11 2" xfId="17378" xr:uid="{00000000-0005-0000-0000-000063430000}"/>
    <cellStyle name="Dane wejściowe 2 2 2 2 12" xfId="17379" xr:uid="{00000000-0005-0000-0000-000064430000}"/>
    <cellStyle name="Dane wejściowe 2 2 2 2 2" xfId="17380" xr:uid="{00000000-0005-0000-0000-000065430000}"/>
    <cellStyle name="Dane wejściowe 2 2 2 2 2 10" xfId="17381" xr:uid="{00000000-0005-0000-0000-000066430000}"/>
    <cellStyle name="Dane wejściowe 2 2 2 2 2 10 2" xfId="17382" xr:uid="{00000000-0005-0000-0000-000067430000}"/>
    <cellStyle name="Dane wejściowe 2 2 2 2 2 11" xfId="17383" xr:uid="{00000000-0005-0000-0000-000068430000}"/>
    <cellStyle name="Dane wejściowe 2 2 2 2 2 2" xfId="17384" xr:uid="{00000000-0005-0000-0000-000069430000}"/>
    <cellStyle name="Dane wejściowe 2 2 2 2 2 2 10" xfId="17385" xr:uid="{00000000-0005-0000-0000-00006A430000}"/>
    <cellStyle name="Dane wejściowe 2 2 2 2 2 2 10 2" xfId="17386" xr:uid="{00000000-0005-0000-0000-00006B430000}"/>
    <cellStyle name="Dane wejściowe 2 2 2 2 2 2 11" xfId="17387" xr:uid="{00000000-0005-0000-0000-00006C430000}"/>
    <cellStyle name="Dane wejściowe 2 2 2 2 2 2 2" xfId="17388" xr:uid="{00000000-0005-0000-0000-00006D430000}"/>
    <cellStyle name="Dane wejściowe 2 2 2 2 2 2 2 2" xfId="17389" xr:uid="{00000000-0005-0000-0000-00006E430000}"/>
    <cellStyle name="Dane wejściowe 2 2 2 2 2 2 2 2 2" xfId="17390" xr:uid="{00000000-0005-0000-0000-00006F430000}"/>
    <cellStyle name="Dane wejściowe 2 2 2 2 2 2 2 2 2 2" xfId="17391" xr:uid="{00000000-0005-0000-0000-000070430000}"/>
    <cellStyle name="Dane wejściowe 2 2 2 2 2 2 2 2 2 2 2" xfId="17392" xr:uid="{00000000-0005-0000-0000-000071430000}"/>
    <cellStyle name="Dane wejściowe 2 2 2 2 2 2 2 2 2 3" xfId="17393" xr:uid="{00000000-0005-0000-0000-000072430000}"/>
    <cellStyle name="Dane wejściowe 2 2 2 2 2 2 2 2 3" xfId="17394" xr:uid="{00000000-0005-0000-0000-000073430000}"/>
    <cellStyle name="Dane wejściowe 2 2 2 2 2 2 2 2 3 2" xfId="17395" xr:uid="{00000000-0005-0000-0000-000074430000}"/>
    <cellStyle name="Dane wejściowe 2 2 2 2 2 2 2 2 3 2 2" xfId="17396" xr:uid="{00000000-0005-0000-0000-000075430000}"/>
    <cellStyle name="Dane wejściowe 2 2 2 2 2 2 2 2 3 3" xfId="17397" xr:uid="{00000000-0005-0000-0000-000076430000}"/>
    <cellStyle name="Dane wejściowe 2 2 2 2 2 2 2 2 4" xfId="17398" xr:uid="{00000000-0005-0000-0000-000077430000}"/>
    <cellStyle name="Dane wejściowe 2 2 2 2 2 2 2 2 4 2" xfId="17399" xr:uid="{00000000-0005-0000-0000-000078430000}"/>
    <cellStyle name="Dane wejściowe 2 2 2 2 2 2 2 2 4 2 2" xfId="17400" xr:uid="{00000000-0005-0000-0000-000079430000}"/>
    <cellStyle name="Dane wejściowe 2 2 2 2 2 2 2 2 4 3" xfId="17401" xr:uid="{00000000-0005-0000-0000-00007A430000}"/>
    <cellStyle name="Dane wejściowe 2 2 2 2 2 2 2 2 5" xfId="17402" xr:uid="{00000000-0005-0000-0000-00007B430000}"/>
    <cellStyle name="Dane wejściowe 2 2 2 2 2 2 2 2 5 2" xfId="17403" xr:uid="{00000000-0005-0000-0000-00007C430000}"/>
    <cellStyle name="Dane wejściowe 2 2 2 2 2 2 2 2 6" xfId="17404" xr:uid="{00000000-0005-0000-0000-00007D430000}"/>
    <cellStyle name="Dane wejściowe 2 2 2 2 2 2 2 3" xfId="17405" xr:uid="{00000000-0005-0000-0000-00007E430000}"/>
    <cellStyle name="Dane wejściowe 2 2 2 2 2 2 2 3 2" xfId="17406" xr:uid="{00000000-0005-0000-0000-00007F430000}"/>
    <cellStyle name="Dane wejściowe 2 2 2 2 2 2 2 3 2 2" xfId="17407" xr:uid="{00000000-0005-0000-0000-000080430000}"/>
    <cellStyle name="Dane wejściowe 2 2 2 2 2 2 2 3 3" xfId="17408" xr:uid="{00000000-0005-0000-0000-000081430000}"/>
    <cellStyle name="Dane wejściowe 2 2 2 2 2 2 2 4" xfId="17409" xr:uid="{00000000-0005-0000-0000-000082430000}"/>
    <cellStyle name="Dane wejściowe 2 2 2 2 2 2 2 4 2" xfId="17410" xr:uid="{00000000-0005-0000-0000-000083430000}"/>
    <cellStyle name="Dane wejściowe 2 2 2 2 2 2 2 4 2 2" xfId="17411" xr:uid="{00000000-0005-0000-0000-000084430000}"/>
    <cellStyle name="Dane wejściowe 2 2 2 2 2 2 2 4 3" xfId="17412" xr:uid="{00000000-0005-0000-0000-000085430000}"/>
    <cellStyle name="Dane wejściowe 2 2 2 2 2 2 2 5" xfId="17413" xr:uid="{00000000-0005-0000-0000-000086430000}"/>
    <cellStyle name="Dane wejściowe 2 2 2 2 2 2 2 5 2" xfId="17414" xr:uid="{00000000-0005-0000-0000-000087430000}"/>
    <cellStyle name="Dane wejściowe 2 2 2 2 2 2 2 5 2 2" xfId="17415" xr:uid="{00000000-0005-0000-0000-000088430000}"/>
    <cellStyle name="Dane wejściowe 2 2 2 2 2 2 2 5 3" xfId="17416" xr:uid="{00000000-0005-0000-0000-000089430000}"/>
    <cellStyle name="Dane wejściowe 2 2 2 2 2 2 2 6" xfId="17417" xr:uid="{00000000-0005-0000-0000-00008A430000}"/>
    <cellStyle name="Dane wejściowe 2 2 2 2 2 2 2 6 2" xfId="17418" xr:uid="{00000000-0005-0000-0000-00008B430000}"/>
    <cellStyle name="Dane wejściowe 2 2 2 2 2 2 2 7" xfId="17419" xr:uid="{00000000-0005-0000-0000-00008C430000}"/>
    <cellStyle name="Dane wejściowe 2 2 2 2 2 2 3" xfId="17420" xr:uid="{00000000-0005-0000-0000-00008D430000}"/>
    <cellStyle name="Dane wejściowe 2 2 2 2 2 2 3 2" xfId="17421" xr:uid="{00000000-0005-0000-0000-00008E430000}"/>
    <cellStyle name="Dane wejściowe 2 2 2 2 2 2 3 2 2" xfId="17422" xr:uid="{00000000-0005-0000-0000-00008F430000}"/>
    <cellStyle name="Dane wejściowe 2 2 2 2 2 2 3 3" xfId="17423" xr:uid="{00000000-0005-0000-0000-000090430000}"/>
    <cellStyle name="Dane wejściowe 2 2 2 2 2 2 4" xfId="17424" xr:uid="{00000000-0005-0000-0000-000091430000}"/>
    <cellStyle name="Dane wejściowe 2 2 2 2 2 2 4 2" xfId="17425" xr:uid="{00000000-0005-0000-0000-000092430000}"/>
    <cellStyle name="Dane wejściowe 2 2 2 2 2 2 4 2 2" xfId="17426" xr:uid="{00000000-0005-0000-0000-000093430000}"/>
    <cellStyle name="Dane wejściowe 2 2 2 2 2 2 4 3" xfId="17427" xr:uid="{00000000-0005-0000-0000-000094430000}"/>
    <cellStyle name="Dane wejściowe 2 2 2 2 2 2 5" xfId="17428" xr:uid="{00000000-0005-0000-0000-000095430000}"/>
    <cellStyle name="Dane wejściowe 2 2 2 2 2 2 5 2" xfId="17429" xr:uid="{00000000-0005-0000-0000-000096430000}"/>
    <cellStyle name="Dane wejściowe 2 2 2 2 2 2 5 2 2" xfId="17430" xr:uid="{00000000-0005-0000-0000-000097430000}"/>
    <cellStyle name="Dane wejściowe 2 2 2 2 2 2 5 3" xfId="17431" xr:uid="{00000000-0005-0000-0000-000098430000}"/>
    <cellStyle name="Dane wejściowe 2 2 2 2 2 2 6" xfId="17432" xr:uid="{00000000-0005-0000-0000-000099430000}"/>
    <cellStyle name="Dane wejściowe 2 2 2 2 2 2 6 2" xfId="17433" xr:uid="{00000000-0005-0000-0000-00009A430000}"/>
    <cellStyle name="Dane wejściowe 2 2 2 2 2 2 6 2 2" xfId="17434" xr:uid="{00000000-0005-0000-0000-00009B430000}"/>
    <cellStyle name="Dane wejściowe 2 2 2 2 2 2 6 3" xfId="17435" xr:uid="{00000000-0005-0000-0000-00009C430000}"/>
    <cellStyle name="Dane wejściowe 2 2 2 2 2 2 7" xfId="17436" xr:uid="{00000000-0005-0000-0000-00009D430000}"/>
    <cellStyle name="Dane wejściowe 2 2 2 2 2 2 7 2" xfId="17437" xr:uid="{00000000-0005-0000-0000-00009E430000}"/>
    <cellStyle name="Dane wejściowe 2 2 2 2 2 2 7 2 2" xfId="17438" xr:uid="{00000000-0005-0000-0000-00009F430000}"/>
    <cellStyle name="Dane wejściowe 2 2 2 2 2 2 7 2 2 2" xfId="17439" xr:uid="{00000000-0005-0000-0000-0000A0430000}"/>
    <cellStyle name="Dane wejściowe 2 2 2 2 2 2 7 2 3" xfId="17440" xr:uid="{00000000-0005-0000-0000-0000A1430000}"/>
    <cellStyle name="Dane wejściowe 2 2 2 2 2 2 7 3" xfId="17441" xr:uid="{00000000-0005-0000-0000-0000A2430000}"/>
    <cellStyle name="Dane wejściowe 2 2 2 2 2 2 7 3 2" xfId="17442" xr:uid="{00000000-0005-0000-0000-0000A3430000}"/>
    <cellStyle name="Dane wejściowe 2 2 2 2 2 2 7 3 2 2" xfId="17443" xr:uid="{00000000-0005-0000-0000-0000A4430000}"/>
    <cellStyle name="Dane wejściowe 2 2 2 2 2 2 7 3 3" xfId="17444" xr:uid="{00000000-0005-0000-0000-0000A5430000}"/>
    <cellStyle name="Dane wejściowe 2 2 2 2 2 2 7 4" xfId="17445" xr:uid="{00000000-0005-0000-0000-0000A6430000}"/>
    <cellStyle name="Dane wejściowe 2 2 2 2 2 2 7 4 2" xfId="17446" xr:uid="{00000000-0005-0000-0000-0000A7430000}"/>
    <cellStyle name="Dane wejściowe 2 2 2 2 2 2 7 4 2 2" xfId="17447" xr:uid="{00000000-0005-0000-0000-0000A8430000}"/>
    <cellStyle name="Dane wejściowe 2 2 2 2 2 2 7 4 3" xfId="17448" xr:uid="{00000000-0005-0000-0000-0000A9430000}"/>
    <cellStyle name="Dane wejściowe 2 2 2 2 2 2 7 5" xfId="17449" xr:uid="{00000000-0005-0000-0000-0000AA430000}"/>
    <cellStyle name="Dane wejściowe 2 2 2 2 2 2 7 5 2" xfId="17450" xr:uid="{00000000-0005-0000-0000-0000AB430000}"/>
    <cellStyle name="Dane wejściowe 2 2 2 2 2 2 7 6" xfId="17451" xr:uid="{00000000-0005-0000-0000-0000AC430000}"/>
    <cellStyle name="Dane wejściowe 2 2 2 2 2 2 7 6 2" xfId="17452" xr:uid="{00000000-0005-0000-0000-0000AD430000}"/>
    <cellStyle name="Dane wejściowe 2 2 2 2 2 2 7 7" xfId="17453" xr:uid="{00000000-0005-0000-0000-0000AE430000}"/>
    <cellStyle name="Dane wejściowe 2 2 2 2 2 2 8" xfId="17454" xr:uid="{00000000-0005-0000-0000-0000AF430000}"/>
    <cellStyle name="Dane wejściowe 2 2 2 2 2 2 8 2" xfId="17455" xr:uid="{00000000-0005-0000-0000-0000B0430000}"/>
    <cellStyle name="Dane wejściowe 2 2 2 2 2 2 8 2 2" xfId="17456" xr:uid="{00000000-0005-0000-0000-0000B1430000}"/>
    <cellStyle name="Dane wejściowe 2 2 2 2 2 2 8 3" xfId="17457" xr:uid="{00000000-0005-0000-0000-0000B2430000}"/>
    <cellStyle name="Dane wejściowe 2 2 2 2 2 2 9" xfId="17458" xr:uid="{00000000-0005-0000-0000-0000B3430000}"/>
    <cellStyle name="Dane wejściowe 2 2 2 2 2 2 9 2" xfId="17459" xr:uid="{00000000-0005-0000-0000-0000B4430000}"/>
    <cellStyle name="Dane wejściowe 2 2 2 2 2 2 9 2 2" xfId="17460" xr:uid="{00000000-0005-0000-0000-0000B5430000}"/>
    <cellStyle name="Dane wejściowe 2 2 2 2 2 2 9 3" xfId="17461" xr:uid="{00000000-0005-0000-0000-0000B6430000}"/>
    <cellStyle name="Dane wejściowe 2 2 2 2 2 3" xfId="17462" xr:uid="{00000000-0005-0000-0000-0000B7430000}"/>
    <cellStyle name="Dane wejściowe 2 2 2 2 2 3 2" xfId="17463" xr:uid="{00000000-0005-0000-0000-0000B8430000}"/>
    <cellStyle name="Dane wejściowe 2 2 2 2 2 3 2 2" xfId="17464" xr:uid="{00000000-0005-0000-0000-0000B9430000}"/>
    <cellStyle name="Dane wejściowe 2 2 2 2 2 3 2 2 2" xfId="17465" xr:uid="{00000000-0005-0000-0000-0000BA430000}"/>
    <cellStyle name="Dane wejściowe 2 2 2 2 2 3 2 2 2 2" xfId="17466" xr:uid="{00000000-0005-0000-0000-0000BB430000}"/>
    <cellStyle name="Dane wejściowe 2 2 2 2 2 3 2 2 3" xfId="17467" xr:uid="{00000000-0005-0000-0000-0000BC430000}"/>
    <cellStyle name="Dane wejściowe 2 2 2 2 2 3 2 3" xfId="17468" xr:uid="{00000000-0005-0000-0000-0000BD430000}"/>
    <cellStyle name="Dane wejściowe 2 2 2 2 2 3 2 3 2" xfId="17469" xr:uid="{00000000-0005-0000-0000-0000BE430000}"/>
    <cellStyle name="Dane wejściowe 2 2 2 2 2 3 2 3 2 2" xfId="17470" xr:uid="{00000000-0005-0000-0000-0000BF430000}"/>
    <cellStyle name="Dane wejściowe 2 2 2 2 2 3 2 3 3" xfId="17471" xr:uid="{00000000-0005-0000-0000-0000C0430000}"/>
    <cellStyle name="Dane wejściowe 2 2 2 2 2 3 2 4" xfId="17472" xr:uid="{00000000-0005-0000-0000-0000C1430000}"/>
    <cellStyle name="Dane wejściowe 2 2 2 2 2 3 2 4 2" xfId="17473" xr:uid="{00000000-0005-0000-0000-0000C2430000}"/>
    <cellStyle name="Dane wejściowe 2 2 2 2 2 3 2 4 2 2" xfId="17474" xr:uid="{00000000-0005-0000-0000-0000C3430000}"/>
    <cellStyle name="Dane wejściowe 2 2 2 2 2 3 2 4 3" xfId="17475" xr:uid="{00000000-0005-0000-0000-0000C4430000}"/>
    <cellStyle name="Dane wejściowe 2 2 2 2 2 3 2 5" xfId="17476" xr:uid="{00000000-0005-0000-0000-0000C5430000}"/>
    <cellStyle name="Dane wejściowe 2 2 2 2 2 3 2 5 2" xfId="17477" xr:uid="{00000000-0005-0000-0000-0000C6430000}"/>
    <cellStyle name="Dane wejściowe 2 2 2 2 2 3 2 6" xfId="17478" xr:uid="{00000000-0005-0000-0000-0000C7430000}"/>
    <cellStyle name="Dane wejściowe 2 2 2 2 2 3 2 6 2" xfId="17479" xr:uid="{00000000-0005-0000-0000-0000C8430000}"/>
    <cellStyle name="Dane wejściowe 2 2 2 2 2 3 2 7" xfId="17480" xr:uid="{00000000-0005-0000-0000-0000C9430000}"/>
    <cellStyle name="Dane wejściowe 2 2 2 2 2 3 3" xfId="17481" xr:uid="{00000000-0005-0000-0000-0000CA430000}"/>
    <cellStyle name="Dane wejściowe 2 2 2 2 2 3 3 2" xfId="17482" xr:uid="{00000000-0005-0000-0000-0000CB430000}"/>
    <cellStyle name="Dane wejściowe 2 2 2 2 2 3 3 2 2" xfId="17483" xr:uid="{00000000-0005-0000-0000-0000CC430000}"/>
    <cellStyle name="Dane wejściowe 2 2 2 2 2 3 3 3" xfId="17484" xr:uid="{00000000-0005-0000-0000-0000CD430000}"/>
    <cellStyle name="Dane wejściowe 2 2 2 2 2 3 4" xfId="17485" xr:uid="{00000000-0005-0000-0000-0000CE430000}"/>
    <cellStyle name="Dane wejściowe 2 2 2 2 2 3 4 2" xfId="17486" xr:uid="{00000000-0005-0000-0000-0000CF430000}"/>
    <cellStyle name="Dane wejściowe 2 2 2 2 2 3 4 2 2" xfId="17487" xr:uid="{00000000-0005-0000-0000-0000D0430000}"/>
    <cellStyle name="Dane wejściowe 2 2 2 2 2 3 4 3" xfId="17488" xr:uid="{00000000-0005-0000-0000-0000D1430000}"/>
    <cellStyle name="Dane wejściowe 2 2 2 2 2 3 5" xfId="17489" xr:uid="{00000000-0005-0000-0000-0000D2430000}"/>
    <cellStyle name="Dane wejściowe 2 2 2 2 2 3 5 2" xfId="17490" xr:uid="{00000000-0005-0000-0000-0000D3430000}"/>
    <cellStyle name="Dane wejściowe 2 2 2 2 2 3 5 2 2" xfId="17491" xr:uid="{00000000-0005-0000-0000-0000D4430000}"/>
    <cellStyle name="Dane wejściowe 2 2 2 2 2 3 5 3" xfId="17492" xr:uid="{00000000-0005-0000-0000-0000D5430000}"/>
    <cellStyle name="Dane wejściowe 2 2 2 2 2 3 6" xfId="17493" xr:uid="{00000000-0005-0000-0000-0000D6430000}"/>
    <cellStyle name="Dane wejściowe 2 2 2 2 2 3 6 2" xfId="17494" xr:uid="{00000000-0005-0000-0000-0000D7430000}"/>
    <cellStyle name="Dane wejściowe 2 2 2 2 2 3 7" xfId="17495" xr:uid="{00000000-0005-0000-0000-0000D8430000}"/>
    <cellStyle name="Dane wejściowe 2 2 2 2 2 3 7 2" xfId="17496" xr:uid="{00000000-0005-0000-0000-0000D9430000}"/>
    <cellStyle name="Dane wejściowe 2 2 2 2 2 3 8" xfId="17497" xr:uid="{00000000-0005-0000-0000-0000DA430000}"/>
    <cellStyle name="Dane wejściowe 2 2 2 2 2 4" xfId="17498" xr:uid="{00000000-0005-0000-0000-0000DB430000}"/>
    <cellStyle name="Dane wejściowe 2 2 2 2 2 4 2" xfId="17499" xr:uid="{00000000-0005-0000-0000-0000DC430000}"/>
    <cellStyle name="Dane wejściowe 2 2 2 2 2 4 2 2" xfId="17500" xr:uid="{00000000-0005-0000-0000-0000DD430000}"/>
    <cellStyle name="Dane wejściowe 2 2 2 2 2 4 3" xfId="17501" xr:uid="{00000000-0005-0000-0000-0000DE430000}"/>
    <cellStyle name="Dane wejściowe 2 2 2 2 2 5" xfId="17502" xr:uid="{00000000-0005-0000-0000-0000DF430000}"/>
    <cellStyle name="Dane wejściowe 2 2 2 2 2 5 2" xfId="17503" xr:uid="{00000000-0005-0000-0000-0000E0430000}"/>
    <cellStyle name="Dane wejściowe 2 2 2 2 2 5 2 2" xfId="17504" xr:uid="{00000000-0005-0000-0000-0000E1430000}"/>
    <cellStyle name="Dane wejściowe 2 2 2 2 2 5 3" xfId="17505" xr:uid="{00000000-0005-0000-0000-0000E2430000}"/>
    <cellStyle name="Dane wejściowe 2 2 2 2 2 6" xfId="17506" xr:uid="{00000000-0005-0000-0000-0000E3430000}"/>
    <cellStyle name="Dane wejściowe 2 2 2 2 2 6 2" xfId="17507" xr:uid="{00000000-0005-0000-0000-0000E4430000}"/>
    <cellStyle name="Dane wejściowe 2 2 2 2 2 6 2 2" xfId="17508" xr:uid="{00000000-0005-0000-0000-0000E5430000}"/>
    <cellStyle name="Dane wejściowe 2 2 2 2 2 6 3" xfId="17509" xr:uid="{00000000-0005-0000-0000-0000E6430000}"/>
    <cellStyle name="Dane wejściowe 2 2 2 2 2 7" xfId="17510" xr:uid="{00000000-0005-0000-0000-0000E7430000}"/>
    <cellStyle name="Dane wejściowe 2 2 2 2 2 7 2" xfId="17511" xr:uid="{00000000-0005-0000-0000-0000E8430000}"/>
    <cellStyle name="Dane wejściowe 2 2 2 2 2 7 2 2" xfId="17512" xr:uid="{00000000-0005-0000-0000-0000E9430000}"/>
    <cellStyle name="Dane wejściowe 2 2 2 2 2 7 2 2 2" xfId="17513" xr:uid="{00000000-0005-0000-0000-0000EA430000}"/>
    <cellStyle name="Dane wejściowe 2 2 2 2 2 7 2 3" xfId="17514" xr:uid="{00000000-0005-0000-0000-0000EB430000}"/>
    <cellStyle name="Dane wejściowe 2 2 2 2 2 7 3" xfId="17515" xr:uid="{00000000-0005-0000-0000-0000EC430000}"/>
    <cellStyle name="Dane wejściowe 2 2 2 2 2 7 3 2" xfId="17516" xr:uid="{00000000-0005-0000-0000-0000ED430000}"/>
    <cellStyle name="Dane wejściowe 2 2 2 2 2 7 3 2 2" xfId="17517" xr:uid="{00000000-0005-0000-0000-0000EE430000}"/>
    <cellStyle name="Dane wejściowe 2 2 2 2 2 7 3 3" xfId="17518" xr:uid="{00000000-0005-0000-0000-0000EF430000}"/>
    <cellStyle name="Dane wejściowe 2 2 2 2 2 7 4" xfId="17519" xr:uid="{00000000-0005-0000-0000-0000F0430000}"/>
    <cellStyle name="Dane wejściowe 2 2 2 2 2 7 4 2" xfId="17520" xr:uid="{00000000-0005-0000-0000-0000F1430000}"/>
    <cellStyle name="Dane wejściowe 2 2 2 2 2 7 4 2 2" xfId="17521" xr:uid="{00000000-0005-0000-0000-0000F2430000}"/>
    <cellStyle name="Dane wejściowe 2 2 2 2 2 7 4 3" xfId="17522" xr:uid="{00000000-0005-0000-0000-0000F3430000}"/>
    <cellStyle name="Dane wejściowe 2 2 2 2 2 7 5" xfId="17523" xr:uid="{00000000-0005-0000-0000-0000F4430000}"/>
    <cellStyle name="Dane wejściowe 2 2 2 2 2 7 5 2" xfId="17524" xr:uid="{00000000-0005-0000-0000-0000F5430000}"/>
    <cellStyle name="Dane wejściowe 2 2 2 2 2 7 6" xfId="17525" xr:uid="{00000000-0005-0000-0000-0000F6430000}"/>
    <cellStyle name="Dane wejściowe 2 2 2 2 2 7 6 2" xfId="17526" xr:uid="{00000000-0005-0000-0000-0000F7430000}"/>
    <cellStyle name="Dane wejściowe 2 2 2 2 2 7 7" xfId="17527" xr:uid="{00000000-0005-0000-0000-0000F8430000}"/>
    <cellStyle name="Dane wejściowe 2 2 2 2 2 8" xfId="17528" xr:uid="{00000000-0005-0000-0000-0000F9430000}"/>
    <cellStyle name="Dane wejściowe 2 2 2 2 2 8 2" xfId="17529" xr:uid="{00000000-0005-0000-0000-0000FA430000}"/>
    <cellStyle name="Dane wejściowe 2 2 2 2 2 8 2 2" xfId="17530" xr:uid="{00000000-0005-0000-0000-0000FB430000}"/>
    <cellStyle name="Dane wejściowe 2 2 2 2 2 8 3" xfId="17531" xr:uid="{00000000-0005-0000-0000-0000FC430000}"/>
    <cellStyle name="Dane wejściowe 2 2 2 2 2 9" xfId="17532" xr:uid="{00000000-0005-0000-0000-0000FD430000}"/>
    <cellStyle name="Dane wejściowe 2 2 2 2 2 9 2" xfId="17533" xr:uid="{00000000-0005-0000-0000-0000FE430000}"/>
    <cellStyle name="Dane wejściowe 2 2 2 2 2 9 2 2" xfId="17534" xr:uid="{00000000-0005-0000-0000-0000FF430000}"/>
    <cellStyle name="Dane wejściowe 2 2 2 2 2 9 3" xfId="17535" xr:uid="{00000000-0005-0000-0000-000000440000}"/>
    <cellStyle name="Dane wejściowe 2 2 2 2 3" xfId="17536" xr:uid="{00000000-0005-0000-0000-000001440000}"/>
    <cellStyle name="Dane wejściowe 2 2 2 2 3 2" xfId="17537" xr:uid="{00000000-0005-0000-0000-000002440000}"/>
    <cellStyle name="Dane wejściowe 2 2 2 2 3 2 2" xfId="17538" xr:uid="{00000000-0005-0000-0000-000003440000}"/>
    <cellStyle name="Dane wejściowe 2 2 2 2 3 2 2 2" xfId="17539" xr:uid="{00000000-0005-0000-0000-000004440000}"/>
    <cellStyle name="Dane wejściowe 2 2 2 2 3 2 2 2 2" xfId="17540" xr:uid="{00000000-0005-0000-0000-000005440000}"/>
    <cellStyle name="Dane wejściowe 2 2 2 2 3 2 2 3" xfId="17541" xr:uid="{00000000-0005-0000-0000-000006440000}"/>
    <cellStyle name="Dane wejściowe 2 2 2 2 3 2 3" xfId="17542" xr:uid="{00000000-0005-0000-0000-000007440000}"/>
    <cellStyle name="Dane wejściowe 2 2 2 2 3 2 3 2" xfId="17543" xr:uid="{00000000-0005-0000-0000-000008440000}"/>
    <cellStyle name="Dane wejściowe 2 2 2 2 3 2 3 2 2" xfId="17544" xr:uid="{00000000-0005-0000-0000-000009440000}"/>
    <cellStyle name="Dane wejściowe 2 2 2 2 3 2 3 3" xfId="17545" xr:uid="{00000000-0005-0000-0000-00000A440000}"/>
    <cellStyle name="Dane wejściowe 2 2 2 2 3 2 4" xfId="17546" xr:uid="{00000000-0005-0000-0000-00000B440000}"/>
    <cellStyle name="Dane wejściowe 2 2 2 2 3 2 4 2" xfId="17547" xr:uid="{00000000-0005-0000-0000-00000C440000}"/>
    <cellStyle name="Dane wejściowe 2 2 2 2 3 2 4 2 2" xfId="17548" xr:uid="{00000000-0005-0000-0000-00000D440000}"/>
    <cellStyle name="Dane wejściowe 2 2 2 2 3 2 4 3" xfId="17549" xr:uid="{00000000-0005-0000-0000-00000E440000}"/>
    <cellStyle name="Dane wejściowe 2 2 2 2 3 2 5" xfId="17550" xr:uid="{00000000-0005-0000-0000-00000F440000}"/>
    <cellStyle name="Dane wejściowe 2 2 2 2 3 2 5 2" xfId="17551" xr:uid="{00000000-0005-0000-0000-000010440000}"/>
    <cellStyle name="Dane wejściowe 2 2 2 2 3 2 6" xfId="17552" xr:uid="{00000000-0005-0000-0000-000011440000}"/>
    <cellStyle name="Dane wejściowe 2 2 2 2 3 2 6 2" xfId="17553" xr:uid="{00000000-0005-0000-0000-000012440000}"/>
    <cellStyle name="Dane wejściowe 2 2 2 2 3 2 7" xfId="17554" xr:uid="{00000000-0005-0000-0000-000013440000}"/>
    <cellStyle name="Dane wejściowe 2 2 2 2 3 3" xfId="17555" xr:uid="{00000000-0005-0000-0000-000014440000}"/>
    <cellStyle name="Dane wejściowe 2 2 2 2 3 3 2" xfId="17556" xr:uid="{00000000-0005-0000-0000-000015440000}"/>
    <cellStyle name="Dane wejściowe 2 2 2 2 3 3 2 2" xfId="17557" xr:uid="{00000000-0005-0000-0000-000016440000}"/>
    <cellStyle name="Dane wejściowe 2 2 2 2 3 3 3" xfId="17558" xr:uid="{00000000-0005-0000-0000-000017440000}"/>
    <cellStyle name="Dane wejściowe 2 2 2 2 3 4" xfId="17559" xr:uid="{00000000-0005-0000-0000-000018440000}"/>
    <cellStyle name="Dane wejściowe 2 2 2 2 3 4 2" xfId="17560" xr:uid="{00000000-0005-0000-0000-000019440000}"/>
    <cellStyle name="Dane wejściowe 2 2 2 2 3 4 2 2" xfId="17561" xr:uid="{00000000-0005-0000-0000-00001A440000}"/>
    <cellStyle name="Dane wejściowe 2 2 2 2 3 4 3" xfId="17562" xr:uid="{00000000-0005-0000-0000-00001B440000}"/>
    <cellStyle name="Dane wejściowe 2 2 2 2 3 5" xfId="17563" xr:uid="{00000000-0005-0000-0000-00001C440000}"/>
    <cellStyle name="Dane wejściowe 2 2 2 2 3 5 2" xfId="17564" xr:uid="{00000000-0005-0000-0000-00001D440000}"/>
    <cellStyle name="Dane wejściowe 2 2 2 2 3 5 2 2" xfId="17565" xr:uid="{00000000-0005-0000-0000-00001E440000}"/>
    <cellStyle name="Dane wejściowe 2 2 2 2 3 5 3" xfId="17566" xr:uid="{00000000-0005-0000-0000-00001F440000}"/>
    <cellStyle name="Dane wejściowe 2 2 2 2 3 6" xfId="17567" xr:uid="{00000000-0005-0000-0000-000020440000}"/>
    <cellStyle name="Dane wejściowe 2 2 2 2 3 6 2" xfId="17568" xr:uid="{00000000-0005-0000-0000-000021440000}"/>
    <cellStyle name="Dane wejściowe 2 2 2 2 3 7" xfId="17569" xr:uid="{00000000-0005-0000-0000-000022440000}"/>
    <cellStyle name="Dane wejściowe 2 2 2 2 3 7 2" xfId="17570" xr:uid="{00000000-0005-0000-0000-000023440000}"/>
    <cellStyle name="Dane wejściowe 2 2 2 2 3 8" xfId="17571" xr:uid="{00000000-0005-0000-0000-000024440000}"/>
    <cellStyle name="Dane wejściowe 2 2 2 2 4" xfId="17572" xr:uid="{00000000-0005-0000-0000-000025440000}"/>
    <cellStyle name="Dane wejściowe 2 2 2 2 4 2" xfId="17573" xr:uid="{00000000-0005-0000-0000-000026440000}"/>
    <cellStyle name="Dane wejściowe 2 2 2 2 4 2 2" xfId="17574" xr:uid="{00000000-0005-0000-0000-000027440000}"/>
    <cellStyle name="Dane wejściowe 2 2 2 2 4 3" xfId="17575" xr:uid="{00000000-0005-0000-0000-000028440000}"/>
    <cellStyle name="Dane wejściowe 2 2 2 2 5" xfId="17576" xr:uid="{00000000-0005-0000-0000-000029440000}"/>
    <cellStyle name="Dane wejściowe 2 2 2 2 5 2" xfId="17577" xr:uid="{00000000-0005-0000-0000-00002A440000}"/>
    <cellStyle name="Dane wejściowe 2 2 2 2 5 2 2" xfId="17578" xr:uid="{00000000-0005-0000-0000-00002B440000}"/>
    <cellStyle name="Dane wejściowe 2 2 2 2 5 3" xfId="17579" xr:uid="{00000000-0005-0000-0000-00002C440000}"/>
    <cellStyle name="Dane wejściowe 2 2 2 2 6" xfId="17580" xr:uid="{00000000-0005-0000-0000-00002D440000}"/>
    <cellStyle name="Dane wejściowe 2 2 2 2 6 2" xfId="17581" xr:uid="{00000000-0005-0000-0000-00002E440000}"/>
    <cellStyle name="Dane wejściowe 2 2 2 2 6 2 2" xfId="17582" xr:uid="{00000000-0005-0000-0000-00002F440000}"/>
    <cellStyle name="Dane wejściowe 2 2 2 2 6 3" xfId="17583" xr:uid="{00000000-0005-0000-0000-000030440000}"/>
    <cellStyle name="Dane wejściowe 2 2 2 2 7" xfId="17584" xr:uid="{00000000-0005-0000-0000-000031440000}"/>
    <cellStyle name="Dane wejściowe 2 2 2 2 7 2" xfId="17585" xr:uid="{00000000-0005-0000-0000-000032440000}"/>
    <cellStyle name="Dane wejściowe 2 2 2 2 7 2 2" xfId="17586" xr:uid="{00000000-0005-0000-0000-000033440000}"/>
    <cellStyle name="Dane wejściowe 2 2 2 2 7 3" xfId="17587" xr:uid="{00000000-0005-0000-0000-000034440000}"/>
    <cellStyle name="Dane wejściowe 2 2 2 2 8" xfId="17588" xr:uid="{00000000-0005-0000-0000-000035440000}"/>
    <cellStyle name="Dane wejściowe 2 2 2 2 8 2" xfId="17589" xr:uid="{00000000-0005-0000-0000-000036440000}"/>
    <cellStyle name="Dane wejściowe 2 2 2 2 8 2 2" xfId="17590" xr:uid="{00000000-0005-0000-0000-000037440000}"/>
    <cellStyle name="Dane wejściowe 2 2 2 2 8 2 2 2" xfId="17591" xr:uid="{00000000-0005-0000-0000-000038440000}"/>
    <cellStyle name="Dane wejściowe 2 2 2 2 8 2 3" xfId="17592" xr:uid="{00000000-0005-0000-0000-000039440000}"/>
    <cellStyle name="Dane wejściowe 2 2 2 2 8 3" xfId="17593" xr:uid="{00000000-0005-0000-0000-00003A440000}"/>
    <cellStyle name="Dane wejściowe 2 2 2 2 8 3 2" xfId="17594" xr:uid="{00000000-0005-0000-0000-00003B440000}"/>
    <cellStyle name="Dane wejściowe 2 2 2 2 8 3 2 2" xfId="17595" xr:uid="{00000000-0005-0000-0000-00003C440000}"/>
    <cellStyle name="Dane wejściowe 2 2 2 2 8 3 3" xfId="17596" xr:uid="{00000000-0005-0000-0000-00003D440000}"/>
    <cellStyle name="Dane wejściowe 2 2 2 2 8 4" xfId="17597" xr:uid="{00000000-0005-0000-0000-00003E440000}"/>
    <cellStyle name="Dane wejściowe 2 2 2 2 8 4 2" xfId="17598" xr:uid="{00000000-0005-0000-0000-00003F440000}"/>
    <cellStyle name="Dane wejściowe 2 2 2 2 8 4 2 2" xfId="17599" xr:uid="{00000000-0005-0000-0000-000040440000}"/>
    <cellStyle name="Dane wejściowe 2 2 2 2 8 4 3" xfId="17600" xr:uid="{00000000-0005-0000-0000-000041440000}"/>
    <cellStyle name="Dane wejściowe 2 2 2 2 8 5" xfId="17601" xr:uid="{00000000-0005-0000-0000-000042440000}"/>
    <cellStyle name="Dane wejściowe 2 2 2 2 8 5 2" xfId="17602" xr:uid="{00000000-0005-0000-0000-000043440000}"/>
    <cellStyle name="Dane wejściowe 2 2 2 2 8 6" xfId="17603" xr:uid="{00000000-0005-0000-0000-000044440000}"/>
    <cellStyle name="Dane wejściowe 2 2 2 2 8 6 2" xfId="17604" xr:uid="{00000000-0005-0000-0000-000045440000}"/>
    <cellStyle name="Dane wejściowe 2 2 2 2 8 7" xfId="17605" xr:uid="{00000000-0005-0000-0000-000046440000}"/>
    <cellStyle name="Dane wejściowe 2 2 2 2 9" xfId="17606" xr:uid="{00000000-0005-0000-0000-000047440000}"/>
    <cellStyle name="Dane wejściowe 2 2 2 2 9 2" xfId="17607" xr:uid="{00000000-0005-0000-0000-000048440000}"/>
    <cellStyle name="Dane wejściowe 2 2 2 2 9 2 2" xfId="17608" xr:uid="{00000000-0005-0000-0000-000049440000}"/>
    <cellStyle name="Dane wejściowe 2 2 2 2 9 3" xfId="17609" xr:uid="{00000000-0005-0000-0000-00004A440000}"/>
    <cellStyle name="Dane wejściowe 2 2 2 3" xfId="17610" xr:uid="{00000000-0005-0000-0000-00004B440000}"/>
    <cellStyle name="Dane wejściowe 2 2 2 3 2" xfId="17611" xr:uid="{00000000-0005-0000-0000-00004C440000}"/>
    <cellStyle name="Dane wejściowe 2 2 2 3 2 2" xfId="17612" xr:uid="{00000000-0005-0000-0000-00004D440000}"/>
    <cellStyle name="Dane wejściowe 2 2 2 3 3" xfId="17613" xr:uid="{00000000-0005-0000-0000-00004E440000}"/>
    <cellStyle name="Dane wejściowe 2 2 2 4" xfId="17614" xr:uid="{00000000-0005-0000-0000-00004F440000}"/>
    <cellStyle name="Dane wejściowe 2 2 2 4 10" xfId="17615" xr:uid="{00000000-0005-0000-0000-000050440000}"/>
    <cellStyle name="Dane wejściowe 2 2 2 4 10 2" xfId="17616" xr:uid="{00000000-0005-0000-0000-000051440000}"/>
    <cellStyle name="Dane wejściowe 2 2 2 4 11" xfId="17617" xr:uid="{00000000-0005-0000-0000-000052440000}"/>
    <cellStyle name="Dane wejściowe 2 2 2 4 11 2" xfId="17618" xr:uid="{00000000-0005-0000-0000-000053440000}"/>
    <cellStyle name="Dane wejściowe 2 2 2 4 12" xfId="17619" xr:uid="{00000000-0005-0000-0000-000054440000}"/>
    <cellStyle name="Dane wejściowe 2 2 2 4 2" xfId="17620" xr:uid="{00000000-0005-0000-0000-000055440000}"/>
    <cellStyle name="Dane wejściowe 2 2 2 4 2 2" xfId="17621" xr:uid="{00000000-0005-0000-0000-000056440000}"/>
    <cellStyle name="Dane wejściowe 2 2 2 4 2 2 2" xfId="17622" xr:uid="{00000000-0005-0000-0000-000057440000}"/>
    <cellStyle name="Dane wejściowe 2 2 2 4 2 2 2 2" xfId="17623" xr:uid="{00000000-0005-0000-0000-000058440000}"/>
    <cellStyle name="Dane wejściowe 2 2 2 4 2 2 2 2 2" xfId="17624" xr:uid="{00000000-0005-0000-0000-000059440000}"/>
    <cellStyle name="Dane wejściowe 2 2 2 4 2 2 2 3" xfId="17625" xr:uid="{00000000-0005-0000-0000-00005A440000}"/>
    <cellStyle name="Dane wejściowe 2 2 2 4 2 2 3" xfId="17626" xr:uid="{00000000-0005-0000-0000-00005B440000}"/>
    <cellStyle name="Dane wejściowe 2 2 2 4 2 2 3 2" xfId="17627" xr:uid="{00000000-0005-0000-0000-00005C440000}"/>
    <cellStyle name="Dane wejściowe 2 2 2 4 2 2 3 2 2" xfId="17628" xr:uid="{00000000-0005-0000-0000-00005D440000}"/>
    <cellStyle name="Dane wejściowe 2 2 2 4 2 2 3 3" xfId="17629" xr:uid="{00000000-0005-0000-0000-00005E440000}"/>
    <cellStyle name="Dane wejściowe 2 2 2 4 2 2 4" xfId="17630" xr:uid="{00000000-0005-0000-0000-00005F440000}"/>
    <cellStyle name="Dane wejściowe 2 2 2 4 2 2 4 2" xfId="17631" xr:uid="{00000000-0005-0000-0000-000060440000}"/>
    <cellStyle name="Dane wejściowe 2 2 2 4 2 2 4 2 2" xfId="17632" xr:uid="{00000000-0005-0000-0000-000061440000}"/>
    <cellStyle name="Dane wejściowe 2 2 2 4 2 2 4 3" xfId="17633" xr:uid="{00000000-0005-0000-0000-000062440000}"/>
    <cellStyle name="Dane wejściowe 2 2 2 4 2 2 5" xfId="17634" xr:uid="{00000000-0005-0000-0000-000063440000}"/>
    <cellStyle name="Dane wejściowe 2 2 2 4 2 2 5 2" xfId="17635" xr:uid="{00000000-0005-0000-0000-000064440000}"/>
    <cellStyle name="Dane wejściowe 2 2 2 4 2 2 6" xfId="17636" xr:uid="{00000000-0005-0000-0000-000065440000}"/>
    <cellStyle name="Dane wejściowe 2 2 2 4 2 2 6 2" xfId="17637" xr:uid="{00000000-0005-0000-0000-000066440000}"/>
    <cellStyle name="Dane wejściowe 2 2 2 4 2 2 7" xfId="17638" xr:uid="{00000000-0005-0000-0000-000067440000}"/>
    <cellStyle name="Dane wejściowe 2 2 2 4 2 3" xfId="17639" xr:uid="{00000000-0005-0000-0000-000068440000}"/>
    <cellStyle name="Dane wejściowe 2 2 2 4 2 3 2" xfId="17640" xr:uid="{00000000-0005-0000-0000-000069440000}"/>
    <cellStyle name="Dane wejściowe 2 2 2 4 2 3 2 2" xfId="17641" xr:uid="{00000000-0005-0000-0000-00006A440000}"/>
    <cellStyle name="Dane wejściowe 2 2 2 4 2 3 3" xfId="17642" xr:uid="{00000000-0005-0000-0000-00006B440000}"/>
    <cellStyle name="Dane wejściowe 2 2 2 4 2 4" xfId="17643" xr:uid="{00000000-0005-0000-0000-00006C440000}"/>
    <cellStyle name="Dane wejściowe 2 2 2 4 2 4 2" xfId="17644" xr:uid="{00000000-0005-0000-0000-00006D440000}"/>
    <cellStyle name="Dane wejściowe 2 2 2 4 2 4 2 2" xfId="17645" xr:uid="{00000000-0005-0000-0000-00006E440000}"/>
    <cellStyle name="Dane wejściowe 2 2 2 4 2 4 3" xfId="17646" xr:uid="{00000000-0005-0000-0000-00006F440000}"/>
    <cellStyle name="Dane wejściowe 2 2 2 4 2 5" xfId="17647" xr:uid="{00000000-0005-0000-0000-000070440000}"/>
    <cellStyle name="Dane wejściowe 2 2 2 4 2 5 2" xfId="17648" xr:uid="{00000000-0005-0000-0000-000071440000}"/>
    <cellStyle name="Dane wejściowe 2 2 2 4 2 5 2 2" xfId="17649" xr:uid="{00000000-0005-0000-0000-000072440000}"/>
    <cellStyle name="Dane wejściowe 2 2 2 4 2 5 3" xfId="17650" xr:uid="{00000000-0005-0000-0000-000073440000}"/>
    <cellStyle name="Dane wejściowe 2 2 2 4 2 6" xfId="17651" xr:uid="{00000000-0005-0000-0000-000074440000}"/>
    <cellStyle name="Dane wejściowe 2 2 2 4 2 6 2" xfId="17652" xr:uid="{00000000-0005-0000-0000-000075440000}"/>
    <cellStyle name="Dane wejściowe 2 2 2 4 2 7" xfId="17653" xr:uid="{00000000-0005-0000-0000-000076440000}"/>
    <cellStyle name="Dane wejściowe 2 2 2 4 2 7 2" xfId="17654" xr:uid="{00000000-0005-0000-0000-000077440000}"/>
    <cellStyle name="Dane wejściowe 2 2 2 4 2 8" xfId="17655" xr:uid="{00000000-0005-0000-0000-000078440000}"/>
    <cellStyle name="Dane wejściowe 2 2 2 4 3" xfId="17656" xr:uid="{00000000-0005-0000-0000-000079440000}"/>
    <cellStyle name="Dane wejściowe 2 2 2 4 3 2" xfId="17657" xr:uid="{00000000-0005-0000-0000-00007A440000}"/>
    <cellStyle name="Dane wejściowe 2 2 2 4 3 2 2" xfId="17658" xr:uid="{00000000-0005-0000-0000-00007B440000}"/>
    <cellStyle name="Dane wejściowe 2 2 2 4 3 3" xfId="17659" xr:uid="{00000000-0005-0000-0000-00007C440000}"/>
    <cellStyle name="Dane wejściowe 2 2 2 4 4" xfId="17660" xr:uid="{00000000-0005-0000-0000-00007D440000}"/>
    <cellStyle name="Dane wejściowe 2 2 2 4 4 2" xfId="17661" xr:uid="{00000000-0005-0000-0000-00007E440000}"/>
    <cellStyle name="Dane wejściowe 2 2 2 4 4 2 2" xfId="17662" xr:uid="{00000000-0005-0000-0000-00007F440000}"/>
    <cellStyle name="Dane wejściowe 2 2 2 4 4 3" xfId="17663" xr:uid="{00000000-0005-0000-0000-000080440000}"/>
    <cellStyle name="Dane wejściowe 2 2 2 4 5" xfId="17664" xr:uid="{00000000-0005-0000-0000-000081440000}"/>
    <cellStyle name="Dane wejściowe 2 2 2 4 5 2" xfId="17665" xr:uid="{00000000-0005-0000-0000-000082440000}"/>
    <cellStyle name="Dane wejściowe 2 2 2 4 5 2 2" xfId="17666" xr:uid="{00000000-0005-0000-0000-000083440000}"/>
    <cellStyle name="Dane wejściowe 2 2 2 4 5 3" xfId="17667" xr:uid="{00000000-0005-0000-0000-000084440000}"/>
    <cellStyle name="Dane wejściowe 2 2 2 4 6" xfId="17668" xr:uid="{00000000-0005-0000-0000-000085440000}"/>
    <cellStyle name="Dane wejściowe 2 2 2 4 6 2" xfId="17669" xr:uid="{00000000-0005-0000-0000-000086440000}"/>
    <cellStyle name="Dane wejściowe 2 2 2 4 6 2 2" xfId="17670" xr:uid="{00000000-0005-0000-0000-000087440000}"/>
    <cellStyle name="Dane wejściowe 2 2 2 4 6 3" xfId="17671" xr:uid="{00000000-0005-0000-0000-000088440000}"/>
    <cellStyle name="Dane wejściowe 2 2 2 4 7" xfId="17672" xr:uid="{00000000-0005-0000-0000-000089440000}"/>
    <cellStyle name="Dane wejściowe 2 2 2 4 7 2" xfId="17673" xr:uid="{00000000-0005-0000-0000-00008A440000}"/>
    <cellStyle name="Dane wejściowe 2 2 2 4 7 2 2" xfId="17674" xr:uid="{00000000-0005-0000-0000-00008B440000}"/>
    <cellStyle name="Dane wejściowe 2 2 2 4 7 2 2 2" xfId="17675" xr:uid="{00000000-0005-0000-0000-00008C440000}"/>
    <cellStyle name="Dane wejściowe 2 2 2 4 7 2 3" xfId="17676" xr:uid="{00000000-0005-0000-0000-00008D440000}"/>
    <cellStyle name="Dane wejściowe 2 2 2 4 7 3" xfId="17677" xr:uid="{00000000-0005-0000-0000-00008E440000}"/>
    <cellStyle name="Dane wejściowe 2 2 2 4 7 3 2" xfId="17678" xr:uid="{00000000-0005-0000-0000-00008F440000}"/>
    <cellStyle name="Dane wejściowe 2 2 2 4 7 3 2 2" xfId="17679" xr:uid="{00000000-0005-0000-0000-000090440000}"/>
    <cellStyle name="Dane wejściowe 2 2 2 4 7 3 3" xfId="17680" xr:uid="{00000000-0005-0000-0000-000091440000}"/>
    <cellStyle name="Dane wejściowe 2 2 2 4 7 4" xfId="17681" xr:uid="{00000000-0005-0000-0000-000092440000}"/>
    <cellStyle name="Dane wejściowe 2 2 2 4 7 4 2" xfId="17682" xr:uid="{00000000-0005-0000-0000-000093440000}"/>
    <cellStyle name="Dane wejściowe 2 2 2 4 7 4 2 2" xfId="17683" xr:uid="{00000000-0005-0000-0000-000094440000}"/>
    <cellStyle name="Dane wejściowe 2 2 2 4 7 4 3" xfId="17684" xr:uid="{00000000-0005-0000-0000-000095440000}"/>
    <cellStyle name="Dane wejściowe 2 2 2 4 7 5" xfId="17685" xr:uid="{00000000-0005-0000-0000-000096440000}"/>
    <cellStyle name="Dane wejściowe 2 2 2 4 7 5 2" xfId="17686" xr:uid="{00000000-0005-0000-0000-000097440000}"/>
    <cellStyle name="Dane wejściowe 2 2 2 4 7 6" xfId="17687" xr:uid="{00000000-0005-0000-0000-000098440000}"/>
    <cellStyle name="Dane wejściowe 2 2 2 4 7 6 2" xfId="17688" xr:uid="{00000000-0005-0000-0000-000099440000}"/>
    <cellStyle name="Dane wejściowe 2 2 2 4 7 7" xfId="17689" xr:uid="{00000000-0005-0000-0000-00009A440000}"/>
    <cellStyle name="Dane wejściowe 2 2 2 4 8" xfId="17690" xr:uid="{00000000-0005-0000-0000-00009B440000}"/>
    <cellStyle name="Dane wejściowe 2 2 2 4 8 2" xfId="17691" xr:uid="{00000000-0005-0000-0000-00009C440000}"/>
    <cellStyle name="Dane wejściowe 2 2 2 4 8 2 2" xfId="17692" xr:uid="{00000000-0005-0000-0000-00009D440000}"/>
    <cellStyle name="Dane wejściowe 2 2 2 4 8 3" xfId="17693" xr:uid="{00000000-0005-0000-0000-00009E440000}"/>
    <cellStyle name="Dane wejściowe 2 2 2 4 9" xfId="17694" xr:uid="{00000000-0005-0000-0000-00009F440000}"/>
    <cellStyle name="Dane wejściowe 2 2 2 4 9 2" xfId="17695" xr:uid="{00000000-0005-0000-0000-0000A0440000}"/>
    <cellStyle name="Dane wejściowe 2 2 2 4 9 2 2" xfId="17696" xr:uid="{00000000-0005-0000-0000-0000A1440000}"/>
    <cellStyle name="Dane wejściowe 2 2 2 4 9 3" xfId="17697" xr:uid="{00000000-0005-0000-0000-0000A2440000}"/>
    <cellStyle name="Dane wejściowe 2 2 2 5" xfId="17698" xr:uid="{00000000-0005-0000-0000-0000A3440000}"/>
    <cellStyle name="Dane wejściowe 2 2 2 5 2" xfId="17699" xr:uid="{00000000-0005-0000-0000-0000A4440000}"/>
    <cellStyle name="Dane wejściowe 2 2 2 5 2 2" xfId="17700" xr:uid="{00000000-0005-0000-0000-0000A5440000}"/>
    <cellStyle name="Dane wejściowe 2 2 2 5 2 2 2" xfId="17701" xr:uid="{00000000-0005-0000-0000-0000A6440000}"/>
    <cellStyle name="Dane wejściowe 2 2 2 5 2 2 2 2" xfId="17702" xr:uid="{00000000-0005-0000-0000-0000A7440000}"/>
    <cellStyle name="Dane wejściowe 2 2 2 5 2 2 3" xfId="17703" xr:uid="{00000000-0005-0000-0000-0000A8440000}"/>
    <cellStyle name="Dane wejściowe 2 2 2 5 2 3" xfId="17704" xr:uid="{00000000-0005-0000-0000-0000A9440000}"/>
    <cellStyle name="Dane wejściowe 2 2 2 5 2 3 2" xfId="17705" xr:uid="{00000000-0005-0000-0000-0000AA440000}"/>
    <cellStyle name="Dane wejściowe 2 2 2 5 2 3 2 2" xfId="17706" xr:uid="{00000000-0005-0000-0000-0000AB440000}"/>
    <cellStyle name="Dane wejściowe 2 2 2 5 2 3 3" xfId="17707" xr:uid="{00000000-0005-0000-0000-0000AC440000}"/>
    <cellStyle name="Dane wejściowe 2 2 2 5 2 4" xfId="17708" xr:uid="{00000000-0005-0000-0000-0000AD440000}"/>
    <cellStyle name="Dane wejściowe 2 2 2 5 2 4 2" xfId="17709" xr:uid="{00000000-0005-0000-0000-0000AE440000}"/>
    <cellStyle name="Dane wejściowe 2 2 2 5 2 4 2 2" xfId="17710" xr:uid="{00000000-0005-0000-0000-0000AF440000}"/>
    <cellStyle name="Dane wejściowe 2 2 2 5 2 4 3" xfId="17711" xr:uid="{00000000-0005-0000-0000-0000B0440000}"/>
    <cellStyle name="Dane wejściowe 2 2 2 5 2 5" xfId="17712" xr:uid="{00000000-0005-0000-0000-0000B1440000}"/>
    <cellStyle name="Dane wejściowe 2 2 2 5 2 5 2" xfId="17713" xr:uid="{00000000-0005-0000-0000-0000B2440000}"/>
    <cellStyle name="Dane wejściowe 2 2 2 5 2 6" xfId="17714" xr:uid="{00000000-0005-0000-0000-0000B3440000}"/>
    <cellStyle name="Dane wejściowe 2 2 2 5 2 6 2" xfId="17715" xr:uid="{00000000-0005-0000-0000-0000B4440000}"/>
    <cellStyle name="Dane wejściowe 2 2 2 5 2 7" xfId="17716" xr:uid="{00000000-0005-0000-0000-0000B5440000}"/>
    <cellStyle name="Dane wejściowe 2 2 2 5 3" xfId="17717" xr:uid="{00000000-0005-0000-0000-0000B6440000}"/>
    <cellStyle name="Dane wejściowe 2 2 2 5 3 2" xfId="17718" xr:uid="{00000000-0005-0000-0000-0000B7440000}"/>
    <cellStyle name="Dane wejściowe 2 2 2 5 3 2 2" xfId="17719" xr:uid="{00000000-0005-0000-0000-0000B8440000}"/>
    <cellStyle name="Dane wejściowe 2 2 2 5 3 3" xfId="17720" xr:uid="{00000000-0005-0000-0000-0000B9440000}"/>
    <cellStyle name="Dane wejściowe 2 2 2 5 4" xfId="17721" xr:uid="{00000000-0005-0000-0000-0000BA440000}"/>
    <cellStyle name="Dane wejściowe 2 2 2 5 4 2" xfId="17722" xr:uid="{00000000-0005-0000-0000-0000BB440000}"/>
    <cellStyle name="Dane wejściowe 2 2 2 5 4 2 2" xfId="17723" xr:uid="{00000000-0005-0000-0000-0000BC440000}"/>
    <cellStyle name="Dane wejściowe 2 2 2 5 4 3" xfId="17724" xr:uid="{00000000-0005-0000-0000-0000BD440000}"/>
    <cellStyle name="Dane wejściowe 2 2 2 5 5" xfId="17725" xr:uid="{00000000-0005-0000-0000-0000BE440000}"/>
    <cellStyle name="Dane wejściowe 2 2 2 5 5 2" xfId="17726" xr:uid="{00000000-0005-0000-0000-0000BF440000}"/>
    <cellStyle name="Dane wejściowe 2 2 2 5 5 2 2" xfId="17727" xr:uid="{00000000-0005-0000-0000-0000C0440000}"/>
    <cellStyle name="Dane wejściowe 2 2 2 5 5 3" xfId="17728" xr:uid="{00000000-0005-0000-0000-0000C1440000}"/>
    <cellStyle name="Dane wejściowe 2 2 2 5 6" xfId="17729" xr:uid="{00000000-0005-0000-0000-0000C2440000}"/>
    <cellStyle name="Dane wejściowe 2 2 2 5 6 2" xfId="17730" xr:uid="{00000000-0005-0000-0000-0000C3440000}"/>
    <cellStyle name="Dane wejściowe 2 2 2 5 7" xfId="17731" xr:uid="{00000000-0005-0000-0000-0000C4440000}"/>
    <cellStyle name="Dane wejściowe 2 2 2 5 7 2" xfId="17732" xr:uid="{00000000-0005-0000-0000-0000C5440000}"/>
    <cellStyle name="Dane wejściowe 2 2 2 5 8" xfId="17733" xr:uid="{00000000-0005-0000-0000-0000C6440000}"/>
    <cellStyle name="Dane wejściowe 2 2 2 6" xfId="17734" xr:uid="{00000000-0005-0000-0000-0000C7440000}"/>
    <cellStyle name="Dane wejściowe 2 2 2 6 2" xfId="17735" xr:uid="{00000000-0005-0000-0000-0000C8440000}"/>
    <cellStyle name="Dane wejściowe 2 2 2 6 2 2" xfId="17736" xr:uid="{00000000-0005-0000-0000-0000C9440000}"/>
    <cellStyle name="Dane wejściowe 2 2 2 6 3" xfId="17737" xr:uid="{00000000-0005-0000-0000-0000CA440000}"/>
    <cellStyle name="Dane wejściowe 2 2 2 7" xfId="17738" xr:uid="{00000000-0005-0000-0000-0000CB440000}"/>
    <cellStyle name="Dane wejściowe 2 2 2 7 2" xfId="17739" xr:uid="{00000000-0005-0000-0000-0000CC440000}"/>
    <cellStyle name="Dane wejściowe 2 2 2 7 2 2" xfId="17740" xr:uid="{00000000-0005-0000-0000-0000CD440000}"/>
    <cellStyle name="Dane wejściowe 2 2 2 7 3" xfId="17741" xr:uid="{00000000-0005-0000-0000-0000CE440000}"/>
    <cellStyle name="Dane wejściowe 2 2 2 8" xfId="17742" xr:uid="{00000000-0005-0000-0000-0000CF440000}"/>
    <cellStyle name="Dane wejściowe 2 2 2 8 2" xfId="17743" xr:uid="{00000000-0005-0000-0000-0000D0440000}"/>
    <cellStyle name="Dane wejściowe 2 2 2 8 2 2" xfId="17744" xr:uid="{00000000-0005-0000-0000-0000D1440000}"/>
    <cellStyle name="Dane wejściowe 2 2 2 8 3" xfId="17745" xr:uid="{00000000-0005-0000-0000-0000D2440000}"/>
    <cellStyle name="Dane wejściowe 2 2 2 9" xfId="17746" xr:uid="{00000000-0005-0000-0000-0000D3440000}"/>
    <cellStyle name="Dane wejściowe 2 2 2 9 2" xfId="17747" xr:uid="{00000000-0005-0000-0000-0000D4440000}"/>
    <cellStyle name="Dane wejściowe 2 2 2 9 2 2" xfId="17748" xr:uid="{00000000-0005-0000-0000-0000D5440000}"/>
    <cellStyle name="Dane wejściowe 2 2 2 9 2 2 2" xfId="17749" xr:uid="{00000000-0005-0000-0000-0000D6440000}"/>
    <cellStyle name="Dane wejściowe 2 2 2 9 2 3" xfId="17750" xr:uid="{00000000-0005-0000-0000-0000D7440000}"/>
    <cellStyle name="Dane wejściowe 2 2 2 9 3" xfId="17751" xr:uid="{00000000-0005-0000-0000-0000D8440000}"/>
    <cellStyle name="Dane wejściowe 2 2 2 9 3 2" xfId="17752" xr:uid="{00000000-0005-0000-0000-0000D9440000}"/>
    <cellStyle name="Dane wejściowe 2 2 2 9 3 2 2" xfId="17753" xr:uid="{00000000-0005-0000-0000-0000DA440000}"/>
    <cellStyle name="Dane wejściowe 2 2 2 9 3 3" xfId="17754" xr:uid="{00000000-0005-0000-0000-0000DB440000}"/>
    <cellStyle name="Dane wejściowe 2 2 2 9 4" xfId="17755" xr:uid="{00000000-0005-0000-0000-0000DC440000}"/>
    <cellStyle name="Dane wejściowe 2 2 2 9 4 2" xfId="17756" xr:uid="{00000000-0005-0000-0000-0000DD440000}"/>
    <cellStyle name="Dane wejściowe 2 2 2 9 4 2 2" xfId="17757" xr:uid="{00000000-0005-0000-0000-0000DE440000}"/>
    <cellStyle name="Dane wejściowe 2 2 2 9 4 3" xfId="17758" xr:uid="{00000000-0005-0000-0000-0000DF440000}"/>
    <cellStyle name="Dane wejściowe 2 2 2 9 5" xfId="17759" xr:uid="{00000000-0005-0000-0000-0000E0440000}"/>
    <cellStyle name="Dane wejściowe 2 2 2 9 5 2" xfId="17760" xr:uid="{00000000-0005-0000-0000-0000E1440000}"/>
    <cellStyle name="Dane wejściowe 2 2 2 9 6" xfId="17761" xr:uid="{00000000-0005-0000-0000-0000E2440000}"/>
    <cellStyle name="Dane wejściowe 2 2 2 9 6 2" xfId="17762" xr:uid="{00000000-0005-0000-0000-0000E3440000}"/>
    <cellStyle name="Dane wejściowe 2 2 2 9 7" xfId="17763" xr:uid="{00000000-0005-0000-0000-0000E4440000}"/>
    <cellStyle name="Dane wejściowe 2 2 20" xfId="17764" xr:uid="{00000000-0005-0000-0000-0000E5440000}"/>
    <cellStyle name="Dane wejściowe 2 2 20 2" xfId="17765" xr:uid="{00000000-0005-0000-0000-0000E6440000}"/>
    <cellStyle name="Dane wejściowe 2 2 20 2 2" xfId="17766" xr:uid="{00000000-0005-0000-0000-0000E7440000}"/>
    <cellStyle name="Dane wejściowe 2 2 20 3" xfId="17767" xr:uid="{00000000-0005-0000-0000-0000E8440000}"/>
    <cellStyle name="Dane wejściowe 2 2 21" xfId="17768" xr:uid="{00000000-0005-0000-0000-0000E9440000}"/>
    <cellStyle name="Dane wejściowe 2 2 21 2" xfId="17769" xr:uid="{00000000-0005-0000-0000-0000EA440000}"/>
    <cellStyle name="Dane wejściowe 2 2 22" xfId="17770" xr:uid="{00000000-0005-0000-0000-0000EB440000}"/>
    <cellStyle name="Dane wejściowe 2 2 3" xfId="17771" xr:uid="{00000000-0005-0000-0000-0000EC440000}"/>
    <cellStyle name="Dane wejściowe 2 2 3 2" xfId="17772" xr:uid="{00000000-0005-0000-0000-0000ED440000}"/>
    <cellStyle name="Dane wejściowe 2 2 3 2 2" xfId="17773" xr:uid="{00000000-0005-0000-0000-0000EE440000}"/>
    <cellStyle name="Dane wejściowe 2 2 3 3" xfId="17774" xr:uid="{00000000-0005-0000-0000-0000EF440000}"/>
    <cellStyle name="Dane wejściowe 2 2 4" xfId="17775" xr:uid="{00000000-0005-0000-0000-0000F0440000}"/>
    <cellStyle name="Dane wejściowe 2 2 4 2" xfId="17776" xr:uid="{00000000-0005-0000-0000-0000F1440000}"/>
    <cellStyle name="Dane wejściowe 2 2 4 2 2" xfId="17777" xr:uid="{00000000-0005-0000-0000-0000F2440000}"/>
    <cellStyle name="Dane wejściowe 2 2 4 3" xfId="17778" xr:uid="{00000000-0005-0000-0000-0000F3440000}"/>
    <cellStyle name="Dane wejściowe 2 2 5" xfId="17779" xr:uid="{00000000-0005-0000-0000-0000F4440000}"/>
    <cellStyle name="Dane wejściowe 2 2 5 2" xfId="17780" xr:uid="{00000000-0005-0000-0000-0000F5440000}"/>
    <cellStyle name="Dane wejściowe 2 2 5 2 2" xfId="17781" xr:uid="{00000000-0005-0000-0000-0000F6440000}"/>
    <cellStyle name="Dane wejściowe 2 2 5 3" xfId="17782" xr:uid="{00000000-0005-0000-0000-0000F7440000}"/>
    <cellStyle name="Dane wejściowe 2 2 6" xfId="17783" xr:uid="{00000000-0005-0000-0000-0000F8440000}"/>
    <cellStyle name="Dane wejściowe 2 2 6 2" xfId="17784" xr:uid="{00000000-0005-0000-0000-0000F9440000}"/>
    <cellStyle name="Dane wejściowe 2 2 6 2 2" xfId="17785" xr:uid="{00000000-0005-0000-0000-0000FA440000}"/>
    <cellStyle name="Dane wejściowe 2 2 6 3" xfId="17786" xr:uid="{00000000-0005-0000-0000-0000FB440000}"/>
    <cellStyle name="Dane wejściowe 2 2 7" xfId="17787" xr:uid="{00000000-0005-0000-0000-0000FC440000}"/>
    <cellStyle name="Dane wejściowe 2 2 7 2" xfId="17788" xr:uid="{00000000-0005-0000-0000-0000FD440000}"/>
    <cellStyle name="Dane wejściowe 2 2 7 2 2" xfId="17789" xr:uid="{00000000-0005-0000-0000-0000FE440000}"/>
    <cellStyle name="Dane wejściowe 2 2 7 3" xfId="17790" xr:uid="{00000000-0005-0000-0000-0000FF440000}"/>
    <cellStyle name="Dane wejściowe 2 2 8" xfId="17791" xr:uid="{00000000-0005-0000-0000-000000450000}"/>
    <cellStyle name="Dane wejściowe 2 2 8 2" xfId="17792" xr:uid="{00000000-0005-0000-0000-000001450000}"/>
    <cellStyle name="Dane wejściowe 2 2 8 2 2" xfId="17793" xr:uid="{00000000-0005-0000-0000-000002450000}"/>
    <cellStyle name="Dane wejściowe 2 2 8 3" xfId="17794" xr:uid="{00000000-0005-0000-0000-000003450000}"/>
    <cellStyle name="Dane wejściowe 2 2 9" xfId="17795" xr:uid="{00000000-0005-0000-0000-000004450000}"/>
    <cellStyle name="Dane wejściowe 2 2 9 2" xfId="17796" xr:uid="{00000000-0005-0000-0000-000005450000}"/>
    <cellStyle name="Dane wejściowe 2 2 9 2 2" xfId="17797" xr:uid="{00000000-0005-0000-0000-000006450000}"/>
    <cellStyle name="Dane wejściowe 2 2 9 3" xfId="17798" xr:uid="{00000000-0005-0000-0000-000007450000}"/>
    <cellStyle name="Dane wejściowe 2 20" xfId="17799" xr:uid="{00000000-0005-0000-0000-000008450000}"/>
    <cellStyle name="Dane wejściowe 2 20 2" xfId="17800" xr:uid="{00000000-0005-0000-0000-000009450000}"/>
    <cellStyle name="Dane wejściowe 2 20 2 2" xfId="17801" xr:uid="{00000000-0005-0000-0000-00000A450000}"/>
    <cellStyle name="Dane wejściowe 2 20 3" xfId="17802" xr:uid="{00000000-0005-0000-0000-00000B450000}"/>
    <cellStyle name="Dane wejściowe 2 21" xfId="17803" xr:uid="{00000000-0005-0000-0000-00000C450000}"/>
    <cellStyle name="Dane wejściowe 2 21 2" xfId="17804" xr:uid="{00000000-0005-0000-0000-00000D450000}"/>
    <cellStyle name="Dane wejściowe 2 21 2 2" xfId="17805" xr:uid="{00000000-0005-0000-0000-00000E450000}"/>
    <cellStyle name="Dane wejściowe 2 21 2 2 2" xfId="17806" xr:uid="{00000000-0005-0000-0000-00000F450000}"/>
    <cellStyle name="Dane wejściowe 2 21 2 3" xfId="17807" xr:uid="{00000000-0005-0000-0000-000010450000}"/>
    <cellStyle name="Dane wejściowe 2 21 3" xfId="17808" xr:uid="{00000000-0005-0000-0000-000011450000}"/>
    <cellStyle name="Dane wejściowe 2 21 3 2" xfId="17809" xr:uid="{00000000-0005-0000-0000-000012450000}"/>
    <cellStyle name="Dane wejściowe 2 21 3 2 2" xfId="17810" xr:uid="{00000000-0005-0000-0000-000013450000}"/>
    <cellStyle name="Dane wejściowe 2 21 3 3" xfId="17811" xr:uid="{00000000-0005-0000-0000-000014450000}"/>
    <cellStyle name="Dane wejściowe 2 21 4" xfId="17812" xr:uid="{00000000-0005-0000-0000-000015450000}"/>
    <cellStyle name="Dane wejściowe 2 21 4 2" xfId="17813" xr:uid="{00000000-0005-0000-0000-000016450000}"/>
    <cellStyle name="Dane wejściowe 2 21 4 2 2" xfId="17814" xr:uid="{00000000-0005-0000-0000-000017450000}"/>
    <cellStyle name="Dane wejściowe 2 21 4 3" xfId="17815" xr:uid="{00000000-0005-0000-0000-000018450000}"/>
    <cellStyle name="Dane wejściowe 2 21 5" xfId="17816" xr:uid="{00000000-0005-0000-0000-000019450000}"/>
    <cellStyle name="Dane wejściowe 2 21 5 2" xfId="17817" xr:uid="{00000000-0005-0000-0000-00001A450000}"/>
    <cellStyle name="Dane wejściowe 2 21 6" xfId="17818" xr:uid="{00000000-0005-0000-0000-00001B450000}"/>
    <cellStyle name="Dane wejściowe 2 21 6 2" xfId="17819" xr:uid="{00000000-0005-0000-0000-00001C450000}"/>
    <cellStyle name="Dane wejściowe 2 21 7" xfId="17820" xr:uid="{00000000-0005-0000-0000-00001D450000}"/>
    <cellStyle name="Dane wejściowe 2 22" xfId="17821" xr:uid="{00000000-0005-0000-0000-00001E450000}"/>
    <cellStyle name="Dane wejściowe 2 22 2" xfId="17822" xr:uid="{00000000-0005-0000-0000-00001F450000}"/>
    <cellStyle name="Dane wejściowe 2 22 2 2" xfId="17823" xr:uid="{00000000-0005-0000-0000-000020450000}"/>
    <cellStyle name="Dane wejściowe 2 22 3" xfId="17824" xr:uid="{00000000-0005-0000-0000-000021450000}"/>
    <cellStyle name="Dane wejściowe 2 23" xfId="17825" xr:uid="{00000000-0005-0000-0000-000022450000}"/>
    <cellStyle name="Dane wejściowe 2 23 2" xfId="17826" xr:uid="{00000000-0005-0000-0000-000023450000}"/>
    <cellStyle name="Dane wejściowe 2 23 2 2" xfId="17827" xr:uid="{00000000-0005-0000-0000-000024450000}"/>
    <cellStyle name="Dane wejściowe 2 23 3" xfId="17828" xr:uid="{00000000-0005-0000-0000-000025450000}"/>
    <cellStyle name="Dane wejściowe 2 24" xfId="17829" xr:uid="{00000000-0005-0000-0000-000026450000}"/>
    <cellStyle name="Dane wejściowe 2 24 2" xfId="17830" xr:uid="{00000000-0005-0000-0000-000027450000}"/>
    <cellStyle name="Dane wejściowe 2 24 2 2" xfId="17831" xr:uid="{00000000-0005-0000-0000-000028450000}"/>
    <cellStyle name="Dane wejściowe 2 24 3" xfId="17832" xr:uid="{00000000-0005-0000-0000-000029450000}"/>
    <cellStyle name="Dane wejściowe 2 25" xfId="17833" xr:uid="{00000000-0005-0000-0000-00002A450000}"/>
    <cellStyle name="Dane wejściowe 2 25 2" xfId="17834" xr:uid="{00000000-0005-0000-0000-00002B450000}"/>
    <cellStyle name="Dane wejściowe 2 25 2 2" xfId="17835" xr:uid="{00000000-0005-0000-0000-00002C450000}"/>
    <cellStyle name="Dane wejściowe 2 25 3" xfId="17836" xr:uid="{00000000-0005-0000-0000-00002D450000}"/>
    <cellStyle name="Dane wejściowe 2 26" xfId="17837" xr:uid="{00000000-0005-0000-0000-00002E450000}"/>
    <cellStyle name="Dane wejściowe 2 26 2" xfId="17838" xr:uid="{00000000-0005-0000-0000-00002F450000}"/>
    <cellStyle name="Dane wejściowe 2 26 2 2" xfId="17839" xr:uid="{00000000-0005-0000-0000-000030450000}"/>
    <cellStyle name="Dane wejściowe 2 26 3" xfId="17840" xr:uid="{00000000-0005-0000-0000-000031450000}"/>
    <cellStyle name="Dane wejściowe 2 27" xfId="17841" xr:uid="{00000000-0005-0000-0000-000032450000}"/>
    <cellStyle name="Dane wejściowe 2 27 2" xfId="17842" xr:uid="{00000000-0005-0000-0000-000033450000}"/>
    <cellStyle name="Dane wejściowe 2 27 2 2" xfId="17843" xr:uid="{00000000-0005-0000-0000-000034450000}"/>
    <cellStyle name="Dane wejściowe 2 27 3" xfId="17844" xr:uid="{00000000-0005-0000-0000-000035450000}"/>
    <cellStyle name="Dane wejściowe 2 28" xfId="17845" xr:uid="{00000000-0005-0000-0000-000036450000}"/>
    <cellStyle name="Dane wejściowe 2 28 2" xfId="17846" xr:uid="{00000000-0005-0000-0000-000037450000}"/>
    <cellStyle name="Dane wejściowe 2 29" xfId="17847" xr:uid="{00000000-0005-0000-0000-000038450000}"/>
    <cellStyle name="Dane wejściowe 2 29 2" xfId="17848" xr:uid="{00000000-0005-0000-0000-000039450000}"/>
    <cellStyle name="Dane wejściowe 2 3" xfId="17849" xr:uid="{00000000-0005-0000-0000-00003A450000}"/>
    <cellStyle name="Dane wejściowe 2 3 2" xfId="17850" xr:uid="{00000000-0005-0000-0000-00003B450000}"/>
    <cellStyle name="Dane wejściowe 2 3 2 2" xfId="17851" xr:uid="{00000000-0005-0000-0000-00003C450000}"/>
    <cellStyle name="Dane wejściowe 2 3 3" xfId="17852" xr:uid="{00000000-0005-0000-0000-00003D450000}"/>
    <cellStyle name="Dane wejściowe 2 30" xfId="17853" xr:uid="{00000000-0005-0000-0000-00003E450000}"/>
    <cellStyle name="Dane wejściowe 2 30 2" xfId="17854" xr:uid="{00000000-0005-0000-0000-00003F450000}"/>
    <cellStyle name="Dane wejściowe 2 31" xfId="17855" xr:uid="{00000000-0005-0000-0000-000040450000}"/>
    <cellStyle name="Dane wejściowe 2 31 2" xfId="17856" xr:uid="{00000000-0005-0000-0000-000041450000}"/>
    <cellStyle name="Dane wejściowe 2 32" xfId="17857" xr:uid="{00000000-0005-0000-0000-000042450000}"/>
    <cellStyle name="Dane wejściowe 2 33" xfId="17858" xr:uid="{00000000-0005-0000-0000-000043450000}"/>
    <cellStyle name="Dane wejściowe 2 34" xfId="16552" xr:uid="{00000000-0005-0000-0000-000044450000}"/>
    <cellStyle name="Dane wejściowe 2 35" xfId="37841" xr:uid="{00000000-0005-0000-0000-000045450000}"/>
    <cellStyle name="Dane wejściowe 2 4" xfId="17859" xr:uid="{00000000-0005-0000-0000-000046450000}"/>
    <cellStyle name="Dane wejściowe 2 4 2" xfId="17860" xr:uid="{00000000-0005-0000-0000-000047450000}"/>
    <cellStyle name="Dane wejściowe 2 4 2 2" xfId="17861" xr:uid="{00000000-0005-0000-0000-000048450000}"/>
    <cellStyle name="Dane wejściowe 2 4 3" xfId="17862" xr:uid="{00000000-0005-0000-0000-000049450000}"/>
    <cellStyle name="Dane wejściowe 2 5" xfId="17863" xr:uid="{00000000-0005-0000-0000-00004A450000}"/>
    <cellStyle name="Dane wejściowe 2 5 2" xfId="17864" xr:uid="{00000000-0005-0000-0000-00004B450000}"/>
    <cellStyle name="Dane wejściowe 2 5 2 2" xfId="17865" xr:uid="{00000000-0005-0000-0000-00004C450000}"/>
    <cellStyle name="Dane wejściowe 2 5 3" xfId="17866" xr:uid="{00000000-0005-0000-0000-00004D450000}"/>
    <cellStyle name="Dane wejściowe 2 6" xfId="17867" xr:uid="{00000000-0005-0000-0000-00004E450000}"/>
    <cellStyle name="Dane wejściowe 2 6 10" xfId="17868" xr:uid="{00000000-0005-0000-0000-00004F450000}"/>
    <cellStyle name="Dane wejściowe 2 6 10 2" xfId="17869" xr:uid="{00000000-0005-0000-0000-000050450000}"/>
    <cellStyle name="Dane wejściowe 2 6 10 2 2" xfId="17870" xr:uid="{00000000-0005-0000-0000-000051450000}"/>
    <cellStyle name="Dane wejściowe 2 6 10 3" xfId="17871" xr:uid="{00000000-0005-0000-0000-000052450000}"/>
    <cellStyle name="Dane wejściowe 2 6 11" xfId="17872" xr:uid="{00000000-0005-0000-0000-000053450000}"/>
    <cellStyle name="Dane wejściowe 2 6 11 2" xfId="17873" xr:uid="{00000000-0005-0000-0000-000054450000}"/>
    <cellStyle name="Dane wejściowe 2 6 11 2 2" xfId="17874" xr:uid="{00000000-0005-0000-0000-000055450000}"/>
    <cellStyle name="Dane wejściowe 2 6 11 3" xfId="17875" xr:uid="{00000000-0005-0000-0000-000056450000}"/>
    <cellStyle name="Dane wejściowe 2 6 12" xfId="17876" xr:uid="{00000000-0005-0000-0000-000057450000}"/>
    <cellStyle name="Dane wejściowe 2 6 12 2" xfId="17877" xr:uid="{00000000-0005-0000-0000-000058450000}"/>
    <cellStyle name="Dane wejściowe 2 6 13" xfId="17878" xr:uid="{00000000-0005-0000-0000-000059450000}"/>
    <cellStyle name="Dane wejściowe 2 6 13 2" xfId="17879" xr:uid="{00000000-0005-0000-0000-00005A450000}"/>
    <cellStyle name="Dane wejściowe 2 6 14" xfId="17880" xr:uid="{00000000-0005-0000-0000-00005B450000}"/>
    <cellStyle name="Dane wejściowe 2 6 2" xfId="17881" xr:uid="{00000000-0005-0000-0000-00005C450000}"/>
    <cellStyle name="Dane wejściowe 2 6 2 10" xfId="17882" xr:uid="{00000000-0005-0000-0000-00005D450000}"/>
    <cellStyle name="Dane wejściowe 2 6 2 10 2" xfId="17883" xr:uid="{00000000-0005-0000-0000-00005E450000}"/>
    <cellStyle name="Dane wejściowe 2 6 2 10 2 2" xfId="17884" xr:uid="{00000000-0005-0000-0000-00005F450000}"/>
    <cellStyle name="Dane wejściowe 2 6 2 10 3" xfId="17885" xr:uid="{00000000-0005-0000-0000-000060450000}"/>
    <cellStyle name="Dane wejściowe 2 6 2 11" xfId="17886" xr:uid="{00000000-0005-0000-0000-000061450000}"/>
    <cellStyle name="Dane wejściowe 2 6 2 11 2" xfId="17887" xr:uid="{00000000-0005-0000-0000-000062450000}"/>
    <cellStyle name="Dane wejściowe 2 6 2 12" xfId="17888" xr:uid="{00000000-0005-0000-0000-000063450000}"/>
    <cellStyle name="Dane wejściowe 2 6 2 12 2" xfId="17889" xr:uid="{00000000-0005-0000-0000-000064450000}"/>
    <cellStyle name="Dane wejściowe 2 6 2 13" xfId="17890" xr:uid="{00000000-0005-0000-0000-000065450000}"/>
    <cellStyle name="Dane wejściowe 2 6 2 2" xfId="17891" xr:uid="{00000000-0005-0000-0000-000066450000}"/>
    <cellStyle name="Dane wejściowe 2 6 2 2 10" xfId="17892" xr:uid="{00000000-0005-0000-0000-000067450000}"/>
    <cellStyle name="Dane wejściowe 2 6 2 2 10 2" xfId="17893" xr:uid="{00000000-0005-0000-0000-000068450000}"/>
    <cellStyle name="Dane wejściowe 2 6 2 2 11" xfId="17894" xr:uid="{00000000-0005-0000-0000-000069450000}"/>
    <cellStyle name="Dane wejściowe 2 6 2 2 11 2" xfId="17895" xr:uid="{00000000-0005-0000-0000-00006A450000}"/>
    <cellStyle name="Dane wejściowe 2 6 2 2 12" xfId="17896" xr:uid="{00000000-0005-0000-0000-00006B450000}"/>
    <cellStyle name="Dane wejściowe 2 6 2 2 2" xfId="17897" xr:uid="{00000000-0005-0000-0000-00006C450000}"/>
    <cellStyle name="Dane wejściowe 2 6 2 2 2 10" xfId="17898" xr:uid="{00000000-0005-0000-0000-00006D450000}"/>
    <cellStyle name="Dane wejściowe 2 6 2 2 2 10 2" xfId="17899" xr:uid="{00000000-0005-0000-0000-00006E450000}"/>
    <cellStyle name="Dane wejściowe 2 6 2 2 2 11" xfId="17900" xr:uid="{00000000-0005-0000-0000-00006F450000}"/>
    <cellStyle name="Dane wejściowe 2 6 2 2 2 11 2" xfId="17901" xr:uid="{00000000-0005-0000-0000-000070450000}"/>
    <cellStyle name="Dane wejściowe 2 6 2 2 2 12" xfId="17902" xr:uid="{00000000-0005-0000-0000-000071450000}"/>
    <cellStyle name="Dane wejściowe 2 6 2 2 2 2" xfId="17903" xr:uid="{00000000-0005-0000-0000-000072450000}"/>
    <cellStyle name="Dane wejściowe 2 6 2 2 2 2 2" xfId="17904" xr:uid="{00000000-0005-0000-0000-000073450000}"/>
    <cellStyle name="Dane wejściowe 2 6 2 2 2 2 2 2" xfId="17905" xr:uid="{00000000-0005-0000-0000-000074450000}"/>
    <cellStyle name="Dane wejściowe 2 6 2 2 2 2 2 2 2" xfId="17906" xr:uid="{00000000-0005-0000-0000-000075450000}"/>
    <cellStyle name="Dane wejściowe 2 6 2 2 2 2 2 2 2 2" xfId="17907" xr:uid="{00000000-0005-0000-0000-000076450000}"/>
    <cellStyle name="Dane wejściowe 2 6 2 2 2 2 2 2 3" xfId="17908" xr:uid="{00000000-0005-0000-0000-000077450000}"/>
    <cellStyle name="Dane wejściowe 2 6 2 2 2 2 2 3" xfId="17909" xr:uid="{00000000-0005-0000-0000-000078450000}"/>
    <cellStyle name="Dane wejściowe 2 6 2 2 2 2 2 3 2" xfId="17910" xr:uid="{00000000-0005-0000-0000-000079450000}"/>
    <cellStyle name="Dane wejściowe 2 6 2 2 2 2 2 3 2 2" xfId="17911" xr:uid="{00000000-0005-0000-0000-00007A450000}"/>
    <cellStyle name="Dane wejściowe 2 6 2 2 2 2 2 3 3" xfId="17912" xr:uid="{00000000-0005-0000-0000-00007B450000}"/>
    <cellStyle name="Dane wejściowe 2 6 2 2 2 2 2 4" xfId="17913" xr:uid="{00000000-0005-0000-0000-00007C450000}"/>
    <cellStyle name="Dane wejściowe 2 6 2 2 2 2 2 4 2" xfId="17914" xr:uid="{00000000-0005-0000-0000-00007D450000}"/>
    <cellStyle name="Dane wejściowe 2 6 2 2 2 2 2 4 2 2" xfId="17915" xr:uid="{00000000-0005-0000-0000-00007E450000}"/>
    <cellStyle name="Dane wejściowe 2 6 2 2 2 2 2 4 3" xfId="17916" xr:uid="{00000000-0005-0000-0000-00007F450000}"/>
    <cellStyle name="Dane wejściowe 2 6 2 2 2 2 2 5" xfId="17917" xr:uid="{00000000-0005-0000-0000-000080450000}"/>
    <cellStyle name="Dane wejściowe 2 6 2 2 2 2 2 5 2" xfId="17918" xr:uid="{00000000-0005-0000-0000-000081450000}"/>
    <cellStyle name="Dane wejściowe 2 6 2 2 2 2 2 6" xfId="17919" xr:uid="{00000000-0005-0000-0000-000082450000}"/>
    <cellStyle name="Dane wejściowe 2 6 2 2 2 2 2 6 2" xfId="17920" xr:uid="{00000000-0005-0000-0000-000083450000}"/>
    <cellStyle name="Dane wejściowe 2 6 2 2 2 2 2 7" xfId="17921" xr:uid="{00000000-0005-0000-0000-000084450000}"/>
    <cellStyle name="Dane wejściowe 2 6 2 2 2 2 3" xfId="17922" xr:uid="{00000000-0005-0000-0000-000085450000}"/>
    <cellStyle name="Dane wejściowe 2 6 2 2 2 2 3 2" xfId="17923" xr:uid="{00000000-0005-0000-0000-000086450000}"/>
    <cellStyle name="Dane wejściowe 2 6 2 2 2 2 3 2 2" xfId="17924" xr:uid="{00000000-0005-0000-0000-000087450000}"/>
    <cellStyle name="Dane wejściowe 2 6 2 2 2 2 3 3" xfId="17925" xr:uid="{00000000-0005-0000-0000-000088450000}"/>
    <cellStyle name="Dane wejściowe 2 6 2 2 2 2 4" xfId="17926" xr:uid="{00000000-0005-0000-0000-000089450000}"/>
    <cellStyle name="Dane wejściowe 2 6 2 2 2 2 4 2" xfId="17927" xr:uid="{00000000-0005-0000-0000-00008A450000}"/>
    <cellStyle name="Dane wejściowe 2 6 2 2 2 2 4 2 2" xfId="17928" xr:uid="{00000000-0005-0000-0000-00008B450000}"/>
    <cellStyle name="Dane wejściowe 2 6 2 2 2 2 4 3" xfId="17929" xr:uid="{00000000-0005-0000-0000-00008C450000}"/>
    <cellStyle name="Dane wejściowe 2 6 2 2 2 2 5" xfId="17930" xr:uid="{00000000-0005-0000-0000-00008D450000}"/>
    <cellStyle name="Dane wejściowe 2 6 2 2 2 2 5 2" xfId="17931" xr:uid="{00000000-0005-0000-0000-00008E450000}"/>
    <cellStyle name="Dane wejściowe 2 6 2 2 2 2 5 2 2" xfId="17932" xr:uid="{00000000-0005-0000-0000-00008F450000}"/>
    <cellStyle name="Dane wejściowe 2 6 2 2 2 2 5 3" xfId="17933" xr:uid="{00000000-0005-0000-0000-000090450000}"/>
    <cellStyle name="Dane wejściowe 2 6 2 2 2 2 6" xfId="17934" xr:uid="{00000000-0005-0000-0000-000091450000}"/>
    <cellStyle name="Dane wejściowe 2 6 2 2 2 2 6 2" xfId="17935" xr:uid="{00000000-0005-0000-0000-000092450000}"/>
    <cellStyle name="Dane wejściowe 2 6 2 2 2 2 7" xfId="17936" xr:uid="{00000000-0005-0000-0000-000093450000}"/>
    <cellStyle name="Dane wejściowe 2 6 2 2 2 2 7 2" xfId="17937" xr:uid="{00000000-0005-0000-0000-000094450000}"/>
    <cellStyle name="Dane wejściowe 2 6 2 2 2 2 8" xfId="17938" xr:uid="{00000000-0005-0000-0000-000095450000}"/>
    <cellStyle name="Dane wejściowe 2 6 2 2 2 3" xfId="17939" xr:uid="{00000000-0005-0000-0000-000096450000}"/>
    <cellStyle name="Dane wejściowe 2 6 2 2 2 3 2" xfId="17940" xr:uid="{00000000-0005-0000-0000-000097450000}"/>
    <cellStyle name="Dane wejściowe 2 6 2 2 2 3 2 2" xfId="17941" xr:uid="{00000000-0005-0000-0000-000098450000}"/>
    <cellStyle name="Dane wejściowe 2 6 2 2 2 3 3" xfId="17942" xr:uid="{00000000-0005-0000-0000-000099450000}"/>
    <cellStyle name="Dane wejściowe 2 6 2 2 2 4" xfId="17943" xr:uid="{00000000-0005-0000-0000-00009A450000}"/>
    <cellStyle name="Dane wejściowe 2 6 2 2 2 4 2" xfId="17944" xr:uid="{00000000-0005-0000-0000-00009B450000}"/>
    <cellStyle name="Dane wejściowe 2 6 2 2 2 4 2 2" xfId="17945" xr:uid="{00000000-0005-0000-0000-00009C450000}"/>
    <cellStyle name="Dane wejściowe 2 6 2 2 2 4 3" xfId="17946" xr:uid="{00000000-0005-0000-0000-00009D450000}"/>
    <cellStyle name="Dane wejściowe 2 6 2 2 2 5" xfId="17947" xr:uid="{00000000-0005-0000-0000-00009E450000}"/>
    <cellStyle name="Dane wejściowe 2 6 2 2 2 5 2" xfId="17948" xr:uid="{00000000-0005-0000-0000-00009F450000}"/>
    <cellStyle name="Dane wejściowe 2 6 2 2 2 5 2 2" xfId="17949" xr:uid="{00000000-0005-0000-0000-0000A0450000}"/>
    <cellStyle name="Dane wejściowe 2 6 2 2 2 5 3" xfId="17950" xr:uid="{00000000-0005-0000-0000-0000A1450000}"/>
    <cellStyle name="Dane wejściowe 2 6 2 2 2 6" xfId="17951" xr:uid="{00000000-0005-0000-0000-0000A2450000}"/>
    <cellStyle name="Dane wejściowe 2 6 2 2 2 6 2" xfId="17952" xr:uid="{00000000-0005-0000-0000-0000A3450000}"/>
    <cellStyle name="Dane wejściowe 2 6 2 2 2 6 2 2" xfId="17953" xr:uid="{00000000-0005-0000-0000-0000A4450000}"/>
    <cellStyle name="Dane wejściowe 2 6 2 2 2 6 3" xfId="17954" xr:uid="{00000000-0005-0000-0000-0000A5450000}"/>
    <cellStyle name="Dane wejściowe 2 6 2 2 2 7" xfId="17955" xr:uid="{00000000-0005-0000-0000-0000A6450000}"/>
    <cellStyle name="Dane wejściowe 2 6 2 2 2 7 2" xfId="17956" xr:uid="{00000000-0005-0000-0000-0000A7450000}"/>
    <cellStyle name="Dane wejściowe 2 6 2 2 2 7 2 2" xfId="17957" xr:uid="{00000000-0005-0000-0000-0000A8450000}"/>
    <cellStyle name="Dane wejściowe 2 6 2 2 2 7 2 2 2" xfId="17958" xr:uid="{00000000-0005-0000-0000-0000A9450000}"/>
    <cellStyle name="Dane wejściowe 2 6 2 2 2 7 2 3" xfId="17959" xr:uid="{00000000-0005-0000-0000-0000AA450000}"/>
    <cellStyle name="Dane wejściowe 2 6 2 2 2 7 3" xfId="17960" xr:uid="{00000000-0005-0000-0000-0000AB450000}"/>
    <cellStyle name="Dane wejściowe 2 6 2 2 2 7 3 2" xfId="17961" xr:uid="{00000000-0005-0000-0000-0000AC450000}"/>
    <cellStyle name="Dane wejściowe 2 6 2 2 2 7 3 2 2" xfId="17962" xr:uid="{00000000-0005-0000-0000-0000AD450000}"/>
    <cellStyle name="Dane wejściowe 2 6 2 2 2 7 3 3" xfId="17963" xr:uid="{00000000-0005-0000-0000-0000AE450000}"/>
    <cellStyle name="Dane wejściowe 2 6 2 2 2 7 4" xfId="17964" xr:uid="{00000000-0005-0000-0000-0000AF450000}"/>
    <cellStyle name="Dane wejściowe 2 6 2 2 2 7 4 2" xfId="17965" xr:uid="{00000000-0005-0000-0000-0000B0450000}"/>
    <cellStyle name="Dane wejściowe 2 6 2 2 2 7 4 2 2" xfId="17966" xr:uid="{00000000-0005-0000-0000-0000B1450000}"/>
    <cellStyle name="Dane wejściowe 2 6 2 2 2 7 4 3" xfId="17967" xr:uid="{00000000-0005-0000-0000-0000B2450000}"/>
    <cellStyle name="Dane wejściowe 2 6 2 2 2 7 5" xfId="17968" xr:uid="{00000000-0005-0000-0000-0000B3450000}"/>
    <cellStyle name="Dane wejściowe 2 6 2 2 2 7 5 2" xfId="17969" xr:uid="{00000000-0005-0000-0000-0000B4450000}"/>
    <cellStyle name="Dane wejściowe 2 6 2 2 2 7 6" xfId="17970" xr:uid="{00000000-0005-0000-0000-0000B5450000}"/>
    <cellStyle name="Dane wejściowe 2 6 2 2 2 7 6 2" xfId="17971" xr:uid="{00000000-0005-0000-0000-0000B6450000}"/>
    <cellStyle name="Dane wejściowe 2 6 2 2 2 7 7" xfId="17972" xr:uid="{00000000-0005-0000-0000-0000B7450000}"/>
    <cellStyle name="Dane wejściowe 2 6 2 2 2 8" xfId="17973" xr:uid="{00000000-0005-0000-0000-0000B8450000}"/>
    <cellStyle name="Dane wejściowe 2 6 2 2 2 8 2" xfId="17974" xr:uid="{00000000-0005-0000-0000-0000B9450000}"/>
    <cellStyle name="Dane wejściowe 2 6 2 2 2 8 2 2" xfId="17975" xr:uid="{00000000-0005-0000-0000-0000BA450000}"/>
    <cellStyle name="Dane wejściowe 2 6 2 2 2 8 3" xfId="17976" xr:uid="{00000000-0005-0000-0000-0000BB450000}"/>
    <cellStyle name="Dane wejściowe 2 6 2 2 2 9" xfId="17977" xr:uid="{00000000-0005-0000-0000-0000BC450000}"/>
    <cellStyle name="Dane wejściowe 2 6 2 2 2 9 2" xfId="17978" xr:uid="{00000000-0005-0000-0000-0000BD450000}"/>
    <cellStyle name="Dane wejściowe 2 6 2 2 2 9 2 2" xfId="17979" xr:uid="{00000000-0005-0000-0000-0000BE450000}"/>
    <cellStyle name="Dane wejściowe 2 6 2 2 2 9 3" xfId="17980" xr:uid="{00000000-0005-0000-0000-0000BF450000}"/>
    <cellStyle name="Dane wejściowe 2 6 2 2 3" xfId="17981" xr:uid="{00000000-0005-0000-0000-0000C0450000}"/>
    <cellStyle name="Dane wejściowe 2 6 2 2 3 2" xfId="17982" xr:uid="{00000000-0005-0000-0000-0000C1450000}"/>
    <cellStyle name="Dane wejściowe 2 6 2 2 3 2 2" xfId="17983" xr:uid="{00000000-0005-0000-0000-0000C2450000}"/>
    <cellStyle name="Dane wejściowe 2 6 2 2 3 2 2 2" xfId="17984" xr:uid="{00000000-0005-0000-0000-0000C3450000}"/>
    <cellStyle name="Dane wejściowe 2 6 2 2 3 2 2 2 2" xfId="17985" xr:uid="{00000000-0005-0000-0000-0000C4450000}"/>
    <cellStyle name="Dane wejściowe 2 6 2 2 3 2 2 3" xfId="17986" xr:uid="{00000000-0005-0000-0000-0000C5450000}"/>
    <cellStyle name="Dane wejściowe 2 6 2 2 3 2 3" xfId="17987" xr:uid="{00000000-0005-0000-0000-0000C6450000}"/>
    <cellStyle name="Dane wejściowe 2 6 2 2 3 2 3 2" xfId="17988" xr:uid="{00000000-0005-0000-0000-0000C7450000}"/>
    <cellStyle name="Dane wejściowe 2 6 2 2 3 2 3 2 2" xfId="17989" xr:uid="{00000000-0005-0000-0000-0000C8450000}"/>
    <cellStyle name="Dane wejściowe 2 6 2 2 3 2 3 3" xfId="17990" xr:uid="{00000000-0005-0000-0000-0000C9450000}"/>
    <cellStyle name="Dane wejściowe 2 6 2 2 3 2 4" xfId="17991" xr:uid="{00000000-0005-0000-0000-0000CA450000}"/>
    <cellStyle name="Dane wejściowe 2 6 2 2 3 2 4 2" xfId="17992" xr:uid="{00000000-0005-0000-0000-0000CB450000}"/>
    <cellStyle name="Dane wejściowe 2 6 2 2 3 2 4 2 2" xfId="17993" xr:uid="{00000000-0005-0000-0000-0000CC450000}"/>
    <cellStyle name="Dane wejściowe 2 6 2 2 3 2 4 3" xfId="17994" xr:uid="{00000000-0005-0000-0000-0000CD450000}"/>
    <cellStyle name="Dane wejściowe 2 6 2 2 3 2 5" xfId="17995" xr:uid="{00000000-0005-0000-0000-0000CE450000}"/>
    <cellStyle name="Dane wejściowe 2 6 2 2 3 2 5 2" xfId="17996" xr:uid="{00000000-0005-0000-0000-0000CF450000}"/>
    <cellStyle name="Dane wejściowe 2 6 2 2 3 2 6" xfId="17997" xr:uid="{00000000-0005-0000-0000-0000D0450000}"/>
    <cellStyle name="Dane wejściowe 2 6 2 2 3 2 6 2" xfId="17998" xr:uid="{00000000-0005-0000-0000-0000D1450000}"/>
    <cellStyle name="Dane wejściowe 2 6 2 2 3 2 7" xfId="17999" xr:uid="{00000000-0005-0000-0000-0000D2450000}"/>
    <cellStyle name="Dane wejściowe 2 6 2 2 3 3" xfId="18000" xr:uid="{00000000-0005-0000-0000-0000D3450000}"/>
    <cellStyle name="Dane wejściowe 2 6 2 2 3 3 2" xfId="18001" xr:uid="{00000000-0005-0000-0000-0000D4450000}"/>
    <cellStyle name="Dane wejściowe 2 6 2 2 3 3 2 2" xfId="18002" xr:uid="{00000000-0005-0000-0000-0000D5450000}"/>
    <cellStyle name="Dane wejściowe 2 6 2 2 3 3 3" xfId="18003" xr:uid="{00000000-0005-0000-0000-0000D6450000}"/>
    <cellStyle name="Dane wejściowe 2 6 2 2 3 4" xfId="18004" xr:uid="{00000000-0005-0000-0000-0000D7450000}"/>
    <cellStyle name="Dane wejściowe 2 6 2 2 3 4 2" xfId="18005" xr:uid="{00000000-0005-0000-0000-0000D8450000}"/>
    <cellStyle name="Dane wejściowe 2 6 2 2 3 4 2 2" xfId="18006" xr:uid="{00000000-0005-0000-0000-0000D9450000}"/>
    <cellStyle name="Dane wejściowe 2 6 2 2 3 4 3" xfId="18007" xr:uid="{00000000-0005-0000-0000-0000DA450000}"/>
    <cellStyle name="Dane wejściowe 2 6 2 2 3 5" xfId="18008" xr:uid="{00000000-0005-0000-0000-0000DB450000}"/>
    <cellStyle name="Dane wejściowe 2 6 2 2 3 5 2" xfId="18009" xr:uid="{00000000-0005-0000-0000-0000DC450000}"/>
    <cellStyle name="Dane wejściowe 2 6 2 2 3 5 2 2" xfId="18010" xr:uid="{00000000-0005-0000-0000-0000DD450000}"/>
    <cellStyle name="Dane wejściowe 2 6 2 2 3 5 3" xfId="18011" xr:uid="{00000000-0005-0000-0000-0000DE450000}"/>
    <cellStyle name="Dane wejściowe 2 6 2 2 3 6" xfId="18012" xr:uid="{00000000-0005-0000-0000-0000DF450000}"/>
    <cellStyle name="Dane wejściowe 2 6 2 2 3 6 2" xfId="18013" xr:uid="{00000000-0005-0000-0000-0000E0450000}"/>
    <cellStyle name="Dane wejściowe 2 6 2 2 3 7" xfId="18014" xr:uid="{00000000-0005-0000-0000-0000E1450000}"/>
    <cellStyle name="Dane wejściowe 2 6 2 2 3 7 2" xfId="18015" xr:uid="{00000000-0005-0000-0000-0000E2450000}"/>
    <cellStyle name="Dane wejściowe 2 6 2 2 3 8" xfId="18016" xr:uid="{00000000-0005-0000-0000-0000E3450000}"/>
    <cellStyle name="Dane wejściowe 2 6 2 2 4" xfId="18017" xr:uid="{00000000-0005-0000-0000-0000E4450000}"/>
    <cellStyle name="Dane wejściowe 2 6 2 2 4 2" xfId="18018" xr:uid="{00000000-0005-0000-0000-0000E5450000}"/>
    <cellStyle name="Dane wejściowe 2 6 2 2 4 2 2" xfId="18019" xr:uid="{00000000-0005-0000-0000-0000E6450000}"/>
    <cellStyle name="Dane wejściowe 2 6 2 2 4 3" xfId="18020" xr:uid="{00000000-0005-0000-0000-0000E7450000}"/>
    <cellStyle name="Dane wejściowe 2 6 2 2 5" xfId="18021" xr:uid="{00000000-0005-0000-0000-0000E8450000}"/>
    <cellStyle name="Dane wejściowe 2 6 2 2 5 2" xfId="18022" xr:uid="{00000000-0005-0000-0000-0000E9450000}"/>
    <cellStyle name="Dane wejściowe 2 6 2 2 5 2 2" xfId="18023" xr:uid="{00000000-0005-0000-0000-0000EA450000}"/>
    <cellStyle name="Dane wejściowe 2 6 2 2 5 3" xfId="18024" xr:uid="{00000000-0005-0000-0000-0000EB450000}"/>
    <cellStyle name="Dane wejściowe 2 6 2 2 6" xfId="18025" xr:uid="{00000000-0005-0000-0000-0000EC450000}"/>
    <cellStyle name="Dane wejściowe 2 6 2 2 6 2" xfId="18026" xr:uid="{00000000-0005-0000-0000-0000ED450000}"/>
    <cellStyle name="Dane wejściowe 2 6 2 2 6 2 2" xfId="18027" xr:uid="{00000000-0005-0000-0000-0000EE450000}"/>
    <cellStyle name="Dane wejściowe 2 6 2 2 6 3" xfId="18028" xr:uid="{00000000-0005-0000-0000-0000EF450000}"/>
    <cellStyle name="Dane wejściowe 2 6 2 2 7" xfId="18029" xr:uid="{00000000-0005-0000-0000-0000F0450000}"/>
    <cellStyle name="Dane wejściowe 2 6 2 2 7 2" xfId="18030" xr:uid="{00000000-0005-0000-0000-0000F1450000}"/>
    <cellStyle name="Dane wejściowe 2 6 2 2 7 2 2" xfId="18031" xr:uid="{00000000-0005-0000-0000-0000F2450000}"/>
    <cellStyle name="Dane wejściowe 2 6 2 2 7 2 2 2" xfId="18032" xr:uid="{00000000-0005-0000-0000-0000F3450000}"/>
    <cellStyle name="Dane wejściowe 2 6 2 2 7 2 3" xfId="18033" xr:uid="{00000000-0005-0000-0000-0000F4450000}"/>
    <cellStyle name="Dane wejściowe 2 6 2 2 7 3" xfId="18034" xr:uid="{00000000-0005-0000-0000-0000F5450000}"/>
    <cellStyle name="Dane wejściowe 2 6 2 2 7 3 2" xfId="18035" xr:uid="{00000000-0005-0000-0000-0000F6450000}"/>
    <cellStyle name="Dane wejściowe 2 6 2 2 7 3 2 2" xfId="18036" xr:uid="{00000000-0005-0000-0000-0000F7450000}"/>
    <cellStyle name="Dane wejściowe 2 6 2 2 7 3 3" xfId="18037" xr:uid="{00000000-0005-0000-0000-0000F8450000}"/>
    <cellStyle name="Dane wejściowe 2 6 2 2 7 4" xfId="18038" xr:uid="{00000000-0005-0000-0000-0000F9450000}"/>
    <cellStyle name="Dane wejściowe 2 6 2 2 7 4 2" xfId="18039" xr:uid="{00000000-0005-0000-0000-0000FA450000}"/>
    <cellStyle name="Dane wejściowe 2 6 2 2 7 4 2 2" xfId="18040" xr:uid="{00000000-0005-0000-0000-0000FB450000}"/>
    <cellStyle name="Dane wejściowe 2 6 2 2 7 4 3" xfId="18041" xr:uid="{00000000-0005-0000-0000-0000FC450000}"/>
    <cellStyle name="Dane wejściowe 2 6 2 2 7 5" xfId="18042" xr:uid="{00000000-0005-0000-0000-0000FD450000}"/>
    <cellStyle name="Dane wejściowe 2 6 2 2 7 5 2" xfId="18043" xr:uid="{00000000-0005-0000-0000-0000FE450000}"/>
    <cellStyle name="Dane wejściowe 2 6 2 2 7 6" xfId="18044" xr:uid="{00000000-0005-0000-0000-0000FF450000}"/>
    <cellStyle name="Dane wejściowe 2 6 2 2 7 6 2" xfId="18045" xr:uid="{00000000-0005-0000-0000-000000460000}"/>
    <cellStyle name="Dane wejściowe 2 6 2 2 7 7" xfId="18046" xr:uid="{00000000-0005-0000-0000-000001460000}"/>
    <cellStyle name="Dane wejściowe 2 6 2 2 8" xfId="18047" xr:uid="{00000000-0005-0000-0000-000002460000}"/>
    <cellStyle name="Dane wejściowe 2 6 2 2 8 2" xfId="18048" xr:uid="{00000000-0005-0000-0000-000003460000}"/>
    <cellStyle name="Dane wejściowe 2 6 2 2 8 2 2" xfId="18049" xr:uid="{00000000-0005-0000-0000-000004460000}"/>
    <cellStyle name="Dane wejściowe 2 6 2 2 8 3" xfId="18050" xr:uid="{00000000-0005-0000-0000-000005460000}"/>
    <cellStyle name="Dane wejściowe 2 6 2 2 9" xfId="18051" xr:uid="{00000000-0005-0000-0000-000006460000}"/>
    <cellStyle name="Dane wejściowe 2 6 2 2 9 2" xfId="18052" xr:uid="{00000000-0005-0000-0000-000007460000}"/>
    <cellStyle name="Dane wejściowe 2 6 2 2 9 2 2" xfId="18053" xr:uid="{00000000-0005-0000-0000-000008460000}"/>
    <cellStyle name="Dane wejściowe 2 6 2 2 9 3" xfId="18054" xr:uid="{00000000-0005-0000-0000-000009460000}"/>
    <cellStyle name="Dane wejściowe 2 6 2 3" xfId="18055" xr:uid="{00000000-0005-0000-0000-00000A460000}"/>
    <cellStyle name="Dane wejściowe 2 6 2 3 2" xfId="18056" xr:uid="{00000000-0005-0000-0000-00000B460000}"/>
    <cellStyle name="Dane wejściowe 2 6 2 3 2 2" xfId="18057" xr:uid="{00000000-0005-0000-0000-00000C460000}"/>
    <cellStyle name="Dane wejściowe 2 6 2 3 2 2 2" xfId="18058" xr:uid="{00000000-0005-0000-0000-00000D460000}"/>
    <cellStyle name="Dane wejściowe 2 6 2 3 2 2 2 2" xfId="18059" xr:uid="{00000000-0005-0000-0000-00000E460000}"/>
    <cellStyle name="Dane wejściowe 2 6 2 3 2 2 3" xfId="18060" xr:uid="{00000000-0005-0000-0000-00000F460000}"/>
    <cellStyle name="Dane wejściowe 2 6 2 3 2 3" xfId="18061" xr:uid="{00000000-0005-0000-0000-000010460000}"/>
    <cellStyle name="Dane wejściowe 2 6 2 3 2 3 2" xfId="18062" xr:uid="{00000000-0005-0000-0000-000011460000}"/>
    <cellStyle name="Dane wejściowe 2 6 2 3 2 3 2 2" xfId="18063" xr:uid="{00000000-0005-0000-0000-000012460000}"/>
    <cellStyle name="Dane wejściowe 2 6 2 3 2 3 3" xfId="18064" xr:uid="{00000000-0005-0000-0000-000013460000}"/>
    <cellStyle name="Dane wejściowe 2 6 2 3 2 4" xfId="18065" xr:uid="{00000000-0005-0000-0000-000014460000}"/>
    <cellStyle name="Dane wejściowe 2 6 2 3 2 4 2" xfId="18066" xr:uid="{00000000-0005-0000-0000-000015460000}"/>
    <cellStyle name="Dane wejściowe 2 6 2 3 2 4 2 2" xfId="18067" xr:uid="{00000000-0005-0000-0000-000016460000}"/>
    <cellStyle name="Dane wejściowe 2 6 2 3 2 4 3" xfId="18068" xr:uid="{00000000-0005-0000-0000-000017460000}"/>
    <cellStyle name="Dane wejściowe 2 6 2 3 2 5" xfId="18069" xr:uid="{00000000-0005-0000-0000-000018460000}"/>
    <cellStyle name="Dane wejściowe 2 6 2 3 2 5 2" xfId="18070" xr:uid="{00000000-0005-0000-0000-000019460000}"/>
    <cellStyle name="Dane wejściowe 2 6 2 3 2 6" xfId="18071" xr:uid="{00000000-0005-0000-0000-00001A460000}"/>
    <cellStyle name="Dane wejściowe 2 6 2 3 2 6 2" xfId="18072" xr:uid="{00000000-0005-0000-0000-00001B460000}"/>
    <cellStyle name="Dane wejściowe 2 6 2 3 2 7" xfId="18073" xr:uid="{00000000-0005-0000-0000-00001C460000}"/>
    <cellStyle name="Dane wejściowe 2 6 2 3 3" xfId="18074" xr:uid="{00000000-0005-0000-0000-00001D460000}"/>
    <cellStyle name="Dane wejściowe 2 6 2 3 3 2" xfId="18075" xr:uid="{00000000-0005-0000-0000-00001E460000}"/>
    <cellStyle name="Dane wejściowe 2 6 2 3 3 2 2" xfId="18076" xr:uid="{00000000-0005-0000-0000-00001F460000}"/>
    <cellStyle name="Dane wejściowe 2 6 2 3 3 3" xfId="18077" xr:uid="{00000000-0005-0000-0000-000020460000}"/>
    <cellStyle name="Dane wejściowe 2 6 2 3 4" xfId="18078" xr:uid="{00000000-0005-0000-0000-000021460000}"/>
    <cellStyle name="Dane wejściowe 2 6 2 3 4 2" xfId="18079" xr:uid="{00000000-0005-0000-0000-000022460000}"/>
    <cellStyle name="Dane wejściowe 2 6 2 3 4 2 2" xfId="18080" xr:uid="{00000000-0005-0000-0000-000023460000}"/>
    <cellStyle name="Dane wejściowe 2 6 2 3 4 3" xfId="18081" xr:uid="{00000000-0005-0000-0000-000024460000}"/>
    <cellStyle name="Dane wejściowe 2 6 2 3 5" xfId="18082" xr:uid="{00000000-0005-0000-0000-000025460000}"/>
    <cellStyle name="Dane wejściowe 2 6 2 3 5 2" xfId="18083" xr:uid="{00000000-0005-0000-0000-000026460000}"/>
    <cellStyle name="Dane wejściowe 2 6 2 3 5 2 2" xfId="18084" xr:uid="{00000000-0005-0000-0000-000027460000}"/>
    <cellStyle name="Dane wejściowe 2 6 2 3 5 3" xfId="18085" xr:uid="{00000000-0005-0000-0000-000028460000}"/>
    <cellStyle name="Dane wejściowe 2 6 2 3 6" xfId="18086" xr:uid="{00000000-0005-0000-0000-000029460000}"/>
    <cellStyle name="Dane wejściowe 2 6 2 3 6 2" xfId="18087" xr:uid="{00000000-0005-0000-0000-00002A460000}"/>
    <cellStyle name="Dane wejściowe 2 6 2 3 7" xfId="18088" xr:uid="{00000000-0005-0000-0000-00002B460000}"/>
    <cellStyle name="Dane wejściowe 2 6 2 3 7 2" xfId="18089" xr:uid="{00000000-0005-0000-0000-00002C460000}"/>
    <cellStyle name="Dane wejściowe 2 6 2 3 8" xfId="18090" xr:uid="{00000000-0005-0000-0000-00002D460000}"/>
    <cellStyle name="Dane wejściowe 2 6 2 4" xfId="18091" xr:uid="{00000000-0005-0000-0000-00002E460000}"/>
    <cellStyle name="Dane wejściowe 2 6 2 4 2" xfId="18092" xr:uid="{00000000-0005-0000-0000-00002F460000}"/>
    <cellStyle name="Dane wejściowe 2 6 2 4 2 2" xfId="18093" xr:uid="{00000000-0005-0000-0000-000030460000}"/>
    <cellStyle name="Dane wejściowe 2 6 2 4 3" xfId="18094" xr:uid="{00000000-0005-0000-0000-000031460000}"/>
    <cellStyle name="Dane wejściowe 2 6 2 5" xfId="18095" xr:uid="{00000000-0005-0000-0000-000032460000}"/>
    <cellStyle name="Dane wejściowe 2 6 2 5 2" xfId="18096" xr:uid="{00000000-0005-0000-0000-000033460000}"/>
    <cellStyle name="Dane wejściowe 2 6 2 5 2 2" xfId="18097" xr:uid="{00000000-0005-0000-0000-000034460000}"/>
    <cellStyle name="Dane wejściowe 2 6 2 5 3" xfId="18098" xr:uid="{00000000-0005-0000-0000-000035460000}"/>
    <cellStyle name="Dane wejściowe 2 6 2 6" xfId="18099" xr:uid="{00000000-0005-0000-0000-000036460000}"/>
    <cellStyle name="Dane wejściowe 2 6 2 6 2" xfId="18100" xr:uid="{00000000-0005-0000-0000-000037460000}"/>
    <cellStyle name="Dane wejściowe 2 6 2 6 2 2" xfId="18101" xr:uid="{00000000-0005-0000-0000-000038460000}"/>
    <cellStyle name="Dane wejściowe 2 6 2 6 3" xfId="18102" xr:uid="{00000000-0005-0000-0000-000039460000}"/>
    <cellStyle name="Dane wejściowe 2 6 2 7" xfId="18103" xr:uid="{00000000-0005-0000-0000-00003A460000}"/>
    <cellStyle name="Dane wejściowe 2 6 2 7 2" xfId="18104" xr:uid="{00000000-0005-0000-0000-00003B460000}"/>
    <cellStyle name="Dane wejściowe 2 6 2 7 2 2" xfId="18105" xr:uid="{00000000-0005-0000-0000-00003C460000}"/>
    <cellStyle name="Dane wejściowe 2 6 2 7 3" xfId="18106" xr:uid="{00000000-0005-0000-0000-00003D460000}"/>
    <cellStyle name="Dane wejściowe 2 6 2 8" xfId="18107" xr:uid="{00000000-0005-0000-0000-00003E460000}"/>
    <cellStyle name="Dane wejściowe 2 6 2 8 2" xfId="18108" xr:uid="{00000000-0005-0000-0000-00003F460000}"/>
    <cellStyle name="Dane wejściowe 2 6 2 8 2 2" xfId="18109" xr:uid="{00000000-0005-0000-0000-000040460000}"/>
    <cellStyle name="Dane wejściowe 2 6 2 8 2 2 2" xfId="18110" xr:uid="{00000000-0005-0000-0000-000041460000}"/>
    <cellStyle name="Dane wejściowe 2 6 2 8 2 3" xfId="18111" xr:uid="{00000000-0005-0000-0000-000042460000}"/>
    <cellStyle name="Dane wejściowe 2 6 2 8 3" xfId="18112" xr:uid="{00000000-0005-0000-0000-000043460000}"/>
    <cellStyle name="Dane wejściowe 2 6 2 8 3 2" xfId="18113" xr:uid="{00000000-0005-0000-0000-000044460000}"/>
    <cellStyle name="Dane wejściowe 2 6 2 8 3 2 2" xfId="18114" xr:uid="{00000000-0005-0000-0000-000045460000}"/>
    <cellStyle name="Dane wejściowe 2 6 2 8 3 3" xfId="18115" xr:uid="{00000000-0005-0000-0000-000046460000}"/>
    <cellStyle name="Dane wejściowe 2 6 2 8 4" xfId="18116" xr:uid="{00000000-0005-0000-0000-000047460000}"/>
    <cellStyle name="Dane wejściowe 2 6 2 8 4 2" xfId="18117" xr:uid="{00000000-0005-0000-0000-000048460000}"/>
    <cellStyle name="Dane wejściowe 2 6 2 8 4 2 2" xfId="18118" xr:uid="{00000000-0005-0000-0000-000049460000}"/>
    <cellStyle name="Dane wejściowe 2 6 2 8 4 3" xfId="18119" xr:uid="{00000000-0005-0000-0000-00004A460000}"/>
    <cellStyle name="Dane wejściowe 2 6 2 8 5" xfId="18120" xr:uid="{00000000-0005-0000-0000-00004B460000}"/>
    <cellStyle name="Dane wejściowe 2 6 2 8 5 2" xfId="18121" xr:uid="{00000000-0005-0000-0000-00004C460000}"/>
    <cellStyle name="Dane wejściowe 2 6 2 8 6" xfId="18122" xr:uid="{00000000-0005-0000-0000-00004D460000}"/>
    <cellStyle name="Dane wejściowe 2 6 2 8 6 2" xfId="18123" xr:uid="{00000000-0005-0000-0000-00004E460000}"/>
    <cellStyle name="Dane wejściowe 2 6 2 8 7" xfId="18124" xr:uid="{00000000-0005-0000-0000-00004F460000}"/>
    <cellStyle name="Dane wejściowe 2 6 2 9" xfId="18125" xr:uid="{00000000-0005-0000-0000-000050460000}"/>
    <cellStyle name="Dane wejściowe 2 6 2 9 2" xfId="18126" xr:uid="{00000000-0005-0000-0000-000051460000}"/>
    <cellStyle name="Dane wejściowe 2 6 2 9 2 2" xfId="18127" xr:uid="{00000000-0005-0000-0000-000052460000}"/>
    <cellStyle name="Dane wejściowe 2 6 2 9 3" xfId="18128" xr:uid="{00000000-0005-0000-0000-000053460000}"/>
    <cellStyle name="Dane wejściowe 2 6 3" xfId="18129" xr:uid="{00000000-0005-0000-0000-000054460000}"/>
    <cellStyle name="Dane wejściowe 2 6 3 2" xfId="18130" xr:uid="{00000000-0005-0000-0000-000055460000}"/>
    <cellStyle name="Dane wejściowe 2 6 3 2 2" xfId="18131" xr:uid="{00000000-0005-0000-0000-000056460000}"/>
    <cellStyle name="Dane wejściowe 2 6 3 3" xfId="18132" xr:uid="{00000000-0005-0000-0000-000057460000}"/>
    <cellStyle name="Dane wejściowe 2 6 4" xfId="18133" xr:uid="{00000000-0005-0000-0000-000058460000}"/>
    <cellStyle name="Dane wejściowe 2 6 4 10" xfId="18134" xr:uid="{00000000-0005-0000-0000-000059460000}"/>
    <cellStyle name="Dane wejściowe 2 6 4 10 2" xfId="18135" xr:uid="{00000000-0005-0000-0000-00005A460000}"/>
    <cellStyle name="Dane wejściowe 2 6 4 11" xfId="18136" xr:uid="{00000000-0005-0000-0000-00005B460000}"/>
    <cellStyle name="Dane wejściowe 2 6 4 11 2" xfId="18137" xr:uid="{00000000-0005-0000-0000-00005C460000}"/>
    <cellStyle name="Dane wejściowe 2 6 4 12" xfId="18138" xr:uid="{00000000-0005-0000-0000-00005D460000}"/>
    <cellStyle name="Dane wejściowe 2 6 4 2" xfId="18139" xr:uid="{00000000-0005-0000-0000-00005E460000}"/>
    <cellStyle name="Dane wejściowe 2 6 4 2 2" xfId="18140" xr:uid="{00000000-0005-0000-0000-00005F460000}"/>
    <cellStyle name="Dane wejściowe 2 6 4 2 2 2" xfId="18141" xr:uid="{00000000-0005-0000-0000-000060460000}"/>
    <cellStyle name="Dane wejściowe 2 6 4 2 2 2 2" xfId="18142" xr:uid="{00000000-0005-0000-0000-000061460000}"/>
    <cellStyle name="Dane wejściowe 2 6 4 2 2 2 2 2" xfId="18143" xr:uid="{00000000-0005-0000-0000-000062460000}"/>
    <cellStyle name="Dane wejściowe 2 6 4 2 2 2 3" xfId="18144" xr:uid="{00000000-0005-0000-0000-000063460000}"/>
    <cellStyle name="Dane wejściowe 2 6 4 2 2 3" xfId="18145" xr:uid="{00000000-0005-0000-0000-000064460000}"/>
    <cellStyle name="Dane wejściowe 2 6 4 2 2 3 2" xfId="18146" xr:uid="{00000000-0005-0000-0000-000065460000}"/>
    <cellStyle name="Dane wejściowe 2 6 4 2 2 3 2 2" xfId="18147" xr:uid="{00000000-0005-0000-0000-000066460000}"/>
    <cellStyle name="Dane wejściowe 2 6 4 2 2 3 3" xfId="18148" xr:uid="{00000000-0005-0000-0000-000067460000}"/>
    <cellStyle name="Dane wejściowe 2 6 4 2 2 4" xfId="18149" xr:uid="{00000000-0005-0000-0000-000068460000}"/>
    <cellStyle name="Dane wejściowe 2 6 4 2 2 4 2" xfId="18150" xr:uid="{00000000-0005-0000-0000-000069460000}"/>
    <cellStyle name="Dane wejściowe 2 6 4 2 2 4 2 2" xfId="18151" xr:uid="{00000000-0005-0000-0000-00006A460000}"/>
    <cellStyle name="Dane wejściowe 2 6 4 2 2 4 3" xfId="18152" xr:uid="{00000000-0005-0000-0000-00006B460000}"/>
    <cellStyle name="Dane wejściowe 2 6 4 2 2 5" xfId="18153" xr:uid="{00000000-0005-0000-0000-00006C460000}"/>
    <cellStyle name="Dane wejściowe 2 6 4 2 2 5 2" xfId="18154" xr:uid="{00000000-0005-0000-0000-00006D460000}"/>
    <cellStyle name="Dane wejściowe 2 6 4 2 2 6" xfId="18155" xr:uid="{00000000-0005-0000-0000-00006E460000}"/>
    <cellStyle name="Dane wejściowe 2 6 4 2 2 6 2" xfId="18156" xr:uid="{00000000-0005-0000-0000-00006F460000}"/>
    <cellStyle name="Dane wejściowe 2 6 4 2 2 7" xfId="18157" xr:uid="{00000000-0005-0000-0000-000070460000}"/>
    <cellStyle name="Dane wejściowe 2 6 4 2 3" xfId="18158" xr:uid="{00000000-0005-0000-0000-000071460000}"/>
    <cellStyle name="Dane wejściowe 2 6 4 2 3 2" xfId="18159" xr:uid="{00000000-0005-0000-0000-000072460000}"/>
    <cellStyle name="Dane wejściowe 2 6 4 2 3 2 2" xfId="18160" xr:uid="{00000000-0005-0000-0000-000073460000}"/>
    <cellStyle name="Dane wejściowe 2 6 4 2 3 3" xfId="18161" xr:uid="{00000000-0005-0000-0000-000074460000}"/>
    <cellStyle name="Dane wejściowe 2 6 4 2 4" xfId="18162" xr:uid="{00000000-0005-0000-0000-000075460000}"/>
    <cellStyle name="Dane wejściowe 2 6 4 2 4 2" xfId="18163" xr:uid="{00000000-0005-0000-0000-000076460000}"/>
    <cellStyle name="Dane wejściowe 2 6 4 2 4 2 2" xfId="18164" xr:uid="{00000000-0005-0000-0000-000077460000}"/>
    <cellStyle name="Dane wejściowe 2 6 4 2 4 3" xfId="18165" xr:uid="{00000000-0005-0000-0000-000078460000}"/>
    <cellStyle name="Dane wejściowe 2 6 4 2 5" xfId="18166" xr:uid="{00000000-0005-0000-0000-000079460000}"/>
    <cellStyle name="Dane wejściowe 2 6 4 2 5 2" xfId="18167" xr:uid="{00000000-0005-0000-0000-00007A460000}"/>
    <cellStyle name="Dane wejściowe 2 6 4 2 5 2 2" xfId="18168" xr:uid="{00000000-0005-0000-0000-00007B460000}"/>
    <cellStyle name="Dane wejściowe 2 6 4 2 5 3" xfId="18169" xr:uid="{00000000-0005-0000-0000-00007C460000}"/>
    <cellStyle name="Dane wejściowe 2 6 4 2 6" xfId="18170" xr:uid="{00000000-0005-0000-0000-00007D460000}"/>
    <cellStyle name="Dane wejściowe 2 6 4 2 6 2" xfId="18171" xr:uid="{00000000-0005-0000-0000-00007E460000}"/>
    <cellStyle name="Dane wejściowe 2 6 4 2 7" xfId="18172" xr:uid="{00000000-0005-0000-0000-00007F460000}"/>
    <cellStyle name="Dane wejściowe 2 6 4 2 7 2" xfId="18173" xr:uid="{00000000-0005-0000-0000-000080460000}"/>
    <cellStyle name="Dane wejściowe 2 6 4 2 8" xfId="18174" xr:uid="{00000000-0005-0000-0000-000081460000}"/>
    <cellStyle name="Dane wejściowe 2 6 4 3" xfId="18175" xr:uid="{00000000-0005-0000-0000-000082460000}"/>
    <cellStyle name="Dane wejściowe 2 6 4 3 2" xfId="18176" xr:uid="{00000000-0005-0000-0000-000083460000}"/>
    <cellStyle name="Dane wejściowe 2 6 4 3 2 2" xfId="18177" xr:uid="{00000000-0005-0000-0000-000084460000}"/>
    <cellStyle name="Dane wejściowe 2 6 4 3 3" xfId="18178" xr:uid="{00000000-0005-0000-0000-000085460000}"/>
    <cellStyle name="Dane wejściowe 2 6 4 4" xfId="18179" xr:uid="{00000000-0005-0000-0000-000086460000}"/>
    <cellStyle name="Dane wejściowe 2 6 4 4 2" xfId="18180" xr:uid="{00000000-0005-0000-0000-000087460000}"/>
    <cellStyle name="Dane wejściowe 2 6 4 4 2 2" xfId="18181" xr:uid="{00000000-0005-0000-0000-000088460000}"/>
    <cellStyle name="Dane wejściowe 2 6 4 4 3" xfId="18182" xr:uid="{00000000-0005-0000-0000-000089460000}"/>
    <cellStyle name="Dane wejściowe 2 6 4 5" xfId="18183" xr:uid="{00000000-0005-0000-0000-00008A460000}"/>
    <cellStyle name="Dane wejściowe 2 6 4 5 2" xfId="18184" xr:uid="{00000000-0005-0000-0000-00008B460000}"/>
    <cellStyle name="Dane wejściowe 2 6 4 5 2 2" xfId="18185" xr:uid="{00000000-0005-0000-0000-00008C460000}"/>
    <cellStyle name="Dane wejściowe 2 6 4 5 3" xfId="18186" xr:uid="{00000000-0005-0000-0000-00008D460000}"/>
    <cellStyle name="Dane wejściowe 2 6 4 6" xfId="18187" xr:uid="{00000000-0005-0000-0000-00008E460000}"/>
    <cellStyle name="Dane wejściowe 2 6 4 6 2" xfId="18188" xr:uid="{00000000-0005-0000-0000-00008F460000}"/>
    <cellStyle name="Dane wejściowe 2 6 4 6 2 2" xfId="18189" xr:uid="{00000000-0005-0000-0000-000090460000}"/>
    <cellStyle name="Dane wejściowe 2 6 4 6 3" xfId="18190" xr:uid="{00000000-0005-0000-0000-000091460000}"/>
    <cellStyle name="Dane wejściowe 2 6 4 7" xfId="18191" xr:uid="{00000000-0005-0000-0000-000092460000}"/>
    <cellStyle name="Dane wejściowe 2 6 4 7 2" xfId="18192" xr:uid="{00000000-0005-0000-0000-000093460000}"/>
    <cellStyle name="Dane wejściowe 2 6 4 7 2 2" xfId="18193" xr:uid="{00000000-0005-0000-0000-000094460000}"/>
    <cellStyle name="Dane wejściowe 2 6 4 7 2 2 2" xfId="18194" xr:uid="{00000000-0005-0000-0000-000095460000}"/>
    <cellStyle name="Dane wejściowe 2 6 4 7 2 3" xfId="18195" xr:uid="{00000000-0005-0000-0000-000096460000}"/>
    <cellStyle name="Dane wejściowe 2 6 4 7 3" xfId="18196" xr:uid="{00000000-0005-0000-0000-000097460000}"/>
    <cellStyle name="Dane wejściowe 2 6 4 7 3 2" xfId="18197" xr:uid="{00000000-0005-0000-0000-000098460000}"/>
    <cellStyle name="Dane wejściowe 2 6 4 7 3 2 2" xfId="18198" xr:uid="{00000000-0005-0000-0000-000099460000}"/>
    <cellStyle name="Dane wejściowe 2 6 4 7 3 3" xfId="18199" xr:uid="{00000000-0005-0000-0000-00009A460000}"/>
    <cellStyle name="Dane wejściowe 2 6 4 7 4" xfId="18200" xr:uid="{00000000-0005-0000-0000-00009B460000}"/>
    <cellStyle name="Dane wejściowe 2 6 4 7 4 2" xfId="18201" xr:uid="{00000000-0005-0000-0000-00009C460000}"/>
    <cellStyle name="Dane wejściowe 2 6 4 7 4 2 2" xfId="18202" xr:uid="{00000000-0005-0000-0000-00009D460000}"/>
    <cellStyle name="Dane wejściowe 2 6 4 7 4 3" xfId="18203" xr:uid="{00000000-0005-0000-0000-00009E460000}"/>
    <cellStyle name="Dane wejściowe 2 6 4 7 5" xfId="18204" xr:uid="{00000000-0005-0000-0000-00009F460000}"/>
    <cellStyle name="Dane wejściowe 2 6 4 7 5 2" xfId="18205" xr:uid="{00000000-0005-0000-0000-0000A0460000}"/>
    <cellStyle name="Dane wejściowe 2 6 4 7 6" xfId="18206" xr:uid="{00000000-0005-0000-0000-0000A1460000}"/>
    <cellStyle name="Dane wejściowe 2 6 4 7 6 2" xfId="18207" xr:uid="{00000000-0005-0000-0000-0000A2460000}"/>
    <cellStyle name="Dane wejściowe 2 6 4 7 7" xfId="18208" xr:uid="{00000000-0005-0000-0000-0000A3460000}"/>
    <cellStyle name="Dane wejściowe 2 6 4 8" xfId="18209" xr:uid="{00000000-0005-0000-0000-0000A4460000}"/>
    <cellStyle name="Dane wejściowe 2 6 4 8 2" xfId="18210" xr:uid="{00000000-0005-0000-0000-0000A5460000}"/>
    <cellStyle name="Dane wejściowe 2 6 4 8 2 2" xfId="18211" xr:uid="{00000000-0005-0000-0000-0000A6460000}"/>
    <cellStyle name="Dane wejściowe 2 6 4 8 3" xfId="18212" xr:uid="{00000000-0005-0000-0000-0000A7460000}"/>
    <cellStyle name="Dane wejściowe 2 6 4 9" xfId="18213" xr:uid="{00000000-0005-0000-0000-0000A8460000}"/>
    <cellStyle name="Dane wejściowe 2 6 4 9 2" xfId="18214" xr:uid="{00000000-0005-0000-0000-0000A9460000}"/>
    <cellStyle name="Dane wejściowe 2 6 4 9 2 2" xfId="18215" xr:uid="{00000000-0005-0000-0000-0000AA460000}"/>
    <cellStyle name="Dane wejściowe 2 6 4 9 3" xfId="18216" xr:uid="{00000000-0005-0000-0000-0000AB460000}"/>
    <cellStyle name="Dane wejściowe 2 6 5" xfId="18217" xr:uid="{00000000-0005-0000-0000-0000AC460000}"/>
    <cellStyle name="Dane wejściowe 2 6 5 2" xfId="18218" xr:uid="{00000000-0005-0000-0000-0000AD460000}"/>
    <cellStyle name="Dane wejściowe 2 6 5 2 2" xfId="18219" xr:uid="{00000000-0005-0000-0000-0000AE460000}"/>
    <cellStyle name="Dane wejściowe 2 6 5 2 2 2" xfId="18220" xr:uid="{00000000-0005-0000-0000-0000AF460000}"/>
    <cellStyle name="Dane wejściowe 2 6 5 2 2 2 2" xfId="18221" xr:uid="{00000000-0005-0000-0000-0000B0460000}"/>
    <cellStyle name="Dane wejściowe 2 6 5 2 2 3" xfId="18222" xr:uid="{00000000-0005-0000-0000-0000B1460000}"/>
    <cellStyle name="Dane wejściowe 2 6 5 2 3" xfId="18223" xr:uid="{00000000-0005-0000-0000-0000B2460000}"/>
    <cellStyle name="Dane wejściowe 2 6 5 2 3 2" xfId="18224" xr:uid="{00000000-0005-0000-0000-0000B3460000}"/>
    <cellStyle name="Dane wejściowe 2 6 5 2 3 2 2" xfId="18225" xr:uid="{00000000-0005-0000-0000-0000B4460000}"/>
    <cellStyle name="Dane wejściowe 2 6 5 2 3 3" xfId="18226" xr:uid="{00000000-0005-0000-0000-0000B5460000}"/>
    <cellStyle name="Dane wejściowe 2 6 5 2 4" xfId="18227" xr:uid="{00000000-0005-0000-0000-0000B6460000}"/>
    <cellStyle name="Dane wejściowe 2 6 5 2 4 2" xfId="18228" xr:uid="{00000000-0005-0000-0000-0000B7460000}"/>
    <cellStyle name="Dane wejściowe 2 6 5 2 4 2 2" xfId="18229" xr:uid="{00000000-0005-0000-0000-0000B8460000}"/>
    <cellStyle name="Dane wejściowe 2 6 5 2 4 3" xfId="18230" xr:uid="{00000000-0005-0000-0000-0000B9460000}"/>
    <cellStyle name="Dane wejściowe 2 6 5 2 5" xfId="18231" xr:uid="{00000000-0005-0000-0000-0000BA460000}"/>
    <cellStyle name="Dane wejściowe 2 6 5 2 5 2" xfId="18232" xr:uid="{00000000-0005-0000-0000-0000BB460000}"/>
    <cellStyle name="Dane wejściowe 2 6 5 2 6" xfId="18233" xr:uid="{00000000-0005-0000-0000-0000BC460000}"/>
    <cellStyle name="Dane wejściowe 2 6 5 2 6 2" xfId="18234" xr:uid="{00000000-0005-0000-0000-0000BD460000}"/>
    <cellStyle name="Dane wejściowe 2 6 5 2 7" xfId="18235" xr:uid="{00000000-0005-0000-0000-0000BE460000}"/>
    <cellStyle name="Dane wejściowe 2 6 5 3" xfId="18236" xr:uid="{00000000-0005-0000-0000-0000BF460000}"/>
    <cellStyle name="Dane wejściowe 2 6 5 3 2" xfId="18237" xr:uid="{00000000-0005-0000-0000-0000C0460000}"/>
    <cellStyle name="Dane wejściowe 2 6 5 3 2 2" xfId="18238" xr:uid="{00000000-0005-0000-0000-0000C1460000}"/>
    <cellStyle name="Dane wejściowe 2 6 5 3 3" xfId="18239" xr:uid="{00000000-0005-0000-0000-0000C2460000}"/>
    <cellStyle name="Dane wejściowe 2 6 5 4" xfId="18240" xr:uid="{00000000-0005-0000-0000-0000C3460000}"/>
    <cellStyle name="Dane wejściowe 2 6 5 4 2" xfId="18241" xr:uid="{00000000-0005-0000-0000-0000C4460000}"/>
    <cellStyle name="Dane wejściowe 2 6 5 4 2 2" xfId="18242" xr:uid="{00000000-0005-0000-0000-0000C5460000}"/>
    <cellStyle name="Dane wejściowe 2 6 5 4 3" xfId="18243" xr:uid="{00000000-0005-0000-0000-0000C6460000}"/>
    <cellStyle name="Dane wejściowe 2 6 5 5" xfId="18244" xr:uid="{00000000-0005-0000-0000-0000C7460000}"/>
    <cellStyle name="Dane wejściowe 2 6 5 5 2" xfId="18245" xr:uid="{00000000-0005-0000-0000-0000C8460000}"/>
    <cellStyle name="Dane wejściowe 2 6 5 5 2 2" xfId="18246" xr:uid="{00000000-0005-0000-0000-0000C9460000}"/>
    <cellStyle name="Dane wejściowe 2 6 5 5 3" xfId="18247" xr:uid="{00000000-0005-0000-0000-0000CA460000}"/>
    <cellStyle name="Dane wejściowe 2 6 5 6" xfId="18248" xr:uid="{00000000-0005-0000-0000-0000CB460000}"/>
    <cellStyle name="Dane wejściowe 2 6 5 6 2" xfId="18249" xr:uid="{00000000-0005-0000-0000-0000CC460000}"/>
    <cellStyle name="Dane wejściowe 2 6 5 7" xfId="18250" xr:uid="{00000000-0005-0000-0000-0000CD460000}"/>
    <cellStyle name="Dane wejściowe 2 6 5 7 2" xfId="18251" xr:uid="{00000000-0005-0000-0000-0000CE460000}"/>
    <cellStyle name="Dane wejściowe 2 6 5 8" xfId="18252" xr:uid="{00000000-0005-0000-0000-0000CF460000}"/>
    <cellStyle name="Dane wejściowe 2 6 6" xfId="18253" xr:uid="{00000000-0005-0000-0000-0000D0460000}"/>
    <cellStyle name="Dane wejściowe 2 6 6 2" xfId="18254" xr:uid="{00000000-0005-0000-0000-0000D1460000}"/>
    <cellStyle name="Dane wejściowe 2 6 6 2 2" xfId="18255" xr:uid="{00000000-0005-0000-0000-0000D2460000}"/>
    <cellStyle name="Dane wejściowe 2 6 6 3" xfId="18256" xr:uid="{00000000-0005-0000-0000-0000D3460000}"/>
    <cellStyle name="Dane wejściowe 2 6 7" xfId="18257" xr:uid="{00000000-0005-0000-0000-0000D4460000}"/>
    <cellStyle name="Dane wejściowe 2 6 7 2" xfId="18258" xr:uid="{00000000-0005-0000-0000-0000D5460000}"/>
    <cellStyle name="Dane wejściowe 2 6 7 2 2" xfId="18259" xr:uid="{00000000-0005-0000-0000-0000D6460000}"/>
    <cellStyle name="Dane wejściowe 2 6 7 3" xfId="18260" xr:uid="{00000000-0005-0000-0000-0000D7460000}"/>
    <cellStyle name="Dane wejściowe 2 6 8" xfId="18261" xr:uid="{00000000-0005-0000-0000-0000D8460000}"/>
    <cellStyle name="Dane wejściowe 2 6 8 2" xfId="18262" xr:uid="{00000000-0005-0000-0000-0000D9460000}"/>
    <cellStyle name="Dane wejściowe 2 6 8 2 2" xfId="18263" xr:uid="{00000000-0005-0000-0000-0000DA460000}"/>
    <cellStyle name="Dane wejściowe 2 6 8 3" xfId="18264" xr:uid="{00000000-0005-0000-0000-0000DB460000}"/>
    <cellStyle name="Dane wejściowe 2 6 9" xfId="18265" xr:uid="{00000000-0005-0000-0000-0000DC460000}"/>
    <cellStyle name="Dane wejściowe 2 6 9 2" xfId="18266" xr:uid="{00000000-0005-0000-0000-0000DD460000}"/>
    <cellStyle name="Dane wejściowe 2 6 9 2 2" xfId="18267" xr:uid="{00000000-0005-0000-0000-0000DE460000}"/>
    <cellStyle name="Dane wejściowe 2 6 9 2 2 2" xfId="18268" xr:uid="{00000000-0005-0000-0000-0000DF460000}"/>
    <cellStyle name="Dane wejściowe 2 6 9 2 3" xfId="18269" xr:uid="{00000000-0005-0000-0000-0000E0460000}"/>
    <cellStyle name="Dane wejściowe 2 6 9 3" xfId="18270" xr:uid="{00000000-0005-0000-0000-0000E1460000}"/>
    <cellStyle name="Dane wejściowe 2 6 9 3 2" xfId="18271" xr:uid="{00000000-0005-0000-0000-0000E2460000}"/>
    <cellStyle name="Dane wejściowe 2 6 9 3 2 2" xfId="18272" xr:uid="{00000000-0005-0000-0000-0000E3460000}"/>
    <cellStyle name="Dane wejściowe 2 6 9 3 3" xfId="18273" xr:uid="{00000000-0005-0000-0000-0000E4460000}"/>
    <cellStyle name="Dane wejściowe 2 6 9 4" xfId="18274" xr:uid="{00000000-0005-0000-0000-0000E5460000}"/>
    <cellStyle name="Dane wejściowe 2 6 9 4 2" xfId="18275" xr:uid="{00000000-0005-0000-0000-0000E6460000}"/>
    <cellStyle name="Dane wejściowe 2 6 9 4 2 2" xfId="18276" xr:uid="{00000000-0005-0000-0000-0000E7460000}"/>
    <cellStyle name="Dane wejściowe 2 6 9 4 3" xfId="18277" xr:uid="{00000000-0005-0000-0000-0000E8460000}"/>
    <cellStyle name="Dane wejściowe 2 6 9 5" xfId="18278" xr:uid="{00000000-0005-0000-0000-0000E9460000}"/>
    <cellStyle name="Dane wejściowe 2 6 9 5 2" xfId="18279" xr:uid="{00000000-0005-0000-0000-0000EA460000}"/>
    <cellStyle name="Dane wejściowe 2 6 9 6" xfId="18280" xr:uid="{00000000-0005-0000-0000-0000EB460000}"/>
    <cellStyle name="Dane wejściowe 2 6 9 6 2" xfId="18281" xr:uid="{00000000-0005-0000-0000-0000EC460000}"/>
    <cellStyle name="Dane wejściowe 2 6 9 7" xfId="18282" xr:uid="{00000000-0005-0000-0000-0000ED460000}"/>
    <cellStyle name="Dane wejściowe 2 7" xfId="18283" xr:uid="{00000000-0005-0000-0000-0000EE460000}"/>
    <cellStyle name="Dane wejściowe 2 7 2" xfId="18284" xr:uid="{00000000-0005-0000-0000-0000EF460000}"/>
    <cellStyle name="Dane wejściowe 2 7 2 2" xfId="18285" xr:uid="{00000000-0005-0000-0000-0000F0460000}"/>
    <cellStyle name="Dane wejściowe 2 7 3" xfId="18286" xr:uid="{00000000-0005-0000-0000-0000F1460000}"/>
    <cellStyle name="Dane wejściowe 2 8" xfId="18287" xr:uid="{00000000-0005-0000-0000-0000F2460000}"/>
    <cellStyle name="Dane wejściowe 2 8 2" xfId="18288" xr:uid="{00000000-0005-0000-0000-0000F3460000}"/>
    <cellStyle name="Dane wejściowe 2 8 2 2" xfId="18289" xr:uid="{00000000-0005-0000-0000-0000F4460000}"/>
    <cellStyle name="Dane wejściowe 2 8 3" xfId="18290" xr:uid="{00000000-0005-0000-0000-0000F5460000}"/>
    <cellStyle name="Dane wejściowe 2 9" xfId="18291" xr:uid="{00000000-0005-0000-0000-0000F6460000}"/>
    <cellStyle name="Dane wejściowe 2 9 2" xfId="18292" xr:uid="{00000000-0005-0000-0000-0000F7460000}"/>
    <cellStyle name="Dane wejściowe 2 9 2 2" xfId="18293" xr:uid="{00000000-0005-0000-0000-0000F8460000}"/>
    <cellStyle name="Dane wejściowe 2 9 3" xfId="18294" xr:uid="{00000000-0005-0000-0000-0000F9460000}"/>
    <cellStyle name="Dane wejściowe 3" xfId="232" xr:uid="{00000000-0005-0000-0000-0000FA460000}"/>
    <cellStyle name="Dane wejściowe 3 2" xfId="18296" xr:uid="{00000000-0005-0000-0000-0000FB460000}"/>
    <cellStyle name="Dane wejściowe 3 2 2" xfId="18297" xr:uid="{00000000-0005-0000-0000-0000FC460000}"/>
    <cellStyle name="Dane wejściowe 3 3" xfId="18298" xr:uid="{00000000-0005-0000-0000-0000FD460000}"/>
    <cellStyle name="Dane wejściowe 3 3 2" xfId="18299" xr:uid="{00000000-0005-0000-0000-0000FE460000}"/>
    <cellStyle name="Dane wejściowe 3 4" xfId="18300" xr:uid="{00000000-0005-0000-0000-0000FF460000}"/>
    <cellStyle name="Dane wejściowe 3 4 2" xfId="18301" xr:uid="{00000000-0005-0000-0000-000000470000}"/>
    <cellStyle name="Dane wejściowe 3 5" xfId="18302" xr:uid="{00000000-0005-0000-0000-000001470000}"/>
    <cellStyle name="Dane wejściowe 3 5 2" xfId="18303" xr:uid="{00000000-0005-0000-0000-000002470000}"/>
    <cellStyle name="Dane wejściowe 3 6" xfId="18304" xr:uid="{00000000-0005-0000-0000-000003470000}"/>
    <cellStyle name="Dane wejściowe 3 7" xfId="18305" xr:uid="{00000000-0005-0000-0000-000004470000}"/>
    <cellStyle name="Dane wejściowe 3 8" xfId="18295" xr:uid="{00000000-0005-0000-0000-000005470000}"/>
    <cellStyle name="Dane wejściowe 4" xfId="233" xr:uid="{00000000-0005-0000-0000-000006470000}"/>
    <cellStyle name="Dane wejściowe 4 2" xfId="18307" xr:uid="{00000000-0005-0000-0000-000007470000}"/>
    <cellStyle name="Dane wejściowe 4 2 2" xfId="18308" xr:uid="{00000000-0005-0000-0000-000008470000}"/>
    <cellStyle name="Dane wejściowe 4 3" xfId="18309" xr:uid="{00000000-0005-0000-0000-000009470000}"/>
    <cellStyle name="Dane wejściowe 4 3 2" xfId="18310" xr:uid="{00000000-0005-0000-0000-00000A470000}"/>
    <cellStyle name="Dane wejściowe 4 4" xfId="18311" xr:uid="{00000000-0005-0000-0000-00000B470000}"/>
    <cellStyle name="Dane wejściowe 4 4 2" xfId="18312" xr:uid="{00000000-0005-0000-0000-00000C470000}"/>
    <cellStyle name="Dane wejściowe 4 5" xfId="18313" xr:uid="{00000000-0005-0000-0000-00000D470000}"/>
    <cellStyle name="Dane wejściowe 4 5 2" xfId="18314" xr:uid="{00000000-0005-0000-0000-00000E470000}"/>
    <cellStyle name="Dane wejściowe 4 6" xfId="18315" xr:uid="{00000000-0005-0000-0000-00000F470000}"/>
    <cellStyle name="Dane wejściowe 4 7" xfId="18316" xr:uid="{00000000-0005-0000-0000-000010470000}"/>
    <cellStyle name="Dane wejściowe 4 8" xfId="18306" xr:uid="{00000000-0005-0000-0000-000011470000}"/>
    <cellStyle name="Dane wejściowe 5" xfId="234" xr:uid="{00000000-0005-0000-0000-000012470000}"/>
    <cellStyle name="Dane wejściowe 5 2" xfId="18318" xr:uid="{00000000-0005-0000-0000-000013470000}"/>
    <cellStyle name="Dane wejściowe 5 2 2" xfId="18319" xr:uid="{00000000-0005-0000-0000-000014470000}"/>
    <cellStyle name="Dane wejściowe 5 3" xfId="18320" xr:uid="{00000000-0005-0000-0000-000015470000}"/>
    <cellStyle name="Dane wejściowe 5 3 2" xfId="18321" xr:uid="{00000000-0005-0000-0000-000016470000}"/>
    <cellStyle name="Dane wejściowe 5 4" xfId="18322" xr:uid="{00000000-0005-0000-0000-000017470000}"/>
    <cellStyle name="Dane wejściowe 5 4 2" xfId="18323" xr:uid="{00000000-0005-0000-0000-000018470000}"/>
    <cellStyle name="Dane wejściowe 5 5" xfId="18324" xr:uid="{00000000-0005-0000-0000-000019470000}"/>
    <cellStyle name="Dane wejściowe 5 5 2" xfId="18325" xr:uid="{00000000-0005-0000-0000-00001A470000}"/>
    <cellStyle name="Dane wejściowe 5 6" xfId="18326" xr:uid="{00000000-0005-0000-0000-00001B470000}"/>
    <cellStyle name="Dane wejściowe 5 7" xfId="18327" xr:uid="{00000000-0005-0000-0000-00001C470000}"/>
    <cellStyle name="Dane wejściowe 5 8" xfId="18317" xr:uid="{00000000-0005-0000-0000-00001D470000}"/>
    <cellStyle name="Dane wejściowe 6" xfId="235" xr:uid="{00000000-0005-0000-0000-00001E470000}"/>
    <cellStyle name="Dane wejściowe 6 2" xfId="18329" xr:uid="{00000000-0005-0000-0000-00001F470000}"/>
    <cellStyle name="Dane wejściowe 6 2 2" xfId="18330" xr:uid="{00000000-0005-0000-0000-000020470000}"/>
    <cellStyle name="Dane wejściowe 6 3" xfId="18331" xr:uid="{00000000-0005-0000-0000-000021470000}"/>
    <cellStyle name="Dane wejściowe 6 3 2" xfId="18332" xr:uid="{00000000-0005-0000-0000-000022470000}"/>
    <cellStyle name="Dane wejściowe 6 4" xfId="18333" xr:uid="{00000000-0005-0000-0000-000023470000}"/>
    <cellStyle name="Dane wejściowe 6 4 2" xfId="18334" xr:uid="{00000000-0005-0000-0000-000024470000}"/>
    <cellStyle name="Dane wejściowe 6 5" xfId="18335" xr:uid="{00000000-0005-0000-0000-000025470000}"/>
    <cellStyle name="Dane wejściowe 6 5 2" xfId="18336" xr:uid="{00000000-0005-0000-0000-000026470000}"/>
    <cellStyle name="Dane wejściowe 6 6" xfId="18337" xr:uid="{00000000-0005-0000-0000-000027470000}"/>
    <cellStyle name="Dane wejściowe 6 7" xfId="18338" xr:uid="{00000000-0005-0000-0000-000028470000}"/>
    <cellStyle name="Dane wejściowe 6 8" xfId="18328" xr:uid="{00000000-0005-0000-0000-000029470000}"/>
    <cellStyle name="Dane wejściowe 7" xfId="236" xr:uid="{00000000-0005-0000-0000-00002A470000}"/>
    <cellStyle name="Dane wejściowe 7 2" xfId="18340" xr:uid="{00000000-0005-0000-0000-00002B470000}"/>
    <cellStyle name="Dane wejściowe 7 2 2" xfId="18341" xr:uid="{00000000-0005-0000-0000-00002C470000}"/>
    <cellStyle name="Dane wejściowe 7 3" xfId="18342" xr:uid="{00000000-0005-0000-0000-00002D470000}"/>
    <cellStyle name="Dane wejściowe 7 3 2" xfId="18343" xr:uid="{00000000-0005-0000-0000-00002E470000}"/>
    <cellStyle name="Dane wejściowe 7 4" xfId="18344" xr:uid="{00000000-0005-0000-0000-00002F470000}"/>
    <cellStyle name="Dane wejściowe 7 4 2" xfId="18345" xr:uid="{00000000-0005-0000-0000-000030470000}"/>
    <cellStyle name="Dane wejściowe 7 5" xfId="18346" xr:uid="{00000000-0005-0000-0000-000031470000}"/>
    <cellStyle name="Dane wejściowe 7 5 2" xfId="18347" xr:uid="{00000000-0005-0000-0000-000032470000}"/>
    <cellStyle name="Dane wejściowe 7 6" xfId="18348" xr:uid="{00000000-0005-0000-0000-000033470000}"/>
    <cellStyle name="Dane wejściowe 7 7" xfId="18349" xr:uid="{00000000-0005-0000-0000-000034470000}"/>
    <cellStyle name="Dane wejściowe 7 8" xfId="18339" xr:uid="{00000000-0005-0000-0000-000035470000}"/>
    <cellStyle name="Dane wejściowe 8" xfId="18350" xr:uid="{00000000-0005-0000-0000-000036470000}"/>
    <cellStyle name="Dane wejściowe 8 2" xfId="18351" xr:uid="{00000000-0005-0000-0000-000037470000}"/>
    <cellStyle name="Dane wejściowe 8 2 2" xfId="18352" xr:uid="{00000000-0005-0000-0000-000038470000}"/>
    <cellStyle name="Dane wejściowe 8 3" xfId="18353" xr:uid="{00000000-0005-0000-0000-000039470000}"/>
    <cellStyle name="Dane wejściowe 8 3 2" xfId="18354" xr:uid="{00000000-0005-0000-0000-00003A470000}"/>
    <cellStyle name="Dane wejściowe 8 4" xfId="18355" xr:uid="{00000000-0005-0000-0000-00003B470000}"/>
    <cellStyle name="Dane wejściowe 8 4 2" xfId="18356" xr:uid="{00000000-0005-0000-0000-00003C470000}"/>
    <cellStyle name="Dane wejściowe 8 5" xfId="18357" xr:uid="{00000000-0005-0000-0000-00003D470000}"/>
    <cellStyle name="Dane wejściowe 8 5 2" xfId="18358" xr:uid="{00000000-0005-0000-0000-00003E470000}"/>
    <cellStyle name="Dane wejściowe 8 6" xfId="18359" xr:uid="{00000000-0005-0000-0000-00003F470000}"/>
    <cellStyle name="Dane wejściowe 9" xfId="18360" xr:uid="{00000000-0005-0000-0000-000040470000}"/>
    <cellStyle name="Dane wejściowe 9 2" xfId="18361" xr:uid="{00000000-0005-0000-0000-000041470000}"/>
    <cellStyle name="Dane wejściowe 9 2 2" xfId="18362" xr:uid="{00000000-0005-0000-0000-000042470000}"/>
    <cellStyle name="Dane wejściowe 9 3" xfId="18363" xr:uid="{00000000-0005-0000-0000-000043470000}"/>
    <cellStyle name="Dane wyjściowe 1" xfId="18364" xr:uid="{00000000-0005-0000-0000-000044470000}"/>
    <cellStyle name="Dane wyjściowe 1 2" xfId="18365" xr:uid="{00000000-0005-0000-0000-000045470000}"/>
    <cellStyle name="Dane wyjściowe 1 2 2" xfId="18366" xr:uid="{00000000-0005-0000-0000-000046470000}"/>
    <cellStyle name="Dane wyjściowe 1 3" xfId="18367" xr:uid="{00000000-0005-0000-0000-000047470000}"/>
    <cellStyle name="Dane wyjściowe 10" xfId="18368" xr:uid="{00000000-0005-0000-0000-000048470000}"/>
    <cellStyle name="Dane wyjściowe 10 2" xfId="18369" xr:uid="{00000000-0005-0000-0000-000049470000}"/>
    <cellStyle name="Dane wyjściowe 10 2 2" xfId="18370" xr:uid="{00000000-0005-0000-0000-00004A470000}"/>
    <cellStyle name="Dane wyjściowe 10 3" xfId="18371" xr:uid="{00000000-0005-0000-0000-00004B470000}"/>
    <cellStyle name="Dane wyjściowe 11" xfId="18372" xr:uid="{00000000-0005-0000-0000-00004C470000}"/>
    <cellStyle name="Dane wyjściowe 11 2" xfId="18373" xr:uid="{00000000-0005-0000-0000-00004D470000}"/>
    <cellStyle name="Dane wyjściowe 11 2 2" xfId="18374" xr:uid="{00000000-0005-0000-0000-00004E470000}"/>
    <cellStyle name="Dane wyjściowe 11 3" xfId="18375" xr:uid="{00000000-0005-0000-0000-00004F470000}"/>
    <cellStyle name="Dane wyjściowe 12" xfId="18376" xr:uid="{00000000-0005-0000-0000-000050470000}"/>
    <cellStyle name="Dane wyjściowe 12 2" xfId="18377" xr:uid="{00000000-0005-0000-0000-000051470000}"/>
    <cellStyle name="Dane wyjściowe 12 2 2" xfId="18378" xr:uid="{00000000-0005-0000-0000-000052470000}"/>
    <cellStyle name="Dane wyjściowe 12 3" xfId="18379" xr:uid="{00000000-0005-0000-0000-000053470000}"/>
    <cellStyle name="Dane wyjściowe 13" xfId="18380" xr:uid="{00000000-0005-0000-0000-000054470000}"/>
    <cellStyle name="Dane wyjściowe 13 2" xfId="18381" xr:uid="{00000000-0005-0000-0000-000055470000}"/>
    <cellStyle name="Dane wyjściowe 13 2 2" xfId="18382" xr:uid="{00000000-0005-0000-0000-000056470000}"/>
    <cellStyle name="Dane wyjściowe 13 3" xfId="18383" xr:uid="{00000000-0005-0000-0000-000057470000}"/>
    <cellStyle name="Dane wyjściowe 14" xfId="18384" xr:uid="{00000000-0005-0000-0000-000058470000}"/>
    <cellStyle name="Dane wyjściowe 14 2" xfId="18385" xr:uid="{00000000-0005-0000-0000-000059470000}"/>
    <cellStyle name="Dane wyjściowe 14 2 2" xfId="18386" xr:uid="{00000000-0005-0000-0000-00005A470000}"/>
    <cellStyle name="Dane wyjściowe 14 3" xfId="18387" xr:uid="{00000000-0005-0000-0000-00005B470000}"/>
    <cellStyle name="Dane wyjściowe 15" xfId="18388" xr:uid="{00000000-0005-0000-0000-00005C470000}"/>
    <cellStyle name="Dane wyjściowe 15 2" xfId="18389" xr:uid="{00000000-0005-0000-0000-00005D470000}"/>
    <cellStyle name="Dane wyjściowe 15 2 2" xfId="18390" xr:uid="{00000000-0005-0000-0000-00005E470000}"/>
    <cellStyle name="Dane wyjściowe 15 3" xfId="18391" xr:uid="{00000000-0005-0000-0000-00005F470000}"/>
    <cellStyle name="Dane wyjściowe 16" xfId="18392" xr:uid="{00000000-0005-0000-0000-000060470000}"/>
    <cellStyle name="Dane wyjściowe 16 2" xfId="18393" xr:uid="{00000000-0005-0000-0000-000061470000}"/>
    <cellStyle name="Dane wyjściowe 16 2 2" xfId="18394" xr:uid="{00000000-0005-0000-0000-000062470000}"/>
    <cellStyle name="Dane wyjściowe 16 3" xfId="18395" xr:uid="{00000000-0005-0000-0000-000063470000}"/>
    <cellStyle name="Dane wyjściowe 17" xfId="18396" xr:uid="{00000000-0005-0000-0000-000064470000}"/>
    <cellStyle name="Dane wyjściowe 17 2" xfId="18397" xr:uid="{00000000-0005-0000-0000-000065470000}"/>
    <cellStyle name="Dane wyjściowe 17 2 2" xfId="18398" xr:uid="{00000000-0005-0000-0000-000066470000}"/>
    <cellStyle name="Dane wyjściowe 17 3" xfId="18399" xr:uid="{00000000-0005-0000-0000-000067470000}"/>
    <cellStyle name="Dane wyjściowe 18" xfId="18400" xr:uid="{00000000-0005-0000-0000-000068470000}"/>
    <cellStyle name="Dane wyjściowe 18 2" xfId="18401" xr:uid="{00000000-0005-0000-0000-000069470000}"/>
    <cellStyle name="Dane wyjściowe 18 2 2" xfId="18402" xr:uid="{00000000-0005-0000-0000-00006A470000}"/>
    <cellStyle name="Dane wyjściowe 18 3" xfId="18403" xr:uid="{00000000-0005-0000-0000-00006B470000}"/>
    <cellStyle name="Dane wyjściowe 19" xfId="18404" xr:uid="{00000000-0005-0000-0000-00006C470000}"/>
    <cellStyle name="Dane wyjściowe 19 2" xfId="18405" xr:uid="{00000000-0005-0000-0000-00006D470000}"/>
    <cellStyle name="Dane wyjściowe 19 2 2" xfId="18406" xr:uid="{00000000-0005-0000-0000-00006E470000}"/>
    <cellStyle name="Dane wyjściowe 19 3" xfId="18407" xr:uid="{00000000-0005-0000-0000-00006F470000}"/>
    <cellStyle name="Dane wyjściowe 2" xfId="237" xr:uid="{00000000-0005-0000-0000-000070470000}"/>
    <cellStyle name="Dane wyjściowe 2 10" xfId="18409" xr:uid="{00000000-0005-0000-0000-000071470000}"/>
    <cellStyle name="Dane wyjściowe 2 10 2" xfId="18410" xr:uid="{00000000-0005-0000-0000-000072470000}"/>
    <cellStyle name="Dane wyjściowe 2 10 2 2" xfId="18411" xr:uid="{00000000-0005-0000-0000-000073470000}"/>
    <cellStyle name="Dane wyjściowe 2 10 3" xfId="18412" xr:uid="{00000000-0005-0000-0000-000074470000}"/>
    <cellStyle name="Dane wyjściowe 2 11" xfId="18413" xr:uid="{00000000-0005-0000-0000-000075470000}"/>
    <cellStyle name="Dane wyjściowe 2 11 2" xfId="18414" xr:uid="{00000000-0005-0000-0000-000076470000}"/>
    <cellStyle name="Dane wyjściowe 2 11 2 2" xfId="18415" xr:uid="{00000000-0005-0000-0000-000077470000}"/>
    <cellStyle name="Dane wyjściowe 2 11 3" xfId="18416" xr:uid="{00000000-0005-0000-0000-000078470000}"/>
    <cellStyle name="Dane wyjściowe 2 12" xfId="18417" xr:uid="{00000000-0005-0000-0000-000079470000}"/>
    <cellStyle name="Dane wyjściowe 2 12 2" xfId="18418" xr:uid="{00000000-0005-0000-0000-00007A470000}"/>
    <cellStyle name="Dane wyjściowe 2 12 2 2" xfId="18419" xr:uid="{00000000-0005-0000-0000-00007B470000}"/>
    <cellStyle name="Dane wyjściowe 2 12 3" xfId="18420" xr:uid="{00000000-0005-0000-0000-00007C470000}"/>
    <cellStyle name="Dane wyjściowe 2 13" xfId="18421" xr:uid="{00000000-0005-0000-0000-00007D470000}"/>
    <cellStyle name="Dane wyjściowe 2 13 10" xfId="18422" xr:uid="{00000000-0005-0000-0000-00007E470000}"/>
    <cellStyle name="Dane wyjściowe 2 13 10 2" xfId="18423" xr:uid="{00000000-0005-0000-0000-00007F470000}"/>
    <cellStyle name="Dane wyjściowe 2 13 10 2 2" xfId="18424" xr:uid="{00000000-0005-0000-0000-000080470000}"/>
    <cellStyle name="Dane wyjściowe 2 13 10 3" xfId="18425" xr:uid="{00000000-0005-0000-0000-000081470000}"/>
    <cellStyle name="Dane wyjściowe 2 13 11" xfId="18426" xr:uid="{00000000-0005-0000-0000-000082470000}"/>
    <cellStyle name="Dane wyjściowe 2 13 11 2" xfId="18427" xr:uid="{00000000-0005-0000-0000-000083470000}"/>
    <cellStyle name="Dane wyjściowe 2 13 12" xfId="18428" xr:uid="{00000000-0005-0000-0000-000084470000}"/>
    <cellStyle name="Dane wyjściowe 2 13 12 2" xfId="18429" xr:uid="{00000000-0005-0000-0000-000085470000}"/>
    <cellStyle name="Dane wyjściowe 2 13 13" xfId="18430" xr:uid="{00000000-0005-0000-0000-000086470000}"/>
    <cellStyle name="Dane wyjściowe 2 13 2" xfId="18431" xr:uid="{00000000-0005-0000-0000-000087470000}"/>
    <cellStyle name="Dane wyjściowe 2 13 2 10" xfId="18432" xr:uid="{00000000-0005-0000-0000-000088470000}"/>
    <cellStyle name="Dane wyjściowe 2 13 2 10 2" xfId="18433" xr:uid="{00000000-0005-0000-0000-000089470000}"/>
    <cellStyle name="Dane wyjściowe 2 13 2 11" xfId="18434" xr:uid="{00000000-0005-0000-0000-00008A470000}"/>
    <cellStyle name="Dane wyjściowe 2 13 2 11 2" xfId="18435" xr:uid="{00000000-0005-0000-0000-00008B470000}"/>
    <cellStyle name="Dane wyjściowe 2 13 2 12" xfId="18436" xr:uid="{00000000-0005-0000-0000-00008C470000}"/>
    <cellStyle name="Dane wyjściowe 2 13 2 2" xfId="18437" xr:uid="{00000000-0005-0000-0000-00008D470000}"/>
    <cellStyle name="Dane wyjściowe 2 13 2 2 10" xfId="18438" xr:uid="{00000000-0005-0000-0000-00008E470000}"/>
    <cellStyle name="Dane wyjściowe 2 13 2 2 10 2" xfId="18439" xr:uid="{00000000-0005-0000-0000-00008F470000}"/>
    <cellStyle name="Dane wyjściowe 2 13 2 2 11" xfId="18440" xr:uid="{00000000-0005-0000-0000-000090470000}"/>
    <cellStyle name="Dane wyjściowe 2 13 2 2 11 2" xfId="18441" xr:uid="{00000000-0005-0000-0000-000091470000}"/>
    <cellStyle name="Dane wyjściowe 2 13 2 2 12" xfId="18442" xr:uid="{00000000-0005-0000-0000-000092470000}"/>
    <cellStyle name="Dane wyjściowe 2 13 2 2 2" xfId="18443" xr:uid="{00000000-0005-0000-0000-000093470000}"/>
    <cellStyle name="Dane wyjściowe 2 13 2 2 2 2" xfId="18444" xr:uid="{00000000-0005-0000-0000-000094470000}"/>
    <cellStyle name="Dane wyjściowe 2 13 2 2 2 2 2" xfId="18445" xr:uid="{00000000-0005-0000-0000-000095470000}"/>
    <cellStyle name="Dane wyjściowe 2 13 2 2 2 2 2 2" xfId="18446" xr:uid="{00000000-0005-0000-0000-000096470000}"/>
    <cellStyle name="Dane wyjściowe 2 13 2 2 2 2 2 2 2" xfId="18447" xr:uid="{00000000-0005-0000-0000-000097470000}"/>
    <cellStyle name="Dane wyjściowe 2 13 2 2 2 2 2 3" xfId="18448" xr:uid="{00000000-0005-0000-0000-000098470000}"/>
    <cellStyle name="Dane wyjściowe 2 13 2 2 2 2 3" xfId="18449" xr:uid="{00000000-0005-0000-0000-000099470000}"/>
    <cellStyle name="Dane wyjściowe 2 13 2 2 2 2 3 2" xfId="18450" xr:uid="{00000000-0005-0000-0000-00009A470000}"/>
    <cellStyle name="Dane wyjściowe 2 13 2 2 2 2 3 2 2" xfId="18451" xr:uid="{00000000-0005-0000-0000-00009B470000}"/>
    <cellStyle name="Dane wyjściowe 2 13 2 2 2 2 3 3" xfId="18452" xr:uid="{00000000-0005-0000-0000-00009C470000}"/>
    <cellStyle name="Dane wyjściowe 2 13 2 2 2 2 4" xfId="18453" xr:uid="{00000000-0005-0000-0000-00009D470000}"/>
    <cellStyle name="Dane wyjściowe 2 13 2 2 2 2 4 2" xfId="18454" xr:uid="{00000000-0005-0000-0000-00009E470000}"/>
    <cellStyle name="Dane wyjściowe 2 13 2 2 2 2 4 2 2" xfId="18455" xr:uid="{00000000-0005-0000-0000-00009F470000}"/>
    <cellStyle name="Dane wyjściowe 2 13 2 2 2 2 4 3" xfId="18456" xr:uid="{00000000-0005-0000-0000-0000A0470000}"/>
    <cellStyle name="Dane wyjściowe 2 13 2 2 2 2 5" xfId="18457" xr:uid="{00000000-0005-0000-0000-0000A1470000}"/>
    <cellStyle name="Dane wyjściowe 2 13 2 2 2 2 5 2" xfId="18458" xr:uid="{00000000-0005-0000-0000-0000A2470000}"/>
    <cellStyle name="Dane wyjściowe 2 13 2 2 2 2 6" xfId="18459" xr:uid="{00000000-0005-0000-0000-0000A3470000}"/>
    <cellStyle name="Dane wyjściowe 2 13 2 2 2 2 6 2" xfId="18460" xr:uid="{00000000-0005-0000-0000-0000A4470000}"/>
    <cellStyle name="Dane wyjściowe 2 13 2 2 2 2 7" xfId="18461" xr:uid="{00000000-0005-0000-0000-0000A5470000}"/>
    <cellStyle name="Dane wyjściowe 2 13 2 2 2 3" xfId="18462" xr:uid="{00000000-0005-0000-0000-0000A6470000}"/>
    <cellStyle name="Dane wyjściowe 2 13 2 2 2 3 2" xfId="18463" xr:uid="{00000000-0005-0000-0000-0000A7470000}"/>
    <cellStyle name="Dane wyjściowe 2 13 2 2 2 3 2 2" xfId="18464" xr:uid="{00000000-0005-0000-0000-0000A8470000}"/>
    <cellStyle name="Dane wyjściowe 2 13 2 2 2 3 3" xfId="18465" xr:uid="{00000000-0005-0000-0000-0000A9470000}"/>
    <cellStyle name="Dane wyjściowe 2 13 2 2 2 4" xfId="18466" xr:uid="{00000000-0005-0000-0000-0000AA470000}"/>
    <cellStyle name="Dane wyjściowe 2 13 2 2 2 4 2" xfId="18467" xr:uid="{00000000-0005-0000-0000-0000AB470000}"/>
    <cellStyle name="Dane wyjściowe 2 13 2 2 2 4 2 2" xfId="18468" xr:uid="{00000000-0005-0000-0000-0000AC470000}"/>
    <cellStyle name="Dane wyjściowe 2 13 2 2 2 4 3" xfId="18469" xr:uid="{00000000-0005-0000-0000-0000AD470000}"/>
    <cellStyle name="Dane wyjściowe 2 13 2 2 2 5" xfId="18470" xr:uid="{00000000-0005-0000-0000-0000AE470000}"/>
    <cellStyle name="Dane wyjściowe 2 13 2 2 2 5 2" xfId="18471" xr:uid="{00000000-0005-0000-0000-0000AF470000}"/>
    <cellStyle name="Dane wyjściowe 2 13 2 2 2 5 2 2" xfId="18472" xr:uid="{00000000-0005-0000-0000-0000B0470000}"/>
    <cellStyle name="Dane wyjściowe 2 13 2 2 2 5 3" xfId="18473" xr:uid="{00000000-0005-0000-0000-0000B1470000}"/>
    <cellStyle name="Dane wyjściowe 2 13 2 2 2 6" xfId="18474" xr:uid="{00000000-0005-0000-0000-0000B2470000}"/>
    <cellStyle name="Dane wyjściowe 2 13 2 2 2 6 2" xfId="18475" xr:uid="{00000000-0005-0000-0000-0000B3470000}"/>
    <cellStyle name="Dane wyjściowe 2 13 2 2 2 7" xfId="18476" xr:uid="{00000000-0005-0000-0000-0000B4470000}"/>
    <cellStyle name="Dane wyjściowe 2 13 2 2 2 7 2" xfId="18477" xr:uid="{00000000-0005-0000-0000-0000B5470000}"/>
    <cellStyle name="Dane wyjściowe 2 13 2 2 2 8" xfId="18478" xr:uid="{00000000-0005-0000-0000-0000B6470000}"/>
    <cellStyle name="Dane wyjściowe 2 13 2 2 3" xfId="18479" xr:uid="{00000000-0005-0000-0000-0000B7470000}"/>
    <cellStyle name="Dane wyjściowe 2 13 2 2 3 2" xfId="18480" xr:uid="{00000000-0005-0000-0000-0000B8470000}"/>
    <cellStyle name="Dane wyjściowe 2 13 2 2 3 2 2" xfId="18481" xr:uid="{00000000-0005-0000-0000-0000B9470000}"/>
    <cellStyle name="Dane wyjściowe 2 13 2 2 3 3" xfId="18482" xr:uid="{00000000-0005-0000-0000-0000BA470000}"/>
    <cellStyle name="Dane wyjściowe 2 13 2 2 4" xfId="18483" xr:uid="{00000000-0005-0000-0000-0000BB470000}"/>
    <cellStyle name="Dane wyjściowe 2 13 2 2 4 2" xfId="18484" xr:uid="{00000000-0005-0000-0000-0000BC470000}"/>
    <cellStyle name="Dane wyjściowe 2 13 2 2 4 2 2" xfId="18485" xr:uid="{00000000-0005-0000-0000-0000BD470000}"/>
    <cellStyle name="Dane wyjściowe 2 13 2 2 4 3" xfId="18486" xr:uid="{00000000-0005-0000-0000-0000BE470000}"/>
    <cellStyle name="Dane wyjściowe 2 13 2 2 5" xfId="18487" xr:uid="{00000000-0005-0000-0000-0000BF470000}"/>
    <cellStyle name="Dane wyjściowe 2 13 2 2 5 2" xfId="18488" xr:uid="{00000000-0005-0000-0000-0000C0470000}"/>
    <cellStyle name="Dane wyjściowe 2 13 2 2 5 2 2" xfId="18489" xr:uid="{00000000-0005-0000-0000-0000C1470000}"/>
    <cellStyle name="Dane wyjściowe 2 13 2 2 5 3" xfId="18490" xr:uid="{00000000-0005-0000-0000-0000C2470000}"/>
    <cellStyle name="Dane wyjściowe 2 13 2 2 6" xfId="18491" xr:uid="{00000000-0005-0000-0000-0000C3470000}"/>
    <cellStyle name="Dane wyjściowe 2 13 2 2 6 2" xfId="18492" xr:uid="{00000000-0005-0000-0000-0000C4470000}"/>
    <cellStyle name="Dane wyjściowe 2 13 2 2 6 2 2" xfId="18493" xr:uid="{00000000-0005-0000-0000-0000C5470000}"/>
    <cellStyle name="Dane wyjściowe 2 13 2 2 6 3" xfId="18494" xr:uid="{00000000-0005-0000-0000-0000C6470000}"/>
    <cellStyle name="Dane wyjściowe 2 13 2 2 7" xfId="18495" xr:uid="{00000000-0005-0000-0000-0000C7470000}"/>
    <cellStyle name="Dane wyjściowe 2 13 2 2 7 2" xfId="18496" xr:uid="{00000000-0005-0000-0000-0000C8470000}"/>
    <cellStyle name="Dane wyjściowe 2 13 2 2 7 2 2" xfId="18497" xr:uid="{00000000-0005-0000-0000-0000C9470000}"/>
    <cellStyle name="Dane wyjściowe 2 13 2 2 7 2 2 2" xfId="18498" xr:uid="{00000000-0005-0000-0000-0000CA470000}"/>
    <cellStyle name="Dane wyjściowe 2 13 2 2 7 2 3" xfId="18499" xr:uid="{00000000-0005-0000-0000-0000CB470000}"/>
    <cellStyle name="Dane wyjściowe 2 13 2 2 7 3" xfId="18500" xr:uid="{00000000-0005-0000-0000-0000CC470000}"/>
    <cellStyle name="Dane wyjściowe 2 13 2 2 7 3 2" xfId="18501" xr:uid="{00000000-0005-0000-0000-0000CD470000}"/>
    <cellStyle name="Dane wyjściowe 2 13 2 2 7 3 2 2" xfId="18502" xr:uid="{00000000-0005-0000-0000-0000CE470000}"/>
    <cellStyle name="Dane wyjściowe 2 13 2 2 7 3 3" xfId="18503" xr:uid="{00000000-0005-0000-0000-0000CF470000}"/>
    <cellStyle name="Dane wyjściowe 2 13 2 2 7 4" xfId="18504" xr:uid="{00000000-0005-0000-0000-0000D0470000}"/>
    <cellStyle name="Dane wyjściowe 2 13 2 2 7 4 2" xfId="18505" xr:uid="{00000000-0005-0000-0000-0000D1470000}"/>
    <cellStyle name="Dane wyjściowe 2 13 2 2 7 4 2 2" xfId="18506" xr:uid="{00000000-0005-0000-0000-0000D2470000}"/>
    <cellStyle name="Dane wyjściowe 2 13 2 2 7 4 3" xfId="18507" xr:uid="{00000000-0005-0000-0000-0000D3470000}"/>
    <cellStyle name="Dane wyjściowe 2 13 2 2 7 5" xfId="18508" xr:uid="{00000000-0005-0000-0000-0000D4470000}"/>
    <cellStyle name="Dane wyjściowe 2 13 2 2 7 5 2" xfId="18509" xr:uid="{00000000-0005-0000-0000-0000D5470000}"/>
    <cellStyle name="Dane wyjściowe 2 13 2 2 7 6" xfId="18510" xr:uid="{00000000-0005-0000-0000-0000D6470000}"/>
    <cellStyle name="Dane wyjściowe 2 13 2 2 7 6 2" xfId="18511" xr:uid="{00000000-0005-0000-0000-0000D7470000}"/>
    <cellStyle name="Dane wyjściowe 2 13 2 2 7 7" xfId="18512" xr:uid="{00000000-0005-0000-0000-0000D8470000}"/>
    <cellStyle name="Dane wyjściowe 2 13 2 2 8" xfId="18513" xr:uid="{00000000-0005-0000-0000-0000D9470000}"/>
    <cellStyle name="Dane wyjściowe 2 13 2 2 8 2" xfId="18514" xr:uid="{00000000-0005-0000-0000-0000DA470000}"/>
    <cellStyle name="Dane wyjściowe 2 13 2 2 8 2 2" xfId="18515" xr:uid="{00000000-0005-0000-0000-0000DB470000}"/>
    <cellStyle name="Dane wyjściowe 2 13 2 2 8 3" xfId="18516" xr:uid="{00000000-0005-0000-0000-0000DC470000}"/>
    <cellStyle name="Dane wyjściowe 2 13 2 2 9" xfId="18517" xr:uid="{00000000-0005-0000-0000-0000DD470000}"/>
    <cellStyle name="Dane wyjściowe 2 13 2 2 9 2" xfId="18518" xr:uid="{00000000-0005-0000-0000-0000DE470000}"/>
    <cellStyle name="Dane wyjściowe 2 13 2 2 9 2 2" xfId="18519" xr:uid="{00000000-0005-0000-0000-0000DF470000}"/>
    <cellStyle name="Dane wyjściowe 2 13 2 2 9 3" xfId="18520" xr:uid="{00000000-0005-0000-0000-0000E0470000}"/>
    <cellStyle name="Dane wyjściowe 2 13 2 3" xfId="18521" xr:uid="{00000000-0005-0000-0000-0000E1470000}"/>
    <cellStyle name="Dane wyjściowe 2 13 2 3 2" xfId="18522" xr:uid="{00000000-0005-0000-0000-0000E2470000}"/>
    <cellStyle name="Dane wyjściowe 2 13 2 3 2 2" xfId="18523" xr:uid="{00000000-0005-0000-0000-0000E3470000}"/>
    <cellStyle name="Dane wyjściowe 2 13 2 3 2 2 2" xfId="18524" xr:uid="{00000000-0005-0000-0000-0000E4470000}"/>
    <cellStyle name="Dane wyjściowe 2 13 2 3 2 2 2 2" xfId="18525" xr:uid="{00000000-0005-0000-0000-0000E5470000}"/>
    <cellStyle name="Dane wyjściowe 2 13 2 3 2 2 3" xfId="18526" xr:uid="{00000000-0005-0000-0000-0000E6470000}"/>
    <cellStyle name="Dane wyjściowe 2 13 2 3 2 3" xfId="18527" xr:uid="{00000000-0005-0000-0000-0000E7470000}"/>
    <cellStyle name="Dane wyjściowe 2 13 2 3 2 3 2" xfId="18528" xr:uid="{00000000-0005-0000-0000-0000E8470000}"/>
    <cellStyle name="Dane wyjściowe 2 13 2 3 2 3 2 2" xfId="18529" xr:uid="{00000000-0005-0000-0000-0000E9470000}"/>
    <cellStyle name="Dane wyjściowe 2 13 2 3 2 3 3" xfId="18530" xr:uid="{00000000-0005-0000-0000-0000EA470000}"/>
    <cellStyle name="Dane wyjściowe 2 13 2 3 2 4" xfId="18531" xr:uid="{00000000-0005-0000-0000-0000EB470000}"/>
    <cellStyle name="Dane wyjściowe 2 13 2 3 2 4 2" xfId="18532" xr:uid="{00000000-0005-0000-0000-0000EC470000}"/>
    <cellStyle name="Dane wyjściowe 2 13 2 3 2 4 2 2" xfId="18533" xr:uid="{00000000-0005-0000-0000-0000ED470000}"/>
    <cellStyle name="Dane wyjściowe 2 13 2 3 2 4 3" xfId="18534" xr:uid="{00000000-0005-0000-0000-0000EE470000}"/>
    <cellStyle name="Dane wyjściowe 2 13 2 3 2 5" xfId="18535" xr:uid="{00000000-0005-0000-0000-0000EF470000}"/>
    <cellStyle name="Dane wyjściowe 2 13 2 3 2 5 2" xfId="18536" xr:uid="{00000000-0005-0000-0000-0000F0470000}"/>
    <cellStyle name="Dane wyjściowe 2 13 2 3 2 6" xfId="18537" xr:uid="{00000000-0005-0000-0000-0000F1470000}"/>
    <cellStyle name="Dane wyjściowe 2 13 2 3 2 6 2" xfId="18538" xr:uid="{00000000-0005-0000-0000-0000F2470000}"/>
    <cellStyle name="Dane wyjściowe 2 13 2 3 2 7" xfId="18539" xr:uid="{00000000-0005-0000-0000-0000F3470000}"/>
    <cellStyle name="Dane wyjściowe 2 13 2 3 3" xfId="18540" xr:uid="{00000000-0005-0000-0000-0000F4470000}"/>
    <cellStyle name="Dane wyjściowe 2 13 2 3 3 2" xfId="18541" xr:uid="{00000000-0005-0000-0000-0000F5470000}"/>
    <cellStyle name="Dane wyjściowe 2 13 2 3 3 2 2" xfId="18542" xr:uid="{00000000-0005-0000-0000-0000F6470000}"/>
    <cellStyle name="Dane wyjściowe 2 13 2 3 3 3" xfId="18543" xr:uid="{00000000-0005-0000-0000-0000F7470000}"/>
    <cellStyle name="Dane wyjściowe 2 13 2 3 4" xfId="18544" xr:uid="{00000000-0005-0000-0000-0000F8470000}"/>
    <cellStyle name="Dane wyjściowe 2 13 2 3 4 2" xfId="18545" xr:uid="{00000000-0005-0000-0000-0000F9470000}"/>
    <cellStyle name="Dane wyjściowe 2 13 2 3 4 2 2" xfId="18546" xr:uid="{00000000-0005-0000-0000-0000FA470000}"/>
    <cellStyle name="Dane wyjściowe 2 13 2 3 4 3" xfId="18547" xr:uid="{00000000-0005-0000-0000-0000FB470000}"/>
    <cellStyle name="Dane wyjściowe 2 13 2 3 5" xfId="18548" xr:uid="{00000000-0005-0000-0000-0000FC470000}"/>
    <cellStyle name="Dane wyjściowe 2 13 2 3 5 2" xfId="18549" xr:uid="{00000000-0005-0000-0000-0000FD470000}"/>
    <cellStyle name="Dane wyjściowe 2 13 2 3 5 2 2" xfId="18550" xr:uid="{00000000-0005-0000-0000-0000FE470000}"/>
    <cellStyle name="Dane wyjściowe 2 13 2 3 5 3" xfId="18551" xr:uid="{00000000-0005-0000-0000-0000FF470000}"/>
    <cellStyle name="Dane wyjściowe 2 13 2 3 6" xfId="18552" xr:uid="{00000000-0005-0000-0000-000000480000}"/>
    <cellStyle name="Dane wyjściowe 2 13 2 3 6 2" xfId="18553" xr:uid="{00000000-0005-0000-0000-000001480000}"/>
    <cellStyle name="Dane wyjściowe 2 13 2 3 7" xfId="18554" xr:uid="{00000000-0005-0000-0000-000002480000}"/>
    <cellStyle name="Dane wyjściowe 2 13 2 3 7 2" xfId="18555" xr:uid="{00000000-0005-0000-0000-000003480000}"/>
    <cellStyle name="Dane wyjściowe 2 13 2 3 8" xfId="18556" xr:uid="{00000000-0005-0000-0000-000004480000}"/>
    <cellStyle name="Dane wyjściowe 2 13 2 4" xfId="18557" xr:uid="{00000000-0005-0000-0000-000005480000}"/>
    <cellStyle name="Dane wyjściowe 2 13 2 4 2" xfId="18558" xr:uid="{00000000-0005-0000-0000-000006480000}"/>
    <cellStyle name="Dane wyjściowe 2 13 2 4 2 2" xfId="18559" xr:uid="{00000000-0005-0000-0000-000007480000}"/>
    <cellStyle name="Dane wyjściowe 2 13 2 4 3" xfId="18560" xr:uid="{00000000-0005-0000-0000-000008480000}"/>
    <cellStyle name="Dane wyjściowe 2 13 2 5" xfId="18561" xr:uid="{00000000-0005-0000-0000-000009480000}"/>
    <cellStyle name="Dane wyjściowe 2 13 2 5 2" xfId="18562" xr:uid="{00000000-0005-0000-0000-00000A480000}"/>
    <cellStyle name="Dane wyjściowe 2 13 2 5 2 2" xfId="18563" xr:uid="{00000000-0005-0000-0000-00000B480000}"/>
    <cellStyle name="Dane wyjściowe 2 13 2 5 3" xfId="18564" xr:uid="{00000000-0005-0000-0000-00000C480000}"/>
    <cellStyle name="Dane wyjściowe 2 13 2 6" xfId="18565" xr:uid="{00000000-0005-0000-0000-00000D480000}"/>
    <cellStyle name="Dane wyjściowe 2 13 2 6 2" xfId="18566" xr:uid="{00000000-0005-0000-0000-00000E480000}"/>
    <cellStyle name="Dane wyjściowe 2 13 2 6 2 2" xfId="18567" xr:uid="{00000000-0005-0000-0000-00000F480000}"/>
    <cellStyle name="Dane wyjściowe 2 13 2 6 3" xfId="18568" xr:uid="{00000000-0005-0000-0000-000010480000}"/>
    <cellStyle name="Dane wyjściowe 2 13 2 7" xfId="18569" xr:uid="{00000000-0005-0000-0000-000011480000}"/>
    <cellStyle name="Dane wyjściowe 2 13 2 7 2" xfId="18570" xr:uid="{00000000-0005-0000-0000-000012480000}"/>
    <cellStyle name="Dane wyjściowe 2 13 2 7 2 2" xfId="18571" xr:uid="{00000000-0005-0000-0000-000013480000}"/>
    <cellStyle name="Dane wyjściowe 2 13 2 7 2 2 2" xfId="18572" xr:uid="{00000000-0005-0000-0000-000014480000}"/>
    <cellStyle name="Dane wyjściowe 2 13 2 7 2 3" xfId="18573" xr:uid="{00000000-0005-0000-0000-000015480000}"/>
    <cellStyle name="Dane wyjściowe 2 13 2 7 3" xfId="18574" xr:uid="{00000000-0005-0000-0000-000016480000}"/>
    <cellStyle name="Dane wyjściowe 2 13 2 7 3 2" xfId="18575" xr:uid="{00000000-0005-0000-0000-000017480000}"/>
    <cellStyle name="Dane wyjściowe 2 13 2 7 3 2 2" xfId="18576" xr:uid="{00000000-0005-0000-0000-000018480000}"/>
    <cellStyle name="Dane wyjściowe 2 13 2 7 3 3" xfId="18577" xr:uid="{00000000-0005-0000-0000-000019480000}"/>
    <cellStyle name="Dane wyjściowe 2 13 2 7 4" xfId="18578" xr:uid="{00000000-0005-0000-0000-00001A480000}"/>
    <cellStyle name="Dane wyjściowe 2 13 2 7 4 2" xfId="18579" xr:uid="{00000000-0005-0000-0000-00001B480000}"/>
    <cellStyle name="Dane wyjściowe 2 13 2 7 4 2 2" xfId="18580" xr:uid="{00000000-0005-0000-0000-00001C480000}"/>
    <cellStyle name="Dane wyjściowe 2 13 2 7 4 3" xfId="18581" xr:uid="{00000000-0005-0000-0000-00001D480000}"/>
    <cellStyle name="Dane wyjściowe 2 13 2 7 5" xfId="18582" xr:uid="{00000000-0005-0000-0000-00001E480000}"/>
    <cellStyle name="Dane wyjściowe 2 13 2 7 5 2" xfId="18583" xr:uid="{00000000-0005-0000-0000-00001F480000}"/>
    <cellStyle name="Dane wyjściowe 2 13 2 7 6" xfId="18584" xr:uid="{00000000-0005-0000-0000-000020480000}"/>
    <cellStyle name="Dane wyjściowe 2 13 2 7 6 2" xfId="18585" xr:uid="{00000000-0005-0000-0000-000021480000}"/>
    <cellStyle name="Dane wyjściowe 2 13 2 7 7" xfId="18586" xr:uid="{00000000-0005-0000-0000-000022480000}"/>
    <cellStyle name="Dane wyjściowe 2 13 2 8" xfId="18587" xr:uid="{00000000-0005-0000-0000-000023480000}"/>
    <cellStyle name="Dane wyjściowe 2 13 2 8 2" xfId="18588" xr:uid="{00000000-0005-0000-0000-000024480000}"/>
    <cellStyle name="Dane wyjściowe 2 13 2 8 2 2" xfId="18589" xr:uid="{00000000-0005-0000-0000-000025480000}"/>
    <cellStyle name="Dane wyjściowe 2 13 2 8 3" xfId="18590" xr:uid="{00000000-0005-0000-0000-000026480000}"/>
    <cellStyle name="Dane wyjściowe 2 13 2 9" xfId="18591" xr:uid="{00000000-0005-0000-0000-000027480000}"/>
    <cellStyle name="Dane wyjściowe 2 13 2 9 2" xfId="18592" xr:uid="{00000000-0005-0000-0000-000028480000}"/>
    <cellStyle name="Dane wyjściowe 2 13 2 9 2 2" xfId="18593" xr:uid="{00000000-0005-0000-0000-000029480000}"/>
    <cellStyle name="Dane wyjściowe 2 13 2 9 3" xfId="18594" xr:uid="{00000000-0005-0000-0000-00002A480000}"/>
    <cellStyle name="Dane wyjściowe 2 13 3" xfId="18595" xr:uid="{00000000-0005-0000-0000-00002B480000}"/>
    <cellStyle name="Dane wyjściowe 2 13 3 2" xfId="18596" xr:uid="{00000000-0005-0000-0000-00002C480000}"/>
    <cellStyle name="Dane wyjściowe 2 13 3 2 2" xfId="18597" xr:uid="{00000000-0005-0000-0000-00002D480000}"/>
    <cellStyle name="Dane wyjściowe 2 13 3 2 2 2" xfId="18598" xr:uid="{00000000-0005-0000-0000-00002E480000}"/>
    <cellStyle name="Dane wyjściowe 2 13 3 2 2 2 2" xfId="18599" xr:uid="{00000000-0005-0000-0000-00002F480000}"/>
    <cellStyle name="Dane wyjściowe 2 13 3 2 2 3" xfId="18600" xr:uid="{00000000-0005-0000-0000-000030480000}"/>
    <cellStyle name="Dane wyjściowe 2 13 3 2 3" xfId="18601" xr:uid="{00000000-0005-0000-0000-000031480000}"/>
    <cellStyle name="Dane wyjściowe 2 13 3 2 3 2" xfId="18602" xr:uid="{00000000-0005-0000-0000-000032480000}"/>
    <cellStyle name="Dane wyjściowe 2 13 3 2 3 2 2" xfId="18603" xr:uid="{00000000-0005-0000-0000-000033480000}"/>
    <cellStyle name="Dane wyjściowe 2 13 3 2 3 3" xfId="18604" xr:uid="{00000000-0005-0000-0000-000034480000}"/>
    <cellStyle name="Dane wyjściowe 2 13 3 2 4" xfId="18605" xr:uid="{00000000-0005-0000-0000-000035480000}"/>
    <cellStyle name="Dane wyjściowe 2 13 3 2 4 2" xfId="18606" xr:uid="{00000000-0005-0000-0000-000036480000}"/>
    <cellStyle name="Dane wyjściowe 2 13 3 2 4 2 2" xfId="18607" xr:uid="{00000000-0005-0000-0000-000037480000}"/>
    <cellStyle name="Dane wyjściowe 2 13 3 2 4 3" xfId="18608" xr:uid="{00000000-0005-0000-0000-000038480000}"/>
    <cellStyle name="Dane wyjściowe 2 13 3 2 5" xfId="18609" xr:uid="{00000000-0005-0000-0000-000039480000}"/>
    <cellStyle name="Dane wyjściowe 2 13 3 2 5 2" xfId="18610" xr:uid="{00000000-0005-0000-0000-00003A480000}"/>
    <cellStyle name="Dane wyjściowe 2 13 3 2 6" xfId="18611" xr:uid="{00000000-0005-0000-0000-00003B480000}"/>
    <cellStyle name="Dane wyjściowe 2 13 3 2 6 2" xfId="18612" xr:uid="{00000000-0005-0000-0000-00003C480000}"/>
    <cellStyle name="Dane wyjściowe 2 13 3 2 7" xfId="18613" xr:uid="{00000000-0005-0000-0000-00003D480000}"/>
    <cellStyle name="Dane wyjściowe 2 13 3 3" xfId="18614" xr:uid="{00000000-0005-0000-0000-00003E480000}"/>
    <cellStyle name="Dane wyjściowe 2 13 3 3 2" xfId="18615" xr:uid="{00000000-0005-0000-0000-00003F480000}"/>
    <cellStyle name="Dane wyjściowe 2 13 3 3 2 2" xfId="18616" xr:uid="{00000000-0005-0000-0000-000040480000}"/>
    <cellStyle name="Dane wyjściowe 2 13 3 3 3" xfId="18617" xr:uid="{00000000-0005-0000-0000-000041480000}"/>
    <cellStyle name="Dane wyjściowe 2 13 3 4" xfId="18618" xr:uid="{00000000-0005-0000-0000-000042480000}"/>
    <cellStyle name="Dane wyjściowe 2 13 3 4 2" xfId="18619" xr:uid="{00000000-0005-0000-0000-000043480000}"/>
    <cellStyle name="Dane wyjściowe 2 13 3 4 2 2" xfId="18620" xr:uid="{00000000-0005-0000-0000-000044480000}"/>
    <cellStyle name="Dane wyjściowe 2 13 3 4 3" xfId="18621" xr:uid="{00000000-0005-0000-0000-000045480000}"/>
    <cellStyle name="Dane wyjściowe 2 13 3 5" xfId="18622" xr:uid="{00000000-0005-0000-0000-000046480000}"/>
    <cellStyle name="Dane wyjściowe 2 13 3 5 2" xfId="18623" xr:uid="{00000000-0005-0000-0000-000047480000}"/>
    <cellStyle name="Dane wyjściowe 2 13 3 5 2 2" xfId="18624" xr:uid="{00000000-0005-0000-0000-000048480000}"/>
    <cellStyle name="Dane wyjściowe 2 13 3 5 3" xfId="18625" xr:uid="{00000000-0005-0000-0000-000049480000}"/>
    <cellStyle name="Dane wyjściowe 2 13 3 6" xfId="18626" xr:uid="{00000000-0005-0000-0000-00004A480000}"/>
    <cellStyle name="Dane wyjściowe 2 13 3 6 2" xfId="18627" xr:uid="{00000000-0005-0000-0000-00004B480000}"/>
    <cellStyle name="Dane wyjściowe 2 13 3 7" xfId="18628" xr:uid="{00000000-0005-0000-0000-00004C480000}"/>
    <cellStyle name="Dane wyjściowe 2 13 3 7 2" xfId="18629" xr:uid="{00000000-0005-0000-0000-00004D480000}"/>
    <cellStyle name="Dane wyjściowe 2 13 3 8" xfId="18630" xr:uid="{00000000-0005-0000-0000-00004E480000}"/>
    <cellStyle name="Dane wyjściowe 2 13 4" xfId="18631" xr:uid="{00000000-0005-0000-0000-00004F480000}"/>
    <cellStyle name="Dane wyjściowe 2 13 4 2" xfId="18632" xr:uid="{00000000-0005-0000-0000-000050480000}"/>
    <cellStyle name="Dane wyjściowe 2 13 4 2 2" xfId="18633" xr:uid="{00000000-0005-0000-0000-000051480000}"/>
    <cellStyle name="Dane wyjściowe 2 13 4 3" xfId="18634" xr:uid="{00000000-0005-0000-0000-000052480000}"/>
    <cellStyle name="Dane wyjściowe 2 13 5" xfId="18635" xr:uid="{00000000-0005-0000-0000-000053480000}"/>
    <cellStyle name="Dane wyjściowe 2 13 5 2" xfId="18636" xr:uid="{00000000-0005-0000-0000-000054480000}"/>
    <cellStyle name="Dane wyjściowe 2 13 5 2 2" xfId="18637" xr:uid="{00000000-0005-0000-0000-000055480000}"/>
    <cellStyle name="Dane wyjściowe 2 13 5 3" xfId="18638" xr:uid="{00000000-0005-0000-0000-000056480000}"/>
    <cellStyle name="Dane wyjściowe 2 13 6" xfId="18639" xr:uid="{00000000-0005-0000-0000-000057480000}"/>
    <cellStyle name="Dane wyjściowe 2 13 6 2" xfId="18640" xr:uid="{00000000-0005-0000-0000-000058480000}"/>
    <cellStyle name="Dane wyjściowe 2 13 6 2 2" xfId="18641" xr:uid="{00000000-0005-0000-0000-000059480000}"/>
    <cellStyle name="Dane wyjściowe 2 13 6 3" xfId="18642" xr:uid="{00000000-0005-0000-0000-00005A480000}"/>
    <cellStyle name="Dane wyjściowe 2 13 7" xfId="18643" xr:uid="{00000000-0005-0000-0000-00005B480000}"/>
    <cellStyle name="Dane wyjściowe 2 13 7 2" xfId="18644" xr:uid="{00000000-0005-0000-0000-00005C480000}"/>
    <cellStyle name="Dane wyjściowe 2 13 7 2 2" xfId="18645" xr:uid="{00000000-0005-0000-0000-00005D480000}"/>
    <cellStyle name="Dane wyjściowe 2 13 7 3" xfId="18646" xr:uid="{00000000-0005-0000-0000-00005E480000}"/>
    <cellStyle name="Dane wyjściowe 2 13 8" xfId="18647" xr:uid="{00000000-0005-0000-0000-00005F480000}"/>
    <cellStyle name="Dane wyjściowe 2 13 8 2" xfId="18648" xr:uid="{00000000-0005-0000-0000-000060480000}"/>
    <cellStyle name="Dane wyjściowe 2 13 8 2 2" xfId="18649" xr:uid="{00000000-0005-0000-0000-000061480000}"/>
    <cellStyle name="Dane wyjściowe 2 13 8 2 2 2" xfId="18650" xr:uid="{00000000-0005-0000-0000-000062480000}"/>
    <cellStyle name="Dane wyjściowe 2 13 8 2 3" xfId="18651" xr:uid="{00000000-0005-0000-0000-000063480000}"/>
    <cellStyle name="Dane wyjściowe 2 13 8 3" xfId="18652" xr:uid="{00000000-0005-0000-0000-000064480000}"/>
    <cellStyle name="Dane wyjściowe 2 13 8 3 2" xfId="18653" xr:uid="{00000000-0005-0000-0000-000065480000}"/>
    <cellStyle name="Dane wyjściowe 2 13 8 3 2 2" xfId="18654" xr:uid="{00000000-0005-0000-0000-000066480000}"/>
    <cellStyle name="Dane wyjściowe 2 13 8 3 3" xfId="18655" xr:uid="{00000000-0005-0000-0000-000067480000}"/>
    <cellStyle name="Dane wyjściowe 2 13 8 4" xfId="18656" xr:uid="{00000000-0005-0000-0000-000068480000}"/>
    <cellStyle name="Dane wyjściowe 2 13 8 4 2" xfId="18657" xr:uid="{00000000-0005-0000-0000-000069480000}"/>
    <cellStyle name="Dane wyjściowe 2 13 8 4 2 2" xfId="18658" xr:uid="{00000000-0005-0000-0000-00006A480000}"/>
    <cellStyle name="Dane wyjściowe 2 13 8 4 3" xfId="18659" xr:uid="{00000000-0005-0000-0000-00006B480000}"/>
    <cellStyle name="Dane wyjściowe 2 13 8 5" xfId="18660" xr:uid="{00000000-0005-0000-0000-00006C480000}"/>
    <cellStyle name="Dane wyjściowe 2 13 8 5 2" xfId="18661" xr:uid="{00000000-0005-0000-0000-00006D480000}"/>
    <cellStyle name="Dane wyjściowe 2 13 8 6" xfId="18662" xr:uid="{00000000-0005-0000-0000-00006E480000}"/>
    <cellStyle name="Dane wyjściowe 2 13 8 6 2" xfId="18663" xr:uid="{00000000-0005-0000-0000-00006F480000}"/>
    <cellStyle name="Dane wyjściowe 2 13 8 7" xfId="18664" xr:uid="{00000000-0005-0000-0000-000070480000}"/>
    <cellStyle name="Dane wyjściowe 2 13 9" xfId="18665" xr:uid="{00000000-0005-0000-0000-000071480000}"/>
    <cellStyle name="Dane wyjściowe 2 13 9 2" xfId="18666" xr:uid="{00000000-0005-0000-0000-000072480000}"/>
    <cellStyle name="Dane wyjściowe 2 13 9 2 2" xfId="18667" xr:uid="{00000000-0005-0000-0000-000073480000}"/>
    <cellStyle name="Dane wyjściowe 2 13 9 3" xfId="18668" xr:uid="{00000000-0005-0000-0000-000074480000}"/>
    <cellStyle name="Dane wyjściowe 2 14" xfId="18669" xr:uid="{00000000-0005-0000-0000-000075480000}"/>
    <cellStyle name="Dane wyjściowe 2 14 10" xfId="18670" xr:uid="{00000000-0005-0000-0000-000076480000}"/>
    <cellStyle name="Dane wyjściowe 2 14 10 2" xfId="18671" xr:uid="{00000000-0005-0000-0000-000077480000}"/>
    <cellStyle name="Dane wyjściowe 2 14 11" xfId="18672" xr:uid="{00000000-0005-0000-0000-000078480000}"/>
    <cellStyle name="Dane wyjściowe 2 14 11 2" xfId="18673" xr:uid="{00000000-0005-0000-0000-000079480000}"/>
    <cellStyle name="Dane wyjściowe 2 14 12" xfId="18674" xr:uid="{00000000-0005-0000-0000-00007A480000}"/>
    <cellStyle name="Dane wyjściowe 2 14 2" xfId="18675" xr:uid="{00000000-0005-0000-0000-00007B480000}"/>
    <cellStyle name="Dane wyjściowe 2 14 2 2" xfId="18676" xr:uid="{00000000-0005-0000-0000-00007C480000}"/>
    <cellStyle name="Dane wyjściowe 2 14 2 2 2" xfId="18677" xr:uid="{00000000-0005-0000-0000-00007D480000}"/>
    <cellStyle name="Dane wyjściowe 2 14 2 2 2 2" xfId="18678" xr:uid="{00000000-0005-0000-0000-00007E480000}"/>
    <cellStyle name="Dane wyjściowe 2 14 2 2 2 2 2" xfId="18679" xr:uid="{00000000-0005-0000-0000-00007F480000}"/>
    <cellStyle name="Dane wyjściowe 2 14 2 2 2 3" xfId="18680" xr:uid="{00000000-0005-0000-0000-000080480000}"/>
    <cellStyle name="Dane wyjściowe 2 14 2 2 3" xfId="18681" xr:uid="{00000000-0005-0000-0000-000081480000}"/>
    <cellStyle name="Dane wyjściowe 2 14 2 2 3 2" xfId="18682" xr:uid="{00000000-0005-0000-0000-000082480000}"/>
    <cellStyle name="Dane wyjściowe 2 14 2 2 3 2 2" xfId="18683" xr:uid="{00000000-0005-0000-0000-000083480000}"/>
    <cellStyle name="Dane wyjściowe 2 14 2 2 3 3" xfId="18684" xr:uid="{00000000-0005-0000-0000-000084480000}"/>
    <cellStyle name="Dane wyjściowe 2 14 2 2 4" xfId="18685" xr:uid="{00000000-0005-0000-0000-000085480000}"/>
    <cellStyle name="Dane wyjściowe 2 14 2 2 4 2" xfId="18686" xr:uid="{00000000-0005-0000-0000-000086480000}"/>
    <cellStyle name="Dane wyjściowe 2 14 2 2 4 2 2" xfId="18687" xr:uid="{00000000-0005-0000-0000-000087480000}"/>
    <cellStyle name="Dane wyjściowe 2 14 2 2 4 3" xfId="18688" xr:uid="{00000000-0005-0000-0000-000088480000}"/>
    <cellStyle name="Dane wyjściowe 2 14 2 2 5" xfId="18689" xr:uid="{00000000-0005-0000-0000-000089480000}"/>
    <cellStyle name="Dane wyjściowe 2 14 2 2 5 2" xfId="18690" xr:uid="{00000000-0005-0000-0000-00008A480000}"/>
    <cellStyle name="Dane wyjściowe 2 14 2 2 6" xfId="18691" xr:uid="{00000000-0005-0000-0000-00008B480000}"/>
    <cellStyle name="Dane wyjściowe 2 14 2 2 6 2" xfId="18692" xr:uid="{00000000-0005-0000-0000-00008C480000}"/>
    <cellStyle name="Dane wyjściowe 2 14 2 2 7" xfId="18693" xr:uid="{00000000-0005-0000-0000-00008D480000}"/>
    <cellStyle name="Dane wyjściowe 2 14 2 3" xfId="18694" xr:uid="{00000000-0005-0000-0000-00008E480000}"/>
    <cellStyle name="Dane wyjściowe 2 14 2 3 2" xfId="18695" xr:uid="{00000000-0005-0000-0000-00008F480000}"/>
    <cellStyle name="Dane wyjściowe 2 14 2 3 2 2" xfId="18696" xr:uid="{00000000-0005-0000-0000-000090480000}"/>
    <cellStyle name="Dane wyjściowe 2 14 2 3 3" xfId="18697" xr:uid="{00000000-0005-0000-0000-000091480000}"/>
    <cellStyle name="Dane wyjściowe 2 14 2 4" xfId="18698" xr:uid="{00000000-0005-0000-0000-000092480000}"/>
    <cellStyle name="Dane wyjściowe 2 14 2 4 2" xfId="18699" xr:uid="{00000000-0005-0000-0000-000093480000}"/>
    <cellStyle name="Dane wyjściowe 2 14 2 4 2 2" xfId="18700" xr:uid="{00000000-0005-0000-0000-000094480000}"/>
    <cellStyle name="Dane wyjściowe 2 14 2 4 3" xfId="18701" xr:uid="{00000000-0005-0000-0000-000095480000}"/>
    <cellStyle name="Dane wyjściowe 2 14 2 5" xfId="18702" xr:uid="{00000000-0005-0000-0000-000096480000}"/>
    <cellStyle name="Dane wyjściowe 2 14 2 5 2" xfId="18703" xr:uid="{00000000-0005-0000-0000-000097480000}"/>
    <cellStyle name="Dane wyjściowe 2 14 2 5 2 2" xfId="18704" xr:uid="{00000000-0005-0000-0000-000098480000}"/>
    <cellStyle name="Dane wyjściowe 2 14 2 5 3" xfId="18705" xr:uid="{00000000-0005-0000-0000-000099480000}"/>
    <cellStyle name="Dane wyjściowe 2 14 2 6" xfId="18706" xr:uid="{00000000-0005-0000-0000-00009A480000}"/>
    <cellStyle name="Dane wyjściowe 2 14 2 6 2" xfId="18707" xr:uid="{00000000-0005-0000-0000-00009B480000}"/>
    <cellStyle name="Dane wyjściowe 2 14 2 7" xfId="18708" xr:uid="{00000000-0005-0000-0000-00009C480000}"/>
    <cellStyle name="Dane wyjściowe 2 14 2 7 2" xfId="18709" xr:uid="{00000000-0005-0000-0000-00009D480000}"/>
    <cellStyle name="Dane wyjściowe 2 14 2 8" xfId="18710" xr:uid="{00000000-0005-0000-0000-00009E480000}"/>
    <cellStyle name="Dane wyjściowe 2 14 3" xfId="18711" xr:uid="{00000000-0005-0000-0000-00009F480000}"/>
    <cellStyle name="Dane wyjściowe 2 14 3 2" xfId="18712" xr:uid="{00000000-0005-0000-0000-0000A0480000}"/>
    <cellStyle name="Dane wyjściowe 2 14 3 2 2" xfId="18713" xr:uid="{00000000-0005-0000-0000-0000A1480000}"/>
    <cellStyle name="Dane wyjściowe 2 14 3 3" xfId="18714" xr:uid="{00000000-0005-0000-0000-0000A2480000}"/>
    <cellStyle name="Dane wyjściowe 2 14 4" xfId="18715" xr:uid="{00000000-0005-0000-0000-0000A3480000}"/>
    <cellStyle name="Dane wyjściowe 2 14 4 2" xfId="18716" xr:uid="{00000000-0005-0000-0000-0000A4480000}"/>
    <cellStyle name="Dane wyjściowe 2 14 4 2 2" xfId="18717" xr:uid="{00000000-0005-0000-0000-0000A5480000}"/>
    <cellStyle name="Dane wyjściowe 2 14 4 3" xfId="18718" xr:uid="{00000000-0005-0000-0000-0000A6480000}"/>
    <cellStyle name="Dane wyjściowe 2 14 5" xfId="18719" xr:uid="{00000000-0005-0000-0000-0000A7480000}"/>
    <cellStyle name="Dane wyjściowe 2 14 5 2" xfId="18720" xr:uid="{00000000-0005-0000-0000-0000A8480000}"/>
    <cellStyle name="Dane wyjściowe 2 14 5 2 2" xfId="18721" xr:uid="{00000000-0005-0000-0000-0000A9480000}"/>
    <cellStyle name="Dane wyjściowe 2 14 5 3" xfId="18722" xr:uid="{00000000-0005-0000-0000-0000AA480000}"/>
    <cellStyle name="Dane wyjściowe 2 14 6" xfId="18723" xr:uid="{00000000-0005-0000-0000-0000AB480000}"/>
    <cellStyle name="Dane wyjściowe 2 14 6 2" xfId="18724" xr:uid="{00000000-0005-0000-0000-0000AC480000}"/>
    <cellStyle name="Dane wyjściowe 2 14 6 2 2" xfId="18725" xr:uid="{00000000-0005-0000-0000-0000AD480000}"/>
    <cellStyle name="Dane wyjściowe 2 14 6 3" xfId="18726" xr:uid="{00000000-0005-0000-0000-0000AE480000}"/>
    <cellStyle name="Dane wyjściowe 2 14 7" xfId="18727" xr:uid="{00000000-0005-0000-0000-0000AF480000}"/>
    <cellStyle name="Dane wyjściowe 2 14 7 2" xfId="18728" xr:uid="{00000000-0005-0000-0000-0000B0480000}"/>
    <cellStyle name="Dane wyjściowe 2 14 7 2 2" xfId="18729" xr:uid="{00000000-0005-0000-0000-0000B1480000}"/>
    <cellStyle name="Dane wyjściowe 2 14 7 2 2 2" xfId="18730" xr:uid="{00000000-0005-0000-0000-0000B2480000}"/>
    <cellStyle name="Dane wyjściowe 2 14 7 2 3" xfId="18731" xr:uid="{00000000-0005-0000-0000-0000B3480000}"/>
    <cellStyle name="Dane wyjściowe 2 14 7 3" xfId="18732" xr:uid="{00000000-0005-0000-0000-0000B4480000}"/>
    <cellStyle name="Dane wyjściowe 2 14 7 3 2" xfId="18733" xr:uid="{00000000-0005-0000-0000-0000B5480000}"/>
    <cellStyle name="Dane wyjściowe 2 14 7 3 2 2" xfId="18734" xr:uid="{00000000-0005-0000-0000-0000B6480000}"/>
    <cellStyle name="Dane wyjściowe 2 14 7 3 3" xfId="18735" xr:uid="{00000000-0005-0000-0000-0000B7480000}"/>
    <cellStyle name="Dane wyjściowe 2 14 7 4" xfId="18736" xr:uid="{00000000-0005-0000-0000-0000B8480000}"/>
    <cellStyle name="Dane wyjściowe 2 14 7 4 2" xfId="18737" xr:uid="{00000000-0005-0000-0000-0000B9480000}"/>
    <cellStyle name="Dane wyjściowe 2 14 7 4 2 2" xfId="18738" xr:uid="{00000000-0005-0000-0000-0000BA480000}"/>
    <cellStyle name="Dane wyjściowe 2 14 7 4 3" xfId="18739" xr:uid="{00000000-0005-0000-0000-0000BB480000}"/>
    <cellStyle name="Dane wyjściowe 2 14 7 5" xfId="18740" xr:uid="{00000000-0005-0000-0000-0000BC480000}"/>
    <cellStyle name="Dane wyjściowe 2 14 7 5 2" xfId="18741" xr:uid="{00000000-0005-0000-0000-0000BD480000}"/>
    <cellStyle name="Dane wyjściowe 2 14 7 6" xfId="18742" xr:uid="{00000000-0005-0000-0000-0000BE480000}"/>
    <cellStyle name="Dane wyjściowe 2 14 7 6 2" xfId="18743" xr:uid="{00000000-0005-0000-0000-0000BF480000}"/>
    <cellStyle name="Dane wyjściowe 2 14 7 7" xfId="18744" xr:uid="{00000000-0005-0000-0000-0000C0480000}"/>
    <cellStyle name="Dane wyjściowe 2 14 8" xfId="18745" xr:uid="{00000000-0005-0000-0000-0000C1480000}"/>
    <cellStyle name="Dane wyjściowe 2 14 8 2" xfId="18746" xr:uid="{00000000-0005-0000-0000-0000C2480000}"/>
    <cellStyle name="Dane wyjściowe 2 14 8 2 2" xfId="18747" xr:uid="{00000000-0005-0000-0000-0000C3480000}"/>
    <cellStyle name="Dane wyjściowe 2 14 8 3" xfId="18748" xr:uid="{00000000-0005-0000-0000-0000C4480000}"/>
    <cellStyle name="Dane wyjściowe 2 14 9" xfId="18749" xr:uid="{00000000-0005-0000-0000-0000C5480000}"/>
    <cellStyle name="Dane wyjściowe 2 14 9 2" xfId="18750" xr:uid="{00000000-0005-0000-0000-0000C6480000}"/>
    <cellStyle name="Dane wyjściowe 2 14 9 2 2" xfId="18751" xr:uid="{00000000-0005-0000-0000-0000C7480000}"/>
    <cellStyle name="Dane wyjściowe 2 14 9 3" xfId="18752" xr:uid="{00000000-0005-0000-0000-0000C8480000}"/>
    <cellStyle name="Dane wyjściowe 2 15" xfId="18753" xr:uid="{00000000-0005-0000-0000-0000C9480000}"/>
    <cellStyle name="Dane wyjściowe 2 15 2" xfId="18754" xr:uid="{00000000-0005-0000-0000-0000CA480000}"/>
    <cellStyle name="Dane wyjściowe 2 15 2 2" xfId="18755" xr:uid="{00000000-0005-0000-0000-0000CB480000}"/>
    <cellStyle name="Dane wyjściowe 2 15 2 2 2" xfId="18756" xr:uid="{00000000-0005-0000-0000-0000CC480000}"/>
    <cellStyle name="Dane wyjściowe 2 15 2 2 2 2" xfId="18757" xr:uid="{00000000-0005-0000-0000-0000CD480000}"/>
    <cellStyle name="Dane wyjściowe 2 15 2 2 3" xfId="18758" xr:uid="{00000000-0005-0000-0000-0000CE480000}"/>
    <cellStyle name="Dane wyjściowe 2 15 2 3" xfId="18759" xr:uid="{00000000-0005-0000-0000-0000CF480000}"/>
    <cellStyle name="Dane wyjściowe 2 15 2 3 2" xfId="18760" xr:uid="{00000000-0005-0000-0000-0000D0480000}"/>
    <cellStyle name="Dane wyjściowe 2 15 2 3 2 2" xfId="18761" xr:uid="{00000000-0005-0000-0000-0000D1480000}"/>
    <cellStyle name="Dane wyjściowe 2 15 2 3 3" xfId="18762" xr:uid="{00000000-0005-0000-0000-0000D2480000}"/>
    <cellStyle name="Dane wyjściowe 2 15 2 4" xfId="18763" xr:uid="{00000000-0005-0000-0000-0000D3480000}"/>
    <cellStyle name="Dane wyjściowe 2 15 2 4 2" xfId="18764" xr:uid="{00000000-0005-0000-0000-0000D4480000}"/>
    <cellStyle name="Dane wyjściowe 2 15 2 4 2 2" xfId="18765" xr:uid="{00000000-0005-0000-0000-0000D5480000}"/>
    <cellStyle name="Dane wyjściowe 2 15 2 4 3" xfId="18766" xr:uid="{00000000-0005-0000-0000-0000D6480000}"/>
    <cellStyle name="Dane wyjściowe 2 15 2 5" xfId="18767" xr:uid="{00000000-0005-0000-0000-0000D7480000}"/>
    <cellStyle name="Dane wyjściowe 2 15 2 5 2" xfId="18768" xr:uid="{00000000-0005-0000-0000-0000D8480000}"/>
    <cellStyle name="Dane wyjściowe 2 15 2 6" xfId="18769" xr:uid="{00000000-0005-0000-0000-0000D9480000}"/>
    <cellStyle name="Dane wyjściowe 2 15 2 6 2" xfId="18770" xr:uid="{00000000-0005-0000-0000-0000DA480000}"/>
    <cellStyle name="Dane wyjściowe 2 15 2 7" xfId="18771" xr:uid="{00000000-0005-0000-0000-0000DB480000}"/>
    <cellStyle name="Dane wyjściowe 2 15 3" xfId="18772" xr:uid="{00000000-0005-0000-0000-0000DC480000}"/>
    <cellStyle name="Dane wyjściowe 2 15 3 2" xfId="18773" xr:uid="{00000000-0005-0000-0000-0000DD480000}"/>
    <cellStyle name="Dane wyjściowe 2 15 3 2 2" xfId="18774" xr:uid="{00000000-0005-0000-0000-0000DE480000}"/>
    <cellStyle name="Dane wyjściowe 2 15 3 3" xfId="18775" xr:uid="{00000000-0005-0000-0000-0000DF480000}"/>
    <cellStyle name="Dane wyjściowe 2 15 4" xfId="18776" xr:uid="{00000000-0005-0000-0000-0000E0480000}"/>
    <cellStyle name="Dane wyjściowe 2 15 4 2" xfId="18777" xr:uid="{00000000-0005-0000-0000-0000E1480000}"/>
    <cellStyle name="Dane wyjściowe 2 15 4 2 2" xfId="18778" xr:uid="{00000000-0005-0000-0000-0000E2480000}"/>
    <cellStyle name="Dane wyjściowe 2 15 4 3" xfId="18779" xr:uid="{00000000-0005-0000-0000-0000E3480000}"/>
    <cellStyle name="Dane wyjściowe 2 15 5" xfId="18780" xr:uid="{00000000-0005-0000-0000-0000E4480000}"/>
    <cellStyle name="Dane wyjściowe 2 15 5 2" xfId="18781" xr:uid="{00000000-0005-0000-0000-0000E5480000}"/>
    <cellStyle name="Dane wyjściowe 2 15 5 2 2" xfId="18782" xr:uid="{00000000-0005-0000-0000-0000E6480000}"/>
    <cellStyle name="Dane wyjściowe 2 15 5 3" xfId="18783" xr:uid="{00000000-0005-0000-0000-0000E7480000}"/>
    <cellStyle name="Dane wyjściowe 2 15 6" xfId="18784" xr:uid="{00000000-0005-0000-0000-0000E8480000}"/>
    <cellStyle name="Dane wyjściowe 2 15 6 2" xfId="18785" xr:uid="{00000000-0005-0000-0000-0000E9480000}"/>
    <cellStyle name="Dane wyjściowe 2 15 7" xfId="18786" xr:uid="{00000000-0005-0000-0000-0000EA480000}"/>
    <cellStyle name="Dane wyjściowe 2 15 7 2" xfId="18787" xr:uid="{00000000-0005-0000-0000-0000EB480000}"/>
    <cellStyle name="Dane wyjściowe 2 15 8" xfId="18788" xr:uid="{00000000-0005-0000-0000-0000EC480000}"/>
    <cellStyle name="Dane wyjściowe 2 16" xfId="18789" xr:uid="{00000000-0005-0000-0000-0000ED480000}"/>
    <cellStyle name="Dane wyjściowe 2 16 2" xfId="18790" xr:uid="{00000000-0005-0000-0000-0000EE480000}"/>
    <cellStyle name="Dane wyjściowe 2 16 2 2" xfId="18791" xr:uid="{00000000-0005-0000-0000-0000EF480000}"/>
    <cellStyle name="Dane wyjściowe 2 16 3" xfId="18792" xr:uid="{00000000-0005-0000-0000-0000F0480000}"/>
    <cellStyle name="Dane wyjściowe 2 17" xfId="18793" xr:uid="{00000000-0005-0000-0000-0000F1480000}"/>
    <cellStyle name="Dane wyjściowe 2 17 2" xfId="18794" xr:uid="{00000000-0005-0000-0000-0000F2480000}"/>
    <cellStyle name="Dane wyjściowe 2 17 2 2" xfId="18795" xr:uid="{00000000-0005-0000-0000-0000F3480000}"/>
    <cellStyle name="Dane wyjściowe 2 17 3" xfId="18796" xr:uid="{00000000-0005-0000-0000-0000F4480000}"/>
    <cellStyle name="Dane wyjściowe 2 18" xfId="18797" xr:uid="{00000000-0005-0000-0000-0000F5480000}"/>
    <cellStyle name="Dane wyjściowe 2 18 2" xfId="18798" xr:uid="{00000000-0005-0000-0000-0000F6480000}"/>
    <cellStyle name="Dane wyjściowe 2 18 2 2" xfId="18799" xr:uid="{00000000-0005-0000-0000-0000F7480000}"/>
    <cellStyle name="Dane wyjściowe 2 18 3" xfId="18800" xr:uid="{00000000-0005-0000-0000-0000F8480000}"/>
    <cellStyle name="Dane wyjściowe 2 19" xfId="18801" xr:uid="{00000000-0005-0000-0000-0000F9480000}"/>
    <cellStyle name="Dane wyjściowe 2 19 2" xfId="18802" xr:uid="{00000000-0005-0000-0000-0000FA480000}"/>
    <cellStyle name="Dane wyjściowe 2 19 2 2" xfId="18803" xr:uid="{00000000-0005-0000-0000-0000FB480000}"/>
    <cellStyle name="Dane wyjściowe 2 19 3" xfId="18804" xr:uid="{00000000-0005-0000-0000-0000FC480000}"/>
    <cellStyle name="Dane wyjściowe 2 2" xfId="18805" xr:uid="{00000000-0005-0000-0000-0000FD480000}"/>
    <cellStyle name="Dane wyjściowe 2 2 10" xfId="18806" xr:uid="{00000000-0005-0000-0000-0000FE480000}"/>
    <cellStyle name="Dane wyjściowe 2 2 10 10" xfId="18807" xr:uid="{00000000-0005-0000-0000-0000FF480000}"/>
    <cellStyle name="Dane wyjściowe 2 2 10 10 2" xfId="18808" xr:uid="{00000000-0005-0000-0000-000000490000}"/>
    <cellStyle name="Dane wyjściowe 2 2 10 10 2 2" xfId="18809" xr:uid="{00000000-0005-0000-0000-000001490000}"/>
    <cellStyle name="Dane wyjściowe 2 2 10 10 3" xfId="18810" xr:uid="{00000000-0005-0000-0000-000002490000}"/>
    <cellStyle name="Dane wyjściowe 2 2 10 11" xfId="18811" xr:uid="{00000000-0005-0000-0000-000003490000}"/>
    <cellStyle name="Dane wyjściowe 2 2 10 11 2" xfId="18812" xr:uid="{00000000-0005-0000-0000-000004490000}"/>
    <cellStyle name="Dane wyjściowe 2 2 10 12" xfId="18813" xr:uid="{00000000-0005-0000-0000-000005490000}"/>
    <cellStyle name="Dane wyjściowe 2 2 10 12 2" xfId="18814" xr:uid="{00000000-0005-0000-0000-000006490000}"/>
    <cellStyle name="Dane wyjściowe 2 2 10 13" xfId="18815" xr:uid="{00000000-0005-0000-0000-000007490000}"/>
    <cellStyle name="Dane wyjściowe 2 2 10 2" xfId="18816" xr:uid="{00000000-0005-0000-0000-000008490000}"/>
    <cellStyle name="Dane wyjściowe 2 2 10 2 10" xfId="18817" xr:uid="{00000000-0005-0000-0000-000009490000}"/>
    <cellStyle name="Dane wyjściowe 2 2 10 2 10 2" xfId="18818" xr:uid="{00000000-0005-0000-0000-00000A490000}"/>
    <cellStyle name="Dane wyjściowe 2 2 10 2 11" xfId="18819" xr:uid="{00000000-0005-0000-0000-00000B490000}"/>
    <cellStyle name="Dane wyjściowe 2 2 10 2 11 2" xfId="18820" xr:uid="{00000000-0005-0000-0000-00000C490000}"/>
    <cellStyle name="Dane wyjściowe 2 2 10 2 12" xfId="18821" xr:uid="{00000000-0005-0000-0000-00000D490000}"/>
    <cellStyle name="Dane wyjściowe 2 2 10 2 2" xfId="18822" xr:uid="{00000000-0005-0000-0000-00000E490000}"/>
    <cellStyle name="Dane wyjściowe 2 2 10 2 2 10" xfId="18823" xr:uid="{00000000-0005-0000-0000-00000F490000}"/>
    <cellStyle name="Dane wyjściowe 2 2 10 2 2 10 2" xfId="18824" xr:uid="{00000000-0005-0000-0000-000010490000}"/>
    <cellStyle name="Dane wyjściowe 2 2 10 2 2 11" xfId="18825" xr:uid="{00000000-0005-0000-0000-000011490000}"/>
    <cellStyle name="Dane wyjściowe 2 2 10 2 2 11 2" xfId="18826" xr:uid="{00000000-0005-0000-0000-000012490000}"/>
    <cellStyle name="Dane wyjściowe 2 2 10 2 2 12" xfId="18827" xr:uid="{00000000-0005-0000-0000-000013490000}"/>
    <cellStyle name="Dane wyjściowe 2 2 10 2 2 2" xfId="18828" xr:uid="{00000000-0005-0000-0000-000014490000}"/>
    <cellStyle name="Dane wyjściowe 2 2 10 2 2 2 2" xfId="18829" xr:uid="{00000000-0005-0000-0000-000015490000}"/>
    <cellStyle name="Dane wyjściowe 2 2 10 2 2 2 2 2" xfId="18830" xr:uid="{00000000-0005-0000-0000-000016490000}"/>
    <cellStyle name="Dane wyjściowe 2 2 10 2 2 2 2 2 2" xfId="18831" xr:uid="{00000000-0005-0000-0000-000017490000}"/>
    <cellStyle name="Dane wyjściowe 2 2 10 2 2 2 2 2 2 2" xfId="18832" xr:uid="{00000000-0005-0000-0000-000018490000}"/>
    <cellStyle name="Dane wyjściowe 2 2 10 2 2 2 2 2 3" xfId="18833" xr:uid="{00000000-0005-0000-0000-000019490000}"/>
    <cellStyle name="Dane wyjściowe 2 2 10 2 2 2 2 3" xfId="18834" xr:uid="{00000000-0005-0000-0000-00001A490000}"/>
    <cellStyle name="Dane wyjściowe 2 2 10 2 2 2 2 3 2" xfId="18835" xr:uid="{00000000-0005-0000-0000-00001B490000}"/>
    <cellStyle name="Dane wyjściowe 2 2 10 2 2 2 2 3 2 2" xfId="18836" xr:uid="{00000000-0005-0000-0000-00001C490000}"/>
    <cellStyle name="Dane wyjściowe 2 2 10 2 2 2 2 3 3" xfId="18837" xr:uid="{00000000-0005-0000-0000-00001D490000}"/>
    <cellStyle name="Dane wyjściowe 2 2 10 2 2 2 2 4" xfId="18838" xr:uid="{00000000-0005-0000-0000-00001E490000}"/>
    <cellStyle name="Dane wyjściowe 2 2 10 2 2 2 2 4 2" xfId="18839" xr:uid="{00000000-0005-0000-0000-00001F490000}"/>
    <cellStyle name="Dane wyjściowe 2 2 10 2 2 2 2 4 2 2" xfId="18840" xr:uid="{00000000-0005-0000-0000-000020490000}"/>
    <cellStyle name="Dane wyjściowe 2 2 10 2 2 2 2 4 3" xfId="18841" xr:uid="{00000000-0005-0000-0000-000021490000}"/>
    <cellStyle name="Dane wyjściowe 2 2 10 2 2 2 2 5" xfId="18842" xr:uid="{00000000-0005-0000-0000-000022490000}"/>
    <cellStyle name="Dane wyjściowe 2 2 10 2 2 2 2 5 2" xfId="18843" xr:uid="{00000000-0005-0000-0000-000023490000}"/>
    <cellStyle name="Dane wyjściowe 2 2 10 2 2 2 2 6" xfId="18844" xr:uid="{00000000-0005-0000-0000-000024490000}"/>
    <cellStyle name="Dane wyjściowe 2 2 10 2 2 2 2 6 2" xfId="18845" xr:uid="{00000000-0005-0000-0000-000025490000}"/>
    <cellStyle name="Dane wyjściowe 2 2 10 2 2 2 2 7" xfId="18846" xr:uid="{00000000-0005-0000-0000-000026490000}"/>
    <cellStyle name="Dane wyjściowe 2 2 10 2 2 2 3" xfId="18847" xr:uid="{00000000-0005-0000-0000-000027490000}"/>
    <cellStyle name="Dane wyjściowe 2 2 10 2 2 2 3 2" xfId="18848" xr:uid="{00000000-0005-0000-0000-000028490000}"/>
    <cellStyle name="Dane wyjściowe 2 2 10 2 2 2 3 2 2" xfId="18849" xr:uid="{00000000-0005-0000-0000-000029490000}"/>
    <cellStyle name="Dane wyjściowe 2 2 10 2 2 2 3 3" xfId="18850" xr:uid="{00000000-0005-0000-0000-00002A490000}"/>
    <cellStyle name="Dane wyjściowe 2 2 10 2 2 2 4" xfId="18851" xr:uid="{00000000-0005-0000-0000-00002B490000}"/>
    <cellStyle name="Dane wyjściowe 2 2 10 2 2 2 4 2" xfId="18852" xr:uid="{00000000-0005-0000-0000-00002C490000}"/>
    <cellStyle name="Dane wyjściowe 2 2 10 2 2 2 4 2 2" xfId="18853" xr:uid="{00000000-0005-0000-0000-00002D490000}"/>
    <cellStyle name="Dane wyjściowe 2 2 10 2 2 2 4 3" xfId="18854" xr:uid="{00000000-0005-0000-0000-00002E490000}"/>
    <cellStyle name="Dane wyjściowe 2 2 10 2 2 2 5" xfId="18855" xr:uid="{00000000-0005-0000-0000-00002F490000}"/>
    <cellStyle name="Dane wyjściowe 2 2 10 2 2 2 5 2" xfId="18856" xr:uid="{00000000-0005-0000-0000-000030490000}"/>
    <cellStyle name="Dane wyjściowe 2 2 10 2 2 2 5 2 2" xfId="18857" xr:uid="{00000000-0005-0000-0000-000031490000}"/>
    <cellStyle name="Dane wyjściowe 2 2 10 2 2 2 5 3" xfId="18858" xr:uid="{00000000-0005-0000-0000-000032490000}"/>
    <cellStyle name="Dane wyjściowe 2 2 10 2 2 2 6" xfId="18859" xr:uid="{00000000-0005-0000-0000-000033490000}"/>
    <cellStyle name="Dane wyjściowe 2 2 10 2 2 2 6 2" xfId="18860" xr:uid="{00000000-0005-0000-0000-000034490000}"/>
    <cellStyle name="Dane wyjściowe 2 2 10 2 2 2 7" xfId="18861" xr:uid="{00000000-0005-0000-0000-000035490000}"/>
    <cellStyle name="Dane wyjściowe 2 2 10 2 2 2 7 2" xfId="18862" xr:uid="{00000000-0005-0000-0000-000036490000}"/>
    <cellStyle name="Dane wyjściowe 2 2 10 2 2 2 8" xfId="18863" xr:uid="{00000000-0005-0000-0000-000037490000}"/>
    <cellStyle name="Dane wyjściowe 2 2 10 2 2 3" xfId="18864" xr:uid="{00000000-0005-0000-0000-000038490000}"/>
    <cellStyle name="Dane wyjściowe 2 2 10 2 2 3 2" xfId="18865" xr:uid="{00000000-0005-0000-0000-000039490000}"/>
    <cellStyle name="Dane wyjściowe 2 2 10 2 2 3 2 2" xfId="18866" xr:uid="{00000000-0005-0000-0000-00003A490000}"/>
    <cellStyle name="Dane wyjściowe 2 2 10 2 2 3 3" xfId="18867" xr:uid="{00000000-0005-0000-0000-00003B490000}"/>
    <cellStyle name="Dane wyjściowe 2 2 10 2 2 4" xfId="18868" xr:uid="{00000000-0005-0000-0000-00003C490000}"/>
    <cellStyle name="Dane wyjściowe 2 2 10 2 2 4 2" xfId="18869" xr:uid="{00000000-0005-0000-0000-00003D490000}"/>
    <cellStyle name="Dane wyjściowe 2 2 10 2 2 4 2 2" xfId="18870" xr:uid="{00000000-0005-0000-0000-00003E490000}"/>
    <cellStyle name="Dane wyjściowe 2 2 10 2 2 4 3" xfId="18871" xr:uid="{00000000-0005-0000-0000-00003F490000}"/>
    <cellStyle name="Dane wyjściowe 2 2 10 2 2 5" xfId="18872" xr:uid="{00000000-0005-0000-0000-000040490000}"/>
    <cellStyle name="Dane wyjściowe 2 2 10 2 2 5 2" xfId="18873" xr:uid="{00000000-0005-0000-0000-000041490000}"/>
    <cellStyle name="Dane wyjściowe 2 2 10 2 2 5 2 2" xfId="18874" xr:uid="{00000000-0005-0000-0000-000042490000}"/>
    <cellStyle name="Dane wyjściowe 2 2 10 2 2 5 3" xfId="18875" xr:uid="{00000000-0005-0000-0000-000043490000}"/>
    <cellStyle name="Dane wyjściowe 2 2 10 2 2 6" xfId="18876" xr:uid="{00000000-0005-0000-0000-000044490000}"/>
    <cellStyle name="Dane wyjściowe 2 2 10 2 2 6 2" xfId="18877" xr:uid="{00000000-0005-0000-0000-000045490000}"/>
    <cellStyle name="Dane wyjściowe 2 2 10 2 2 6 2 2" xfId="18878" xr:uid="{00000000-0005-0000-0000-000046490000}"/>
    <cellStyle name="Dane wyjściowe 2 2 10 2 2 6 3" xfId="18879" xr:uid="{00000000-0005-0000-0000-000047490000}"/>
    <cellStyle name="Dane wyjściowe 2 2 10 2 2 7" xfId="18880" xr:uid="{00000000-0005-0000-0000-000048490000}"/>
    <cellStyle name="Dane wyjściowe 2 2 10 2 2 7 2" xfId="18881" xr:uid="{00000000-0005-0000-0000-000049490000}"/>
    <cellStyle name="Dane wyjściowe 2 2 10 2 2 7 2 2" xfId="18882" xr:uid="{00000000-0005-0000-0000-00004A490000}"/>
    <cellStyle name="Dane wyjściowe 2 2 10 2 2 7 2 2 2" xfId="18883" xr:uid="{00000000-0005-0000-0000-00004B490000}"/>
    <cellStyle name="Dane wyjściowe 2 2 10 2 2 7 2 3" xfId="18884" xr:uid="{00000000-0005-0000-0000-00004C490000}"/>
    <cellStyle name="Dane wyjściowe 2 2 10 2 2 7 3" xfId="18885" xr:uid="{00000000-0005-0000-0000-00004D490000}"/>
    <cellStyle name="Dane wyjściowe 2 2 10 2 2 7 3 2" xfId="18886" xr:uid="{00000000-0005-0000-0000-00004E490000}"/>
    <cellStyle name="Dane wyjściowe 2 2 10 2 2 7 3 2 2" xfId="18887" xr:uid="{00000000-0005-0000-0000-00004F490000}"/>
    <cellStyle name="Dane wyjściowe 2 2 10 2 2 7 3 3" xfId="18888" xr:uid="{00000000-0005-0000-0000-000050490000}"/>
    <cellStyle name="Dane wyjściowe 2 2 10 2 2 7 4" xfId="18889" xr:uid="{00000000-0005-0000-0000-000051490000}"/>
    <cellStyle name="Dane wyjściowe 2 2 10 2 2 7 4 2" xfId="18890" xr:uid="{00000000-0005-0000-0000-000052490000}"/>
    <cellStyle name="Dane wyjściowe 2 2 10 2 2 7 4 2 2" xfId="18891" xr:uid="{00000000-0005-0000-0000-000053490000}"/>
    <cellStyle name="Dane wyjściowe 2 2 10 2 2 7 4 3" xfId="18892" xr:uid="{00000000-0005-0000-0000-000054490000}"/>
    <cellStyle name="Dane wyjściowe 2 2 10 2 2 7 5" xfId="18893" xr:uid="{00000000-0005-0000-0000-000055490000}"/>
    <cellStyle name="Dane wyjściowe 2 2 10 2 2 7 5 2" xfId="18894" xr:uid="{00000000-0005-0000-0000-000056490000}"/>
    <cellStyle name="Dane wyjściowe 2 2 10 2 2 7 6" xfId="18895" xr:uid="{00000000-0005-0000-0000-000057490000}"/>
    <cellStyle name="Dane wyjściowe 2 2 10 2 2 7 6 2" xfId="18896" xr:uid="{00000000-0005-0000-0000-000058490000}"/>
    <cellStyle name="Dane wyjściowe 2 2 10 2 2 7 7" xfId="18897" xr:uid="{00000000-0005-0000-0000-000059490000}"/>
    <cellStyle name="Dane wyjściowe 2 2 10 2 2 8" xfId="18898" xr:uid="{00000000-0005-0000-0000-00005A490000}"/>
    <cellStyle name="Dane wyjściowe 2 2 10 2 2 8 2" xfId="18899" xr:uid="{00000000-0005-0000-0000-00005B490000}"/>
    <cellStyle name="Dane wyjściowe 2 2 10 2 2 8 2 2" xfId="18900" xr:uid="{00000000-0005-0000-0000-00005C490000}"/>
    <cellStyle name="Dane wyjściowe 2 2 10 2 2 8 3" xfId="18901" xr:uid="{00000000-0005-0000-0000-00005D490000}"/>
    <cellStyle name="Dane wyjściowe 2 2 10 2 2 9" xfId="18902" xr:uid="{00000000-0005-0000-0000-00005E490000}"/>
    <cellStyle name="Dane wyjściowe 2 2 10 2 2 9 2" xfId="18903" xr:uid="{00000000-0005-0000-0000-00005F490000}"/>
    <cellStyle name="Dane wyjściowe 2 2 10 2 2 9 2 2" xfId="18904" xr:uid="{00000000-0005-0000-0000-000060490000}"/>
    <cellStyle name="Dane wyjściowe 2 2 10 2 2 9 3" xfId="18905" xr:uid="{00000000-0005-0000-0000-000061490000}"/>
    <cellStyle name="Dane wyjściowe 2 2 10 2 3" xfId="18906" xr:uid="{00000000-0005-0000-0000-000062490000}"/>
    <cellStyle name="Dane wyjściowe 2 2 10 2 3 2" xfId="18907" xr:uid="{00000000-0005-0000-0000-000063490000}"/>
    <cellStyle name="Dane wyjściowe 2 2 10 2 3 2 2" xfId="18908" xr:uid="{00000000-0005-0000-0000-000064490000}"/>
    <cellStyle name="Dane wyjściowe 2 2 10 2 3 2 2 2" xfId="18909" xr:uid="{00000000-0005-0000-0000-000065490000}"/>
    <cellStyle name="Dane wyjściowe 2 2 10 2 3 2 2 2 2" xfId="18910" xr:uid="{00000000-0005-0000-0000-000066490000}"/>
    <cellStyle name="Dane wyjściowe 2 2 10 2 3 2 2 3" xfId="18911" xr:uid="{00000000-0005-0000-0000-000067490000}"/>
    <cellStyle name="Dane wyjściowe 2 2 10 2 3 2 3" xfId="18912" xr:uid="{00000000-0005-0000-0000-000068490000}"/>
    <cellStyle name="Dane wyjściowe 2 2 10 2 3 2 3 2" xfId="18913" xr:uid="{00000000-0005-0000-0000-000069490000}"/>
    <cellStyle name="Dane wyjściowe 2 2 10 2 3 2 3 2 2" xfId="18914" xr:uid="{00000000-0005-0000-0000-00006A490000}"/>
    <cellStyle name="Dane wyjściowe 2 2 10 2 3 2 3 3" xfId="18915" xr:uid="{00000000-0005-0000-0000-00006B490000}"/>
    <cellStyle name="Dane wyjściowe 2 2 10 2 3 2 4" xfId="18916" xr:uid="{00000000-0005-0000-0000-00006C490000}"/>
    <cellStyle name="Dane wyjściowe 2 2 10 2 3 2 4 2" xfId="18917" xr:uid="{00000000-0005-0000-0000-00006D490000}"/>
    <cellStyle name="Dane wyjściowe 2 2 10 2 3 2 4 2 2" xfId="18918" xr:uid="{00000000-0005-0000-0000-00006E490000}"/>
    <cellStyle name="Dane wyjściowe 2 2 10 2 3 2 4 3" xfId="18919" xr:uid="{00000000-0005-0000-0000-00006F490000}"/>
    <cellStyle name="Dane wyjściowe 2 2 10 2 3 2 5" xfId="18920" xr:uid="{00000000-0005-0000-0000-000070490000}"/>
    <cellStyle name="Dane wyjściowe 2 2 10 2 3 2 5 2" xfId="18921" xr:uid="{00000000-0005-0000-0000-000071490000}"/>
    <cellStyle name="Dane wyjściowe 2 2 10 2 3 2 6" xfId="18922" xr:uid="{00000000-0005-0000-0000-000072490000}"/>
    <cellStyle name="Dane wyjściowe 2 2 10 2 3 2 6 2" xfId="18923" xr:uid="{00000000-0005-0000-0000-000073490000}"/>
    <cellStyle name="Dane wyjściowe 2 2 10 2 3 2 7" xfId="18924" xr:uid="{00000000-0005-0000-0000-000074490000}"/>
    <cellStyle name="Dane wyjściowe 2 2 10 2 3 3" xfId="18925" xr:uid="{00000000-0005-0000-0000-000075490000}"/>
    <cellStyle name="Dane wyjściowe 2 2 10 2 3 3 2" xfId="18926" xr:uid="{00000000-0005-0000-0000-000076490000}"/>
    <cellStyle name="Dane wyjściowe 2 2 10 2 3 3 2 2" xfId="18927" xr:uid="{00000000-0005-0000-0000-000077490000}"/>
    <cellStyle name="Dane wyjściowe 2 2 10 2 3 3 3" xfId="18928" xr:uid="{00000000-0005-0000-0000-000078490000}"/>
    <cellStyle name="Dane wyjściowe 2 2 10 2 3 4" xfId="18929" xr:uid="{00000000-0005-0000-0000-000079490000}"/>
    <cellStyle name="Dane wyjściowe 2 2 10 2 3 4 2" xfId="18930" xr:uid="{00000000-0005-0000-0000-00007A490000}"/>
    <cellStyle name="Dane wyjściowe 2 2 10 2 3 4 2 2" xfId="18931" xr:uid="{00000000-0005-0000-0000-00007B490000}"/>
    <cellStyle name="Dane wyjściowe 2 2 10 2 3 4 3" xfId="18932" xr:uid="{00000000-0005-0000-0000-00007C490000}"/>
    <cellStyle name="Dane wyjściowe 2 2 10 2 3 5" xfId="18933" xr:uid="{00000000-0005-0000-0000-00007D490000}"/>
    <cellStyle name="Dane wyjściowe 2 2 10 2 3 5 2" xfId="18934" xr:uid="{00000000-0005-0000-0000-00007E490000}"/>
    <cellStyle name="Dane wyjściowe 2 2 10 2 3 5 2 2" xfId="18935" xr:uid="{00000000-0005-0000-0000-00007F490000}"/>
    <cellStyle name="Dane wyjściowe 2 2 10 2 3 5 3" xfId="18936" xr:uid="{00000000-0005-0000-0000-000080490000}"/>
    <cellStyle name="Dane wyjściowe 2 2 10 2 3 6" xfId="18937" xr:uid="{00000000-0005-0000-0000-000081490000}"/>
    <cellStyle name="Dane wyjściowe 2 2 10 2 3 6 2" xfId="18938" xr:uid="{00000000-0005-0000-0000-000082490000}"/>
    <cellStyle name="Dane wyjściowe 2 2 10 2 3 7" xfId="18939" xr:uid="{00000000-0005-0000-0000-000083490000}"/>
    <cellStyle name="Dane wyjściowe 2 2 10 2 3 7 2" xfId="18940" xr:uid="{00000000-0005-0000-0000-000084490000}"/>
    <cellStyle name="Dane wyjściowe 2 2 10 2 3 8" xfId="18941" xr:uid="{00000000-0005-0000-0000-000085490000}"/>
    <cellStyle name="Dane wyjściowe 2 2 10 2 4" xfId="18942" xr:uid="{00000000-0005-0000-0000-000086490000}"/>
    <cellStyle name="Dane wyjściowe 2 2 10 2 4 2" xfId="18943" xr:uid="{00000000-0005-0000-0000-000087490000}"/>
    <cellStyle name="Dane wyjściowe 2 2 10 2 4 2 2" xfId="18944" xr:uid="{00000000-0005-0000-0000-000088490000}"/>
    <cellStyle name="Dane wyjściowe 2 2 10 2 4 3" xfId="18945" xr:uid="{00000000-0005-0000-0000-000089490000}"/>
    <cellStyle name="Dane wyjściowe 2 2 10 2 5" xfId="18946" xr:uid="{00000000-0005-0000-0000-00008A490000}"/>
    <cellStyle name="Dane wyjściowe 2 2 10 2 5 2" xfId="18947" xr:uid="{00000000-0005-0000-0000-00008B490000}"/>
    <cellStyle name="Dane wyjściowe 2 2 10 2 5 2 2" xfId="18948" xr:uid="{00000000-0005-0000-0000-00008C490000}"/>
    <cellStyle name="Dane wyjściowe 2 2 10 2 5 3" xfId="18949" xr:uid="{00000000-0005-0000-0000-00008D490000}"/>
    <cellStyle name="Dane wyjściowe 2 2 10 2 6" xfId="18950" xr:uid="{00000000-0005-0000-0000-00008E490000}"/>
    <cellStyle name="Dane wyjściowe 2 2 10 2 6 2" xfId="18951" xr:uid="{00000000-0005-0000-0000-00008F490000}"/>
    <cellStyle name="Dane wyjściowe 2 2 10 2 6 2 2" xfId="18952" xr:uid="{00000000-0005-0000-0000-000090490000}"/>
    <cellStyle name="Dane wyjściowe 2 2 10 2 6 3" xfId="18953" xr:uid="{00000000-0005-0000-0000-000091490000}"/>
    <cellStyle name="Dane wyjściowe 2 2 10 2 7" xfId="18954" xr:uid="{00000000-0005-0000-0000-000092490000}"/>
    <cellStyle name="Dane wyjściowe 2 2 10 2 7 2" xfId="18955" xr:uid="{00000000-0005-0000-0000-000093490000}"/>
    <cellStyle name="Dane wyjściowe 2 2 10 2 7 2 2" xfId="18956" xr:uid="{00000000-0005-0000-0000-000094490000}"/>
    <cellStyle name="Dane wyjściowe 2 2 10 2 7 2 2 2" xfId="18957" xr:uid="{00000000-0005-0000-0000-000095490000}"/>
    <cellStyle name="Dane wyjściowe 2 2 10 2 7 2 3" xfId="18958" xr:uid="{00000000-0005-0000-0000-000096490000}"/>
    <cellStyle name="Dane wyjściowe 2 2 10 2 7 3" xfId="18959" xr:uid="{00000000-0005-0000-0000-000097490000}"/>
    <cellStyle name="Dane wyjściowe 2 2 10 2 7 3 2" xfId="18960" xr:uid="{00000000-0005-0000-0000-000098490000}"/>
    <cellStyle name="Dane wyjściowe 2 2 10 2 7 3 2 2" xfId="18961" xr:uid="{00000000-0005-0000-0000-000099490000}"/>
    <cellStyle name="Dane wyjściowe 2 2 10 2 7 3 3" xfId="18962" xr:uid="{00000000-0005-0000-0000-00009A490000}"/>
    <cellStyle name="Dane wyjściowe 2 2 10 2 7 4" xfId="18963" xr:uid="{00000000-0005-0000-0000-00009B490000}"/>
    <cellStyle name="Dane wyjściowe 2 2 10 2 7 4 2" xfId="18964" xr:uid="{00000000-0005-0000-0000-00009C490000}"/>
    <cellStyle name="Dane wyjściowe 2 2 10 2 7 4 2 2" xfId="18965" xr:uid="{00000000-0005-0000-0000-00009D490000}"/>
    <cellStyle name="Dane wyjściowe 2 2 10 2 7 4 3" xfId="18966" xr:uid="{00000000-0005-0000-0000-00009E490000}"/>
    <cellStyle name="Dane wyjściowe 2 2 10 2 7 5" xfId="18967" xr:uid="{00000000-0005-0000-0000-00009F490000}"/>
    <cellStyle name="Dane wyjściowe 2 2 10 2 7 5 2" xfId="18968" xr:uid="{00000000-0005-0000-0000-0000A0490000}"/>
    <cellStyle name="Dane wyjściowe 2 2 10 2 7 6" xfId="18969" xr:uid="{00000000-0005-0000-0000-0000A1490000}"/>
    <cellStyle name="Dane wyjściowe 2 2 10 2 7 6 2" xfId="18970" xr:uid="{00000000-0005-0000-0000-0000A2490000}"/>
    <cellStyle name="Dane wyjściowe 2 2 10 2 7 7" xfId="18971" xr:uid="{00000000-0005-0000-0000-0000A3490000}"/>
    <cellStyle name="Dane wyjściowe 2 2 10 2 8" xfId="18972" xr:uid="{00000000-0005-0000-0000-0000A4490000}"/>
    <cellStyle name="Dane wyjściowe 2 2 10 2 8 2" xfId="18973" xr:uid="{00000000-0005-0000-0000-0000A5490000}"/>
    <cellStyle name="Dane wyjściowe 2 2 10 2 8 2 2" xfId="18974" xr:uid="{00000000-0005-0000-0000-0000A6490000}"/>
    <cellStyle name="Dane wyjściowe 2 2 10 2 8 3" xfId="18975" xr:uid="{00000000-0005-0000-0000-0000A7490000}"/>
    <cellStyle name="Dane wyjściowe 2 2 10 2 9" xfId="18976" xr:uid="{00000000-0005-0000-0000-0000A8490000}"/>
    <cellStyle name="Dane wyjściowe 2 2 10 2 9 2" xfId="18977" xr:uid="{00000000-0005-0000-0000-0000A9490000}"/>
    <cellStyle name="Dane wyjściowe 2 2 10 2 9 2 2" xfId="18978" xr:uid="{00000000-0005-0000-0000-0000AA490000}"/>
    <cellStyle name="Dane wyjściowe 2 2 10 2 9 3" xfId="18979" xr:uid="{00000000-0005-0000-0000-0000AB490000}"/>
    <cellStyle name="Dane wyjściowe 2 2 10 3" xfId="18980" xr:uid="{00000000-0005-0000-0000-0000AC490000}"/>
    <cellStyle name="Dane wyjściowe 2 2 10 3 2" xfId="18981" xr:uid="{00000000-0005-0000-0000-0000AD490000}"/>
    <cellStyle name="Dane wyjściowe 2 2 10 3 2 2" xfId="18982" xr:uid="{00000000-0005-0000-0000-0000AE490000}"/>
    <cellStyle name="Dane wyjściowe 2 2 10 3 2 2 2" xfId="18983" xr:uid="{00000000-0005-0000-0000-0000AF490000}"/>
    <cellStyle name="Dane wyjściowe 2 2 10 3 2 2 2 2" xfId="18984" xr:uid="{00000000-0005-0000-0000-0000B0490000}"/>
    <cellStyle name="Dane wyjściowe 2 2 10 3 2 2 3" xfId="18985" xr:uid="{00000000-0005-0000-0000-0000B1490000}"/>
    <cellStyle name="Dane wyjściowe 2 2 10 3 2 3" xfId="18986" xr:uid="{00000000-0005-0000-0000-0000B2490000}"/>
    <cellStyle name="Dane wyjściowe 2 2 10 3 2 3 2" xfId="18987" xr:uid="{00000000-0005-0000-0000-0000B3490000}"/>
    <cellStyle name="Dane wyjściowe 2 2 10 3 2 3 2 2" xfId="18988" xr:uid="{00000000-0005-0000-0000-0000B4490000}"/>
    <cellStyle name="Dane wyjściowe 2 2 10 3 2 3 3" xfId="18989" xr:uid="{00000000-0005-0000-0000-0000B5490000}"/>
    <cellStyle name="Dane wyjściowe 2 2 10 3 2 4" xfId="18990" xr:uid="{00000000-0005-0000-0000-0000B6490000}"/>
    <cellStyle name="Dane wyjściowe 2 2 10 3 2 4 2" xfId="18991" xr:uid="{00000000-0005-0000-0000-0000B7490000}"/>
    <cellStyle name="Dane wyjściowe 2 2 10 3 2 4 2 2" xfId="18992" xr:uid="{00000000-0005-0000-0000-0000B8490000}"/>
    <cellStyle name="Dane wyjściowe 2 2 10 3 2 4 3" xfId="18993" xr:uid="{00000000-0005-0000-0000-0000B9490000}"/>
    <cellStyle name="Dane wyjściowe 2 2 10 3 2 5" xfId="18994" xr:uid="{00000000-0005-0000-0000-0000BA490000}"/>
    <cellStyle name="Dane wyjściowe 2 2 10 3 2 5 2" xfId="18995" xr:uid="{00000000-0005-0000-0000-0000BB490000}"/>
    <cellStyle name="Dane wyjściowe 2 2 10 3 2 6" xfId="18996" xr:uid="{00000000-0005-0000-0000-0000BC490000}"/>
    <cellStyle name="Dane wyjściowe 2 2 10 3 2 6 2" xfId="18997" xr:uid="{00000000-0005-0000-0000-0000BD490000}"/>
    <cellStyle name="Dane wyjściowe 2 2 10 3 2 7" xfId="18998" xr:uid="{00000000-0005-0000-0000-0000BE490000}"/>
    <cellStyle name="Dane wyjściowe 2 2 10 3 3" xfId="18999" xr:uid="{00000000-0005-0000-0000-0000BF490000}"/>
    <cellStyle name="Dane wyjściowe 2 2 10 3 3 2" xfId="19000" xr:uid="{00000000-0005-0000-0000-0000C0490000}"/>
    <cellStyle name="Dane wyjściowe 2 2 10 3 3 2 2" xfId="19001" xr:uid="{00000000-0005-0000-0000-0000C1490000}"/>
    <cellStyle name="Dane wyjściowe 2 2 10 3 3 3" xfId="19002" xr:uid="{00000000-0005-0000-0000-0000C2490000}"/>
    <cellStyle name="Dane wyjściowe 2 2 10 3 4" xfId="19003" xr:uid="{00000000-0005-0000-0000-0000C3490000}"/>
    <cellStyle name="Dane wyjściowe 2 2 10 3 4 2" xfId="19004" xr:uid="{00000000-0005-0000-0000-0000C4490000}"/>
    <cellStyle name="Dane wyjściowe 2 2 10 3 4 2 2" xfId="19005" xr:uid="{00000000-0005-0000-0000-0000C5490000}"/>
    <cellStyle name="Dane wyjściowe 2 2 10 3 4 3" xfId="19006" xr:uid="{00000000-0005-0000-0000-0000C6490000}"/>
    <cellStyle name="Dane wyjściowe 2 2 10 3 5" xfId="19007" xr:uid="{00000000-0005-0000-0000-0000C7490000}"/>
    <cellStyle name="Dane wyjściowe 2 2 10 3 5 2" xfId="19008" xr:uid="{00000000-0005-0000-0000-0000C8490000}"/>
    <cellStyle name="Dane wyjściowe 2 2 10 3 5 2 2" xfId="19009" xr:uid="{00000000-0005-0000-0000-0000C9490000}"/>
    <cellStyle name="Dane wyjściowe 2 2 10 3 5 3" xfId="19010" xr:uid="{00000000-0005-0000-0000-0000CA490000}"/>
    <cellStyle name="Dane wyjściowe 2 2 10 3 6" xfId="19011" xr:uid="{00000000-0005-0000-0000-0000CB490000}"/>
    <cellStyle name="Dane wyjściowe 2 2 10 3 6 2" xfId="19012" xr:uid="{00000000-0005-0000-0000-0000CC490000}"/>
    <cellStyle name="Dane wyjściowe 2 2 10 3 7" xfId="19013" xr:uid="{00000000-0005-0000-0000-0000CD490000}"/>
    <cellStyle name="Dane wyjściowe 2 2 10 3 7 2" xfId="19014" xr:uid="{00000000-0005-0000-0000-0000CE490000}"/>
    <cellStyle name="Dane wyjściowe 2 2 10 3 8" xfId="19015" xr:uid="{00000000-0005-0000-0000-0000CF490000}"/>
    <cellStyle name="Dane wyjściowe 2 2 10 4" xfId="19016" xr:uid="{00000000-0005-0000-0000-0000D0490000}"/>
    <cellStyle name="Dane wyjściowe 2 2 10 4 2" xfId="19017" xr:uid="{00000000-0005-0000-0000-0000D1490000}"/>
    <cellStyle name="Dane wyjściowe 2 2 10 4 2 2" xfId="19018" xr:uid="{00000000-0005-0000-0000-0000D2490000}"/>
    <cellStyle name="Dane wyjściowe 2 2 10 4 3" xfId="19019" xr:uid="{00000000-0005-0000-0000-0000D3490000}"/>
    <cellStyle name="Dane wyjściowe 2 2 10 5" xfId="19020" xr:uid="{00000000-0005-0000-0000-0000D4490000}"/>
    <cellStyle name="Dane wyjściowe 2 2 10 5 2" xfId="19021" xr:uid="{00000000-0005-0000-0000-0000D5490000}"/>
    <cellStyle name="Dane wyjściowe 2 2 10 5 2 2" xfId="19022" xr:uid="{00000000-0005-0000-0000-0000D6490000}"/>
    <cellStyle name="Dane wyjściowe 2 2 10 5 3" xfId="19023" xr:uid="{00000000-0005-0000-0000-0000D7490000}"/>
    <cellStyle name="Dane wyjściowe 2 2 10 6" xfId="19024" xr:uid="{00000000-0005-0000-0000-0000D8490000}"/>
    <cellStyle name="Dane wyjściowe 2 2 10 6 2" xfId="19025" xr:uid="{00000000-0005-0000-0000-0000D9490000}"/>
    <cellStyle name="Dane wyjściowe 2 2 10 6 2 2" xfId="19026" xr:uid="{00000000-0005-0000-0000-0000DA490000}"/>
    <cellStyle name="Dane wyjściowe 2 2 10 6 3" xfId="19027" xr:uid="{00000000-0005-0000-0000-0000DB490000}"/>
    <cellStyle name="Dane wyjściowe 2 2 10 7" xfId="19028" xr:uid="{00000000-0005-0000-0000-0000DC490000}"/>
    <cellStyle name="Dane wyjściowe 2 2 10 7 2" xfId="19029" xr:uid="{00000000-0005-0000-0000-0000DD490000}"/>
    <cellStyle name="Dane wyjściowe 2 2 10 7 2 2" xfId="19030" xr:uid="{00000000-0005-0000-0000-0000DE490000}"/>
    <cellStyle name="Dane wyjściowe 2 2 10 7 3" xfId="19031" xr:uid="{00000000-0005-0000-0000-0000DF490000}"/>
    <cellStyle name="Dane wyjściowe 2 2 10 8" xfId="19032" xr:uid="{00000000-0005-0000-0000-0000E0490000}"/>
    <cellStyle name="Dane wyjściowe 2 2 10 8 2" xfId="19033" xr:uid="{00000000-0005-0000-0000-0000E1490000}"/>
    <cellStyle name="Dane wyjściowe 2 2 10 8 2 2" xfId="19034" xr:uid="{00000000-0005-0000-0000-0000E2490000}"/>
    <cellStyle name="Dane wyjściowe 2 2 10 8 2 2 2" xfId="19035" xr:uid="{00000000-0005-0000-0000-0000E3490000}"/>
    <cellStyle name="Dane wyjściowe 2 2 10 8 2 3" xfId="19036" xr:uid="{00000000-0005-0000-0000-0000E4490000}"/>
    <cellStyle name="Dane wyjściowe 2 2 10 8 3" xfId="19037" xr:uid="{00000000-0005-0000-0000-0000E5490000}"/>
    <cellStyle name="Dane wyjściowe 2 2 10 8 3 2" xfId="19038" xr:uid="{00000000-0005-0000-0000-0000E6490000}"/>
    <cellStyle name="Dane wyjściowe 2 2 10 8 3 2 2" xfId="19039" xr:uid="{00000000-0005-0000-0000-0000E7490000}"/>
    <cellStyle name="Dane wyjściowe 2 2 10 8 3 3" xfId="19040" xr:uid="{00000000-0005-0000-0000-0000E8490000}"/>
    <cellStyle name="Dane wyjściowe 2 2 10 8 4" xfId="19041" xr:uid="{00000000-0005-0000-0000-0000E9490000}"/>
    <cellStyle name="Dane wyjściowe 2 2 10 8 4 2" xfId="19042" xr:uid="{00000000-0005-0000-0000-0000EA490000}"/>
    <cellStyle name="Dane wyjściowe 2 2 10 8 4 2 2" xfId="19043" xr:uid="{00000000-0005-0000-0000-0000EB490000}"/>
    <cellStyle name="Dane wyjściowe 2 2 10 8 4 3" xfId="19044" xr:uid="{00000000-0005-0000-0000-0000EC490000}"/>
    <cellStyle name="Dane wyjściowe 2 2 10 8 5" xfId="19045" xr:uid="{00000000-0005-0000-0000-0000ED490000}"/>
    <cellStyle name="Dane wyjściowe 2 2 10 8 5 2" xfId="19046" xr:uid="{00000000-0005-0000-0000-0000EE490000}"/>
    <cellStyle name="Dane wyjściowe 2 2 10 8 6" xfId="19047" xr:uid="{00000000-0005-0000-0000-0000EF490000}"/>
    <cellStyle name="Dane wyjściowe 2 2 10 8 6 2" xfId="19048" xr:uid="{00000000-0005-0000-0000-0000F0490000}"/>
    <cellStyle name="Dane wyjściowe 2 2 10 8 7" xfId="19049" xr:uid="{00000000-0005-0000-0000-0000F1490000}"/>
    <cellStyle name="Dane wyjściowe 2 2 10 9" xfId="19050" xr:uid="{00000000-0005-0000-0000-0000F2490000}"/>
    <cellStyle name="Dane wyjściowe 2 2 10 9 2" xfId="19051" xr:uid="{00000000-0005-0000-0000-0000F3490000}"/>
    <cellStyle name="Dane wyjściowe 2 2 10 9 2 2" xfId="19052" xr:uid="{00000000-0005-0000-0000-0000F4490000}"/>
    <cellStyle name="Dane wyjściowe 2 2 10 9 3" xfId="19053" xr:uid="{00000000-0005-0000-0000-0000F5490000}"/>
    <cellStyle name="Dane wyjściowe 2 2 11" xfId="19054" xr:uid="{00000000-0005-0000-0000-0000F6490000}"/>
    <cellStyle name="Dane wyjściowe 2 2 11 10" xfId="19055" xr:uid="{00000000-0005-0000-0000-0000F7490000}"/>
    <cellStyle name="Dane wyjściowe 2 2 11 10 2" xfId="19056" xr:uid="{00000000-0005-0000-0000-0000F8490000}"/>
    <cellStyle name="Dane wyjściowe 2 2 11 11" xfId="19057" xr:uid="{00000000-0005-0000-0000-0000F9490000}"/>
    <cellStyle name="Dane wyjściowe 2 2 11 11 2" xfId="19058" xr:uid="{00000000-0005-0000-0000-0000FA490000}"/>
    <cellStyle name="Dane wyjściowe 2 2 11 12" xfId="19059" xr:uid="{00000000-0005-0000-0000-0000FB490000}"/>
    <cellStyle name="Dane wyjściowe 2 2 11 2" xfId="19060" xr:uid="{00000000-0005-0000-0000-0000FC490000}"/>
    <cellStyle name="Dane wyjściowe 2 2 11 2 2" xfId="19061" xr:uid="{00000000-0005-0000-0000-0000FD490000}"/>
    <cellStyle name="Dane wyjściowe 2 2 11 2 2 2" xfId="19062" xr:uid="{00000000-0005-0000-0000-0000FE490000}"/>
    <cellStyle name="Dane wyjściowe 2 2 11 2 2 2 2" xfId="19063" xr:uid="{00000000-0005-0000-0000-0000FF490000}"/>
    <cellStyle name="Dane wyjściowe 2 2 11 2 2 2 2 2" xfId="19064" xr:uid="{00000000-0005-0000-0000-0000004A0000}"/>
    <cellStyle name="Dane wyjściowe 2 2 11 2 2 2 3" xfId="19065" xr:uid="{00000000-0005-0000-0000-0000014A0000}"/>
    <cellStyle name="Dane wyjściowe 2 2 11 2 2 3" xfId="19066" xr:uid="{00000000-0005-0000-0000-0000024A0000}"/>
    <cellStyle name="Dane wyjściowe 2 2 11 2 2 3 2" xfId="19067" xr:uid="{00000000-0005-0000-0000-0000034A0000}"/>
    <cellStyle name="Dane wyjściowe 2 2 11 2 2 3 2 2" xfId="19068" xr:uid="{00000000-0005-0000-0000-0000044A0000}"/>
    <cellStyle name="Dane wyjściowe 2 2 11 2 2 3 3" xfId="19069" xr:uid="{00000000-0005-0000-0000-0000054A0000}"/>
    <cellStyle name="Dane wyjściowe 2 2 11 2 2 4" xfId="19070" xr:uid="{00000000-0005-0000-0000-0000064A0000}"/>
    <cellStyle name="Dane wyjściowe 2 2 11 2 2 4 2" xfId="19071" xr:uid="{00000000-0005-0000-0000-0000074A0000}"/>
    <cellStyle name="Dane wyjściowe 2 2 11 2 2 4 2 2" xfId="19072" xr:uid="{00000000-0005-0000-0000-0000084A0000}"/>
    <cellStyle name="Dane wyjściowe 2 2 11 2 2 4 3" xfId="19073" xr:uid="{00000000-0005-0000-0000-0000094A0000}"/>
    <cellStyle name="Dane wyjściowe 2 2 11 2 2 5" xfId="19074" xr:uid="{00000000-0005-0000-0000-00000A4A0000}"/>
    <cellStyle name="Dane wyjściowe 2 2 11 2 2 5 2" xfId="19075" xr:uid="{00000000-0005-0000-0000-00000B4A0000}"/>
    <cellStyle name="Dane wyjściowe 2 2 11 2 2 6" xfId="19076" xr:uid="{00000000-0005-0000-0000-00000C4A0000}"/>
    <cellStyle name="Dane wyjściowe 2 2 11 2 2 6 2" xfId="19077" xr:uid="{00000000-0005-0000-0000-00000D4A0000}"/>
    <cellStyle name="Dane wyjściowe 2 2 11 2 2 7" xfId="19078" xr:uid="{00000000-0005-0000-0000-00000E4A0000}"/>
    <cellStyle name="Dane wyjściowe 2 2 11 2 3" xfId="19079" xr:uid="{00000000-0005-0000-0000-00000F4A0000}"/>
    <cellStyle name="Dane wyjściowe 2 2 11 2 3 2" xfId="19080" xr:uid="{00000000-0005-0000-0000-0000104A0000}"/>
    <cellStyle name="Dane wyjściowe 2 2 11 2 3 2 2" xfId="19081" xr:uid="{00000000-0005-0000-0000-0000114A0000}"/>
    <cellStyle name="Dane wyjściowe 2 2 11 2 3 3" xfId="19082" xr:uid="{00000000-0005-0000-0000-0000124A0000}"/>
    <cellStyle name="Dane wyjściowe 2 2 11 2 4" xfId="19083" xr:uid="{00000000-0005-0000-0000-0000134A0000}"/>
    <cellStyle name="Dane wyjściowe 2 2 11 2 4 2" xfId="19084" xr:uid="{00000000-0005-0000-0000-0000144A0000}"/>
    <cellStyle name="Dane wyjściowe 2 2 11 2 4 2 2" xfId="19085" xr:uid="{00000000-0005-0000-0000-0000154A0000}"/>
    <cellStyle name="Dane wyjściowe 2 2 11 2 4 3" xfId="19086" xr:uid="{00000000-0005-0000-0000-0000164A0000}"/>
    <cellStyle name="Dane wyjściowe 2 2 11 2 5" xfId="19087" xr:uid="{00000000-0005-0000-0000-0000174A0000}"/>
    <cellStyle name="Dane wyjściowe 2 2 11 2 5 2" xfId="19088" xr:uid="{00000000-0005-0000-0000-0000184A0000}"/>
    <cellStyle name="Dane wyjściowe 2 2 11 2 5 2 2" xfId="19089" xr:uid="{00000000-0005-0000-0000-0000194A0000}"/>
    <cellStyle name="Dane wyjściowe 2 2 11 2 5 3" xfId="19090" xr:uid="{00000000-0005-0000-0000-00001A4A0000}"/>
    <cellStyle name="Dane wyjściowe 2 2 11 2 6" xfId="19091" xr:uid="{00000000-0005-0000-0000-00001B4A0000}"/>
    <cellStyle name="Dane wyjściowe 2 2 11 2 6 2" xfId="19092" xr:uid="{00000000-0005-0000-0000-00001C4A0000}"/>
    <cellStyle name="Dane wyjściowe 2 2 11 2 7" xfId="19093" xr:uid="{00000000-0005-0000-0000-00001D4A0000}"/>
    <cellStyle name="Dane wyjściowe 2 2 11 2 7 2" xfId="19094" xr:uid="{00000000-0005-0000-0000-00001E4A0000}"/>
    <cellStyle name="Dane wyjściowe 2 2 11 2 8" xfId="19095" xr:uid="{00000000-0005-0000-0000-00001F4A0000}"/>
    <cellStyle name="Dane wyjściowe 2 2 11 3" xfId="19096" xr:uid="{00000000-0005-0000-0000-0000204A0000}"/>
    <cellStyle name="Dane wyjściowe 2 2 11 3 2" xfId="19097" xr:uid="{00000000-0005-0000-0000-0000214A0000}"/>
    <cellStyle name="Dane wyjściowe 2 2 11 3 2 2" xfId="19098" xr:uid="{00000000-0005-0000-0000-0000224A0000}"/>
    <cellStyle name="Dane wyjściowe 2 2 11 3 3" xfId="19099" xr:uid="{00000000-0005-0000-0000-0000234A0000}"/>
    <cellStyle name="Dane wyjściowe 2 2 11 4" xfId="19100" xr:uid="{00000000-0005-0000-0000-0000244A0000}"/>
    <cellStyle name="Dane wyjściowe 2 2 11 4 2" xfId="19101" xr:uid="{00000000-0005-0000-0000-0000254A0000}"/>
    <cellStyle name="Dane wyjściowe 2 2 11 4 2 2" xfId="19102" xr:uid="{00000000-0005-0000-0000-0000264A0000}"/>
    <cellStyle name="Dane wyjściowe 2 2 11 4 3" xfId="19103" xr:uid="{00000000-0005-0000-0000-0000274A0000}"/>
    <cellStyle name="Dane wyjściowe 2 2 11 5" xfId="19104" xr:uid="{00000000-0005-0000-0000-0000284A0000}"/>
    <cellStyle name="Dane wyjściowe 2 2 11 5 2" xfId="19105" xr:uid="{00000000-0005-0000-0000-0000294A0000}"/>
    <cellStyle name="Dane wyjściowe 2 2 11 5 2 2" xfId="19106" xr:uid="{00000000-0005-0000-0000-00002A4A0000}"/>
    <cellStyle name="Dane wyjściowe 2 2 11 5 3" xfId="19107" xr:uid="{00000000-0005-0000-0000-00002B4A0000}"/>
    <cellStyle name="Dane wyjściowe 2 2 11 6" xfId="19108" xr:uid="{00000000-0005-0000-0000-00002C4A0000}"/>
    <cellStyle name="Dane wyjściowe 2 2 11 6 2" xfId="19109" xr:uid="{00000000-0005-0000-0000-00002D4A0000}"/>
    <cellStyle name="Dane wyjściowe 2 2 11 6 2 2" xfId="19110" xr:uid="{00000000-0005-0000-0000-00002E4A0000}"/>
    <cellStyle name="Dane wyjściowe 2 2 11 6 3" xfId="19111" xr:uid="{00000000-0005-0000-0000-00002F4A0000}"/>
    <cellStyle name="Dane wyjściowe 2 2 11 7" xfId="19112" xr:uid="{00000000-0005-0000-0000-0000304A0000}"/>
    <cellStyle name="Dane wyjściowe 2 2 11 7 2" xfId="19113" xr:uid="{00000000-0005-0000-0000-0000314A0000}"/>
    <cellStyle name="Dane wyjściowe 2 2 11 7 2 2" xfId="19114" xr:uid="{00000000-0005-0000-0000-0000324A0000}"/>
    <cellStyle name="Dane wyjściowe 2 2 11 7 2 2 2" xfId="19115" xr:uid="{00000000-0005-0000-0000-0000334A0000}"/>
    <cellStyle name="Dane wyjściowe 2 2 11 7 2 3" xfId="19116" xr:uid="{00000000-0005-0000-0000-0000344A0000}"/>
    <cellStyle name="Dane wyjściowe 2 2 11 7 3" xfId="19117" xr:uid="{00000000-0005-0000-0000-0000354A0000}"/>
    <cellStyle name="Dane wyjściowe 2 2 11 7 3 2" xfId="19118" xr:uid="{00000000-0005-0000-0000-0000364A0000}"/>
    <cellStyle name="Dane wyjściowe 2 2 11 7 3 2 2" xfId="19119" xr:uid="{00000000-0005-0000-0000-0000374A0000}"/>
    <cellStyle name="Dane wyjściowe 2 2 11 7 3 3" xfId="19120" xr:uid="{00000000-0005-0000-0000-0000384A0000}"/>
    <cellStyle name="Dane wyjściowe 2 2 11 7 4" xfId="19121" xr:uid="{00000000-0005-0000-0000-0000394A0000}"/>
    <cellStyle name="Dane wyjściowe 2 2 11 7 4 2" xfId="19122" xr:uid="{00000000-0005-0000-0000-00003A4A0000}"/>
    <cellStyle name="Dane wyjściowe 2 2 11 7 4 2 2" xfId="19123" xr:uid="{00000000-0005-0000-0000-00003B4A0000}"/>
    <cellStyle name="Dane wyjściowe 2 2 11 7 4 3" xfId="19124" xr:uid="{00000000-0005-0000-0000-00003C4A0000}"/>
    <cellStyle name="Dane wyjściowe 2 2 11 7 5" xfId="19125" xr:uid="{00000000-0005-0000-0000-00003D4A0000}"/>
    <cellStyle name="Dane wyjściowe 2 2 11 7 5 2" xfId="19126" xr:uid="{00000000-0005-0000-0000-00003E4A0000}"/>
    <cellStyle name="Dane wyjściowe 2 2 11 7 6" xfId="19127" xr:uid="{00000000-0005-0000-0000-00003F4A0000}"/>
    <cellStyle name="Dane wyjściowe 2 2 11 7 6 2" xfId="19128" xr:uid="{00000000-0005-0000-0000-0000404A0000}"/>
    <cellStyle name="Dane wyjściowe 2 2 11 7 7" xfId="19129" xr:uid="{00000000-0005-0000-0000-0000414A0000}"/>
    <cellStyle name="Dane wyjściowe 2 2 11 8" xfId="19130" xr:uid="{00000000-0005-0000-0000-0000424A0000}"/>
    <cellStyle name="Dane wyjściowe 2 2 11 8 2" xfId="19131" xr:uid="{00000000-0005-0000-0000-0000434A0000}"/>
    <cellStyle name="Dane wyjściowe 2 2 11 8 2 2" xfId="19132" xr:uid="{00000000-0005-0000-0000-0000444A0000}"/>
    <cellStyle name="Dane wyjściowe 2 2 11 8 3" xfId="19133" xr:uid="{00000000-0005-0000-0000-0000454A0000}"/>
    <cellStyle name="Dane wyjściowe 2 2 11 9" xfId="19134" xr:uid="{00000000-0005-0000-0000-0000464A0000}"/>
    <cellStyle name="Dane wyjściowe 2 2 11 9 2" xfId="19135" xr:uid="{00000000-0005-0000-0000-0000474A0000}"/>
    <cellStyle name="Dane wyjściowe 2 2 11 9 2 2" xfId="19136" xr:uid="{00000000-0005-0000-0000-0000484A0000}"/>
    <cellStyle name="Dane wyjściowe 2 2 11 9 3" xfId="19137" xr:uid="{00000000-0005-0000-0000-0000494A0000}"/>
    <cellStyle name="Dane wyjściowe 2 2 12" xfId="19138" xr:uid="{00000000-0005-0000-0000-00004A4A0000}"/>
    <cellStyle name="Dane wyjściowe 2 2 12 2" xfId="19139" xr:uid="{00000000-0005-0000-0000-00004B4A0000}"/>
    <cellStyle name="Dane wyjściowe 2 2 12 2 2" xfId="19140" xr:uid="{00000000-0005-0000-0000-00004C4A0000}"/>
    <cellStyle name="Dane wyjściowe 2 2 12 2 2 2" xfId="19141" xr:uid="{00000000-0005-0000-0000-00004D4A0000}"/>
    <cellStyle name="Dane wyjściowe 2 2 12 2 2 2 2" xfId="19142" xr:uid="{00000000-0005-0000-0000-00004E4A0000}"/>
    <cellStyle name="Dane wyjściowe 2 2 12 2 2 3" xfId="19143" xr:uid="{00000000-0005-0000-0000-00004F4A0000}"/>
    <cellStyle name="Dane wyjściowe 2 2 12 2 3" xfId="19144" xr:uid="{00000000-0005-0000-0000-0000504A0000}"/>
    <cellStyle name="Dane wyjściowe 2 2 12 2 3 2" xfId="19145" xr:uid="{00000000-0005-0000-0000-0000514A0000}"/>
    <cellStyle name="Dane wyjściowe 2 2 12 2 3 2 2" xfId="19146" xr:uid="{00000000-0005-0000-0000-0000524A0000}"/>
    <cellStyle name="Dane wyjściowe 2 2 12 2 3 3" xfId="19147" xr:uid="{00000000-0005-0000-0000-0000534A0000}"/>
    <cellStyle name="Dane wyjściowe 2 2 12 2 4" xfId="19148" xr:uid="{00000000-0005-0000-0000-0000544A0000}"/>
    <cellStyle name="Dane wyjściowe 2 2 12 2 4 2" xfId="19149" xr:uid="{00000000-0005-0000-0000-0000554A0000}"/>
    <cellStyle name="Dane wyjściowe 2 2 12 2 4 2 2" xfId="19150" xr:uid="{00000000-0005-0000-0000-0000564A0000}"/>
    <cellStyle name="Dane wyjściowe 2 2 12 2 4 3" xfId="19151" xr:uid="{00000000-0005-0000-0000-0000574A0000}"/>
    <cellStyle name="Dane wyjściowe 2 2 12 2 5" xfId="19152" xr:uid="{00000000-0005-0000-0000-0000584A0000}"/>
    <cellStyle name="Dane wyjściowe 2 2 12 2 5 2" xfId="19153" xr:uid="{00000000-0005-0000-0000-0000594A0000}"/>
    <cellStyle name="Dane wyjściowe 2 2 12 2 6" xfId="19154" xr:uid="{00000000-0005-0000-0000-00005A4A0000}"/>
    <cellStyle name="Dane wyjściowe 2 2 12 2 6 2" xfId="19155" xr:uid="{00000000-0005-0000-0000-00005B4A0000}"/>
    <cellStyle name="Dane wyjściowe 2 2 12 2 7" xfId="19156" xr:uid="{00000000-0005-0000-0000-00005C4A0000}"/>
    <cellStyle name="Dane wyjściowe 2 2 12 3" xfId="19157" xr:uid="{00000000-0005-0000-0000-00005D4A0000}"/>
    <cellStyle name="Dane wyjściowe 2 2 12 3 2" xfId="19158" xr:uid="{00000000-0005-0000-0000-00005E4A0000}"/>
    <cellStyle name="Dane wyjściowe 2 2 12 3 2 2" xfId="19159" xr:uid="{00000000-0005-0000-0000-00005F4A0000}"/>
    <cellStyle name="Dane wyjściowe 2 2 12 3 3" xfId="19160" xr:uid="{00000000-0005-0000-0000-0000604A0000}"/>
    <cellStyle name="Dane wyjściowe 2 2 12 4" xfId="19161" xr:uid="{00000000-0005-0000-0000-0000614A0000}"/>
    <cellStyle name="Dane wyjściowe 2 2 12 4 2" xfId="19162" xr:uid="{00000000-0005-0000-0000-0000624A0000}"/>
    <cellStyle name="Dane wyjściowe 2 2 12 4 2 2" xfId="19163" xr:uid="{00000000-0005-0000-0000-0000634A0000}"/>
    <cellStyle name="Dane wyjściowe 2 2 12 4 3" xfId="19164" xr:uid="{00000000-0005-0000-0000-0000644A0000}"/>
    <cellStyle name="Dane wyjściowe 2 2 12 5" xfId="19165" xr:uid="{00000000-0005-0000-0000-0000654A0000}"/>
    <cellStyle name="Dane wyjściowe 2 2 12 5 2" xfId="19166" xr:uid="{00000000-0005-0000-0000-0000664A0000}"/>
    <cellStyle name="Dane wyjściowe 2 2 12 5 2 2" xfId="19167" xr:uid="{00000000-0005-0000-0000-0000674A0000}"/>
    <cellStyle name="Dane wyjściowe 2 2 12 5 3" xfId="19168" xr:uid="{00000000-0005-0000-0000-0000684A0000}"/>
    <cellStyle name="Dane wyjściowe 2 2 12 6" xfId="19169" xr:uid="{00000000-0005-0000-0000-0000694A0000}"/>
    <cellStyle name="Dane wyjściowe 2 2 12 6 2" xfId="19170" xr:uid="{00000000-0005-0000-0000-00006A4A0000}"/>
    <cellStyle name="Dane wyjściowe 2 2 12 7" xfId="19171" xr:uid="{00000000-0005-0000-0000-00006B4A0000}"/>
    <cellStyle name="Dane wyjściowe 2 2 12 7 2" xfId="19172" xr:uid="{00000000-0005-0000-0000-00006C4A0000}"/>
    <cellStyle name="Dane wyjściowe 2 2 12 8" xfId="19173" xr:uid="{00000000-0005-0000-0000-00006D4A0000}"/>
    <cellStyle name="Dane wyjściowe 2 2 13" xfId="19174" xr:uid="{00000000-0005-0000-0000-00006E4A0000}"/>
    <cellStyle name="Dane wyjściowe 2 2 13 2" xfId="19175" xr:uid="{00000000-0005-0000-0000-00006F4A0000}"/>
    <cellStyle name="Dane wyjściowe 2 2 13 2 2" xfId="19176" xr:uid="{00000000-0005-0000-0000-0000704A0000}"/>
    <cellStyle name="Dane wyjściowe 2 2 13 3" xfId="19177" xr:uid="{00000000-0005-0000-0000-0000714A0000}"/>
    <cellStyle name="Dane wyjściowe 2 2 14" xfId="19178" xr:uid="{00000000-0005-0000-0000-0000724A0000}"/>
    <cellStyle name="Dane wyjściowe 2 2 14 2" xfId="19179" xr:uid="{00000000-0005-0000-0000-0000734A0000}"/>
    <cellStyle name="Dane wyjściowe 2 2 14 2 2" xfId="19180" xr:uid="{00000000-0005-0000-0000-0000744A0000}"/>
    <cellStyle name="Dane wyjściowe 2 2 14 3" xfId="19181" xr:uid="{00000000-0005-0000-0000-0000754A0000}"/>
    <cellStyle name="Dane wyjściowe 2 2 15" xfId="19182" xr:uid="{00000000-0005-0000-0000-0000764A0000}"/>
    <cellStyle name="Dane wyjściowe 2 2 15 2" xfId="19183" xr:uid="{00000000-0005-0000-0000-0000774A0000}"/>
    <cellStyle name="Dane wyjściowe 2 2 15 2 2" xfId="19184" xr:uid="{00000000-0005-0000-0000-0000784A0000}"/>
    <cellStyle name="Dane wyjściowe 2 2 15 3" xfId="19185" xr:uid="{00000000-0005-0000-0000-0000794A0000}"/>
    <cellStyle name="Dane wyjściowe 2 2 16" xfId="19186" xr:uid="{00000000-0005-0000-0000-00007A4A0000}"/>
    <cellStyle name="Dane wyjściowe 2 2 16 2" xfId="19187" xr:uid="{00000000-0005-0000-0000-00007B4A0000}"/>
    <cellStyle name="Dane wyjściowe 2 2 16 2 2" xfId="19188" xr:uid="{00000000-0005-0000-0000-00007C4A0000}"/>
    <cellStyle name="Dane wyjściowe 2 2 16 3" xfId="19189" xr:uid="{00000000-0005-0000-0000-00007D4A0000}"/>
    <cellStyle name="Dane wyjściowe 2 2 17" xfId="19190" xr:uid="{00000000-0005-0000-0000-00007E4A0000}"/>
    <cellStyle name="Dane wyjściowe 2 2 17 2" xfId="19191" xr:uid="{00000000-0005-0000-0000-00007F4A0000}"/>
    <cellStyle name="Dane wyjściowe 2 2 17 2 2" xfId="19192" xr:uid="{00000000-0005-0000-0000-0000804A0000}"/>
    <cellStyle name="Dane wyjściowe 2 2 17 3" xfId="19193" xr:uid="{00000000-0005-0000-0000-0000814A0000}"/>
    <cellStyle name="Dane wyjściowe 2 2 18" xfId="19194" xr:uid="{00000000-0005-0000-0000-0000824A0000}"/>
    <cellStyle name="Dane wyjściowe 2 2 18 2" xfId="19195" xr:uid="{00000000-0005-0000-0000-0000834A0000}"/>
    <cellStyle name="Dane wyjściowe 2 2 18 2 2" xfId="19196" xr:uid="{00000000-0005-0000-0000-0000844A0000}"/>
    <cellStyle name="Dane wyjściowe 2 2 18 2 2 2" xfId="19197" xr:uid="{00000000-0005-0000-0000-0000854A0000}"/>
    <cellStyle name="Dane wyjściowe 2 2 18 2 3" xfId="19198" xr:uid="{00000000-0005-0000-0000-0000864A0000}"/>
    <cellStyle name="Dane wyjściowe 2 2 18 3" xfId="19199" xr:uid="{00000000-0005-0000-0000-0000874A0000}"/>
    <cellStyle name="Dane wyjściowe 2 2 18 3 2" xfId="19200" xr:uid="{00000000-0005-0000-0000-0000884A0000}"/>
    <cellStyle name="Dane wyjściowe 2 2 18 3 2 2" xfId="19201" xr:uid="{00000000-0005-0000-0000-0000894A0000}"/>
    <cellStyle name="Dane wyjściowe 2 2 18 3 3" xfId="19202" xr:uid="{00000000-0005-0000-0000-00008A4A0000}"/>
    <cellStyle name="Dane wyjściowe 2 2 18 4" xfId="19203" xr:uid="{00000000-0005-0000-0000-00008B4A0000}"/>
    <cellStyle name="Dane wyjściowe 2 2 18 4 2" xfId="19204" xr:uid="{00000000-0005-0000-0000-00008C4A0000}"/>
    <cellStyle name="Dane wyjściowe 2 2 18 4 2 2" xfId="19205" xr:uid="{00000000-0005-0000-0000-00008D4A0000}"/>
    <cellStyle name="Dane wyjściowe 2 2 18 4 3" xfId="19206" xr:uid="{00000000-0005-0000-0000-00008E4A0000}"/>
    <cellStyle name="Dane wyjściowe 2 2 18 5" xfId="19207" xr:uid="{00000000-0005-0000-0000-00008F4A0000}"/>
    <cellStyle name="Dane wyjściowe 2 2 18 5 2" xfId="19208" xr:uid="{00000000-0005-0000-0000-0000904A0000}"/>
    <cellStyle name="Dane wyjściowe 2 2 18 6" xfId="19209" xr:uid="{00000000-0005-0000-0000-0000914A0000}"/>
    <cellStyle name="Dane wyjściowe 2 2 18 6 2" xfId="19210" xr:uid="{00000000-0005-0000-0000-0000924A0000}"/>
    <cellStyle name="Dane wyjściowe 2 2 18 7" xfId="19211" xr:uid="{00000000-0005-0000-0000-0000934A0000}"/>
    <cellStyle name="Dane wyjściowe 2 2 19" xfId="19212" xr:uid="{00000000-0005-0000-0000-0000944A0000}"/>
    <cellStyle name="Dane wyjściowe 2 2 19 2" xfId="19213" xr:uid="{00000000-0005-0000-0000-0000954A0000}"/>
    <cellStyle name="Dane wyjściowe 2 2 19 2 2" xfId="19214" xr:uid="{00000000-0005-0000-0000-0000964A0000}"/>
    <cellStyle name="Dane wyjściowe 2 2 19 3" xfId="19215" xr:uid="{00000000-0005-0000-0000-0000974A0000}"/>
    <cellStyle name="Dane wyjściowe 2 2 2" xfId="19216" xr:uid="{00000000-0005-0000-0000-0000984A0000}"/>
    <cellStyle name="Dane wyjściowe 2 2 2 10" xfId="19217" xr:uid="{00000000-0005-0000-0000-0000994A0000}"/>
    <cellStyle name="Dane wyjściowe 2 2 2 10 2" xfId="19218" xr:uid="{00000000-0005-0000-0000-00009A4A0000}"/>
    <cellStyle name="Dane wyjściowe 2 2 2 10 2 2" xfId="19219" xr:uid="{00000000-0005-0000-0000-00009B4A0000}"/>
    <cellStyle name="Dane wyjściowe 2 2 2 10 3" xfId="19220" xr:uid="{00000000-0005-0000-0000-00009C4A0000}"/>
    <cellStyle name="Dane wyjściowe 2 2 2 11" xfId="19221" xr:uid="{00000000-0005-0000-0000-00009D4A0000}"/>
    <cellStyle name="Dane wyjściowe 2 2 2 11 2" xfId="19222" xr:uid="{00000000-0005-0000-0000-00009E4A0000}"/>
    <cellStyle name="Dane wyjściowe 2 2 2 11 2 2" xfId="19223" xr:uid="{00000000-0005-0000-0000-00009F4A0000}"/>
    <cellStyle name="Dane wyjściowe 2 2 2 11 3" xfId="19224" xr:uid="{00000000-0005-0000-0000-0000A04A0000}"/>
    <cellStyle name="Dane wyjściowe 2 2 2 12" xfId="19225" xr:uid="{00000000-0005-0000-0000-0000A14A0000}"/>
    <cellStyle name="Dane wyjściowe 2 2 2 12 2" xfId="19226" xr:uid="{00000000-0005-0000-0000-0000A24A0000}"/>
    <cellStyle name="Dane wyjściowe 2 2 2 13" xfId="19227" xr:uid="{00000000-0005-0000-0000-0000A34A0000}"/>
    <cellStyle name="Dane wyjściowe 2 2 2 2" xfId="19228" xr:uid="{00000000-0005-0000-0000-0000A44A0000}"/>
    <cellStyle name="Dane wyjściowe 2 2 2 2 10" xfId="19229" xr:uid="{00000000-0005-0000-0000-0000A54A0000}"/>
    <cellStyle name="Dane wyjściowe 2 2 2 2 10 2" xfId="19230" xr:uid="{00000000-0005-0000-0000-0000A64A0000}"/>
    <cellStyle name="Dane wyjściowe 2 2 2 2 10 2 2" xfId="19231" xr:uid="{00000000-0005-0000-0000-0000A74A0000}"/>
    <cellStyle name="Dane wyjściowe 2 2 2 2 10 3" xfId="19232" xr:uid="{00000000-0005-0000-0000-0000A84A0000}"/>
    <cellStyle name="Dane wyjściowe 2 2 2 2 11" xfId="19233" xr:uid="{00000000-0005-0000-0000-0000A94A0000}"/>
    <cellStyle name="Dane wyjściowe 2 2 2 2 11 2" xfId="19234" xr:uid="{00000000-0005-0000-0000-0000AA4A0000}"/>
    <cellStyle name="Dane wyjściowe 2 2 2 2 12" xfId="19235" xr:uid="{00000000-0005-0000-0000-0000AB4A0000}"/>
    <cellStyle name="Dane wyjściowe 2 2 2 2 2" xfId="19236" xr:uid="{00000000-0005-0000-0000-0000AC4A0000}"/>
    <cellStyle name="Dane wyjściowe 2 2 2 2 2 10" xfId="19237" xr:uid="{00000000-0005-0000-0000-0000AD4A0000}"/>
    <cellStyle name="Dane wyjściowe 2 2 2 2 2 10 2" xfId="19238" xr:uid="{00000000-0005-0000-0000-0000AE4A0000}"/>
    <cellStyle name="Dane wyjściowe 2 2 2 2 2 11" xfId="19239" xr:uid="{00000000-0005-0000-0000-0000AF4A0000}"/>
    <cellStyle name="Dane wyjściowe 2 2 2 2 2 2" xfId="19240" xr:uid="{00000000-0005-0000-0000-0000B04A0000}"/>
    <cellStyle name="Dane wyjściowe 2 2 2 2 2 2 10" xfId="19241" xr:uid="{00000000-0005-0000-0000-0000B14A0000}"/>
    <cellStyle name="Dane wyjściowe 2 2 2 2 2 2 10 2" xfId="19242" xr:uid="{00000000-0005-0000-0000-0000B24A0000}"/>
    <cellStyle name="Dane wyjściowe 2 2 2 2 2 2 11" xfId="19243" xr:uid="{00000000-0005-0000-0000-0000B34A0000}"/>
    <cellStyle name="Dane wyjściowe 2 2 2 2 2 2 2" xfId="19244" xr:uid="{00000000-0005-0000-0000-0000B44A0000}"/>
    <cellStyle name="Dane wyjściowe 2 2 2 2 2 2 2 2" xfId="19245" xr:uid="{00000000-0005-0000-0000-0000B54A0000}"/>
    <cellStyle name="Dane wyjściowe 2 2 2 2 2 2 2 2 2" xfId="19246" xr:uid="{00000000-0005-0000-0000-0000B64A0000}"/>
    <cellStyle name="Dane wyjściowe 2 2 2 2 2 2 2 2 2 2" xfId="19247" xr:uid="{00000000-0005-0000-0000-0000B74A0000}"/>
    <cellStyle name="Dane wyjściowe 2 2 2 2 2 2 2 2 2 2 2" xfId="19248" xr:uid="{00000000-0005-0000-0000-0000B84A0000}"/>
    <cellStyle name="Dane wyjściowe 2 2 2 2 2 2 2 2 2 3" xfId="19249" xr:uid="{00000000-0005-0000-0000-0000B94A0000}"/>
    <cellStyle name="Dane wyjściowe 2 2 2 2 2 2 2 2 3" xfId="19250" xr:uid="{00000000-0005-0000-0000-0000BA4A0000}"/>
    <cellStyle name="Dane wyjściowe 2 2 2 2 2 2 2 2 3 2" xfId="19251" xr:uid="{00000000-0005-0000-0000-0000BB4A0000}"/>
    <cellStyle name="Dane wyjściowe 2 2 2 2 2 2 2 2 3 2 2" xfId="19252" xr:uid="{00000000-0005-0000-0000-0000BC4A0000}"/>
    <cellStyle name="Dane wyjściowe 2 2 2 2 2 2 2 2 3 3" xfId="19253" xr:uid="{00000000-0005-0000-0000-0000BD4A0000}"/>
    <cellStyle name="Dane wyjściowe 2 2 2 2 2 2 2 2 4" xfId="19254" xr:uid="{00000000-0005-0000-0000-0000BE4A0000}"/>
    <cellStyle name="Dane wyjściowe 2 2 2 2 2 2 2 2 4 2" xfId="19255" xr:uid="{00000000-0005-0000-0000-0000BF4A0000}"/>
    <cellStyle name="Dane wyjściowe 2 2 2 2 2 2 2 2 4 2 2" xfId="19256" xr:uid="{00000000-0005-0000-0000-0000C04A0000}"/>
    <cellStyle name="Dane wyjściowe 2 2 2 2 2 2 2 2 4 3" xfId="19257" xr:uid="{00000000-0005-0000-0000-0000C14A0000}"/>
    <cellStyle name="Dane wyjściowe 2 2 2 2 2 2 2 2 5" xfId="19258" xr:uid="{00000000-0005-0000-0000-0000C24A0000}"/>
    <cellStyle name="Dane wyjściowe 2 2 2 2 2 2 2 2 5 2" xfId="19259" xr:uid="{00000000-0005-0000-0000-0000C34A0000}"/>
    <cellStyle name="Dane wyjściowe 2 2 2 2 2 2 2 2 6" xfId="19260" xr:uid="{00000000-0005-0000-0000-0000C44A0000}"/>
    <cellStyle name="Dane wyjściowe 2 2 2 2 2 2 2 3" xfId="19261" xr:uid="{00000000-0005-0000-0000-0000C54A0000}"/>
    <cellStyle name="Dane wyjściowe 2 2 2 2 2 2 2 3 2" xfId="19262" xr:uid="{00000000-0005-0000-0000-0000C64A0000}"/>
    <cellStyle name="Dane wyjściowe 2 2 2 2 2 2 2 3 2 2" xfId="19263" xr:uid="{00000000-0005-0000-0000-0000C74A0000}"/>
    <cellStyle name="Dane wyjściowe 2 2 2 2 2 2 2 3 3" xfId="19264" xr:uid="{00000000-0005-0000-0000-0000C84A0000}"/>
    <cellStyle name="Dane wyjściowe 2 2 2 2 2 2 2 4" xfId="19265" xr:uid="{00000000-0005-0000-0000-0000C94A0000}"/>
    <cellStyle name="Dane wyjściowe 2 2 2 2 2 2 2 4 2" xfId="19266" xr:uid="{00000000-0005-0000-0000-0000CA4A0000}"/>
    <cellStyle name="Dane wyjściowe 2 2 2 2 2 2 2 4 2 2" xfId="19267" xr:uid="{00000000-0005-0000-0000-0000CB4A0000}"/>
    <cellStyle name="Dane wyjściowe 2 2 2 2 2 2 2 4 3" xfId="19268" xr:uid="{00000000-0005-0000-0000-0000CC4A0000}"/>
    <cellStyle name="Dane wyjściowe 2 2 2 2 2 2 2 5" xfId="19269" xr:uid="{00000000-0005-0000-0000-0000CD4A0000}"/>
    <cellStyle name="Dane wyjściowe 2 2 2 2 2 2 2 5 2" xfId="19270" xr:uid="{00000000-0005-0000-0000-0000CE4A0000}"/>
    <cellStyle name="Dane wyjściowe 2 2 2 2 2 2 2 5 2 2" xfId="19271" xr:uid="{00000000-0005-0000-0000-0000CF4A0000}"/>
    <cellStyle name="Dane wyjściowe 2 2 2 2 2 2 2 5 3" xfId="19272" xr:uid="{00000000-0005-0000-0000-0000D04A0000}"/>
    <cellStyle name="Dane wyjściowe 2 2 2 2 2 2 2 6" xfId="19273" xr:uid="{00000000-0005-0000-0000-0000D14A0000}"/>
    <cellStyle name="Dane wyjściowe 2 2 2 2 2 2 2 6 2" xfId="19274" xr:uid="{00000000-0005-0000-0000-0000D24A0000}"/>
    <cellStyle name="Dane wyjściowe 2 2 2 2 2 2 2 7" xfId="19275" xr:uid="{00000000-0005-0000-0000-0000D34A0000}"/>
    <cellStyle name="Dane wyjściowe 2 2 2 2 2 2 3" xfId="19276" xr:uid="{00000000-0005-0000-0000-0000D44A0000}"/>
    <cellStyle name="Dane wyjściowe 2 2 2 2 2 2 3 2" xfId="19277" xr:uid="{00000000-0005-0000-0000-0000D54A0000}"/>
    <cellStyle name="Dane wyjściowe 2 2 2 2 2 2 3 2 2" xfId="19278" xr:uid="{00000000-0005-0000-0000-0000D64A0000}"/>
    <cellStyle name="Dane wyjściowe 2 2 2 2 2 2 3 3" xfId="19279" xr:uid="{00000000-0005-0000-0000-0000D74A0000}"/>
    <cellStyle name="Dane wyjściowe 2 2 2 2 2 2 4" xfId="19280" xr:uid="{00000000-0005-0000-0000-0000D84A0000}"/>
    <cellStyle name="Dane wyjściowe 2 2 2 2 2 2 4 2" xfId="19281" xr:uid="{00000000-0005-0000-0000-0000D94A0000}"/>
    <cellStyle name="Dane wyjściowe 2 2 2 2 2 2 4 2 2" xfId="19282" xr:uid="{00000000-0005-0000-0000-0000DA4A0000}"/>
    <cellStyle name="Dane wyjściowe 2 2 2 2 2 2 4 3" xfId="19283" xr:uid="{00000000-0005-0000-0000-0000DB4A0000}"/>
    <cellStyle name="Dane wyjściowe 2 2 2 2 2 2 5" xfId="19284" xr:uid="{00000000-0005-0000-0000-0000DC4A0000}"/>
    <cellStyle name="Dane wyjściowe 2 2 2 2 2 2 5 2" xfId="19285" xr:uid="{00000000-0005-0000-0000-0000DD4A0000}"/>
    <cellStyle name="Dane wyjściowe 2 2 2 2 2 2 5 2 2" xfId="19286" xr:uid="{00000000-0005-0000-0000-0000DE4A0000}"/>
    <cellStyle name="Dane wyjściowe 2 2 2 2 2 2 5 3" xfId="19287" xr:uid="{00000000-0005-0000-0000-0000DF4A0000}"/>
    <cellStyle name="Dane wyjściowe 2 2 2 2 2 2 6" xfId="19288" xr:uid="{00000000-0005-0000-0000-0000E04A0000}"/>
    <cellStyle name="Dane wyjściowe 2 2 2 2 2 2 6 2" xfId="19289" xr:uid="{00000000-0005-0000-0000-0000E14A0000}"/>
    <cellStyle name="Dane wyjściowe 2 2 2 2 2 2 6 2 2" xfId="19290" xr:uid="{00000000-0005-0000-0000-0000E24A0000}"/>
    <cellStyle name="Dane wyjściowe 2 2 2 2 2 2 6 3" xfId="19291" xr:uid="{00000000-0005-0000-0000-0000E34A0000}"/>
    <cellStyle name="Dane wyjściowe 2 2 2 2 2 2 7" xfId="19292" xr:uid="{00000000-0005-0000-0000-0000E44A0000}"/>
    <cellStyle name="Dane wyjściowe 2 2 2 2 2 2 7 2" xfId="19293" xr:uid="{00000000-0005-0000-0000-0000E54A0000}"/>
    <cellStyle name="Dane wyjściowe 2 2 2 2 2 2 7 2 2" xfId="19294" xr:uid="{00000000-0005-0000-0000-0000E64A0000}"/>
    <cellStyle name="Dane wyjściowe 2 2 2 2 2 2 7 2 2 2" xfId="19295" xr:uid="{00000000-0005-0000-0000-0000E74A0000}"/>
    <cellStyle name="Dane wyjściowe 2 2 2 2 2 2 7 2 3" xfId="19296" xr:uid="{00000000-0005-0000-0000-0000E84A0000}"/>
    <cellStyle name="Dane wyjściowe 2 2 2 2 2 2 7 3" xfId="19297" xr:uid="{00000000-0005-0000-0000-0000E94A0000}"/>
    <cellStyle name="Dane wyjściowe 2 2 2 2 2 2 7 3 2" xfId="19298" xr:uid="{00000000-0005-0000-0000-0000EA4A0000}"/>
    <cellStyle name="Dane wyjściowe 2 2 2 2 2 2 7 3 2 2" xfId="19299" xr:uid="{00000000-0005-0000-0000-0000EB4A0000}"/>
    <cellStyle name="Dane wyjściowe 2 2 2 2 2 2 7 3 3" xfId="19300" xr:uid="{00000000-0005-0000-0000-0000EC4A0000}"/>
    <cellStyle name="Dane wyjściowe 2 2 2 2 2 2 7 4" xfId="19301" xr:uid="{00000000-0005-0000-0000-0000ED4A0000}"/>
    <cellStyle name="Dane wyjściowe 2 2 2 2 2 2 7 4 2" xfId="19302" xr:uid="{00000000-0005-0000-0000-0000EE4A0000}"/>
    <cellStyle name="Dane wyjściowe 2 2 2 2 2 2 7 4 2 2" xfId="19303" xr:uid="{00000000-0005-0000-0000-0000EF4A0000}"/>
    <cellStyle name="Dane wyjściowe 2 2 2 2 2 2 7 4 3" xfId="19304" xr:uid="{00000000-0005-0000-0000-0000F04A0000}"/>
    <cellStyle name="Dane wyjściowe 2 2 2 2 2 2 7 5" xfId="19305" xr:uid="{00000000-0005-0000-0000-0000F14A0000}"/>
    <cellStyle name="Dane wyjściowe 2 2 2 2 2 2 7 5 2" xfId="19306" xr:uid="{00000000-0005-0000-0000-0000F24A0000}"/>
    <cellStyle name="Dane wyjściowe 2 2 2 2 2 2 7 6" xfId="19307" xr:uid="{00000000-0005-0000-0000-0000F34A0000}"/>
    <cellStyle name="Dane wyjściowe 2 2 2 2 2 2 7 6 2" xfId="19308" xr:uid="{00000000-0005-0000-0000-0000F44A0000}"/>
    <cellStyle name="Dane wyjściowe 2 2 2 2 2 2 7 7" xfId="19309" xr:uid="{00000000-0005-0000-0000-0000F54A0000}"/>
    <cellStyle name="Dane wyjściowe 2 2 2 2 2 2 8" xfId="19310" xr:uid="{00000000-0005-0000-0000-0000F64A0000}"/>
    <cellStyle name="Dane wyjściowe 2 2 2 2 2 2 8 2" xfId="19311" xr:uid="{00000000-0005-0000-0000-0000F74A0000}"/>
    <cellStyle name="Dane wyjściowe 2 2 2 2 2 2 8 2 2" xfId="19312" xr:uid="{00000000-0005-0000-0000-0000F84A0000}"/>
    <cellStyle name="Dane wyjściowe 2 2 2 2 2 2 8 3" xfId="19313" xr:uid="{00000000-0005-0000-0000-0000F94A0000}"/>
    <cellStyle name="Dane wyjściowe 2 2 2 2 2 2 9" xfId="19314" xr:uid="{00000000-0005-0000-0000-0000FA4A0000}"/>
    <cellStyle name="Dane wyjściowe 2 2 2 2 2 2 9 2" xfId="19315" xr:uid="{00000000-0005-0000-0000-0000FB4A0000}"/>
    <cellStyle name="Dane wyjściowe 2 2 2 2 2 2 9 2 2" xfId="19316" xr:uid="{00000000-0005-0000-0000-0000FC4A0000}"/>
    <cellStyle name="Dane wyjściowe 2 2 2 2 2 2 9 3" xfId="19317" xr:uid="{00000000-0005-0000-0000-0000FD4A0000}"/>
    <cellStyle name="Dane wyjściowe 2 2 2 2 2 3" xfId="19318" xr:uid="{00000000-0005-0000-0000-0000FE4A0000}"/>
    <cellStyle name="Dane wyjściowe 2 2 2 2 2 3 2" xfId="19319" xr:uid="{00000000-0005-0000-0000-0000FF4A0000}"/>
    <cellStyle name="Dane wyjściowe 2 2 2 2 2 3 2 2" xfId="19320" xr:uid="{00000000-0005-0000-0000-0000004B0000}"/>
    <cellStyle name="Dane wyjściowe 2 2 2 2 2 3 2 2 2" xfId="19321" xr:uid="{00000000-0005-0000-0000-0000014B0000}"/>
    <cellStyle name="Dane wyjściowe 2 2 2 2 2 3 2 2 2 2" xfId="19322" xr:uid="{00000000-0005-0000-0000-0000024B0000}"/>
    <cellStyle name="Dane wyjściowe 2 2 2 2 2 3 2 2 3" xfId="19323" xr:uid="{00000000-0005-0000-0000-0000034B0000}"/>
    <cellStyle name="Dane wyjściowe 2 2 2 2 2 3 2 3" xfId="19324" xr:uid="{00000000-0005-0000-0000-0000044B0000}"/>
    <cellStyle name="Dane wyjściowe 2 2 2 2 2 3 2 3 2" xfId="19325" xr:uid="{00000000-0005-0000-0000-0000054B0000}"/>
    <cellStyle name="Dane wyjściowe 2 2 2 2 2 3 2 3 2 2" xfId="19326" xr:uid="{00000000-0005-0000-0000-0000064B0000}"/>
    <cellStyle name="Dane wyjściowe 2 2 2 2 2 3 2 3 3" xfId="19327" xr:uid="{00000000-0005-0000-0000-0000074B0000}"/>
    <cellStyle name="Dane wyjściowe 2 2 2 2 2 3 2 4" xfId="19328" xr:uid="{00000000-0005-0000-0000-0000084B0000}"/>
    <cellStyle name="Dane wyjściowe 2 2 2 2 2 3 2 4 2" xfId="19329" xr:uid="{00000000-0005-0000-0000-0000094B0000}"/>
    <cellStyle name="Dane wyjściowe 2 2 2 2 2 3 2 4 2 2" xfId="19330" xr:uid="{00000000-0005-0000-0000-00000A4B0000}"/>
    <cellStyle name="Dane wyjściowe 2 2 2 2 2 3 2 4 3" xfId="19331" xr:uid="{00000000-0005-0000-0000-00000B4B0000}"/>
    <cellStyle name="Dane wyjściowe 2 2 2 2 2 3 2 5" xfId="19332" xr:uid="{00000000-0005-0000-0000-00000C4B0000}"/>
    <cellStyle name="Dane wyjściowe 2 2 2 2 2 3 2 5 2" xfId="19333" xr:uid="{00000000-0005-0000-0000-00000D4B0000}"/>
    <cellStyle name="Dane wyjściowe 2 2 2 2 2 3 2 6" xfId="19334" xr:uid="{00000000-0005-0000-0000-00000E4B0000}"/>
    <cellStyle name="Dane wyjściowe 2 2 2 2 2 3 2 6 2" xfId="19335" xr:uid="{00000000-0005-0000-0000-00000F4B0000}"/>
    <cellStyle name="Dane wyjściowe 2 2 2 2 2 3 2 7" xfId="19336" xr:uid="{00000000-0005-0000-0000-0000104B0000}"/>
    <cellStyle name="Dane wyjściowe 2 2 2 2 2 3 3" xfId="19337" xr:uid="{00000000-0005-0000-0000-0000114B0000}"/>
    <cellStyle name="Dane wyjściowe 2 2 2 2 2 3 3 2" xfId="19338" xr:uid="{00000000-0005-0000-0000-0000124B0000}"/>
    <cellStyle name="Dane wyjściowe 2 2 2 2 2 3 3 2 2" xfId="19339" xr:uid="{00000000-0005-0000-0000-0000134B0000}"/>
    <cellStyle name="Dane wyjściowe 2 2 2 2 2 3 3 3" xfId="19340" xr:uid="{00000000-0005-0000-0000-0000144B0000}"/>
    <cellStyle name="Dane wyjściowe 2 2 2 2 2 3 4" xfId="19341" xr:uid="{00000000-0005-0000-0000-0000154B0000}"/>
    <cellStyle name="Dane wyjściowe 2 2 2 2 2 3 4 2" xfId="19342" xr:uid="{00000000-0005-0000-0000-0000164B0000}"/>
    <cellStyle name="Dane wyjściowe 2 2 2 2 2 3 4 2 2" xfId="19343" xr:uid="{00000000-0005-0000-0000-0000174B0000}"/>
    <cellStyle name="Dane wyjściowe 2 2 2 2 2 3 4 3" xfId="19344" xr:uid="{00000000-0005-0000-0000-0000184B0000}"/>
    <cellStyle name="Dane wyjściowe 2 2 2 2 2 3 5" xfId="19345" xr:uid="{00000000-0005-0000-0000-0000194B0000}"/>
    <cellStyle name="Dane wyjściowe 2 2 2 2 2 3 5 2" xfId="19346" xr:uid="{00000000-0005-0000-0000-00001A4B0000}"/>
    <cellStyle name="Dane wyjściowe 2 2 2 2 2 3 5 2 2" xfId="19347" xr:uid="{00000000-0005-0000-0000-00001B4B0000}"/>
    <cellStyle name="Dane wyjściowe 2 2 2 2 2 3 5 3" xfId="19348" xr:uid="{00000000-0005-0000-0000-00001C4B0000}"/>
    <cellStyle name="Dane wyjściowe 2 2 2 2 2 3 6" xfId="19349" xr:uid="{00000000-0005-0000-0000-00001D4B0000}"/>
    <cellStyle name="Dane wyjściowe 2 2 2 2 2 3 6 2" xfId="19350" xr:uid="{00000000-0005-0000-0000-00001E4B0000}"/>
    <cellStyle name="Dane wyjściowe 2 2 2 2 2 3 7" xfId="19351" xr:uid="{00000000-0005-0000-0000-00001F4B0000}"/>
    <cellStyle name="Dane wyjściowe 2 2 2 2 2 3 7 2" xfId="19352" xr:uid="{00000000-0005-0000-0000-0000204B0000}"/>
    <cellStyle name="Dane wyjściowe 2 2 2 2 2 3 8" xfId="19353" xr:uid="{00000000-0005-0000-0000-0000214B0000}"/>
    <cellStyle name="Dane wyjściowe 2 2 2 2 2 4" xfId="19354" xr:uid="{00000000-0005-0000-0000-0000224B0000}"/>
    <cellStyle name="Dane wyjściowe 2 2 2 2 2 4 2" xfId="19355" xr:uid="{00000000-0005-0000-0000-0000234B0000}"/>
    <cellStyle name="Dane wyjściowe 2 2 2 2 2 4 2 2" xfId="19356" xr:uid="{00000000-0005-0000-0000-0000244B0000}"/>
    <cellStyle name="Dane wyjściowe 2 2 2 2 2 4 3" xfId="19357" xr:uid="{00000000-0005-0000-0000-0000254B0000}"/>
    <cellStyle name="Dane wyjściowe 2 2 2 2 2 5" xfId="19358" xr:uid="{00000000-0005-0000-0000-0000264B0000}"/>
    <cellStyle name="Dane wyjściowe 2 2 2 2 2 5 2" xfId="19359" xr:uid="{00000000-0005-0000-0000-0000274B0000}"/>
    <cellStyle name="Dane wyjściowe 2 2 2 2 2 5 2 2" xfId="19360" xr:uid="{00000000-0005-0000-0000-0000284B0000}"/>
    <cellStyle name="Dane wyjściowe 2 2 2 2 2 5 3" xfId="19361" xr:uid="{00000000-0005-0000-0000-0000294B0000}"/>
    <cellStyle name="Dane wyjściowe 2 2 2 2 2 6" xfId="19362" xr:uid="{00000000-0005-0000-0000-00002A4B0000}"/>
    <cellStyle name="Dane wyjściowe 2 2 2 2 2 6 2" xfId="19363" xr:uid="{00000000-0005-0000-0000-00002B4B0000}"/>
    <cellStyle name="Dane wyjściowe 2 2 2 2 2 6 2 2" xfId="19364" xr:uid="{00000000-0005-0000-0000-00002C4B0000}"/>
    <cellStyle name="Dane wyjściowe 2 2 2 2 2 6 3" xfId="19365" xr:uid="{00000000-0005-0000-0000-00002D4B0000}"/>
    <cellStyle name="Dane wyjściowe 2 2 2 2 2 7" xfId="19366" xr:uid="{00000000-0005-0000-0000-00002E4B0000}"/>
    <cellStyle name="Dane wyjściowe 2 2 2 2 2 7 2" xfId="19367" xr:uid="{00000000-0005-0000-0000-00002F4B0000}"/>
    <cellStyle name="Dane wyjściowe 2 2 2 2 2 7 2 2" xfId="19368" xr:uid="{00000000-0005-0000-0000-0000304B0000}"/>
    <cellStyle name="Dane wyjściowe 2 2 2 2 2 7 2 2 2" xfId="19369" xr:uid="{00000000-0005-0000-0000-0000314B0000}"/>
    <cellStyle name="Dane wyjściowe 2 2 2 2 2 7 2 3" xfId="19370" xr:uid="{00000000-0005-0000-0000-0000324B0000}"/>
    <cellStyle name="Dane wyjściowe 2 2 2 2 2 7 3" xfId="19371" xr:uid="{00000000-0005-0000-0000-0000334B0000}"/>
    <cellStyle name="Dane wyjściowe 2 2 2 2 2 7 3 2" xfId="19372" xr:uid="{00000000-0005-0000-0000-0000344B0000}"/>
    <cellStyle name="Dane wyjściowe 2 2 2 2 2 7 3 2 2" xfId="19373" xr:uid="{00000000-0005-0000-0000-0000354B0000}"/>
    <cellStyle name="Dane wyjściowe 2 2 2 2 2 7 3 3" xfId="19374" xr:uid="{00000000-0005-0000-0000-0000364B0000}"/>
    <cellStyle name="Dane wyjściowe 2 2 2 2 2 7 4" xfId="19375" xr:uid="{00000000-0005-0000-0000-0000374B0000}"/>
    <cellStyle name="Dane wyjściowe 2 2 2 2 2 7 4 2" xfId="19376" xr:uid="{00000000-0005-0000-0000-0000384B0000}"/>
    <cellStyle name="Dane wyjściowe 2 2 2 2 2 7 4 2 2" xfId="19377" xr:uid="{00000000-0005-0000-0000-0000394B0000}"/>
    <cellStyle name="Dane wyjściowe 2 2 2 2 2 7 4 3" xfId="19378" xr:uid="{00000000-0005-0000-0000-00003A4B0000}"/>
    <cellStyle name="Dane wyjściowe 2 2 2 2 2 7 5" xfId="19379" xr:uid="{00000000-0005-0000-0000-00003B4B0000}"/>
    <cellStyle name="Dane wyjściowe 2 2 2 2 2 7 5 2" xfId="19380" xr:uid="{00000000-0005-0000-0000-00003C4B0000}"/>
    <cellStyle name="Dane wyjściowe 2 2 2 2 2 7 6" xfId="19381" xr:uid="{00000000-0005-0000-0000-00003D4B0000}"/>
    <cellStyle name="Dane wyjściowe 2 2 2 2 2 7 6 2" xfId="19382" xr:uid="{00000000-0005-0000-0000-00003E4B0000}"/>
    <cellStyle name="Dane wyjściowe 2 2 2 2 2 7 7" xfId="19383" xr:uid="{00000000-0005-0000-0000-00003F4B0000}"/>
    <cellStyle name="Dane wyjściowe 2 2 2 2 2 8" xfId="19384" xr:uid="{00000000-0005-0000-0000-0000404B0000}"/>
    <cellStyle name="Dane wyjściowe 2 2 2 2 2 8 2" xfId="19385" xr:uid="{00000000-0005-0000-0000-0000414B0000}"/>
    <cellStyle name="Dane wyjściowe 2 2 2 2 2 8 2 2" xfId="19386" xr:uid="{00000000-0005-0000-0000-0000424B0000}"/>
    <cellStyle name="Dane wyjściowe 2 2 2 2 2 8 3" xfId="19387" xr:uid="{00000000-0005-0000-0000-0000434B0000}"/>
    <cellStyle name="Dane wyjściowe 2 2 2 2 2 9" xfId="19388" xr:uid="{00000000-0005-0000-0000-0000444B0000}"/>
    <cellStyle name="Dane wyjściowe 2 2 2 2 2 9 2" xfId="19389" xr:uid="{00000000-0005-0000-0000-0000454B0000}"/>
    <cellStyle name="Dane wyjściowe 2 2 2 2 2 9 2 2" xfId="19390" xr:uid="{00000000-0005-0000-0000-0000464B0000}"/>
    <cellStyle name="Dane wyjściowe 2 2 2 2 2 9 3" xfId="19391" xr:uid="{00000000-0005-0000-0000-0000474B0000}"/>
    <cellStyle name="Dane wyjściowe 2 2 2 2 3" xfId="19392" xr:uid="{00000000-0005-0000-0000-0000484B0000}"/>
    <cellStyle name="Dane wyjściowe 2 2 2 2 3 2" xfId="19393" xr:uid="{00000000-0005-0000-0000-0000494B0000}"/>
    <cellStyle name="Dane wyjściowe 2 2 2 2 3 2 2" xfId="19394" xr:uid="{00000000-0005-0000-0000-00004A4B0000}"/>
    <cellStyle name="Dane wyjściowe 2 2 2 2 3 2 2 2" xfId="19395" xr:uid="{00000000-0005-0000-0000-00004B4B0000}"/>
    <cellStyle name="Dane wyjściowe 2 2 2 2 3 2 2 2 2" xfId="19396" xr:uid="{00000000-0005-0000-0000-00004C4B0000}"/>
    <cellStyle name="Dane wyjściowe 2 2 2 2 3 2 2 3" xfId="19397" xr:uid="{00000000-0005-0000-0000-00004D4B0000}"/>
    <cellStyle name="Dane wyjściowe 2 2 2 2 3 2 3" xfId="19398" xr:uid="{00000000-0005-0000-0000-00004E4B0000}"/>
    <cellStyle name="Dane wyjściowe 2 2 2 2 3 2 3 2" xfId="19399" xr:uid="{00000000-0005-0000-0000-00004F4B0000}"/>
    <cellStyle name="Dane wyjściowe 2 2 2 2 3 2 3 2 2" xfId="19400" xr:uid="{00000000-0005-0000-0000-0000504B0000}"/>
    <cellStyle name="Dane wyjściowe 2 2 2 2 3 2 3 3" xfId="19401" xr:uid="{00000000-0005-0000-0000-0000514B0000}"/>
    <cellStyle name="Dane wyjściowe 2 2 2 2 3 2 4" xfId="19402" xr:uid="{00000000-0005-0000-0000-0000524B0000}"/>
    <cellStyle name="Dane wyjściowe 2 2 2 2 3 2 4 2" xfId="19403" xr:uid="{00000000-0005-0000-0000-0000534B0000}"/>
    <cellStyle name="Dane wyjściowe 2 2 2 2 3 2 4 2 2" xfId="19404" xr:uid="{00000000-0005-0000-0000-0000544B0000}"/>
    <cellStyle name="Dane wyjściowe 2 2 2 2 3 2 4 3" xfId="19405" xr:uid="{00000000-0005-0000-0000-0000554B0000}"/>
    <cellStyle name="Dane wyjściowe 2 2 2 2 3 2 5" xfId="19406" xr:uid="{00000000-0005-0000-0000-0000564B0000}"/>
    <cellStyle name="Dane wyjściowe 2 2 2 2 3 2 5 2" xfId="19407" xr:uid="{00000000-0005-0000-0000-0000574B0000}"/>
    <cellStyle name="Dane wyjściowe 2 2 2 2 3 2 6" xfId="19408" xr:uid="{00000000-0005-0000-0000-0000584B0000}"/>
    <cellStyle name="Dane wyjściowe 2 2 2 2 3 2 6 2" xfId="19409" xr:uid="{00000000-0005-0000-0000-0000594B0000}"/>
    <cellStyle name="Dane wyjściowe 2 2 2 2 3 2 7" xfId="19410" xr:uid="{00000000-0005-0000-0000-00005A4B0000}"/>
    <cellStyle name="Dane wyjściowe 2 2 2 2 3 3" xfId="19411" xr:uid="{00000000-0005-0000-0000-00005B4B0000}"/>
    <cellStyle name="Dane wyjściowe 2 2 2 2 3 3 2" xfId="19412" xr:uid="{00000000-0005-0000-0000-00005C4B0000}"/>
    <cellStyle name="Dane wyjściowe 2 2 2 2 3 3 2 2" xfId="19413" xr:uid="{00000000-0005-0000-0000-00005D4B0000}"/>
    <cellStyle name="Dane wyjściowe 2 2 2 2 3 3 3" xfId="19414" xr:uid="{00000000-0005-0000-0000-00005E4B0000}"/>
    <cellStyle name="Dane wyjściowe 2 2 2 2 3 4" xfId="19415" xr:uid="{00000000-0005-0000-0000-00005F4B0000}"/>
    <cellStyle name="Dane wyjściowe 2 2 2 2 3 4 2" xfId="19416" xr:uid="{00000000-0005-0000-0000-0000604B0000}"/>
    <cellStyle name="Dane wyjściowe 2 2 2 2 3 4 2 2" xfId="19417" xr:uid="{00000000-0005-0000-0000-0000614B0000}"/>
    <cellStyle name="Dane wyjściowe 2 2 2 2 3 4 3" xfId="19418" xr:uid="{00000000-0005-0000-0000-0000624B0000}"/>
    <cellStyle name="Dane wyjściowe 2 2 2 2 3 5" xfId="19419" xr:uid="{00000000-0005-0000-0000-0000634B0000}"/>
    <cellStyle name="Dane wyjściowe 2 2 2 2 3 5 2" xfId="19420" xr:uid="{00000000-0005-0000-0000-0000644B0000}"/>
    <cellStyle name="Dane wyjściowe 2 2 2 2 3 5 2 2" xfId="19421" xr:uid="{00000000-0005-0000-0000-0000654B0000}"/>
    <cellStyle name="Dane wyjściowe 2 2 2 2 3 5 3" xfId="19422" xr:uid="{00000000-0005-0000-0000-0000664B0000}"/>
    <cellStyle name="Dane wyjściowe 2 2 2 2 3 6" xfId="19423" xr:uid="{00000000-0005-0000-0000-0000674B0000}"/>
    <cellStyle name="Dane wyjściowe 2 2 2 2 3 6 2" xfId="19424" xr:uid="{00000000-0005-0000-0000-0000684B0000}"/>
    <cellStyle name="Dane wyjściowe 2 2 2 2 3 7" xfId="19425" xr:uid="{00000000-0005-0000-0000-0000694B0000}"/>
    <cellStyle name="Dane wyjściowe 2 2 2 2 3 7 2" xfId="19426" xr:uid="{00000000-0005-0000-0000-00006A4B0000}"/>
    <cellStyle name="Dane wyjściowe 2 2 2 2 3 8" xfId="19427" xr:uid="{00000000-0005-0000-0000-00006B4B0000}"/>
    <cellStyle name="Dane wyjściowe 2 2 2 2 4" xfId="19428" xr:uid="{00000000-0005-0000-0000-00006C4B0000}"/>
    <cellStyle name="Dane wyjściowe 2 2 2 2 4 2" xfId="19429" xr:uid="{00000000-0005-0000-0000-00006D4B0000}"/>
    <cellStyle name="Dane wyjściowe 2 2 2 2 4 2 2" xfId="19430" xr:uid="{00000000-0005-0000-0000-00006E4B0000}"/>
    <cellStyle name="Dane wyjściowe 2 2 2 2 4 3" xfId="19431" xr:uid="{00000000-0005-0000-0000-00006F4B0000}"/>
    <cellStyle name="Dane wyjściowe 2 2 2 2 5" xfId="19432" xr:uid="{00000000-0005-0000-0000-0000704B0000}"/>
    <cellStyle name="Dane wyjściowe 2 2 2 2 5 2" xfId="19433" xr:uid="{00000000-0005-0000-0000-0000714B0000}"/>
    <cellStyle name="Dane wyjściowe 2 2 2 2 5 2 2" xfId="19434" xr:uid="{00000000-0005-0000-0000-0000724B0000}"/>
    <cellStyle name="Dane wyjściowe 2 2 2 2 5 3" xfId="19435" xr:uid="{00000000-0005-0000-0000-0000734B0000}"/>
    <cellStyle name="Dane wyjściowe 2 2 2 2 6" xfId="19436" xr:uid="{00000000-0005-0000-0000-0000744B0000}"/>
    <cellStyle name="Dane wyjściowe 2 2 2 2 6 2" xfId="19437" xr:uid="{00000000-0005-0000-0000-0000754B0000}"/>
    <cellStyle name="Dane wyjściowe 2 2 2 2 6 2 2" xfId="19438" xr:uid="{00000000-0005-0000-0000-0000764B0000}"/>
    <cellStyle name="Dane wyjściowe 2 2 2 2 6 3" xfId="19439" xr:uid="{00000000-0005-0000-0000-0000774B0000}"/>
    <cellStyle name="Dane wyjściowe 2 2 2 2 7" xfId="19440" xr:uid="{00000000-0005-0000-0000-0000784B0000}"/>
    <cellStyle name="Dane wyjściowe 2 2 2 2 7 2" xfId="19441" xr:uid="{00000000-0005-0000-0000-0000794B0000}"/>
    <cellStyle name="Dane wyjściowe 2 2 2 2 7 2 2" xfId="19442" xr:uid="{00000000-0005-0000-0000-00007A4B0000}"/>
    <cellStyle name="Dane wyjściowe 2 2 2 2 7 3" xfId="19443" xr:uid="{00000000-0005-0000-0000-00007B4B0000}"/>
    <cellStyle name="Dane wyjściowe 2 2 2 2 8" xfId="19444" xr:uid="{00000000-0005-0000-0000-00007C4B0000}"/>
    <cellStyle name="Dane wyjściowe 2 2 2 2 8 2" xfId="19445" xr:uid="{00000000-0005-0000-0000-00007D4B0000}"/>
    <cellStyle name="Dane wyjściowe 2 2 2 2 8 2 2" xfId="19446" xr:uid="{00000000-0005-0000-0000-00007E4B0000}"/>
    <cellStyle name="Dane wyjściowe 2 2 2 2 8 2 2 2" xfId="19447" xr:uid="{00000000-0005-0000-0000-00007F4B0000}"/>
    <cellStyle name="Dane wyjściowe 2 2 2 2 8 2 3" xfId="19448" xr:uid="{00000000-0005-0000-0000-0000804B0000}"/>
    <cellStyle name="Dane wyjściowe 2 2 2 2 8 3" xfId="19449" xr:uid="{00000000-0005-0000-0000-0000814B0000}"/>
    <cellStyle name="Dane wyjściowe 2 2 2 2 8 3 2" xfId="19450" xr:uid="{00000000-0005-0000-0000-0000824B0000}"/>
    <cellStyle name="Dane wyjściowe 2 2 2 2 8 3 2 2" xfId="19451" xr:uid="{00000000-0005-0000-0000-0000834B0000}"/>
    <cellStyle name="Dane wyjściowe 2 2 2 2 8 3 3" xfId="19452" xr:uid="{00000000-0005-0000-0000-0000844B0000}"/>
    <cellStyle name="Dane wyjściowe 2 2 2 2 8 4" xfId="19453" xr:uid="{00000000-0005-0000-0000-0000854B0000}"/>
    <cellStyle name="Dane wyjściowe 2 2 2 2 8 4 2" xfId="19454" xr:uid="{00000000-0005-0000-0000-0000864B0000}"/>
    <cellStyle name="Dane wyjściowe 2 2 2 2 8 4 2 2" xfId="19455" xr:uid="{00000000-0005-0000-0000-0000874B0000}"/>
    <cellStyle name="Dane wyjściowe 2 2 2 2 8 4 3" xfId="19456" xr:uid="{00000000-0005-0000-0000-0000884B0000}"/>
    <cellStyle name="Dane wyjściowe 2 2 2 2 8 5" xfId="19457" xr:uid="{00000000-0005-0000-0000-0000894B0000}"/>
    <cellStyle name="Dane wyjściowe 2 2 2 2 8 5 2" xfId="19458" xr:uid="{00000000-0005-0000-0000-00008A4B0000}"/>
    <cellStyle name="Dane wyjściowe 2 2 2 2 8 6" xfId="19459" xr:uid="{00000000-0005-0000-0000-00008B4B0000}"/>
    <cellStyle name="Dane wyjściowe 2 2 2 2 8 6 2" xfId="19460" xr:uid="{00000000-0005-0000-0000-00008C4B0000}"/>
    <cellStyle name="Dane wyjściowe 2 2 2 2 8 7" xfId="19461" xr:uid="{00000000-0005-0000-0000-00008D4B0000}"/>
    <cellStyle name="Dane wyjściowe 2 2 2 2 9" xfId="19462" xr:uid="{00000000-0005-0000-0000-00008E4B0000}"/>
    <cellStyle name="Dane wyjściowe 2 2 2 2 9 2" xfId="19463" xr:uid="{00000000-0005-0000-0000-00008F4B0000}"/>
    <cellStyle name="Dane wyjściowe 2 2 2 2 9 2 2" xfId="19464" xr:uid="{00000000-0005-0000-0000-0000904B0000}"/>
    <cellStyle name="Dane wyjściowe 2 2 2 2 9 3" xfId="19465" xr:uid="{00000000-0005-0000-0000-0000914B0000}"/>
    <cellStyle name="Dane wyjściowe 2 2 2 3" xfId="19466" xr:uid="{00000000-0005-0000-0000-0000924B0000}"/>
    <cellStyle name="Dane wyjściowe 2 2 2 3 2" xfId="19467" xr:uid="{00000000-0005-0000-0000-0000934B0000}"/>
    <cellStyle name="Dane wyjściowe 2 2 2 3 2 2" xfId="19468" xr:uid="{00000000-0005-0000-0000-0000944B0000}"/>
    <cellStyle name="Dane wyjściowe 2 2 2 3 3" xfId="19469" xr:uid="{00000000-0005-0000-0000-0000954B0000}"/>
    <cellStyle name="Dane wyjściowe 2 2 2 4" xfId="19470" xr:uid="{00000000-0005-0000-0000-0000964B0000}"/>
    <cellStyle name="Dane wyjściowe 2 2 2 4 10" xfId="19471" xr:uid="{00000000-0005-0000-0000-0000974B0000}"/>
    <cellStyle name="Dane wyjściowe 2 2 2 4 10 2" xfId="19472" xr:uid="{00000000-0005-0000-0000-0000984B0000}"/>
    <cellStyle name="Dane wyjściowe 2 2 2 4 11" xfId="19473" xr:uid="{00000000-0005-0000-0000-0000994B0000}"/>
    <cellStyle name="Dane wyjściowe 2 2 2 4 11 2" xfId="19474" xr:uid="{00000000-0005-0000-0000-00009A4B0000}"/>
    <cellStyle name="Dane wyjściowe 2 2 2 4 12" xfId="19475" xr:uid="{00000000-0005-0000-0000-00009B4B0000}"/>
    <cellStyle name="Dane wyjściowe 2 2 2 4 2" xfId="19476" xr:uid="{00000000-0005-0000-0000-00009C4B0000}"/>
    <cellStyle name="Dane wyjściowe 2 2 2 4 2 2" xfId="19477" xr:uid="{00000000-0005-0000-0000-00009D4B0000}"/>
    <cellStyle name="Dane wyjściowe 2 2 2 4 2 2 2" xfId="19478" xr:uid="{00000000-0005-0000-0000-00009E4B0000}"/>
    <cellStyle name="Dane wyjściowe 2 2 2 4 2 2 2 2" xfId="19479" xr:uid="{00000000-0005-0000-0000-00009F4B0000}"/>
    <cellStyle name="Dane wyjściowe 2 2 2 4 2 2 2 2 2" xfId="19480" xr:uid="{00000000-0005-0000-0000-0000A04B0000}"/>
    <cellStyle name="Dane wyjściowe 2 2 2 4 2 2 2 3" xfId="19481" xr:uid="{00000000-0005-0000-0000-0000A14B0000}"/>
    <cellStyle name="Dane wyjściowe 2 2 2 4 2 2 3" xfId="19482" xr:uid="{00000000-0005-0000-0000-0000A24B0000}"/>
    <cellStyle name="Dane wyjściowe 2 2 2 4 2 2 3 2" xfId="19483" xr:uid="{00000000-0005-0000-0000-0000A34B0000}"/>
    <cellStyle name="Dane wyjściowe 2 2 2 4 2 2 3 2 2" xfId="19484" xr:uid="{00000000-0005-0000-0000-0000A44B0000}"/>
    <cellStyle name="Dane wyjściowe 2 2 2 4 2 2 3 3" xfId="19485" xr:uid="{00000000-0005-0000-0000-0000A54B0000}"/>
    <cellStyle name="Dane wyjściowe 2 2 2 4 2 2 4" xfId="19486" xr:uid="{00000000-0005-0000-0000-0000A64B0000}"/>
    <cellStyle name="Dane wyjściowe 2 2 2 4 2 2 4 2" xfId="19487" xr:uid="{00000000-0005-0000-0000-0000A74B0000}"/>
    <cellStyle name="Dane wyjściowe 2 2 2 4 2 2 4 2 2" xfId="19488" xr:uid="{00000000-0005-0000-0000-0000A84B0000}"/>
    <cellStyle name="Dane wyjściowe 2 2 2 4 2 2 4 3" xfId="19489" xr:uid="{00000000-0005-0000-0000-0000A94B0000}"/>
    <cellStyle name="Dane wyjściowe 2 2 2 4 2 2 5" xfId="19490" xr:uid="{00000000-0005-0000-0000-0000AA4B0000}"/>
    <cellStyle name="Dane wyjściowe 2 2 2 4 2 2 5 2" xfId="19491" xr:uid="{00000000-0005-0000-0000-0000AB4B0000}"/>
    <cellStyle name="Dane wyjściowe 2 2 2 4 2 2 6" xfId="19492" xr:uid="{00000000-0005-0000-0000-0000AC4B0000}"/>
    <cellStyle name="Dane wyjściowe 2 2 2 4 2 2 6 2" xfId="19493" xr:uid="{00000000-0005-0000-0000-0000AD4B0000}"/>
    <cellStyle name="Dane wyjściowe 2 2 2 4 2 2 7" xfId="19494" xr:uid="{00000000-0005-0000-0000-0000AE4B0000}"/>
    <cellStyle name="Dane wyjściowe 2 2 2 4 2 3" xfId="19495" xr:uid="{00000000-0005-0000-0000-0000AF4B0000}"/>
    <cellStyle name="Dane wyjściowe 2 2 2 4 2 3 2" xfId="19496" xr:uid="{00000000-0005-0000-0000-0000B04B0000}"/>
    <cellStyle name="Dane wyjściowe 2 2 2 4 2 3 2 2" xfId="19497" xr:uid="{00000000-0005-0000-0000-0000B14B0000}"/>
    <cellStyle name="Dane wyjściowe 2 2 2 4 2 3 3" xfId="19498" xr:uid="{00000000-0005-0000-0000-0000B24B0000}"/>
    <cellStyle name="Dane wyjściowe 2 2 2 4 2 4" xfId="19499" xr:uid="{00000000-0005-0000-0000-0000B34B0000}"/>
    <cellStyle name="Dane wyjściowe 2 2 2 4 2 4 2" xfId="19500" xr:uid="{00000000-0005-0000-0000-0000B44B0000}"/>
    <cellStyle name="Dane wyjściowe 2 2 2 4 2 4 2 2" xfId="19501" xr:uid="{00000000-0005-0000-0000-0000B54B0000}"/>
    <cellStyle name="Dane wyjściowe 2 2 2 4 2 4 3" xfId="19502" xr:uid="{00000000-0005-0000-0000-0000B64B0000}"/>
    <cellStyle name="Dane wyjściowe 2 2 2 4 2 5" xfId="19503" xr:uid="{00000000-0005-0000-0000-0000B74B0000}"/>
    <cellStyle name="Dane wyjściowe 2 2 2 4 2 5 2" xfId="19504" xr:uid="{00000000-0005-0000-0000-0000B84B0000}"/>
    <cellStyle name="Dane wyjściowe 2 2 2 4 2 5 2 2" xfId="19505" xr:uid="{00000000-0005-0000-0000-0000B94B0000}"/>
    <cellStyle name="Dane wyjściowe 2 2 2 4 2 5 3" xfId="19506" xr:uid="{00000000-0005-0000-0000-0000BA4B0000}"/>
    <cellStyle name="Dane wyjściowe 2 2 2 4 2 6" xfId="19507" xr:uid="{00000000-0005-0000-0000-0000BB4B0000}"/>
    <cellStyle name="Dane wyjściowe 2 2 2 4 2 6 2" xfId="19508" xr:uid="{00000000-0005-0000-0000-0000BC4B0000}"/>
    <cellStyle name="Dane wyjściowe 2 2 2 4 2 7" xfId="19509" xr:uid="{00000000-0005-0000-0000-0000BD4B0000}"/>
    <cellStyle name="Dane wyjściowe 2 2 2 4 2 7 2" xfId="19510" xr:uid="{00000000-0005-0000-0000-0000BE4B0000}"/>
    <cellStyle name="Dane wyjściowe 2 2 2 4 2 8" xfId="19511" xr:uid="{00000000-0005-0000-0000-0000BF4B0000}"/>
    <cellStyle name="Dane wyjściowe 2 2 2 4 3" xfId="19512" xr:uid="{00000000-0005-0000-0000-0000C04B0000}"/>
    <cellStyle name="Dane wyjściowe 2 2 2 4 3 2" xfId="19513" xr:uid="{00000000-0005-0000-0000-0000C14B0000}"/>
    <cellStyle name="Dane wyjściowe 2 2 2 4 3 2 2" xfId="19514" xr:uid="{00000000-0005-0000-0000-0000C24B0000}"/>
    <cellStyle name="Dane wyjściowe 2 2 2 4 3 3" xfId="19515" xr:uid="{00000000-0005-0000-0000-0000C34B0000}"/>
    <cellStyle name="Dane wyjściowe 2 2 2 4 4" xfId="19516" xr:uid="{00000000-0005-0000-0000-0000C44B0000}"/>
    <cellStyle name="Dane wyjściowe 2 2 2 4 4 2" xfId="19517" xr:uid="{00000000-0005-0000-0000-0000C54B0000}"/>
    <cellStyle name="Dane wyjściowe 2 2 2 4 4 2 2" xfId="19518" xr:uid="{00000000-0005-0000-0000-0000C64B0000}"/>
    <cellStyle name="Dane wyjściowe 2 2 2 4 4 3" xfId="19519" xr:uid="{00000000-0005-0000-0000-0000C74B0000}"/>
    <cellStyle name="Dane wyjściowe 2 2 2 4 5" xfId="19520" xr:uid="{00000000-0005-0000-0000-0000C84B0000}"/>
    <cellStyle name="Dane wyjściowe 2 2 2 4 5 2" xfId="19521" xr:uid="{00000000-0005-0000-0000-0000C94B0000}"/>
    <cellStyle name="Dane wyjściowe 2 2 2 4 5 2 2" xfId="19522" xr:uid="{00000000-0005-0000-0000-0000CA4B0000}"/>
    <cellStyle name="Dane wyjściowe 2 2 2 4 5 3" xfId="19523" xr:uid="{00000000-0005-0000-0000-0000CB4B0000}"/>
    <cellStyle name="Dane wyjściowe 2 2 2 4 6" xfId="19524" xr:uid="{00000000-0005-0000-0000-0000CC4B0000}"/>
    <cellStyle name="Dane wyjściowe 2 2 2 4 6 2" xfId="19525" xr:uid="{00000000-0005-0000-0000-0000CD4B0000}"/>
    <cellStyle name="Dane wyjściowe 2 2 2 4 6 2 2" xfId="19526" xr:uid="{00000000-0005-0000-0000-0000CE4B0000}"/>
    <cellStyle name="Dane wyjściowe 2 2 2 4 6 3" xfId="19527" xr:uid="{00000000-0005-0000-0000-0000CF4B0000}"/>
    <cellStyle name="Dane wyjściowe 2 2 2 4 7" xfId="19528" xr:uid="{00000000-0005-0000-0000-0000D04B0000}"/>
    <cellStyle name="Dane wyjściowe 2 2 2 4 7 2" xfId="19529" xr:uid="{00000000-0005-0000-0000-0000D14B0000}"/>
    <cellStyle name="Dane wyjściowe 2 2 2 4 7 2 2" xfId="19530" xr:uid="{00000000-0005-0000-0000-0000D24B0000}"/>
    <cellStyle name="Dane wyjściowe 2 2 2 4 7 2 2 2" xfId="19531" xr:uid="{00000000-0005-0000-0000-0000D34B0000}"/>
    <cellStyle name="Dane wyjściowe 2 2 2 4 7 2 3" xfId="19532" xr:uid="{00000000-0005-0000-0000-0000D44B0000}"/>
    <cellStyle name="Dane wyjściowe 2 2 2 4 7 3" xfId="19533" xr:uid="{00000000-0005-0000-0000-0000D54B0000}"/>
    <cellStyle name="Dane wyjściowe 2 2 2 4 7 3 2" xfId="19534" xr:uid="{00000000-0005-0000-0000-0000D64B0000}"/>
    <cellStyle name="Dane wyjściowe 2 2 2 4 7 3 2 2" xfId="19535" xr:uid="{00000000-0005-0000-0000-0000D74B0000}"/>
    <cellStyle name="Dane wyjściowe 2 2 2 4 7 3 3" xfId="19536" xr:uid="{00000000-0005-0000-0000-0000D84B0000}"/>
    <cellStyle name="Dane wyjściowe 2 2 2 4 7 4" xfId="19537" xr:uid="{00000000-0005-0000-0000-0000D94B0000}"/>
    <cellStyle name="Dane wyjściowe 2 2 2 4 7 4 2" xfId="19538" xr:uid="{00000000-0005-0000-0000-0000DA4B0000}"/>
    <cellStyle name="Dane wyjściowe 2 2 2 4 7 4 2 2" xfId="19539" xr:uid="{00000000-0005-0000-0000-0000DB4B0000}"/>
    <cellStyle name="Dane wyjściowe 2 2 2 4 7 4 3" xfId="19540" xr:uid="{00000000-0005-0000-0000-0000DC4B0000}"/>
    <cellStyle name="Dane wyjściowe 2 2 2 4 7 5" xfId="19541" xr:uid="{00000000-0005-0000-0000-0000DD4B0000}"/>
    <cellStyle name="Dane wyjściowe 2 2 2 4 7 5 2" xfId="19542" xr:uid="{00000000-0005-0000-0000-0000DE4B0000}"/>
    <cellStyle name="Dane wyjściowe 2 2 2 4 7 6" xfId="19543" xr:uid="{00000000-0005-0000-0000-0000DF4B0000}"/>
    <cellStyle name="Dane wyjściowe 2 2 2 4 7 6 2" xfId="19544" xr:uid="{00000000-0005-0000-0000-0000E04B0000}"/>
    <cellStyle name="Dane wyjściowe 2 2 2 4 7 7" xfId="19545" xr:uid="{00000000-0005-0000-0000-0000E14B0000}"/>
    <cellStyle name="Dane wyjściowe 2 2 2 4 8" xfId="19546" xr:uid="{00000000-0005-0000-0000-0000E24B0000}"/>
    <cellStyle name="Dane wyjściowe 2 2 2 4 8 2" xfId="19547" xr:uid="{00000000-0005-0000-0000-0000E34B0000}"/>
    <cellStyle name="Dane wyjściowe 2 2 2 4 8 2 2" xfId="19548" xr:uid="{00000000-0005-0000-0000-0000E44B0000}"/>
    <cellStyle name="Dane wyjściowe 2 2 2 4 8 3" xfId="19549" xr:uid="{00000000-0005-0000-0000-0000E54B0000}"/>
    <cellStyle name="Dane wyjściowe 2 2 2 4 9" xfId="19550" xr:uid="{00000000-0005-0000-0000-0000E64B0000}"/>
    <cellStyle name="Dane wyjściowe 2 2 2 4 9 2" xfId="19551" xr:uid="{00000000-0005-0000-0000-0000E74B0000}"/>
    <cellStyle name="Dane wyjściowe 2 2 2 4 9 2 2" xfId="19552" xr:uid="{00000000-0005-0000-0000-0000E84B0000}"/>
    <cellStyle name="Dane wyjściowe 2 2 2 4 9 3" xfId="19553" xr:uid="{00000000-0005-0000-0000-0000E94B0000}"/>
    <cellStyle name="Dane wyjściowe 2 2 2 5" xfId="19554" xr:uid="{00000000-0005-0000-0000-0000EA4B0000}"/>
    <cellStyle name="Dane wyjściowe 2 2 2 5 2" xfId="19555" xr:uid="{00000000-0005-0000-0000-0000EB4B0000}"/>
    <cellStyle name="Dane wyjściowe 2 2 2 5 2 2" xfId="19556" xr:uid="{00000000-0005-0000-0000-0000EC4B0000}"/>
    <cellStyle name="Dane wyjściowe 2 2 2 5 2 2 2" xfId="19557" xr:uid="{00000000-0005-0000-0000-0000ED4B0000}"/>
    <cellStyle name="Dane wyjściowe 2 2 2 5 2 2 2 2" xfId="19558" xr:uid="{00000000-0005-0000-0000-0000EE4B0000}"/>
    <cellStyle name="Dane wyjściowe 2 2 2 5 2 2 3" xfId="19559" xr:uid="{00000000-0005-0000-0000-0000EF4B0000}"/>
    <cellStyle name="Dane wyjściowe 2 2 2 5 2 3" xfId="19560" xr:uid="{00000000-0005-0000-0000-0000F04B0000}"/>
    <cellStyle name="Dane wyjściowe 2 2 2 5 2 3 2" xfId="19561" xr:uid="{00000000-0005-0000-0000-0000F14B0000}"/>
    <cellStyle name="Dane wyjściowe 2 2 2 5 2 3 2 2" xfId="19562" xr:uid="{00000000-0005-0000-0000-0000F24B0000}"/>
    <cellStyle name="Dane wyjściowe 2 2 2 5 2 3 3" xfId="19563" xr:uid="{00000000-0005-0000-0000-0000F34B0000}"/>
    <cellStyle name="Dane wyjściowe 2 2 2 5 2 4" xfId="19564" xr:uid="{00000000-0005-0000-0000-0000F44B0000}"/>
    <cellStyle name="Dane wyjściowe 2 2 2 5 2 4 2" xfId="19565" xr:uid="{00000000-0005-0000-0000-0000F54B0000}"/>
    <cellStyle name="Dane wyjściowe 2 2 2 5 2 4 2 2" xfId="19566" xr:uid="{00000000-0005-0000-0000-0000F64B0000}"/>
    <cellStyle name="Dane wyjściowe 2 2 2 5 2 4 3" xfId="19567" xr:uid="{00000000-0005-0000-0000-0000F74B0000}"/>
    <cellStyle name="Dane wyjściowe 2 2 2 5 2 5" xfId="19568" xr:uid="{00000000-0005-0000-0000-0000F84B0000}"/>
    <cellStyle name="Dane wyjściowe 2 2 2 5 2 5 2" xfId="19569" xr:uid="{00000000-0005-0000-0000-0000F94B0000}"/>
    <cellStyle name="Dane wyjściowe 2 2 2 5 2 6" xfId="19570" xr:uid="{00000000-0005-0000-0000-0000FA4B0000}"/>
    <cellStyle name="Dane wyjściowe 2 2 2 5 2 6 2" xfId="19571" xr:uid="{00000000-0005-0000-0000-0000FB4B0000}"/>
    <cellStyle name="Dane wyjściowe 2 2 2 5 2 7" xfId="19572" xr:uid="{00000000-0005-0000-0000-0000FC4B0000}"/>
    <cellStyle name="Dane wyjściowe 2 2 2 5 3" xfId="19573" xr:uid="{00000000-0005-0000-0000-0000FD4B0000}"/>
    <cellStyle name="Dane wyjściowe 2 2 2 5 3 2" xfId="19574" xr:uid="{00000000-0005-0000-0000-0000FE4B0000}"/>
    <cellStyle name="Dane wyjściowe 2 2 2 5 3 2 2" xfId="19575" xr:uid="{00000000-0005-0000-0000-0000FF4B0000}"/>
    <cellStyle name="Dane wyjściowe 2 2 2 5 3 3" xfId="19576" xr:uid="{00000000-0005-0000-0000-0000004C0000}"/>
    <cellStyle name="Dane wyjściowe 2 2 2 5 4" xfId="19577" xr:uid="{00000000-0005-0000-0000-0000014C0000}"/>
    <cellStyle name="Dane wyjściowe 2 2 2 5 4 2" xfId="19578" xr:uid="{00000000-0005-0000-0000-0000024C0000}"/>
    <cellStyle name="Dane wyjściowe 2 2 2 5 4 2 2" xfId="19579" xr:uid="{00000000-0005-0000-0000-0000034C0000}"/>
    <cellStyle name="Dane wyjściowe 2 2 2 5 4 3" xfId="19580" xr:uid="{00000000-0005-0000-0000-0000044C0000}"/>
    <cellStyle name="Dane wyjściowe 2 2 2 5 5" xfId="19581" xr:uid="{00000000-0005-0000-0000-0000054C0000}"/>
    <cellStyle name="Dane wyjściowe 2 2 2 5 5 2" xfId="19582" xr:uid="{00000000-0005-0000-0000-0000064C0000}"/>
    <cellStyle name="Dane wyjściowe 2 2 2 5 5 2 2" xfId="19583" xr:uid="{00000000-0005-0000-0000-0000074C0000}"/>
    <cellStyle name="Dane wyjściowe 2 2 2 5 5 3" xfId="19584" xr:uid="{00000000-0005-0000-0000-0000084C0000}"/>
    <cellStyle name="Dane wyjściowe 2 2 2 5 6" xfId="19585" xr:uid="{00000000-0005-0000-0000-0000094C0000}"/>
    <cellStyle name="Dane wyjściowe 2 2 2 5 6 2" xfId="19586" xr:uid="{00000000-0005-0000-0000-00000A4C0000}"/>
    <cellStyle name="Dane wyjściowe 2 2 2 5 7" xfId="19587" xr:uid="{00000000-0005-0000-0000-00000B4C0000}"/>
    <cellStyle name="Dane wyjściowe 2 2 2 5 7 2" xfId="19588" xr:uid="{00000000-0005-0000-0000-00000C4C0000}"/>
    <cellStyle name="Dane wyjściowe 2 2 2 5 8" xfId="19589" xr:uid="{00000000-0005-0000-0000-00000D4C0000}"/>
    <cellStyle name="Dane wyjściowe 2 2 2 6" xfId="19590" xr:uid="{00000000-0005-0000-0000-00000E4C0000}"/>
    <cellStyle name="Dane wyjściowe 2 2 2 6 2" xfId="19591" xr:uid="{00000000-0005-0000-0000-00000F4C0000}"/>
    <cellStyle name="Dane wyjściowe 2 2 2 6 2 2" xfId="19592" xr:uid="{00000000-0005-0000-0000-0000104C0000}"/>
    <cellStyle name="Dane wyjściowe 2 2 2 6 3" xfId="19593" xr:uid="{00000000-0005-0000-0000-0000114C0000}"/>
    <cellStyle name="Dane wyjściowe 2 2 2 7" xfId="19594" xr:uid="{00000000-0005-0000-0000-0000124C0000}"/>
    <cellStyle name="Dane wyjściowe 2 2 2 7 2" xfId="19595" xr:uid="{00000000-0005-0000-0000-0000134C0000}"/>
    <cellStyle name="Dane wyjściowe 2 2 2 7 2 2" xfId="19596" xr:uid="{00000000-0005-0000-0000-0000144C0000}"/>
    <cellStyle name="Dane wyjściowe 2 2 2 7 3" xfId="19597" xr:uid="{00000000-0005-0000-0000-0000154C0000}"/>
    <cellStyle name="Dane wyjściowe 2 2 2 8" xfId="19598" xr:uid="{00000000-0005-0000-0000-0000164C0000}"/>
    <cellStyle name="Dane wyjściowe 2 2 2 8 2" xfId="19599" xr:uid="{00000000-0005-0000-0000-0000174C0000}"/>
    <cellStyle name="Dane wyjściowe 2 2 2 8 2 2" xfId="19600" xr:uid="{00000000-0005-0000-0000-0000184C0000}"/>
    <cellStyle name="Dane wyjściowe 2 2 2 8 3" xfId="19601" xr:uid="{00000000-0005-0000-0000-0000194C0000}"/>
    <cellStyle name="Dane wyjściowe 2 2 2 9" xfId="19602" xr:uid="{00000000-0005-0000-0000-00001A4C0000}"/>
    <cellStyle name="Dane wyjściowe 2 2 2 9 2" xfId="19603" xr:uid="{00000000-0005-0000-0000-00001B4C0000}"/>
    <cellStyle name="Dane wyjściowe 2 2 2 9 2 2" xfId="19604" xr:uid="{00000000-0005-0000-0000-00001C4C0000}"/>
    <cellStyle name="Dane wyjściowe 2 2 2 9 2 2 2" xfId="19605" xr:uid="{00000000-0005-0000-0000-00001D4C0000}"/>
    <cellStyle name="Dane wyjściowe 2 2 2 9 2 3" xfId="19606" xr:uid="{00000000-0005-0000-0000-00001E4C0000}"/>
    <cellStyle name="Dane wyjściowe 2 2 2 9 3" xfId="19607" xr:uid="{00000000-0005-0000-0000-00001F4C0000}"/>
    <cellStyle name="Dane wyjściowe 2 2 2 9 3 2" xfId="19608" xr:uid="{00000000-0005-0000-0000-0000204C0000}"/>
    <cellStyle name="Dane wyjściowe 2 2 2 9 3 2 2" xfId="19609" xr:uid="{00000000-0005-0000-0000-0000214C0000}"/>
    <cellStyle name="Dane wyjściowe 2 2 2 9 3 3" xfId="19610" xr:uid="{00000000-0005-0000-0000-0000224C0000}"/>
    <cellStyle name="Dane wyjściowe 2 2 2 9 4" xfId="19611" xr:uid="{00000000-0005-0000-0000-0000234C0000}"/>
    <cellStyle name="Dane wyjściowe 2 2 2 9 4 2" xfId="19612" xr:uid="{00000000-0005-0000-0000-0000244C0000}"/>
    <cellStyle name="Dane wyjściowe 2 2 2 9 4 2 2" xfId="19613" xr:uid="{00000000-0005-0000-0000-0000254C0000}"/>
    <cellStyle name="Dane wyjściowe 2 2 2 9 4 3" xfId="19614" xr:uid="{00000000-0005-0000-0000-0000264C0000}"/>
    <cellStyle name="Dane wyjściowe 2 2 2 9 5" xfId="19615" xr:uid="{00000000-0005-0000-0000-0000274C0000}"/>
    <cellStyle name="Dane wyjściowe 2 2 2 9 5 2" xfId="19616" xr:uid="{00000000-0005-0000-0000-0000284C0000}"/>
    <cellStyle name="Dane wyjściowe 2 2 2 9 6" xfId="19617" xr:uid="{00000000-0005-0000-0000-0000294C0000}"/>
    <cellStyle name="Dane wyjściowe 2 2 2 9 6 2" xfId="19618" xr:uid="{00000000-0005-0000-0000-00002A4C0000}"/>
    <cellStyle name="Dane wyjściowe 2 2 2 9 7" xfId="19619" xr:uid="{00000000-0005-0000-0000-00002B4C0000}"/>
    <cellStyle name="Dane wyjściowe 2 2 20" xfId="19620" xr:uid="{00000000-0005-0000-0000-00002C4C0000}"/>
    <cellStyle name="Dane wyjściowe 2 2 20 2" xfId="19621" xr:uid="{00000000-0005-0000-0000-00002D4C0000}"/>
    <cellStyle name="Dane wyjściowe 2 2 20 2 2" xfId="19622" xr:uid="{00000000-0005-0000-0000-00002E4C0000}"/>
    <cellStyle name="Dane wyjściowe 2 2 20 3" xfId="19623" xr:uid="{00000000-0005-0000-0000-00002F4C0000}"/>
    <cellStyle name="Dane wyjściowe 2 2 21" xfId="19624" xr:uid="{00000000-0005-0000-0000-0000304C0000}"/>
    <cellStyle name="Dane wyjściowe 2 2 21 2" xfId="19625" xr:uid="{00000000-0005-0000-0000-0000314C0000}"/>
    <cellStyle name="Dane wyjściowe 2 2 22" xfId="19626" xr:uid="{00000000-0005-0000-0000-0000324C0000}"/>
    <cellStyle name="Dane wyjściowe 2 2 3" xfId="19627" xr:uid="{00000000-0005-0000-0000-0000334C0000}"/>
    <cellStyle name="Dane wyjściowe 2 2 3 2" xfId="19628" xr:uid="{00000000-0005-0000-0000-0000344C0000}"/>
    <cellStyle name="Dane wyjściowe 2 2 3 2 2" xfId="19629" xr:uid="{00000000-0005-0000-0000-0000354C0000}"/>
    <cellStyle name="Dane wyjściowe 2 2 3 3" xfId="19630" xr:uid="{00000000-0005-0000-0000-0000364C0000}"/>
    <cellStyle name="Dane wyjściowe 2 2 4" xfId="19631" xr:uid="{00000000-0005-0000-0000-0000374C0000}"/>
    <cellStyle name="Dane wyjściowe 2 2 4 2" xfId="19632" xr:uid="{00000000-0005-0000-0000-0000384C0000}"/>
    <cellStyle name="Dane wyjściowe 2 2 4 2 2" xfId="19633" xr:uid="{00000000-0005-0000-0000-0000394C0000}"/>
    <cellStyle name="Dane wyjściowe 2 2 4 3" xfId="19634" xr:uid="{00000000-0005-0000-0000-00003A4C0000}"/>
    <cellStyle name="Dane wyjściowe 2 2 5" xfId="19635" xr:uid="{00000000-0005-0000-0000-00003B4C0000}"/>
    <cellStyle name="Dane wyjściowe 2 2 5 2" xfId="19636" xr:uid="{00000000-0005-0000-0000-00003C4C0000}"/>
    <cellStyle name="Dane wyjściowe 2 2 5 2 2" xfId="19637" xr:uid="{00000000-0005-0000-0000-00003D4C0000}"/>
    <cellStyle name="Dane wyjściowe 2 2 5 3" xfId="19638" xr:uid="{00000000-0005-0000-0000-00003E4C0000}"/>
    <cellStyle name="Dane wyjściowe 2 2 6" xfId="19639" xr:uid="{00000000-0005-0000-0000-00003F4C0000}"/>
    <cellStyle name="Dane wyjściowe 2 2 6 2" xfId="19640" xr:uid="{00000000-0005-0000-0000-0000404C0000}"/>
    <cellStyle name="Dane wyjściowe 2 2 6 2 2" xfId="19641" xr:uid="{00000000-0005-0000-0000-0000414C0000}"/>
    <cellStyle name="Dane wyjściowe 2 2 6 3" xfId="19642" xr:uid="{00000000-0005-0000-0000-0000424C0000}"/>
    <cellStyle name="Dane wyjściowe 2 2 7" xfId="19643" xr:uid="{00000000-0005-0000-0000-0000434C0000}"/>
    <cellStyle name="Dane wyjściowe 2 2 7 2" xfId="19644" xr:uid="{00000000-0005-0000-0000-0000444C0000}"/>
    <cellStyle name="Dane wyjściowe 2 2 7 2 2" xfId="19645" xr:uid="{00000000-0005-0000-0000-0000454C0000}"/>
    <cellStyle name="Dane wyjściowe 2 2 7 3" xfId="19646" xr:uid="{00000000-0005-0000-0000-0000464C0000}"/>
    <cellStyle name="Dane wyjściowe 2 2 8" xfId="19647" xr:uid="{00000000-0005-0000-0000-0000474C0000}"/>
    <cellStyle name="Dane wyjściowe 2 2 8 2" xfId="19648" xr:uid="{00000000-0005-0000-0000-0000484C0000}"/>
    <cellStyle name="Dane wyjściowe 2 2 8 2 2" xfId="19649" xr:uid="{00000000-0005-0000-0000-0000494C0000}"/>
    <cellStyle name="Dane wyjściowe 2 2 8 3" xfId="19650" xr:uid="{00000000-0005-0000-0000-00004A4C0000}"/>
    <cellStyle name="Dane wyjściowe 2 2 9" xfId="19651" xr:uid="{00000000-0005-0000-0000-00004B4C0000}"/>
    <cellStyle name="Dane wyjściowe 2 2 9 2" xfId="19652" xr:uid="{00000000-0005-0000-0000-00004C4C0000}"/>
    <cellStyle name="Dane wyjściowe 2 2 9 2 2" xfId="19653" xr:uid="{00000000-0005-0000-0000-00004D4C0000}"/>
    <cellStyle name="Dane wyjściowe 2 2 9 3" xfId="19654" xr:uid="{00000000-0005-0000-0000-00004E4C0000}"/>
    <cellStyle name="Dane wyjściowe 2 20" xfId="19655" xr:uid="{00000000-0005-0000-0000-00004F4C0000}"/>
    <cellStyle name="Dane wyjściowe 2 20 2" xfId="19656" xr:uid="{00000000-0005-0000-0000-0000504C0000}"/>
    <cellStyle name="Dane wyjściowe 2 20 2 2" xfId="19657" xr:uid="{00000000-0005-0000-0000-0000514C0000}"/>
    <cellStyle name="Dane wyjściowe 2 20 3" xfId="19658" xr:uid="{00000000-0005-0000-0000-0000524C0000}"/>
    <cellStyle name="Dane wyjściowe 2 21" xfId="19659" xr:uid="{00000000-0005-0000-0000-0000534C0000}"/>
    <cellStyle name="Dane wyjściowe 2 21 2" xfId="19660" xr:uid="{00000000-0005-0000-0000-0000544C0000}"/>
    <cellStyle name="Dane wyjściowe 2 21 2 2" xfId="19661" xr:uid="{00000000-0005-0000-0000-0000554C0000}"/>
    <cellStyle name="Dane wyjściowe 2 21 2 2 2" xfId="19662" xr:uid="{00000000-0005-0000-0000-0000564C0000}"/>
    <cellStyle name="Dane wyjściowe 2 21 2 3" xfId="19663" xr:uid="{00000000-0005-0000-0000-0000574C0000}"/>
    <cellStyle name="Dane wyjściowe 2 21 3" xfId="19664" xr:uid="{00000000-0005-0000-0000-0000584C0000}"/>
    <cellStyle name="Dane wyjściowe 2 21 3 2" xfId="19665" xr:uid="{00000000-0005-0000-0000-0000594C0000}"/>
    <cellStyle name="Dane wyjściowe 2 21 3 2 2" xfId="19666" xr:uid="{00000000-0005-0000-0000-00005A4C0000}"/>
    <cellStyle name="Dane wyjściowe 2 21 3 3" xfId="19667" xr:uid="{00000000-0005-0000-0000-00005B4C0000}"/>
    <cellStyle name="Dane wyjściowe 2 21 4" xfId="19668" xr:uid="{00000000-0005-0000-0000-00005C4C0000}"/>
    <cellStyle name="Dane wyjściowe 2 21 4 2" xfId="19669" xr:uid="{00000000-0005-0000-0000-00005D4C0000}"/>
    <cellStyle name="Dane wyjściowe 2 21 4 2 2" xfId="19670" xr:uid="{00000000-0005-0000-0000-00005E4C0000}"/>
    <cellStyle name="Dane wyjściowe 2 21 4 3" xfId="19671" xr:uid="{00000000-0005-0000-0000-00005F4C0000}"/>
    <cellStyle name="Dane wyjściowe 2 21 5" xfId="19672" xr:uid="{00000000-0005-0000-0000-0000604C0000}"/>
    <cellStyle name="Dane wyjściowe 2 21 5 2" xfId="19673" xr:uid="{00000000-0005-0000-0000-0000614C0000}"/>
    <cellStyle name="Dane wyjściowe 2 21 6" xfId="19674" xr:uid="{00000000-0005-0000-0000-0000624C0000}"/>
    <cellStyle name="Dane wyjściowe 2 21 6 2" xfId="19675" xr:uid="{00000000-0005-0000-0000-0000634C0000}"/>
    <cellStyle name="Dane wyjściowe 2 21 7" xfId="19676" xr:uid="{00000000-0005-0000-0000-0000644C0000}"/>
    <cellStyle name="Dane wyjściowe 2 22" xfId="19677" xr:uid="{00000000-0005-0000-0000-0000654C0000}"/>
    <cellStyle name="Dane wyjściowe 2 22 2" xfId="19678" xr:uid="{00000000-0005-0000-0000-0000664C0000}"/>
    <cellStyle name="Dane wyjściowe 2 22 2 2" xfId="19679" xr:uid="{00000000-0005-0000-0000-0000674C0000}"/>
    <cellStyle name="Dane wyjściowe 2 22 3" xfId="19680" xr:uid="{00000000-0005-0000-0000-0000684C0000}"/>
    <cellStyle name="Dane wyjściowe 2 23" xfId="19681" xr:uid="{00000000-0005-0000-0000-0000694C0000}"/>
    <cellStyle name="Dane wyjściowe 2 23 2" xfId="19682" xr:uid="{00000000-0005-0000-0000-00006A4C0000}"/>
    <cellStyle name="Dane wyjściowe 2 23 2 2" xfId="19683" xr:uid="{00000000-0005-0000-0000-00006B4C0000}"/>
    <cellStyle name="Dane wyjściowe 2 23 3" xfId="19684" xr:uid="{00000000-0005-0000-0000-00006C4C0000}"/>
    <cellStyle name="Dane wyjściowe 2 24" xfId="19685" xr:uid="{00000000-0005-0000-0000-00006D4C0000}"/>
    <cellStyle name="Dane wyjściowe 2 24 2" xfId="19686" xr:uid="{00000000-0005-0000-0000-00006E4C0000}"/>
    <cellStyle name="Dane wyjściowe 2 24 2 2" xfId="19687" xr:uid="{00000000-0005-0000-0000-00006F4C0000}"/>
    <cellStyle name="Dane wyjściowe 2 24 3" xfId="19688" xr:uid="{00000000-0005-0000-0000-0000704C0000}"/>
    <cellStyle name="Dane wyjściowe 2 25" xfId="19689" xr:uid="{00000000-0005-0000-0000-0000714C0000}"/>
    <cellStyle name="Dane wyjściowe 2 25 2" xfId="19690" xr:uid="{00000000-0005-0000-0000-0000724C0000}"/>
    <cellStyle name="Dane wyjściowe 2 25 2 2" xfId="19691" xr:uid="{00000000-0005-0000-0000-0000734C0000}"/>
    <cellStyle name="Dane wyjściowe 2 25 3" xfId="19692" xr:uid="{00000000-0005-0000-0000-0000744C0000}"/>
    <cellStyle name="Dane wyjściowe 2 26" xfId="19693" xr:uid="{00000000-0005-0000-0000-0000754C0000}"/>
    <cellStyle name="Dane wyjściowe 2 26 2" xfId="19694" xr:uid="{00000000-0005-0000-0000-0000764C0000}"/>
    <cellStyle name="Dane wyjściowe 2 26 2 2" xfId="19695" xr:uid="{00000000-0005-0000-0000-0000774C0000}"/>
    <cellStyle name="Dane wyjściowe 2 26 3" xfId="19696" xr:uid="{00000000-0005-0000-0000-0000784C0000}"/>
    <cellStyle name="Dane wyjściowe 2 27" xfId="19697" xr:uid="{00000000-0005-0000-0000-0000794C0000}"/>
    <cellStyle name="Dane wyjściowe 2 27 2" xfId="19698" xr:uid="{00000000-0005-0000-0000-00007A4C0000}"/>
    <cellStyle name="Dane wyjściowe 2 27 2 2" xfId="19699" xr:uid="{00000000-0005-0000-0000-00007B4C0000}"/>
    <cellStyle name="Dane wyjściowe 2 27 3" xfId="19700" xr:uid="{00000000-0005-0000-0000-00007C4C0000}"/>
    <cellStyle name="Dane wyjściowe 2 28" xfId="19701" xr:uid="{00000000-0005-0000-0000-00007D4C0000}"/>
    <cellStyle name="Dane wyjściowe 2 28 2" xfId="19702" xr:uid="{00000000-0005-0000-0000-00007E4C0000}"/>
    <cellStyle name="Dane wyjściowe 2 29" xfId="19703" xr:uid="{00000000-0005-0000-0000-00007F4C0000}"/>
    <cellStyle name="Dane wyjściowe 2 29 2" xfId="19704" xr:uid="{00000000-0005-0000-0000-0000804C0000}"/>
    <cellStyle name="Dane wyjściowe 2 3" xfId="19705" xr:uid="{00000000-0005-0000-0000-0000814C0000}"/>
    <cellStyle name="Dane wyjściowe 2 3 2" xfId="19706" xr:uid="{00000000-0005-0000-0000-0000824C0000}"/>
    <cellStyle name="Dane wyjściowe 2 3 2 2" xfId="19707" xr:uid="{00000000-0005-0000-0000-0000834C0000}"/>
    <cellStyle name="Dane wyjściowe 2 3 3" xfId="19708" xr:uid="{00000000-0005-0000-0000-0000844C0000}"/>
    <cellStyle name="Dane wyjściowe 2 30" xfId="19709" xr:uid="{00000000-0005-0000-0000-0000854C0000}"/>
    <cellStyle name="Dane wyjściowe 2 30 2" xfId="19710" xr:uid="{00000000-0005-0000-0000-0000864C0000}"/>
    <cellStyle name="Dane wyjściowe 2 31" xfId="19711" xr:uid="{00000000-0005-0000-0000-0000874C0000}"/>
    <cellStyle name="Dane wyjściowe 2 31 2" xfId="19712" xr:uid="{00000000-0005-0000-0000-0000884C0000}"/>
    <cellStyle name="Dane wyjściowe 2 32" xfId="19713" xr:uid="{00000000-0005-0000-0000-0000894C0000}"/>
    <cellStyle name="Dane wyjściowe 2 33" xfId="19714" xr:uid="{00000000-0005-0000-0000-00008A4C0000}"/>
    <cellStyle name="Dane wyjściowe 2 34" xfId="18408" xr:uid="{00000000-0005-0000-0000-00008B4C0000}"/>
    <cellStyle name="Dane wyjściowe 2 35" xfId="37842" xr:uid="{00000000-0005-0000-0000-00008C4C0000}"/>
    <cellStyle name="Dane wyjściowe 2 4" xfId="19715" xr:uid="{00000000-0005-0000-0000-00008D4C0000}"/>
    <cellStyle name="Dane wyjściowe 2 4 2" xfId="19716" xr:uid="{00000000-0005-0000-0000-00008E4C0000}"/>
    <cellStyle name="Dane wyjściowe 2 4 2 2" xfId="19717" xr:uid="{00000000-0005-0000-0000-00008F4C0000}"/>
    <cellStyle name="Dane wyjściowe 2 4 3" xfId="19718" xr:uid="{00000000-0005-0000-0000-0000904C0000}"/>
    <cellStyle name="Dane wyjściowe 2 5" xfId="19719" xr:uid="{00000000-0005-0000-0000-0000914C0000}"/>
    <cellStyle name="Dane wyjściowe 2 5 2" xfId="19720" xr:uid="{00000000-0005-0000-0000-0000924C0000}"/>
    <cellStyle name="Dane wyjściowe 2 5 2 2" xfId="19721" xr:uid="{00000000-0005-0000-0000-0000934C0000}"/>
    <cellStyle name="Dane wyjściowe 2 5 3" xfId="19722" xr:uid="{00000000-0005-0000-0000-0000944C0000}"/>
    <cellStyle name="Dane wyjściowe 2 6" xfId="19723" xr:uid="{00000000-0005-0000-0000-0000954C0000}"/>
    <cellStyle name="Dane wyjściowe 2 6 10" xfId="19724" xr:uid="{00000000-0005-0000-0000-0000964C0000}"/>
    <cellStyle name="Dane wyjściowe 2 6 10 2" xfId="19725" xr:uid="{00000000-0005-0000-0000-0000974C0000}"/>
    <cellStyle name="Dane wyjściowe 2 6 10 2 2" xfId="19726" xr:uid="{00000000-0005-0000-0000-0000984C0000}"/>
    <cellStyle name="Dane wyjściowe 2 6 10 3" xfId="19727" xr:uid="{00000000-0005-0000-0000-0000994C0000}"/>
    <cellStyle name="Dane wyjściowe 2 6 11" xfId="19728" xr:uid="{00000000-0005-0000-0000-00009A4C0000}"/>
    <cellStyle name="Dane wyjściowe 2 6 11 2" xfId="19729" xr:uid="{00000000-0005-0000-0000-00009B4C0000}"/>
    <cellStyle name="Dane wyjściowe 2 6 11 2 2" xfId="19730" xr:uid="{00000000-0005-0000-0000-00009C4C0000}"/>
    <cellStyle name="Dane wyjściowe 2 6 11 3" xfId="19731" xr:uid="{00000000-0005-0000-0000-00009D4C0000}"/>
    <cellStyle name="Dane wyjściowe 2 6 12" xfId="19732" xr:uid="{00000000-0005-0000-0000-00009E4C0000}"/>
    <cellStyle name="Dane wyjściowe 2 6 12 2" xfId="19733" xr:uid="{00000000-0005-0000-0000-00009F4C0000}"/>
    <cellStyle name="Dane wyjściowe 2 6 13" xfId="19734" xr:uid="{00000000-0005-0000-0000-0000A04C0000}"/>
    <cellStyle name="Dane wyjściowe 2 6 13 2" xfId="19735" xr:uid="{00000000-0005-0000-0000-0000A14C0000}"/>
    <cellStyle name="Dane wyjściowe 2 6 14" xfId="19736" xr:uid="{00000000-0005-0000-0000-0000A24C0000}"/>
    <cellStyle name="Dane wyjściowe 2 6 2" xfId="19737" xr:uid="{00000000-0005-0000-0000-0000A34C0000}"/>
    <cellStyle name="Dane wyjściowe 2 6 2 10" xfId="19738" xr:uid="{00000000-0005-0000-0000-0000A44C0000}"/>
    <cellStyle name="Dane wyjściowe 2 6 2 10 2" xfId="19739" xr:uid="{00000000-0005-0000-0000-0000A54C0000}"/>
    <cellStyle name="Dane wyjściowe 2 6 2 10 2 2" xfId="19740" xr:uid="{00000000-0005-0000-0000-0000A64C0000}"/>
    <cellStyle name="Dane wyjściowe 2 6 2 10 3" xfId="19741" xr:uid="{00000000-0005-0000-0000-0000A74C0000}"/>
    <cellStyle name="Dane wyjściowe 2 6 2 11" xfId="19742" xr:uid="{00000000-0005-0000-0000-0000A84C0000}"/>
    <cellStyle name="Dane wyjściowe 2 6 2 11 2" xfId="19743" xr:uid="{00000000-0005-0000-0000-0000A94C0000}"/>
    <cellStyle name="Dane wyjściowe 2 6 2 11 2 2" xfId="19744" xr:uid="{00000000-0005-0000-0000-0000AA4C0000}"/>
    <cellStyle name="Dane wyjściowe 2 6 2 11 3" xfId="19745" xr:uid="{00000000-0005-0000-0000-0000AB4C0000}"/>
    <cellStyle name="Dane wyjściowe 2 6 2 12" xfId="19746" xr:uid="{00000000-0005-0000-0000-0000AC4C0000}"/>
    <cellStyle name="Dane wyjściowe 2 6 2 12 2" xfId="19747" xr:uid="{00000000-0005-0000-0000-0000AD4C0000}"/>
    <cellStyle name="Dane wyjściowe 2 6 2 13" xfId="19748" xr:uid="{00000000-0005-0000-0000-0000AE4C0000}"/>
    <cellStyle name="Dane wyjściowe 2 6 2 13 2" xfId="19749" xr:uid="{00000000-0005-0000-0000-0000AF4C0000}"/>
    <cellStyle name="Dane wyjściowe 2 6 2 14" xfId="19750" xr:uid="{00000000-0005-0000-0000-0000B04C0000}"/>
    <cellStyle name="Dane wyjściowe 2 6 2 2" xfId="19751" xr:uid="{00000000-0005-0000-0000-0000B14C0000}"/>
    <cellStyle name="Dane wyjściowe 2 6 2 2 10" xfId="19752" xr:uid="{00000000-0005-0000-0000-0000B24C0000}"/>
    <cellStyle name="Dane wyjściowe 2 6 2 2 10 2" xfId="19753" xr:uid="{00000000-0005-0000-0000-0000B34C0000}"/>
    <cellStyle name="Dane wyjściowe 2 6 2 2 10 2 2" xfId="19754" xr:uid="{00000000-0005-0000-0000-0000B44C0000}"/>
    <cellStyle name="Dane wyjściowe 2 6 2 2 10 3" xfId="19755" xr:uid="{00000000-0005-0000-0000-0000B54C0000}"/>
    <cellStyle name="Dane wyjściowe 2 6 2 2 11" xfId="19756" xr:uid="{00000000-0005-0000-0000-0000B64C0000}"/>
    <cellStyle name="Dane wyjściowe 2 6 2 2 11 2" xfId="19757" xr:uid="{00000000-0005-0000-0000-0000B74C0000}"/>
    <cellStyle name="Dane wyjściowe 2 6 2 2 12" xfId="19758" xr:uid="{00000000-0005-0000-0000-0000B84C0000}"/>
    <cellStyle name="Dane wyjściowe 2 6 2 2 12 2" xfId="19759" xr:uid="{00000000-0005-0000-0000-0000B94C0000}"/>
    <cellStyle name="Dane wyjściowe 2 6 2 2 13" xfId="19760" xr:uid="{00000000-0005-0000-0000-0000BA4C0000}"/>
    <cellStyle name="Dane wyjściowe 2 6 2 2 2" xfId="19761" xr:uid="{00000000-0005-0000-0000-0000BB4C0000}"/>
    <cellStyle name="Dane wyjściowe 2 6 2 2 2 10" xfId="19762" xr:uid="{00000000-0005-0000-0000-0000BC4C0000}"/>
    <cellStyle name="Dane wyjściowe 2 6 2 2 2 10 2" xfId="19763" xr:uid="{00000000-0005-0000-0000-0000BD4C0000}"/>
    <cellStyle name="Dane wyjściowe 2 6 2 2 2 11" xfId="19764" xr:uid="{00000000-0005-0000-0000-0000BE4C0000}"/>
    <cellStyle name="Dane wyjściowe 2 6 2 2 2 11 2" xfId="19765" xr:uid="{00000000-0005-0000-0000-0000BF4C0000}"/>
    <cellStyle name="Dane wyjściowe 2 6 2 2 2 12" xfId="19766" xr:uid="{00000000-0005-0000-0000-0000C04C0000}"/>
    <cellStyle name="Dane wyjściowe 2 6 2 2 2 2" xfId="19767" xr:uid="{00000000-0005-0000-0000-0000C14C0000}"/>
    <cellStyle name="Dane wyjściowe 2 6 2 2 2 2 10" xfId="19768" xr:uid="{00000000-0005-0000-0000-0000C24C0000}"/>
    <cellStyle name="Dane wyjściowe 2 6 2 2 2 2 10 2" xfId="19769" xr:uid="{00000000-0005-0000-0000-0000C34C0000}"/>
    <cellStyle name="Dane wyjściowe 2 6 2 2 2 2 11" xfId="19770" xr:uid="{00000000-0005-0000-0000-0000C44C0000}"/>
    <cellStyle name="Dane wyjściowe 2 6 2 2 2 2 11 2" xfId="19771" xr:uid="{00000000-0005-0000-0000-0000C54C0000}"/>
    <cellStyle name="Dane wyjściowe 2 6 2 2 2 2 12" xfId="19772" xr:uid="{00000000-0005-0000-0000-0000C64C0000}"/>
    <cellStyle name="Dane wyjściowe 2 6 2 2 2 2 2" xfId="19773" xr:uid="{00000000-0005-0000-0000-0000C74C0000}"/>
    <cellStyle name="Dane wyjściowe 2 6 2 2 2 2 2 2" xfId="19774" xr:uid="{00000000-0005-0000-0000-0000C84C0000}"/>
    <cellStyle name="Dane wyjściowe 2 6 2 2 2 2 2 2 2" xfId="19775" xr:uid="{00000000-0005-0000-0000-0000C94C0000}"/>
    <cellStyle name="Dane wyjściowe 2 6 2 2 2 2 2 2 2 2" xfId="19776" xr:uid="{00000000-0005-0000-0000-0000CA4C0000}"/>
    <cellStyle name="Dane wyjściowe 2 6 2 2 2 2 2 2 2 2 2" xfId="19777" xr:uid="{00000000-0005-0000-0000-0000CB4C0000}"/>
    <cellStyle name="Dane wyjściowe 2 6 2 2 2 2 2 2 2 3" xfId="19778" xr:uid="{00000000-0005-0000-0000-0000CC4C0000}"/>
    <cellStyle name="Dane wyjściowe 2 6 2 2 2 2 2 2 3" xfId="19779" xr:uid="{00000000-0005-0000-0000-0000CD4C0000}"/>
    <cellStyle name="Dane wyjściowe 2 6 2 2 2 2 2 2 3 2" xfId="19780" xr:uid="{00000000-0005-0000-0000-0000CE4C0000}"/>
    <cellStyle name="Dane wyjściowe 2 6 2 2 2 2 2 2 3 2 2" xfId="19781" xr:uid="{00000000-0005-0000-0000-0000CF4C0000}"/>
    <cellStyle name="Dane wyjściowe 2 6 2 2 2 2 2 2 3 3" xfId="19782" xr:uid="{00000000-0005-0000-0000-0000D04C0000}"/>
    <cellStyle name="Dane wyjściowe 2 6 2 2 2 2 2 2 4" xfId="19783" xr:uid="{00000000-0005-0000-0000-0000D14C0000}"/>
    <cellStyle name="Dane wyjściowe 2 6 2 2 2 2 2 2 4 2" xfId="19784" xr:uid="{00000000-0005-0000-0000-0000D24C0000}"/>
    <cellStyle name="Dane wyjściowe 2 6 2 2 2 2 2 2 4 2 2" xfId="19785" xr:uid="{00000000-0005-0000-0000-0000D34C0000}"/>
    <cellStyle name="Dane wyjściowe 2 6 2 2 2 2 2 2 4 3" xfId="19786" xr:uid="{00000000-0005-0000-0000-0000D44C0000}"/>
    <cellStyle name="Dane wyjściowe 2 6 2 2 2 2 2 2 5" xfId="19787" xr:uid="{00000000-0005-0000-0000-0000D54C0000}"/>
    <cellStyle name="Dane wyjściowe 2 6 2 2 2 2 2 2 5 2" xfId="19788" xr:uid="{00000000-0005-0000-0000-0000D64C0000}"/>
    <cellStyle name="Dane wyjściowe 2 6 2 2 2 2 2 2 6" xfId="19789" xr:uid="{00000000-0005-0000-0000-0000D74C0000}"/>
    <cellStyle name="Dane wyjściowe 2 6 2 2 2 2 2 2 6 2" xfId="19790" xr:uid="{00000000-0005-0000-0000-0000D84C0000}"/>
    <cellStyle name="Dane wyjściowe 2 6 2 2 2 2 2 2 7" xfId="19791" xr:uid="{00000000-0005-0000-0000-0000D94C0000}"/>
    <cellStyle name="Dane wyjściowe 2 6 2 2 2 2 2 3" xfId="19792" xr:uid="{00000000-0005-0000-0000-0000DA4C0000}"/>
    <cellStyle name="Dane wyjściowe 2 6 2 2 2 2 2 3 2" xfId="19793" xr:uid="{00000000-0005-0000-0000-0000DB4C0000}"/>
    <cellStyle name="Dane wyjściowe 2 6 2 2 2 2 2 3 2 2" xfId="19794" xr:uid="{00000000-0005-0000-0000-0000DC4C0000}"/>
    <cellStyle name="Dane wyjściowe 2 6 2 2 2 2 2 3 3" xfId="19795" xr:uid="{00000000-0005-0000-0000-0000DD4C0000}"/>
    <cellStyle name="Dane wyjściowe 2 6 2 2 2 2 2 4" xfId="19796" xr:uid="{00000000-0005-0000-0000-0000DE4C0000}"/>
    <cellStyle name="Dane wyjściowe 2 6 2 2 2 2 2 4 2" xfId="19797" xr:uid="{00000000-0005-0000-0000-0000DF4C0000}"/>
    <cellStyle name="Dane wyjściowe 2 6 2 2 2 2 2 4 2 2" xfId="19798" xr:uid="{00000000-0005-0000-0000-0000E04C0000}"/>
    <cellStyle name="Dane wyjściowe 2 6 2 2 2 2 2 4 3" xfId="19799" xr:uid="{00000000-0005-0000-0000-0000E14C0000}"/>
    <cellStyle name="Dane wyjściowe 2 6 2 2 2 2 2 5" xfId="19800" xr:uid="{00000000-0005-0000-0000-0000E24C0000}"/>
    <cellStyle name="Dane wyjściowe 2 6 2 2 2 2 2 5 2" xfId="19801" xr:uid="{00000000-0005-0000-0000-0000E34C0000}"/>
    <cellStyle name="Dane wyjściowe 2 6 2 2 2 2 2 5 2 2" xfId="19802" xr:uid="{00000000-0005-0000-0000-0000E44C0000}"/>
    <cellStyle name="Dane wyjściowe 2 6 2 2 2 2 2 5 3" xfId="19803" xr:uid="{00000000-0005-0000-0000-0000E54C0000}"/>
    <cellStyle name="Dane wyjściowe 2 6 2 2 2 2 2 6" xfId="19804" xr:uid="{00000000-0005-0000-0000-0000E64C0000}"/>
    <cellStyle name="Dane wyjściowe 2 6 2 2 2 2 2 6 2" xfId="19805" xr:uid="{00000000-0005-0000-0000-0000E74C0000}"/>
    <cellStyle name="Dane wyjściowe 2 6 2 2 2 2 2 7" xfId="19806" xr:uid="{00000000-0005-0000-0000-0000E84C0000}"/>
    <cellStyle name="Dane wyjściowe 2 6 2 2 2 2 2 7 2" xfId="19807" xr:uid="{00000000-0005-0000-0000-0000E94C0000}"/>
    <cellStyle name="Dane wyjściowe 2 6 2 2 2 2 2 8" xfId="19808" xr:uid="{00000000-0005-0000-0000-0000EA4C0000}"/>
    <cellStyle name="Dane wyjściowe 2 6 2 2 2 2 3" xfId="19809" xr:uid="{00000000-0005-0000-0000-0000EB4C0000}"/>
    <cellStyle name="Dane wyjściowe 2 6 2 2 2 2 3 2" xfId="19810" xr:uid="{00000000-0005-0000-0000-0000EC4C0000}"/>
    <cellStyle name="Dane wyjściowe 2 6 2 2 2 2 3 2 2" xfId="19811" xr:uid="{00000000-0005-0000-0000-0000ED4C0000}"/>
    <cellStyle name="Dane wyjściowe 2 6 2 2 2 2 3 3" xfId="19812" xr:uid="{00000000-0005-0000-0000-0000EE4C0000}"/>
    <cellStyle name="Dane wyjściowe 2 6 2 2 2 2 4" xfId="19813" xr:uid="{00000000-0005-0000-0000-0000EF4C0000}"/>
    <cellStyle name="Dane wyjściowe 2 6 2 2 2 2 4 2" xfId="19814" xr:uid="{00000000-0005-0000-0000-0000F04C0000}"/>
    <cellStyle name="Dane wyjściowe 2 6 2 2 2 2 4 2 2" xfId="19815" xr:uid="{00000000-0005-0000-0000-0000F14C0000}"/>
    <cellStyle name="Dane wyjściowe 2 6 2 2 2 2 4 3" xfId="19816" xr:uid="{00000000-0005-0000-0000-0000F24C0000}"/>
    <cellStyle name="Dane wyjściowe 2 6 2 2 2 2 5" xfId="19817" xr:uid="{00000000-0005-0000-0000-0000F34C0000}"/>
    <cellStyle name="Dane wyjściowe 2 6 2 2 2 2 5 2" xfId="19818" xr:uid="{00000000-0005-0000-0000-0000F44C0000}"/>
    <cellStyle name="Dane wyjściowe 2 6 2 2 2 2 5 2 2" xfId="19819" xr:uid="{00000000-0005-0000-0000-0000F54C0000}"/>
    <cellStyle name="Dane wyjściowe 2 6 2 2 2 2 5 3" xfId="19820" xr:uid="{00000000-0005-0000-0000-0000F64C0000}"/>
    <cellStyle name="Dane wyjściowe 2 6 2 2 2 2 6" xfId="19821" xr:uid="{00000000-0005-0000-0000-0000F74C0000}"/>
    <cellStyle name="Dane wyjściowe 2 6 2 2 2 2 6 2" xfId="19822" xr:uid="{00000000-0005-0000-0000-0000F84C0000}"/>
    <cellStyle name="Dane wyjściowe 2 6 2 2 2 2 6 2 2" xfId="19823" xr:uid="{00000000-0005-0000-0000-0000F94C0000}"/>
    <cellStyle name="Dane wyjściowe 2 6 2 2 2 2 6 3" xfId="19824" xr:uid="{00000000-0005-0000-0000-0000FA4C0000}"/>
    <cellStyle name="Dane wyjściowe 2 6 2 2 2 2 7" xfId="19825" xr:uid="{00000000-0005-0000-0000-0000FB4C0000}"/>
    <cellStyle name="Dane wyjściowe 2 6 2 2 2 2 7 2" xfId="19826" xr:uid="{00000000-0005-0000-0000-0000FC4C0000}"/>
    <cellStyle name="Dane wyjściowe 2 6 2 2 2 2 7 2 2" xfId="19827" xr:uid="{00000000-0005-0000-0000-0000FD4C0000}"/>
    <cellStyle name="Dane wyjściowe 2 6 2 2 2 2 7 2 2 2" xfId="19828" xr:uid="{00000000-0005-0000-0000-0000FE4C0000}"/>
    <cellStyle name="Dane wyjściowe 2 6 2 2 2 2 7 2 3" xfId="19829" xr:uid="{00000000-0005-0000-0000-0000FF4C0000}"/>
    <cellStyle name="Dane wyjściowe 2 6 2 2 2 2 7 3" xfId="19830" xr:uid="{00000000-0005-0000-0000-0000004D0000}"/>
    <cellStyle name="Dane wyjściowe 2 6 2 2 2 2 7 3 2" xfId="19831" xr:uid="{00000000-0005-0000-0000-0000014D0000}"/>
    <cellStyle name="Dane wyjściowe 2 6 2 2 2 2 7 3 2 2" xfId="19832" xr:uid="{00000000-0005-0000-0000-0000024D0000}"/>
    <cellStyle name="Dane wyjściowe 2 6 2 2 2 2 7 3 3" xfId="19833" xr:uid="{00000000-0005-0000-0000-0000034D0000}"/>
    <cellStyle name="Dane wyjściowe 2 6 2 2 2 2 7 4" xfId="19834" xr:uid="{00000000-0005-0000-0000-0000044D0000}"/>
    <cellStyle name="Dane wyjściowe 2 6 2 2 2 2 7 4 2" xfId="19835" xr:uid="{00000000-0005-0000-0000-0000054D0000}"/>
    <cellStyle name="Dane wyjściowe 2 6 2 2 2 2 7 4 2 2" xfId="19836" xr:uid="{00000000-0005-0000-0000-0000064D0000}"/>
    <cellStyle name="Dane wyjściowe 2 6 2 2 2 2 7 4 3" xfId="19837" xr:uid="{00000000-0005-0000-0000-0000074D0000}"/>
    <cellStyle name="Dane wyjściowe 2 6 2 2 2 2 7 5" xfId="19838" xr:uid="{00000000-0005-0000-0000-0000084D0000}"/>
    <cellStyle name="Dane wyjściowe 2 6 2 2 2 2 7 5 2" xfId="19839" xr:uid="{00000000-0005-0000-0000-0000094D0000}"/>
    <cellStyle name="Dane wyjściowe 2 6 2 2 2 2 7 6" xfId="19840" xr:uid="{00000000-0005-0000-0000-00000A4D0000}"/>
    <cellStyle name="Dane wyjściowe 2 6 2 2 2 2 7 6 2" xfId="19841" xr:uid="{00000000-0005-0000-0000-00000B4D0000}"/>
    <cellStyle name="Dane wyjściowe 2 6 2 2 2 2 7 7" xfId="19842" xr:uid="{00000000-0005-0000-0000-00000C4D0000}"/>
    <cellStyle name="Dane wyjściowe 2 6 2 2 2 2 8" xfId="19843" xr:uid="{00000000-0005-0000-0000-00000D4D0000}"/>
    <cellStyle name="Dane wyjściowe 2 6 2 2 2 2 8 2" xfId="19844" xr:uid="{00000000-0005-0000-0000-00000E4D0000}"/>
    <cellStyle name="Dane wyjściowe 2 6 2 2 2 2 8 2 2" xfId="19845" xr:uid="{00000000-0005-0000-0000-00000F4D0000}"/>
    <cellStyle name="Dane wyjściowe 2 6 2 2 2 2 8 3" xfId="19846" xr:uid="{00000000-0005-0000-0000-0000104D0000}"/>
    <cellStyle name="Dane wyjściowe 2 6 2 2 2 2 9" xfId="19847" xr:uid="{00000000-0005-0000-0000-0000114D0000}"/>
    <cellStyle name="Dane wyjściowe 2 6 2 2 2 2 9 2" xfId="19848" xr:uid="{00000000-0005-0000-0000-0000124D0000}"/>
    <cellStyle name="Dane wyjściowe 2 6 2 2 2 2 9 2 2" xfId="19849" xr:uid="{00000000-0005-0000-0000-0000134D0000}"/>
    <cellStyle name="Dane wyjściowe 2 6 2 2 2 2 9 3" xfId="19850" xr:uid="{00000000-0005-0000-0000-0000144D0000}"/>
    <cellStyle name="Dane wyjściowe 2 6 2 2 2 3" xfId="19851" xr:uid="{00000000-0005-0000-0000-0000154D0000}"/>
    <cellStyle name="Dane wyjściowe 2 6 2 2 2 3 2" xfId="19852" xr:uid="{00000000-0005-0000-0000-0000164D0000}"/>
    <cellStyle name="Dane wyjściowe 2 6 2 2 2 3 2 2" xfId="19853" xr:uid="{00000000-0005-0000-0000-0000174D0000}"/>
    <cellStyle name="Dane wyjściowe 2 6 2 2 2 3 2 2 2" xfId="19854" xr:uid="{00000000-0005-0000-0000-0000184D0000}"/>
    <cellStyle name="Dane wyjściowe 2 6 2 2 2 3 2 2 2 2" xfId="19855" xr:uid="{00000000-0005-0000-0000-0000194D0000}"/>
    <cellStyle name="Dane wyjściowe 2 6 2 2 2 3 2 2 3" xfId="19856" xr:uid="{00000000-0005-0000-0000-00001A4D0000}"/>
    <cellStyle name="Dane wyjściowe 2 6 2 2 2 3 2 3" xfId="19857" xr:uid="{00000000-0005-0000-0000-00001B4D0000}"/>
    <cellStyle name="Dane wyjściowe 2 6 2 2 2 3 2 3 2" xfId="19858" xr:uid="{00000000-0005-0000-0000-00001C4D0000}"/>
    <cellStyle name="Dane wyjściowe 2 6 2 2 2 3 2 3 2 2" xfId="19859" xr:uid="{00000000-0005-0000-0000-00001D4D0000}"/>
    <cellStyle name="Dane wyjściowe 2 6 2 2 2 3 2 3 3" xfId="19860" xr:uid="{00000000-0005-0000-0000-00001E4D0000}"/>
    <cellStyle name="Dane wyjściowe 2 6 2 2 2 3 2 4" xfId="19861" xr:uid="{00000000-0005-0000-0000-00001F4D0000}"/>
    <cellStyle name="Dane wyjściowe 2 6 2 2 2 3 2 4 2" xfId="19862" xr:uid="{00000000-0005-0000-0000-0000204D0000}"/>
    <cellStyle name="Dane wyjściowe 2 6 2 2 2 3 2 4 2 2" xfId="19863" xr:uid="{00000000-0005-0000-0000-0000214D0000}"/>
    <cellStyle name="Dane wyjściowe 2 6 2 2 2 3 2 4 3" xfId="19864" xr:uid="{00000000-0005-0000-0000-0000224D0000}"/>
    <cellStyle name="Dane wyjściowe 2 6 2 2 2 3 2 5" xfId="19865" xr:uid="{00000000-0005-0000-0000-0000234D0000}"/>
    <cellStyle name="Dane wyjściowe 2 6 2 2 2 3 2 5 2" xfId="19866" xr:uid="{00000000-0005-0000-0000-0000244D0000}"/>
    <cellStyle name="Dane wyjściowe 2 6 2 2 2 3 2 6" xfId="19867" xr:uid="{00000000-0005-0000-0000-0000254D0000}"/>
    <cellStyle name="Dane wyjściowe 2 6 2 2 2 3 2 6 2" xfId="19868" xr:uid="{00000000-0005-0000-0000-0000264D0000}"/>
    <cellStyle name="Dane wyjściowe 2 6 2 2 2 3 2 7" xfId="19869" xr:uid="{00000000-0005-0000-0000-0000274D0000}"/>
    <cellStyle name="Dane wyjściowe 2 6 2 2 2 3 3" xfId="19870" xr:uid="{00000000-0005-0000-0000-0000284D0000}"/>
    <cellStyle name="Dane wyjściowe 2 6 2 2 2 3 3 2" xfId="19871" xr:uid="{00000000-0005-0000-0000-0000294D0000}"/>
    <cellStyle name="Dane wyjściowe 2 6 2 2 2 3 3 2 2" xfId="19872" xr:uid="{00000000-0005-0000-0000-00002A4D0000}"/>
    <cellStyle name="Dane wyjściowe 2 6 2 2 2 3 3 3" xfId="19873" xr:uid="{00000000-0005-0000-0000-00002B4D0000}"/>
    <cellStyle name="Dane wyjściowe 2 6 2 2 2 3 4" xfId="19874" xr:uid="{00000000-0005-0000-0000-00002C4D0000}"/>
    <cellStyle name="Dane wyjściowe 2 6 2 2 2 3 4 2" xfId="19875" xr:uid="{00000000-0005-0000-0000-00002D4D0000}"/>
    <cellStyle name="Dane wyjściowe 2 6 2 2 2 3 4 2 2" xfId="19876" xr:uid="{00000000-0005-0000-0000-00002E4D0000}"/>
    <cellStyle name="Dane wyjściowe 2 6 2 2 2 3 4 3" xfId="19877" xr:uid="{00000000-0005-0000-0000-00002F4D0000}"/>
    <cellStyle name="Dane wyjściowe 2 6 2 2 2 3 5" xfId="19878" xr:uid="{00000000-0005-0000-0000-0000304D0000}"/>
    <cellStyle name="Dane wyjściowe 2 6 2 2 2 3 5 2" xfId="19879" xr:uid="{00000000-0005-0000-0000-0000314D0000}"/>
    <cellStyle name="Dane wyjściowe 2 6 2 2 2 3 5 2 2" xfId="19880" xr:uid="{00000000-0005-0000-0000-0000324D0000}"/>
    <cellStyle name="Dane wyjściowe 2 6 2 2 2 3 5 3" xfId="19881" xr:uid="{00000000-0005-0000-0000-0000334D0000}"/>
    <cellStyle name="Dane wyjściowe 2 6 2 2 2 3 6" xfId="19882" xr:uid="{00000000-0005-0000-0000-0000344D0000}"/>
    <cellStyle name="Dane wyjściowe 2 6 2 2 2 3 6 2" xfId="19883" xr:uid="{00000000-0005-0000-0000-0000354D0000}"/>
    <cellStyle name="Dane wyjściowe 2 6 2 2 2 3 7" xfId="19884" xr:uid="{00000000-0005-0000-0000-0000364D0000}"/>
    <cellStyle name="Dane wyjściowe 2 6 2 2 2 3 7 2" xfId="19885" xr:uid="{00000000-0005-0000-0000-0000374D0000}"/>
    <cellStyle name="Dane wyjściowe 2 6 2 2 2 3 8" xfId="19886" xr:uid="{00000000-0005-0000-0000-0000384D0000}"/>
    <cellStyle name="Dane wyjściowe 2 6 2 2 2 4" xfId="19887" xr:uid="{00000000-0005-0000-0000-0000394D0000}"/>
    <cellStyle name="Dane wyjściowe 2 6 2 2 2 4 2" xfId="19888" xr:uid="{00000000-0005-0000-0000-00003A4D0000}"/>
    <cellStyle name="Dane wyjściowe 2 6 2 2 2 4 2 2" xfId="19889" xr:uid="{00000000-0005-0000-0000-00003B4D0000}"/>
    <cellStyle name="Dane wyjściowe 2 6 2 2 2 4 3" xfId="19890" xr:uid="{00000000-0005-0000-0000-00003C4D0000}"/>
    <cellStyle name="Dane wyjściowe 2 6 2 2 2 5" xfId="19891" xr:uid="{00000000-0005-0000-0000-00003D4D0000}"/>
    <cellStyle name="Dane wyjściowe 2 6 2 2 2 5 2" xfId="19892" xr:uid="{00000000-0005-0000-0000-00003E4D0000}"/>
    <cellStyle name="Dane wyjściowe 2 6 2 2 2 5 2 2" xfId="19893" xr:uid="{00000000-0005-0000-0000-00003F4D0000}"/>
    <cellStyle name="Dane wyjściowe 2 6 2 2 2 5 3" xfId="19894" xr:uid="{00000000-0005-0000-0000-0000404D0000}"/>
    <cellStyle name="Dane wyjściowe 2 6 2 2 2 6" xfId="19895" xr:uid="{00000000-0005-0000-0000-0000414D0000}"/>
    <cellStyle name="Dane wyjściowe 2 6 2 2 2 6 2" xfId="19896" xr:uid="{00000000-0005-0000-0000-0000424D0000}"/>
    <cellStyle name="Dane wyjściowe 2 6 2 2 2 6 2 2" xfId="19897" xr:uid="{00000000-0005-0000-0000-0000434D0000}"/>
    <cellStyle name="Dane wyjściowe 2 6 2 2 2 6 3" xfId="19898" xr:uid="{00000000-0005-0000-0000-0000444D0000}"/>
    <cellStyle name="Dane wyjściowe 2 6 2 2 2 7" xfId="19899" xr:uid="{00000000-0005-0000-0000-0000454D0000}"/>
    <cellStyle name="Dane wyjściowe 2 6 2 2 2 7 2" xfId="19900" xr:uid="{00000000-0005-0000-0000-0000464D0000}"/>
    <cellStyle name="Dane wyjściowe 2 6 2 2 2 7 2 2" xfId="19901" xr:uid="{00000000-0005-0000-0000-0000474D0000}"/>
    <cellStyle name="Dane wyjściowe 2 6 2 2 2 7 2 2 2" xfId="19902" xr:uid="{00000000-0005-0000-0000-0000484D0000}"/>
    <cellStyle name="Dane wyjściowe 2 6 2 2 2 7 2 3" xfId="19903" xr:uid="{00000000-0005-0000-0000-0000494D0000}"/>
    <cellStyle name="Dane wyjściowe 2 6 2 2 2 7 3" xfId="19904" xr:uid="{00000000-0005-0000-0000-00004A4D0000}"/>
    <cellStyle name="Dane wyjściowe 2 6 2 2 2 7 3 2" xfId="19905" xr:uid="{00000000-0005-0000-0000-00004B4D0000}"/>
    <cellStyle name="Dane wyjściowe 2 6 2 2 2 7 3 2 2" xfId="19906" xr:uid="{00000000-0005-0000-0000-00004C4D0000}"/>
    <cellStyle name="Dane wyjściowe 2 6 2 2 2 7 3 3" xfId="19907" xr:uid="{00000000-0005-0000-0000-00004D4D0000}"/>
    <cellStyle name="Dane wyjściowe 2 6 2 2 2 7 4" xfId="19908" xr:uid="{00000000-0005-0000-0000-00004E4D0000}"/>
    <cellStyle name="Dane wyjściowe 2 6 2 2 2 7 4 2" xfId="19909" xr:uid="{00000000-0005-0000-0000-00004F4D0000}"/>
    <cellStyle name="Dane wyjściowe 2 6 2 2 2 7 4 2 2" xfId="19910" xr:uid="{00000000-0005-0000-0000-0000504D0000}"/>
    <cellStyle name="Dane wyjściowe 2 6 2 2 2 7 4 3" xfId="19911" xr:uid="{00000000-0005-0000-0000-0000514D0000}"/>
    <cellStyle name="Dane wyjściowe 2 6 2 2 2 7 5" xfId="19912" xr:uid="{00000000-0005-0000-0000-0000524D0000}"/>
    <cellStyle name="Dane wyjściowe 2 6 2 2 2 7 5 2" xfId="19913" xr:uid="{00000000-0005-0000-0000-0000534D0000}"/>
    <cellStyle name="Dane wyjściowe 2 6 2 2 2 7 6" xfId="19914" xr:uid="{00000000-0005-0000-0000-0000544D0000}"/>
    <cellStyle name="Dane wyjściowe 2 6 2 2 2 7 6 2" xfId="19915" xr:uid="{00000000-0005-0000-0000-0000554D0000}"/>
    <cellStyle name="Dane wyjściowe 2 6 2 2 2 7 7" xfId="19916" xr:uid="{00000000-0005-0000-0000-0000564D0000}"/>
    <cellStyle name="Dane wyjściowe 2 6 2 2 2 8" xfId="19917" xr:uid="{00000000-0005-0000-0000-0000574D0000}"/>
    <cellStyle name="Dane wyjściowe 2 6 2 2 2 8 2" xfId="19918" xr:uid="{00000000-0005-0000-0000-0000584D0000}"/>
    <cellStyle name="Dane wyjściowe 2 6 2 2 2 8 2 2" xfId="19919" xr:uid="{00000000-0005-0000-0000-0000594D0000}"/>
    <cellStyle name="Dane wyjściowe 2 6 2 2 2 8 3" xfId="19920" xr:uid="{00000000-0005-0000-0000-00005A4D0000}"/>
    <cellStyle name="Dane wyjściowe 2 6 2 2 2 9" xfId="19921" xr:uid="{00000000-0005-0000-0000-00005B4D0000}"/>
    <cellStyle name="Dane wyjściowe 2 6 2 2 2 9 2" xfId="19922" xr:uid="{00000000-0005-0000-0000-00005C4D0000}"/>
    <cellStyle name="Dane wyjściowe 2 6 2 2 2 9 2 2" xfId="19923" xr:uid="{00000000-0005-0000-0000-00005D4D0000}"/>
    <cellStyle name="Dane wyjściowe 2 6 2 2 2 9 3" xfId="19924" xr:uid="{00000000-0005-0000-0000-00005E4D0000}"/>
    <cellStyle name="Dane wyjściowe 2 6 2 2 3" xfId="19925" xr:uid="{00000000-0005-0000-0000-00005F4D0000}"/>
    <cellStyle name="Dane wyjściowe 2 6 2 2 3 2" xfId="19926" xr:uid="{00000000-0005-0000-0000-0000604D0000}"/>
    <cellStyle name="Dane wyjściowe 2 6 2 2 3 2 2" xfId="19927" xr:uid="{00000000-0005-0000-0000-0000614D0000}"/>
    <cellStyle name="Dane wyjściowe 2 6 2 2 3 2 2 2" xfId="19928" xr:uid="{00000000-0005-0000-0000-0000624D0000}"/>
    <cellStyle name="Dane wyjściowe 2 6 2 2 3 2 2 2 2" xfId="19929" xr:uid="{00000000-0005-0000-0000-0000634D0000}"/>
    <cellStyle name="Dane wyjściowe 2 6 2 2 3 2 2 3" xfId="19930" xr:uid="{00000000-0005-0000-0000-0000644D0000}"/>
    <cellStyle name="Dane wyjściowe 2 6 2 2 3 2 3" xfId="19931" xr:uid="{00000000-0005-0000-0000-0000654D0000}"/>
    <cellStyle name="Dane wyjściowe 2 6 2 2 3 2 3 2" xfId="19932" xr:uid="{00000000-0005-0000-0000-0000664D0000}"/>
    <cellStyle name="Dane wyjściowe 2 6 2 2 3 2 3 2 2" xfId="19933" xr:uid="{00000000-0005-0000-0000-0000674D0000}"/>
    <cellStyle name="Dane wyjściowe 2 6 2 2 3 2 3 3" xfId="19934" xr:uid="{00000000-0005-0000-0000-0000684D0000}"/>
    <cellStyle name="Dane wyjściowe 2 6 2 2 3 2 4" xfId="19935" xr:uid="{00000000-0005-0000-0000-0000694D0000}"/>
    <cellStyle name="Dane wyjściowe 2 6 2 2 3 2 4 2" xfId="19936" xr:uid="{00000000-0005-0000-0000-00006A4D0000}"/>
    <cellStyle name="Dane wyjściowe 2 6 2 2 3 2 4 2 2" xfId="19937" xr:uid="{00000000-0005-0000-0000-00006B4D0000}"/>
    <cellStyle name="Dane wyjściowe 2 6 2 2 3 2 4 3" xfId="19938" xr:uid="{00000000-0005-0000-0000-00006C4D0000}"/>
    <cellStyle name="Dane wyjściowe 2 6 2 2 3 2 5" xfId="19939" xr:uid="{00000000-0005-0000-0000-00006D4D0000}"/>
    <cellStyle name="Dane wyjściowe 2 6 2 2 3 2 5 2" xfId="19940" xr:uid="{00000000-0005-0000-0000-00006E4D0000}"/>
    <cellStyle name="Dane wyjściowe 2 6 2 2 3 2 6" xfId="19941" xr:uid="{00000000-0005-0000-0000-00006F4D0000}"/>
    <cellStyle name="Dane wyjściowe 2 6 2 2 3 2 6 2" xfId="19942" xr:uid="{00000000-0005-0000-0000-0000704D0000}"/>
    <cellStyle name="Dane wyjściowe 2 6 2 2 3 2 7" xfId="19943" xr:uid="{00000000-0005-0000-0000-0000714D0000}"/>
    <cellStyle name="Dane wyjściowe 2 6 2 2 3 3" xfId="19944" xr:uid="{00000000-0005-0000-0000-0000724D0000}"/>
    <cellStyle name="Dane wyjściowe 2 6 2 2 3 3 2" xfId="19945" xr:uid="{00000000-0005-0000-0000-0000734D0000}"/>
    <cellStyle name="Dane wyjściowe 2 6 2 2 3 3 2 2" xfId="19946" xr:uid="{00000000-0005-0000-0000-0000744D0000}"/>
    <cellStyle name="Dane wyjściowe 2 6 2 2 3 3 3" xfId="19947" xr:uid="{00000000-0005-0000-0000-0000754D0000}"/>
    <cellStyle name="Dane wyjściowe 2 6 2 2 3 4" xfId="19948" xr:uid="{00000000-0005-0000-0000-0000764D0000}"/>
    <cellStyle name="Dane wyjściowe 2 6 2 2 3 4 2" xfId="19949" xr:uid="{00000000-0005-0000-0000-0000774D0000}"/>
    <cellStyle name="Dane wyjściowe 2 6 2 2 3 4 2 2" xfId="19950" xr:uid="{00000000-0005-0000-0000-0000784D0000}"/>
    <cellStyle name="Dane wyjściowe 2 6 2 2 3 4 3" xfId="19951" xr:uid="{00000000-0005-0000-0000-0000794D0000}"/>
    <cellStyle name="Dane wyjściowe 2 6 2 2 3 5" xfId="19952" xr:uid="{00000000-0005-0000-0000-00007A4D0000}"/>
    <cellStyle name="Dane wyjściowe 2 6 2 2 3 5 2" xfId="19953" xr:uid="{00000000-0005-0000-0000-00007B4D0000}"/>
    <cellStyle name="Dane wyjściowe 2 6 2 2 3 5 2 2" xfId="19954" xr:uid="{00000000-0005-0000-0000-00007C4D0000}"/>
    <cellStyle name="Dane wyjściowe 2 6 2 2 3 5 3" xfId="19955" xr:uid="{00000000-0005-0000-0000-00007D4D0000}"/>
    <cellStyle name="Dane wyjściowe 2 6 2 2 3 6" xfId="19956" xr:uid="{00000000-0005-0000-0000-00007E4D0000}"/>
    <cellStyle name="Dane wyjściowe 2 6 2 2 3 6 2" xfId="19957" xr:uid="{00000000-0005-0000-0000-00007F4D0000}"/>
    <cellStyle name="Dane wyjściowe 2 6 2 2 3 7" xfId="19958" xr:uid="{00000000-0005-0000-0000-0000804D0000}"/>
    <cellStyle name="Dane wyjściowe 2 6 2 2 3 7 2" xfId="19959" xr:uid="{00000000-0005-0000-0000-0000814D0000}"/>
    <cellStyle name="Dane wyjściowe 2 6 2 2 3 8" xfId="19960" xr:uid="{00000000-0005-0000-0000-0000824D0000}"/>
    <cellStyle name="Dane wyjściowe 2 6 2 2 4" xfId="19961" xr:uid="{00000000-0005-0000-0000-0000834D0000}"/>
    <cellStyle name="Dane wyjściowe 2 6 2 2 4 2" xfId="19962" xr:uid="{00000000-0005-0000-0000-0000844D0000}"/>
    <cellStyle name="Dane wyjściowe 2 6 2 2 4 2 2" xfId="19963" xr:uid="{00000000-0005-0000-0000-0000854D0000}"/>
    <cellStyle name="Dane wyjściowe 2 6 2 2 4 3" xfId="19964" xr:uid="{00000000-0005-0000-0000-0000864D0000}"/>
    <cellStyle name="Dane wyjściowe 2 6 2 2 5" xfId="19965" xr:uid="{00000000-0005-0000-0000-0000874D0000}"/>
    <cellStyle name="Dane wyjściowe 2 6 2 2 5 2" xfId="19966" xr:uid="{00000000-0005-0000-0000-0000884D0000}"/>
    <cellStyle name="Dane wyjściowe 2 6 2 2 5 2 2" xfId="19967" xr:uid="{00000000-0005-0000-0000-0000894D0000}"/>
    <cellStyle name="Dane wyjściowe 2 6 2 2 5 3" xfId="19968" xr:uid="{00000000-0005-0000-0000-00008A4D0000}"/>
    <cellStyle name="Dane wyjściowe 2 6 2 2 6" xfId="19969" xr:uid="{00000000-0005-0000-0000-00008B4D0000}"/>
    <cellStyle name="Dane wyjściowe 2 6 2 2 6 2" xfId="19970" xr:uid="{00000000-0005-0000-0000-00008C4D0000}"/>
    <cellStyle name="Dane wyjściowe 2 6 2 2 6 2 2" xfId="19971" xr:uid="{00000000-0005-0000-0000-00008D4D0000}"/>
    <cellStyle name="Dane wyjściowe 2 6 2 2 6 3" xfId="19972" xr:uid="{00000000-0005-0000-0000-00008E4D0000}"/>
    <cellStyle name="Dane wyjściowe 2 6 2 2 7" xfId="19973" xr:uid="{00000000-0005-0000-0000-00008F4D0000}"/>
    <cellStyle name="Dane wyjściowe 2 6 2 2 7 2" xfId="19974" xr:uid="{00000000-0005-0000-0000-0000904D0000}"/>
    <cellStyle name="Dane wyjściowe 2 6 2 2 7 2 2" xfId="19975" xr:uid="{00000000-0005-0000-0000-0000914D0000}"/>
    <cellStyle name="Dane wyjściowe 2 6 2 2 7 3" xfId="19976" xr:uid="{00000000-0005-0000-0000-0000924D0000}"/>
    <cellStyle name="Dane wyjściowe 2 6 2 2 8" xfId="19977" xr:uid="{00000000-0005-0000-0000-0000934D0000}"/>
    <cellStyle name="Dane wyjściowe 2 6 2 2 8 2" xfId="19978" xr:uid="{00000000-0005-0000-0000-0000944D0000}"/>
    <cellStyle name="Dane wyjściowe 2 6 2 2 8 2 2" xfId="19979" xr:uid="{00000000-0005-0000-0000-0000954D0000}"/>
    <cellStyle name="Dane wyjściowe 2 6 2 2 8 2 2 2" xfId="19980" xr:uid="{00000000-0005-0000-0000-0000964D0000}"/>
    <cellStyle name="Dane wyjściowe 2 6 2 2 8 2 3" xfId="19981" xr:uid="{00000000-0005-0000-0000-0000974D0000}"/>
    <cellStyle name="Dane wyjściowe 2 6 2 2 8 3" xfId="19982" xr:uid="{00000000-0005-0000-0000-0000984D0000}"/>
    <cellStyle name="Dane wyjściowe 2 6 2 2 8 3 2" xfId="19983" xr:uid="{00000000-0005-0000-0000-0000994D0000}"/>
    <cellStyle name="Dane wyjściowe 2 6 2 2 8 3 2 2" xfId="19984" xr:uid="{00000000-0005-0000-0000-00009A4D0000}"/>
    <cellStyle name="Dane wyjściowe 2 6 2 2 8 3 3" xfId="19985" xr:uid="{00000000-0005-0000-0000-00009B4D0000}"/>
    <cellStyle name="Dane wyjściowe 2 6 2 2 8 4" xfId="19986" xr:uid="{00000000-0005-0000-0000-00009C4D0000}"/>
    <cellStyle name="Dane wyjściowe 2 6 2 2 8 4 2" xfId="19987" xr:uid="{00000000-0005-0000-0000-00009D4D0000}"/>
    <cellStyle name="Dane wyjściowe 2 6 2 2 8 4 2 2" xfId="19988" xr:uid="{00000000-0005-0000-0000-00009E4D0000}"/>
    <cellStyle name="Dane wyjściowe 2 6 2 2 8 4 3" xfId="19989" xr:uid="{00000000-0005-0000-0000-00009F4D0000}"/>
    <cellStyle name="Dane wyjściowe 2 6 2 2 8 5" xfId="19990" xr:uid="{00000000-0005-0000-0000-0000A04D0000}"/>
    <cellStyle name="Dane wyjściowe 2 6 2 2 8 5 2" xfId="19991" xr:uid="{00000000-0005-0000-0000-0000A14D0000}"/>
    <cellStyle name="Dane wyjściowe 2 6 2 2 8 6" xfId="19992" xr:uid="{00000000-0005-0000-0000-0000A24D0000}"/>
    <cellStyle name="Dane wyjściowe 2 6 2 2 8 6 2" xfId="19993" xr:uid="{00000000-0005-0000-0000-0000A34D0000}"/>
    <cellStyle name="Dane wyjściowe 2 6 2 2 8 7" xfId="19994" xr:uid="{00000000-0005-0000-0000-0000A44D0000}"/>
    <cellStyle name="Dane wyjściowe 2 6 2 2 9" xfId="19995" xr:uid="{00000000-0005-0000-0000-0000A54D0000}"/>
    <cellStyle name="Dane wyjściowe 2 6 2 2 9 2" xfId="19996" xr:uid="{00000000-0005-0000-0000-0000A64D0000}"/>
    <cellStyle name="Dane wyjściowe 2 6 2 2 9 2 2" xfId="19997" xr:uid="{00000000-0005-0000-0000-0000A74D0000}"/>
    <cellStyle name="Dane wyjściowe 2 6 2 2 9 3" xfId="19998" xr:uid="{00000000-0005-0000-0000-0000A84D0000}"/>
    <cellStyle name="Dane wyjściowe 2 6 2 3" xfId="19999" xr:uid="{00000000-0005-0000-0000-0000A94D0000}"/>
    <cellStyle name="Dane wyjściowe 2 6 2 3 2" xfId="20000" xr:uid="{00000000-0005-0000-0000-0000AA4D0000}"/>
    <cellStyle name="Dane wyjściowe 2 6 2 3 2 2" xfId="20001" xr:uid="{00000000-0005-0000-0000-0000AB4D0000}"/>
    <cellStyle name="Dane wyjściowe 2 6 2 3 3" xfId="20002" xr:uid="{00000000-0005-0000-0000-0000AC4D0000}"/>
    <cellStyle name="Dane wyjściowe 2 6 2 4" xfId="20003" xr:uid="{00000000-0005-0000-0000-0000AD4D0000}"/>
    <cellStyle name="Dane wyjściowe 2 6 2 4 10" xfId="20004" xr:uid="{00000000-0005-0000-0000-0000AE4D0000}"/>
    <cellStyle name="Dane wyjściowe 2 6 2 4 10 2" xfId="20005" xr:uid="{00000000-0005-0000-0000-0000AF4D0000}"/>
    <cellStyle name="Dane wyjściowe 2 6 2 4 11" xfId="20006" xr:uid="{00000000-0005-0000-0000-0000B04D0000}"/>
    <cellStyle name="Dane wyjściowe 2 6 2 4 11 2" xfId="20007" xr:uid="{00000000-0005-0000-0000-0000B14D0000}"/>
    <cellStyle name="Dane wyjściowe 2 6 2 4 12" xfId="20008" xr:uid="{00000000-0005-0000-0000-0000B24D0000}"/>
    <cellStyle name="Dane wyjściowe 2 6 2 4 2" xfId="20009" xr:uid="{00000000-0005-0000-0000-0000B34D0000}"/>
    <cellStyle name="Dane wyjściowe 2 6 2 4 2 2" xfId="20010" xr:uid="{00000000-0005-0000-0000-0000B44D0000}"/>
    <cellStyle name="Dane wyjściowe 2 6 2 4 2 2 2" xfId="20011" xr:uid="{00000000-0005-0000-0000-0000B54D0000}"/>
    <cellStyle name="Dane wyjściowe 2 6 2 4 2 2 2 2" xfId="20012" xr:uid="{00000000-0005-0000-0000-0000B64D0000}"/>
    <cellStyle name="Dane wyjściowe 2 6 2 4 2 2 2 2 2" xfId="20013" xr:uid="{00000000-0005-0000-0000-0000B74D0000}"/>
    <cellStyle name="Dane wyjściowe 2 6 2 4 2 2 2 3" xfId="20014" xr:uid="{00000000-0005-0000-0000-0000B84D0000}"/>
    <cellStyle name="Dane wyjściowe 2 6 2 4 2 2 3" xfId="20015" xr:uid="{00000000-0005-0000-0000-0000B94D0000}"/>
    <cellStyle name="Dane wyjściowe 2 6 2 4 2 2 3 2" xfId="20016" xr:uid="{00000000-0005-0000-0000-0000BA4D0000}"/>
    <cellStyle name="Dane wyjściowe 2 6 2 4 2 2 3 2 2" xfId="20017" xr:uid="{00000000-0005-0000-0000-0000BB4D0000}"/>
    <cellStyle name="Dane wyjściowe 2 6 2 4 2 2 3 3" xfId="20018" xr:uid="{00000000-0005-0000-0000-0000BC4D0000}"/>
    <cellStyle name="Dane wyjściowe 2 6 2 4 2 2 4" xfId="20019" xr:uid="{00000000-0005-0000-0000-0000BD4D0000}"/>
    <cellStyle name="Dane wyjściowe 2 6 2 4 2 2 4 2" xfId="20020" xr:uid="{00000000-0005-0000-0000-0000BE4D0000}"/>
    <cellStyle name="Dane wyjściowe 2 6 2 4 2 2 4 2 2" xfId="20021" xr:uid="{00000000-0005-0000-0000-0000BF4D0000}"/>
    <cellStyle name="Dane wyjściowe 2 6 2 4 2 2 4 3" xfId="20022" xr:uid="{00000000-0005-0000-0000-0000C04D0000}"/>
    <cellStyle name="Dane wyjściowe 2 6 2 4 2 2 5" xfId="20023" xr:uid="{00000000-0005-0000-0000-0000C14D0000}"/>
    <cellStyle name="Dane wyjściowe 2 6 2 4 2 2 5 2" xfId="20024" xr:uid="{00000000-0005-0000-0000-0000C24D0000}"/>
    <cellStyle name="Dane wyjściowe 2 6 2 4 2 2 6" xfId="20025" xr:uid="{00000000-0005-0000-0000-0000C34D0000}"/>
    <cellStyle name="Dane wyjściowe 2 6 2 4 2 2 6 2" xfId="20026" xr:uid="{00000000-0005-0000-0000-0000C44D0000}"/>
    <cellStyle name="Dane wyjściowe 2 6 2 4 2 2 7" xfId="20027" xr:uid="{00000000-0005-0000-0000-0000C54D0000}"/>
    <cellStyle name="Dane wyjściowe 2 6 2 4 2 3" xfId="20028" xr:uid="{00000000-0005-0000-0000-0000C64D0000}"/>
    <cellStyle name="Dane wyjściowe 2 6 2 4 2 3 2" xfId="20029" xr:uid="{00000000-0005-0000-0000-0000C74D0000}"/>
    <cellStyle name="Dane wyjściowe 2 6 2 4 2 3 2 2" xfId="20030" xr:uid="{00000000-0005-0000-0000-0000C84D0000}"/>
    <cellStyle name="Dane wyjściowe 2 6 2 4 2 3 3" xfId="20031" xr:uid="{00000000-0005-0000-0000-0000C94D0000}"/>
    <cellStyle name="Dane wyjściowe 2 6 2 4 2 4" xfId="20032" xr:uid="{00000000-0005-0000-0000-0000CA4D0000}"/>
    <cellStyle name="Dane wyjściowe 2 6 2 4 2 4 2" xfId="20033" xr:uid="{00000000-0005-0000-0000-0000CB4D0000}"/>
    <cellStyle name="Dane wyjściowe 2 6 2 4 2 4 2 2" xfId="20034" xr:uid="{00000000-0005-0000-0000-0000CC4D0000}"/>
    <cellStyle name="Dane wyjściowe 2 6 2 4 2 4 3" xfId="20035" xr:uid="{00000000-0005-0000-0000-0000CD4D0000}"/>
    <cellStyle name="Dane wyjściowe 2 6 2 4 2 5" xfId="20036" xr:uid="{00000000-0005-0000-0000-0000CE4D0000}"/>
    <cellStyle name="Dane wyjściowe 2 6 2 4 2 5 2" xfId="20037" xr:uid="{00000000-0005-0000-0000-0000CF4D0000}"/>
    <cellStyle name="Dane wyjściowe 2 6 2 4 2 5 2 2" xfId="20038" xr:uid="{00000000-0005-0000-0000-0000D04D0000}"/>
    <cellStyle name="Dane wyjściowe 2 6 2 4 2 5 3" xfId="20039" xr:uid="{00000000-0005-0000-0000-0000D14D0000}"/>
    <cellStyle name="Dane wyjściowe 2 6 2 4 2 6" xfId="20040" xr:uid="{00000000-0005-0000-0000-0000D24D0000}"/>
    <cellStyle name="Dane wyjściowe 2 6 2 4 2 6 2" xfId="20041" xr:uid="{00000000-0005-0000-0000-0000D34D0000}"/>
    <cellStyle name="Dane wyjściowe 2 6 2 4 2 7" xfId="20042" xr:uid="{00000000-0005-0000-0000-0000D44D0000}"/>
    <cellStyle name="Dane wyjściowe 2 6 2 4 2 7 2" xfId="20043" xr:uid="{00000000-0005-0000-0000-0000D54D0000}"/>
    <cellStyle name="Dane wyjściowe 2 6 2 4 2 8" xfId="20044" xr:uid="{00000000-0005-0000-0000-0000D64D0000}"/>
    <cellStyle name="Dane wyjściowe 2 6 2 4 3" xfId="20045" xr:uid="{00000000-0005-0000-0000-0000D74D0000}"/>
    <cellStyle name="Dane wyjściowe 2 6 2 4 3 2" xfId="20046" xr:uid="{00000000-0005-0000-0000-0000D84D0000}"/>
    <cellStyle name="Dane wyjściowe 2 6 2 4 3 2 2" xfId="20047" xr:uid="{00000000-0005-0000-0000-0000D94D0000}"/>
    <cellStyle name="Dane wyjściowe 2 6 2 4 3 3" xfId="20048" xr:uid="{00000000-0005-0000-0000-0000DA4D0000}"/>
    <cellStyle name="Dane wyjściowe 2 6 2 4 4" xfId="20049" xr:uid="{00000000-0005-0000-0000-0000DB4D0000}"/>
    <cellStyle name="Dane wyjściowe 2 6 2 4 4 2" xfId="20050" xr:uid="{00000000-0005-0000-0000-0000DC4D0000}"/>
    <cellStyle name="Dane wyjściowe 2 6 2 4 4 2 2" xfId="20051" xr:uid="{00000000-0005-0000-0000-0000DD4D0000}"/>
    <cellStyle name="Dane wyjściowe 2 6 2 4 4 3" xfId="20052" xr:uid="{00000000-0005-0000-0000-0000DE4D0000}"/>
    <cellStyle name="Dane wyjściowe 2 6 2 4 5" xfId="20053" xr:uid="{00000000-0005-0000-0000-0000DF4D0000}"/>
    <cellStyle name="Dane wyjściowe 2 6 2 4 5 2" xfId="20054" xr:uid="{00000000-0005-0000-0000-0000E04D0000}"/>
    <cellStyle name="Dane wyjściowe 2 6 2 4 5 2 2" xfId="20055" xr:uid="{00000000-0005-0000-0000-0000E14D0000}"/>
    <cellStyle name="Dane wyjściowe 2 6 2 4 5 3" xfId="20056" xr:uid="{00000000-0005-0000-0000-0000E24D0000}"/>
    <cellStyle name="Dane wyjściowe 2 6 2 4 6" xfId="20057" xr:uid="{00000000-0005-0000-0000-0000E34D0000}"/>
    <cellStyle name="Dane wyjściowe 2 6 2 4 6 2" xfId="20058" xr:uid="{00000000-0005-0000-0000-0000E44D0000}"/>
    <cellStyle name="Dane wyjściowe 2 6 2 4 6 2 2" xfId="20059" xr:uid="{00000000-0005-0000-0000-0000E54D0000}"/>
    <cellStyle name="Dane wyjściowe 2 6 2 4 6 3" xfId="20060" xr:uid="{00000000-0005-0000-0000-0000E64D0000}"/>
    <cellStyle name="Dane wyjściowe 2 6 2 4 7" xfId="20061" xr:uid="{00000000-0005-0000-0000-0000E74D0000}"/>
    <cellStyle name="Dane wyjściowe 2 6 2 4 7 2" xfId="20062" xr:uid="{00000000-0005-0000-0000-0000E84D0000}"/>
    <cellStyle name="Dane wyjściowe 2 6 2 4 7 2 2" xfId="20063" xr:uid="{00000000-0005-0000-0000-0000E94D0000}"/>
    <cellStyle name="Dane wyjściowe 2 6 2 4 7 2 2 2" xfId="20064" xr:uid="{00000000-0005-0000-0000-0000EA4D0000}"/>
    <cellStyle name="Dane wyjściowe 2 6 2 4 7 2 3" xfId="20065" xr:uid="{00000000-0005-0000-0000-0000EB4D0000}"/>
    <cellStyle name="Dane wyjściowe 2 6 2 4 7 3" xfId="20066" xr:uid="{00000000-0005-0000-0000-0000EC4D0000}"/>
    <cellStyle name="Dane wyjściowe 2 6 2 4 7 3 2" xfId="20067" xr:uid="{00000000-0005-0000-0000-0000ED4D0000}"/>
    <cellStyle name="Dane wyjściowe 2 6 2 4 7 3 2 2" xfId="20068" xr:uid="{00000000-0005-0000-0000-0000EE4D0000}"/>
    <cellStyle name="Dane wyjściowe 2 6 2 4 7 3 3" xfId="20069" xr:uid="{00000000-0005-0000-0000-0000EF4D0000}"/>
    <cellStyle name="Dane wyjściowe 2 6 2 4 7 4" xfId="20070" xr:uid="{00000000-0005-0000-0000-0000F04D0000}"/>
    <cellStyle name="Dane wyjściowe 2 6 2 4 7 4 2" xfId="20071" xr:uid="{00000000-0005-0000-0000-0000F14D0000}"/>
    <cellStyle name="Dane wyjściowe 2 6 2 4 7 4 2 2" xfId="20072" xr:uid="{00000000-0005-0000-0000-0000F24D0000}"/>
    <cellStyle name="Dane wyjściowe 2 6 2 4 7 4 3" xfId="20073" xr:uid="{00000000-0005-0000-0000-0000F34D0000}"/>
    <cellStyle name="Dane wyjściowe 2 6 2 4 7 5" xfId="20074" xr:uid="{00000000-0005-0000-0000-0000F44D0000}"/>
    <cellStyle name="Dane wyjściowe 2 6 2 4 7 5 2" xfId="20075" xr:uid="{00000000-0005-0000-0000-0000F54D0000}"/>
    <cellStyle name="Dane wyjściowe 2 6 2 4 7 6" xfId="20076" xr:uid="{00000000-0005-0000-0000-0000F64D0000}"/>
    <cellStyle name="Dane wyjściowe 2 6 2 4 7 6 2" xfId="20077" xr:uid="{00000000-0005-0000-0000-0000F74D0000}"/>
    <cellStyle name="Dane wyjściowe 2 6 2 4 7 7" xfId="20078" xr:uid="{00000000-0005-0000-0000-0000F84D0000}"/>
    <cellStyle name="Dane wyjściowe 2 6 2 4 8" xfId="20079" xr:uid="{00000000-0005-0000-0000-0000F94D0000}"/>
    <cellStyle name="Dane wyjściowe 2 6 2 4 8 2" xfId="20080" xr:uid="{00000000-0005-0000-0000-0000FA4D0000}"/>
    <cellStyle name="Dane wyjściowe 2 6 2 4 8 2 2" xfId="20081" xr:uid="{00000000-0005-0000-0000-0000FB4D0000}"/>
    <cellStyle name="Dane wyjściowe 2 6 2 4 8 3" xfId="20082" xr:uid="{00000000-0005-0000-0000-0000FC4D0000}"/>
    <cellStyle name="Dane wyjściowe 2 6 2 4 9" xfId="20083" xr:uid="{00000000-0005-0000-0000-0000FD4D0000}"/>
    <cellStyle name="Dane wyjściowe 2 6 2 4 9 2" xfId="20084" xr:uid="{00000000-0005-0000-0000-0000FE4D0000}"/>
    <cellStyle name="Dane wyjściowe 2 6 2 4 9 2 2" xfId="20085" xr:uid="{00000000-0005-0000-0000-0000FF4D0000}"/>
    <cellStyle name="Dane wyjściowe 2 6 2 4 9 3" xfId="20086" xr:uid="{00000000-0005-0000-0000-0000004E0000}"/>
    <cellStyle name="Dane wyjściowe 2 6 2 5" xfId="20087" xr:uid="{00000000-0005-0000-0000-0000014E0000}"/>
    <cellStyle name="Dane wyjściowe 2 6 2 5 2" xfId="20088" xr:uid="{00000000-0005-0000-0000-0000024E0000}"/>
    <cellStyle name="Dane wyjściowe 2 6 2 5 2 2" xfId="20089" xr:uid="{00000000-0005-0000-0000-0000034E0000}"/>
    <cellStyle name="Dane wyjściowe 2 6 2 5 2 2 2" xfId="20090" xr:uid="{00000000-0005-0000-0000-0000044E0000}"/>
    <cellStyle name="Dane wyjściowe 2 6 2 5 2 2 2 2" xfId="20091" xr:uid="{00000000-0005-0000-0000-0000054E0000}"/>
    <cellStyle name="Dane wyjściowe 2 6 2 5 2 2 3" xfId="20092" xr:uid="{00000000-0005-0000-0000-0000064E0000}"/>
    <cellStyle name="Dane wyjściowe 2 6 2 5 2 3" xfId="20093" xr:uid="{00000000-0005-0000-0000-0000074E0000}"/>
    <cellStyle name="Dane wyjściowe 2 6 2 5 2 3 2" xfId="20094" xr:uid="{00000000-0005-0000-0000-0000084E0000}"/>
    <cellStyle name="Dane wyjściowe 2 6 2 5 2 3 2 2" xfId="20095" xr:uid="{00000000-0005-0000-0000-0000094E0000}"/>
    <cellStyle name="Dane wyjściowe 2 6 2 5 2 3 3" xfId="20096" xr:uid="{00000000-0005-0000-0000-00000A4E0000}"/>
    <cellStyle name="Dane wyjściowe 2 6 2 5 2 4" xfId="20097" xr:uid="{00000000-0005-0000-0000-00000B4E0000}"/>
    <cellStyle name="Dane wyjściowe 2 6 2 5 2 4 2" xfId="20098" xr:uid="{00000000-0005-0000-0000-00000C4E0000}"/>
    <cellStyle name="Dane wyjściowe 2 6 2 5 2 4 2 2" xfId="20099" xr:uid="{00000000-0005-0000-0000-00000D4E0000}"/>
    <cellStyle name="Dane wyjściowe 2 6 2 5 2 4 3" xfId="20100" xr:uid="{00000000-0005-0000-0000-00000E4E0000}"/>
    <cellStyle name="Dane wyjściowe 2 6 2 5 2 5" xfId="20101" xr:uid="{00000000-0005-0000-0000-00000F4E0000}"/>
    <cellStyle name="Dane wyjściowe 2 6 2 5 2 5 2" xfId="20102" xr:uid="{00000000-0005-0000-0000-0000104E0000}"/>
    <cellStyle name="Dane wyjściowe 2 6 2 5 2 6" xfId="20103" xr:uid="{00000000-0005-0000-0000-0000114E0000}"/>
    <cellStyle name="Dane wyjściowe 2 6 2 5 2 6 2" xfId="20104" xr:uid="{00000000-0005-0000-0000-0000124E0000}"/>
    <cellStyle name="Dane wyjściowe 2 6 2 5 2 7" xfId="20105" xr:uid="{00000000-0005-0000-0000-0000134E0000}"/>
    <cellStyle name="Dane wyjściowe 2 6 2 5 3" xfId="20106" xr:uid="{00000000-0005-0000-0000-0000144E0000}"/>
    <cellStyle name="Dane wyjściowe 2 6 2 5 3 2" xfId="20107" xr:uid="{00000000-0005-0000-0000-0000154E0000}"/>
    <cellStyle name="Dane wyjściowe 2 6 2 5 3 2 2" xfId="20108" xr:uid="{00000000-0005-0000-0000-0000164E0000}"/>
    <cellStyle name="Dane wyjściowe 2 6 2 5 3 3" xfId="20109" xr:uid="{00000000-0005-0000-0000-0000174E0000}"/>
    <cellStyle name="Dane wyjściowe 2 6 2 5 4" xfId="20110" xr:uid="{00000000-0005-0000-0000-0000184E0000}"/>
    <cellStyle name="Dane wyjściowe 2 6 2 5 4 2" xfId="20111" xr:uid="{00000000-0005-0000-0000-0000194E0000}"/>
    <cellStyle name="Dane wyjściowe 2 6 2 5 4 2 2" xfId="20112" xr:uid="{00000000-0005-0000-0000-00001A4E0000}"/>
    <cellStyle name="Dane wyjściowe 2 6 2 5 4 3" xfId="20113" xr:uid="{00000000-0005-0000-0000-00001B4E0000}"/>
    <cellStyle name="Dane wyjściowe 2 6 2 5 5" xfId="20114" xr:uid="{00000000-0005-0000-0000-00001C4E0000}"/>
    <cellStyle name="Dane wyjściowe 2 6 2 5 5 2" xfId="20115" xr:uid="{00000000-0005-0000-0000-00001D4E0000}"/>
    <cellStyle name="Dane wyjściowe 2 6 2 5 5 2 2" xfId="20116" xr:uid="{00000000-0005-0000-0000-00001E4E0000}"/>
    <cellStyle name="Dane wyjściowe 2 6 2 5 5 3" xfId="20117" xr:uid="{00000000-0005-0000-0000-00001F4E0000}"/>
    <cellStyle name="Dane wyjściowe 2 6 2 5 6" xfId="20118" xr:uid="{00000000-0005-0000-0000-0000204E0000}"/>
    <cellStyle name="Dane wyjściowe 2 6 2 5 6 2" xfId="20119" xr:uid="{00000000-0005-0000-0000-0000214E0000}"/>
    <cellStyle name="Dane wyjściowe 2 6 2 5 7" xfId="20120" xr:uid="{00000000-0005-0000-0000-0000224E0000}"/>
    <cellStyle name="Dane wyjściowe 2 6 2 5 7 2" xfId="20121" xr:uid="{00000000-0005-0000-0000-0000234E0000}"/>
    <cellStyle name="Dane wyjściowe 2 6 2 5 8" xfId="20122" xr:uid="{00000000-0005-0000-0000-0000244E0000}"/>
    <cellStyle name="Dane wyjściowe 2 6 2 6" xfId="20123" xr:uid="{00000000-0005-0000-0000-0000254E0000}"/>
    <cellStyle name="Dane wyjściowe 2 6 2 6 2" xfId="20124" xr:uid="{00000000-0005-0000-0000-0000264E0000}"/>
    <cellStyle name="Dane wyjściowe 2 6 2 6 2 2" xfId="20125" xr:uid="{00000000-0005-0000-0000-0000274E0000}"/>
    <cellStyle name="Dane wyjściowe 2 6 2 6 3" xfId="20126" xr:uid="{00000000-0005-0000-0000-0000284E0000}"/>
    <cellStyle name="Dane wyjściowe 2 6 2 7" xfId="20127" xr:uid="{00000000-0005-0000-0000-0000294E0000}"/>
    <cellStyle name="Dane wyjściowe 2 6 2 7 2" xfId="20128" xr:uid="{00000000-0005-0000-0000-00002A4E0000}"/>
    <cellStyle name="Dane wyjściowe 2 6 2 7 2 2" xfId="20129" xr:uid="{00000000-0005-0000-0000-00002B4E0000}"/>
    <cellStyle name="Dane wyjściowe 2 6 2 7 3" xfId="20130" xr:uid="{00000000-0005-0000-0000-00002C4E0000}"/>
    <cellStyle name="Dane wyjściowe 2 6 2 8" xfId="20131" xr:uid="{00000000-0005-0000-0000-00002D4E0000}"/>
    <cellStyle name="Dane wyjściowe 2 6 2 8 2" xfId="20132" xr:uid="{00000000-0005-0000-0000-00002E4E0000}"/>
    <cellStyle name="Dane wyjściowe 2 6 2 8 2 2" xfId="20133" xr:uid="{00000000-0005-0000-0000-00002F4E0000}"/>
    <cellStyle name="Dane wyjściowe 2 6 2 8 3" xfId="20134" xr:uid="{00000000-0005-0000-0000-0000304E0000}"/>
    <cellStyle name="Dane wyjściowe 2 6 2 9" xfId="20135" xr:uid="{00000000-0005-0000-0000-0000314E0000}"/>
    <cellStyle name="Dane wyjściowe 2 6 2 9 2" xfId="20136" xr:uid="{00000000-0005-0000-0000-0000324E0000}"/>
    <cellStyle name="Dane wyjściowe 2 6 2 9 2 2" xfId="20137" xr:uid="{00000000-0005-0000-0000-0000334E0000}"/>
    <cellStyle name="Dane wyjściowe 2 6 2 9 2 2 2" xfId="20138" xr:uid="{00000000-0005-0000-0000-0000344E0000}"/>
    <cellStyle name="Dane wyjściowe 2 6 2 9 2 3" xfId="20139" xr:uid="{00000000-0005-0000-0000-0000354E0000}"/>
    <cellStyle name="Dane wyjściowe 2 6 2 9 3" xfId="20140" xr:uid="{00000000-0005-0000-0000-0000364E0000}"/>
    <cellStyle name="Dane wyjściowe 2 6 2 9 3 2" xfId="20141" xr:uid="{00000000-0005-0000-0000-0000374E0000}"/>
    <cellStyle name="Dane wyjściowe 2 6 2 9 3 2 2" xfId="20142" xr:uid="{00000000-0005-0000-0000-0000384E0000}"/>
    <cellStyle name="Dane wyjściowe 2 6 2 9 3 3" xfId="20143" xr:uid="{00000000-0005-0000-0000-0000394E0000}"/>
    <cellStyle name="Dane wyjściowe 2 6 2 9 4" xfId="20144" xr:uid="{00000000-0005-0000-0000-00003A4E0000}"/>
    <cellStyle name="Dane wyjściowe 2 6 2 9 4 2" xfId="20145" xr:uid="{00000000-0005-0000-0000-00003B4E0000}"/>
    <cellStyle name="Dane wyjściowe 2 6 2 9 4 2 2" xfId="20146" xr:uid="{00000000-0005-0000-0000-00003C4E0000}"/>
    <cellStyle name="Dane wyjściowe 2 6 2 9 4 3" xfId="20147" xr:uid="{00000000-0005-0000-0000-00003D4E0000}"/>
    <cellStyle name="Dane wyjściowe 2 6 2 9 5" xfId="20148" xr:uid="{00000000-0005-0000-0000-00003E4E0000}"/>
    <cellStyle name="Dane wyjściowe 2 6 2 9 5 2" xfId="20149" xr:uid="{00000000-0005-0000-0000-00003F4E0000}"/>
    <cellStyle name="Dane wyjściowe 2 6 2 9 6" xfId="20150" xr:uid="{00000000-0005-0000-0000-0000404E0000}"/>
    <cellStyle name="Dane wyjściowe 2 6 2 9 6 2" xfId="20151" xr:uid="{00000000-0005-0000-0000-0000414E0000}"/>
    <cellStyle name="Dane wyjściowe 2 6 2 9 7" xfId="20152" xr:uid="{00000000-0005-0000-0000-0000424E0000}"/>
    <cellStyle name="Dane wyjściowe 2 6 3" xfId="20153" xr:uid="{00000000-0005-0000-0000-0000434E0000}"/>
    <cellStyle name="Dane wyjściowe 2 6 3 10" xfId="20154" xr:uid="{00000000-0005-0000-0000-0000444E0000}"/>
    <cellStyle name="Dane wyjściowe 2 6 3 10 2" xfId="20155" xr:uid="{00000000-0005-0000-0000-0000454E0000}"/>
    <cellStyle name="Dane wyjściowe 2 6 3 10 2 2" xfId="20156" xr:uid="{00000000-0005-0000-0000-0000464E0000}"/>
    <cellStyle name="Dane wyjściowe 2 6 3 10 3" xfId="20157" xr:uid="{00000000-0005-0000-0000-0000474E0000}"/>
    <cellStyle name="Dane wyjściowe 2 6 3 11" xfId="20158" xr:uid="{00000000-0005-0000-0000-0000484E0000}"/>
    <cellStyle name="Dane wyjściowe 2 6 3 11 2" xfId="20159" xr:uid="{00000000-0005-0000-0000-0000494E0000}"/>
    <cellStyle name="Dane wyjściowe 2 6 3 12" xfId="20160" xr:uid="{00000000-0005-0000-0000-00004A4E0000}"/>
    <cellStyle name="Dane wyjściowe 2 6 3 12 2" xfId="20161" xr:uid="{00000000-0005-0000-0000-00004B4E0000}"/>
    <cellStyle name="Dane wyjściowe 2 6 3 13" xfId="20162" xr:uid="{00000000-0005-0000-0000-00004C4E0000}"/>
    <cellStyle name="Dane wyjściowe 2 6 3 2" xfId="20163" xr:uid="{00000000-0005-0000-0000-00004D4E0000}"/>
    <cellStyle name="Dane wyjściowe 2 6 3 2 10" xfId="20164" xr:uid="{00000000-0005-0000-0000-00004E4E0000}"/>
    <cellStyle name="Dane wyjściowe 2 6 3 2 10 2" xfId="20165" xr:uid="{00000000-0005-0000-0000-00004F4E0000}"/>
    <cellStyle name="Dane wyjściowe 2 6 3 2 11" xfId="20166" xr:uid="{00000000-0005-0000-0000-0000504E0000}"/>
    <cellStyle name="Dane wyjściowe 2 6 3 2 11 2" xfId="20167" xr:uid="{00000000-0005-0000-0000-0000514E0000}"/>
    <cellStyle name="Dane wyjściowe 2 6 3 2 12" xfId="20168" xr:uid="{00000000-0005-0000-0000-0000524E0000}"/>
    <cellStyle name="Dane wyjściowe 2 6 3 2 2" xfId="20169" xr:uid="{00000000-0005-0000-0000-0000534E0000}"/>
    <cellStyle name="Dane wyjściowe 2 6 3 2 2 10" xfId="20170" xr:uid="{00000000-0005-0000-0000-0000544E0000}"/>
    <cellStyle name="Dane wyjściowe 2 6 3 2 2 10 2" xfId="20171" xr:uid="{00000000-0005-0000-0000-0000554E0000}"/>
    <cellStyle name="Dane wyjściowe 2 6 3 2 2 11" xfId="20172" xr:uid="{00000000-0005-0000-0000-0000564E0000}"/>
    <cellStyle name="Dane wyjściowe 2 6 3 2 2 11 2" xfId="20173" xr:uid="{00000000-0005-0000-0000-0000574E0000}"/>
    <cellStyle name="Dane wyjściowe 2 6 3 2 2 12" xfId="20174" xr:uid="{00000000-0005-0000-0000-0000584E0000}"/>
    <cellStyle name="Dane wyjściowe 2 6 3 2 2 2" xfId="20175" xr:uid="{00000000-0005-0000-0000-0000594E0000}"/>
    <cellStyle name="Dane wyjściowe 2 6 3 2 2 2 2" xfId="20176" xr:uid="{00000000-0005-0000-0000-00005A4E0000}"/>
    <cellStyle name="Dane wyjściowe 2 6 3 2 2 2 2 2" xfId="20177" xr:uid="{00000000-0005-0000-0000-00005B4E0000}"/>
    <cellStyle name="Dane wyjściowe 2 6 3 2 2 2 2 2 2" xfId="20178" xr:uid="{00000000-0005-0000-0000-00005C4E0000}"/>
    <cellStyle name="Dane wyjściowe 2 6 3 2 2 2 2 2 2 2" xfId="20179" xr:uid="{00000000-0005-0000-0000-00005D4E0000}"/>
    <cellStyle name="Dane wyjściowe 2 6 3 2 2 2 2 2 3" xfId="20180" xr:uid="{00000000-0005-0000-0000-00005E4E0000}"/>
    <cellStyle name="Dane wyjściowe 2 6 3 2 2 2 2 3" xfId="20181" xr:uid="{00000000-0005-0000-0000-00005F4E0000}"/>
    <cellStyle name="Dane wyjściowe 2 6 3 2 2 2 2 3 2" xfId="20182" xr:uid="{00000000-0005-0000-0000-0000604E0000}"/>
    <cellStyle name="Dane wyjściowe 2 6 3 2 2 2 2 3 2 2" xfId="20183" xr:uid="{00000000-0005-0000-0000-0000614E0000}"/>
    <cellStyle name="Dane wyjściowe 2 6 3 2 2 2 2 3 3" xfId="20184" xr:uid="{00000000-0005-0000-0000-0000624E0000}"/>
    <cellStyle name="Dane wyjściowe 2 6 3 2 2 2 2 4" xfId="20185" xr:uid="{00000000-0005-0000-0000-0000634E0000}"/>
    <cellStyle name="Dane wyjściowe 2 6 3 2 2 2 2 4 2" xfId="20186" xr:uid="{00000000-0005-0000-0000-0000644E0000}"/>
    <cellStyle name="Dane wyjściowe 2 6 3 2 2 2 2 4 2 2" xfId="20187" xr:uid="{00000000-0005-0000-0000-0000654E0000}"/>
    <cellStyle name="Dane wyjściowe 2 6 3 2 2 2 2 4 3" xfId="20188" xr:uid="{00000000-0005-0000-0000-0000664E0000}"/>
    <cellStyle name="Dane wyjściowe 2 6 3 2 2 2 2 5" xfId="20189" xr:uid="{00000000-0005-0000-0000-0000674E0000}"/>
    <cellStyle name="Dane wyjściowe 2 6 3 2 2 2 2 5 2" xfId="20190" xr:uid="{00000000-0005-0000-0000-0000684E0000}"/>
    <cellStyle name="Dane wyjściowe 2 6 3 2 2 2 2 6" xfId="20191" xr:uid="{00000000-0005-0000-0000-0000694E0000}"/>
    <cellStyle name="Dane wyjściowe 2 6 3 2 2 2 2 6 2" xfId="20192" xr:uid="{00000000-0005-0000-0000-00006A4E0000}"/>
    <cellStyle name="Dane wyjściowe 2 6 3 2 2 2 2 7" xfId="20193" xr:uid="{00000000-0005-0000-0000-00006B4E0000}"/>
    <cellStyle name="Dane wyjściowe 2 6 3 2 2 2 3" xfId="20194" xr:uid="{00000000-0005-0000-0000-00006C4E0000}"/>
    <cellStyle name="Dane wyjściowe 2 6 3 2 2 2 3 2" xfId="20195" xr:uid="{00000000-0005-0000-0000-00006D4E0000}"/>
    <cellStyle name="Dane wyjściowe 2 6 3 2 2 2 3 2 2" xfId="20196" xr:uid="{00000000-0005-0000-0000-00006E4E0000}"/>
    <cellStyle name="Dane wyjściowe 2 6 3 2 2 2 3 3" xfId="20197" xr:uid="{00000000-0005-0000-0000-00006F4E0000}"/>
    <cellStyle name="Dane wyjściowe 2 6 3 2 2 2 4" xfId="20198" xr:uid="{00000000-0005-0000-0000-0000704E0000}"/>
    <cellStyle name="Dane wyjściowe 2 6 3 2 2 2 4 2" xfId="20199" xr:uid="{00000000-0005-0000-0000-0000714E0000}"/>
    <cellStyle name="Dane wyjściowe 2 6 3 2 2 2 4 2 2" xfId="20200" xr:uid="{00000000-0005-0000-0000-0000724E0000}"/>
    <cellStyle name="Dane wyjściowe 2 6 3 2 2 2 4 3" xfId="20201" xr:uid="{00000000-0005-0000-0000-0000734E0000}"/>
    <cellStyle name="Dane wyjściowe 2 6 3 2 2 2 5" xfId="20202" xr:uid="{00000000-0005-0000-0000-0000744E0000}"/>
    <cellStyle name="Dane wyjściowe 2 6 3 2 2 2 5 2" xfId="20203" xr:uid="{00000000-0005-0000-0000-0000754E0000}"/>
    <cellStyle name="Dane wyjściowe 2 6 3 2 2 2 5 2 2" xfId="20204" xr:uid="{00000000-0005-0000-0000-0000764E0000}"/>
    <cellStyle name="Dane wyjściowe 2 6 3 2 2 2 5 3" xfId="20205" xr:uid="{00000000-0005-0000-0000-0000774E0000}"/>
    <cellStyle name="Dane wyjściowe 2 6 3 2 2 2 6" xfId="20206" xr:uid="{00000000-0005-0000-0000-0000784E0000}"/>
    <cellStyle name="Dane wyjściowe 2 6 3 2 2 2 6 2" xfId="20207" xr:uid="{00000000-0005-0000-0000-0000794E0000}"/>
    <cellStyle name="Dane wyjściowe 2 6 3 2 2 2 7" xfId="20208" xr:uid="{00000000-0005-0000-0000-00007A4E0000}"/>
    <cellStyle name="Dane wyjściowe 2 6 3 2 2 2 7 2" xfId="20209" xr:uid="{00000000-0005-0000-0000-00007B4E0000}"/>
    <cellStyle name="Dane wyjściowe 2 6 3 2 2 2 8" xfId="20210" xr:uid="{00000000-0005-0000-0000-00007C4E0000}"/>
    <cellStyle name="Dane wyjściowe 2 6 3 2 2 3" xfId="20211" xr:uid="{00000000-0005-0000-0000-00007D4E0000}"/>
    <cellStyle name="Dane wyjściowe 2 6 3 2 2 3 2" xfId="20212" xr:uid="{00000000-0005-0000-0000-00007E4E0000}"/>
    <cellStyle name="Dane wyjściowe 2 6 3 2 2 3 2 2" xfId="20213" xr:uid="{00000000-0005-0000-0000-00007F4E0000}"/>
    <cellStyle name="Dane wyjściowe 2 6 3 2 2 3 3" xfId="20214" xr:uid="{00000000-0005-0000-0000-0000804E0000}"/>
    <cellStyle name="Dane wyjściowe 2 6 3 2 2 4" xfId="20215" xr:uid="{00000000-0005-0000-0000-0000814E0000}"/>
    <cellStyle name="Dane wyjściowe 2 6 3 2 2 4 2" xfId="20216" xr:uid="{00000000-0005-0000-0000-0000824E0000}"/>
    <cellStyle name="Dane wyjściowe 2 6 3 2 2 4 2 2" xfId="20217" xr:uid="{00000000-0005-0000-0000-0000834E0000}"/>
    <cellStyle name="Dane wyjściowe 2 6 3 2 2 4 3" xfId="20218" xr:uid="{00000000-0005-0000-0000-0000844E0000}"/>
    <cellStyle name="Dane wyjściowe 2 6 3 2 2 5" xfId="20219" xr:uid="{00000000-0005-0000-0000-0000854E0000}"/>
    <cellStyle name="Dane wyjściowe 2 6 3 2 2 5 2" xfId="20220" xr:uid="{00000000-0005-0000-0000-0000864E0000}"/>
    <cellStyle name="Dane wyjściowe 2 6 3 2 2 5 2 2" xfId="20221" xr:uid="{00000000-0005-0000-0000-0000874E0000}"/>
    <cellStyle name="Dane wyjściowe 2 6 3 2 2 5 3" xfId="20222" xr:uid="{00000000-0005-0000-0000-0000884E0000}"/>
    <cellStyle name="Dane wyjściowe 2 6 3 2 2 6" xfId="20223" xr:uid="{00000000-0005-0000-0000-0000894E0000}"/>
    <cellStyle name="Dane wyjściowe 2 6 3 2 2 6 2" xfId="20224" xr:uid="{00000000-0005-0000-0000-00008A4E0000}"/>
    <cellStyle name="Dane wyjściowe 2 6 3 2 2 6 2 2" xfId="20225" xr:uid="{00000000-0005-0000-0000-00008B4E0000}"/>
    <cellStyle name="Dane wyjściowe 2 6 3 2 2 6 3" xfId="20226" xr:uid="{00000000-0005-0000-0000-00008C4E0000}"/>
    <cellStyle name="Dane wyjściowe 2 6 3 2 2 7" xfId="20227" xr:uid="{00000000-0005-0000-0000-00008D4E0000}"/>
    <cellStyle name="Dane wyjściowe 2 6 3 2 2 7 2" xfId="20228" xr:uid="{00000000-0005-0000-0000-00008E4E0000}"/>
    <cellStyle name="Dane wyjściowe 2 6 3 2 2 7 2 2" xfId="20229" xr:uid="{00000000-0005-0000-0000-00008F4E0000}"/>
    <cellStyle name="Dane wyjściowe 2 6 3 2 2 7 2 2 2" xfId="20230" xr:uid="{00000000-0005-0000-0000-0000904E0000}"/>
    <cellStyle name="Dane wyjściowe 2 6 3 2 2 7 2 3" xfId="20231" xr:uid="{00000000-0005-0000-0000-0000914E0000}"/>
    <cellStyle name="Dane wyjściowe 2 6 3 2 2 7 3" xfId="20232" xr:uid="{00000000-0005-0000-0000-0000924E0000}"/>
    <cellStyle name="Dane wyjściowe 2 6 3 2 2 7 3 2" xfId="20233" xr:uid="{00000000-0005-0000-0000-0000934E0000}"/>
    <cellStyle name="Dane wyjściowe 2 6 3 2 2 7 3 2 2" xfId="20234" xr:uid="{00000000-0005-0000-0000-0000944E0000}"/>
    <cellStyle name="Dane wyjściowe 2 6 3 2 2 7 3 3" xfId="20235" xr:uid="{00000000-0005-0000-0000-0000954E0000}"/>
    <cellStyle name="Dane wyjściowe 2 6 3 2 2 7 4" xfId="20236" xr:uid="{00000000-0005-0000-0000-0000964E0000}"/>
    <cellStyle name="Dane wyjściowe 2 6 3 2 2 7 4 2" xfId="20237" xr:uid="{00000000-0005-0000-0000-0000974E0000}"/>
    <cellStyle name="Dane wyjściowe 2 6 3 2 2 7 4 2 2" xfId="20238" xr:uid="{00000000-0005-0000-0000-0000984E0000}"/>
    <cellStyle name="Dane wyjściowe 2 6 3 2 2 7 4 3" xfId="20239" xr:uid="{00000000-0005-0000-0000-0000994E0000}"/>
    <cellStyle name="Dane wyjściowe 2 6 3 2 2 7 5" xfId="20240" xr:uid="{00000000-0005-0000-0000-00009A4E0000}"/>
    <cellStyle name="Dane wyjściowe 2 6 3 2 2 7 5 2" xfId="20241" xr:uid="{00000000-0005-0000-0000-00009B4E0000}"/>
    <cellStyle name="Dane wyjściowe 2 6 3 2 2 7 6" xfId="20242" xr:uid="{00000000-0005-0000-0000-00009C4E0000}"/>
    <cellStyle name="Dane wyjściowe 2 6 3 2 2 7 6 2" xfId="20243" xr:uid="{00000000-0005-0000-0000-00009D4E0000}"/>
    <cellStyle name="Dane wyjściowe 2 6 3 2 2 7 7" xfId="20244" xr:uid="{00000000-0005-0000-0000-00009E4E0000}"/>
    <cellStyle name="Dane wyjściowe 2 6 3 2 2 8" xfId="20245" xr:uid="{00000000-0005-0000-0000-00009F4E0000}"/>
    <cellStyle name="Dane wyjściowe 2 6 3 2 2 8 2" xfId="20246" xr:uid="{00000000-0005-0000-0000-0000A04E0000}"/>
    <cellStyle name="Dane wyjściowe 2 6 3 2 2 8 2 2" xfId="20247" xr:uid="{00000000-0005-0000-0000-0000A14E0000}"/>
    <cellStyle name="Dane wyjściowe 2 6 3 2 2 8 3" xfId="20248" xr:uid="{00000000-0005-0000-0000-0000A24E0000}"/>
    <cellStyle name="Dane wyjściowe 2 6 3 2 2 9" xfId="20249" xr:uid="{00000000-0005-0000-0000-0000A34E0000}"/>
    <cellStyle name="Dane wyjściowe 2 6 3 2 2 9 2" xfId="20250" xr:uid="{00000000-0005-0000-0000-0000A44E0000}"/>
    <cellStyle name="Dane wyjściowe 2 6 3 2 2 9 2 2" xfId="20251" xr:uid="{00000000-0005-0000-0000-0000A54E0000}"/>
    <cellStyle name="Dane wyjściowe 2 6 3 2 2 9 3" xfId="20252" xr:uid="{00000000-0005-0000-0000-0000A64E0000}"/>
    <cellStyle name="Dane wyjściowe 2 6 3 2 3" xfId="20253" xr:uid="{00000000-0005-0000-0000-0000A74E0000}"/>
    <cellStyle name="Dane wyjściowe 2 6 3 2 3 2" xfId="20254" xr:uid="{00000000-0005-0000-0000-0000A84E0000}"/>
    <cellStyle name="Dane wyjściowe 2 6 3 2 3 2 2" xfId="20255" xr:uid="{00000000-0005-0000-0000-0000A94E0000}"/>
    <cellStyle name="Dane wyjściowe 2 6 3 2 3 2 2 2" xfId="20256" xr:uid="{00000000-0005-0000-0000-0000AA4E0000}"/>
    <cellStyle name="Dane wyjściowe 2 6 3 2 3 2 2 2 2" xfId="20257" xr:uid="{00000000-0005-0000-0000-0000AB4E0000}"/>
    <cellStyle name="Dane wyjściowe 2 6 3 2 3 2 2 3" xfId="20258" xr:uid="{00000000-0005-0000-0000-0000AC4E0000}"/>
    <cellStyle name="Dane wyjściowe 2 6 3 2 3 2 3" xfId="20259" xr:uid="{00000000-0005-0000-0000-0000AD4E0000}"/>
    <cellStyle name="Dane wyjściowe 2 6 3 2 3 2 3 2" xfId="20260" xr:uid="{00000000-0005-0000-0000-0000AE4E0000}"/>
    <cellStyle name="Dane wyjściowe 2 6 3 2 3 2 3 2 2" xfId="20261" xr:uid="{00000000-0005-0000-0000-0000AF4E0000}"/>
    <cellStyle name="Dane wyjściowe 2 6 3 2 3 2 3 3" xfId="20262" xr:uid="{00000000-0005-0000-0000-0000B04E0000}"/>
    <cellStyle name="Dane wyjściowe 2 6 3 2 3 2 4" xfId="20263" xr:uid="{00000000-0005-0000-0000-0000B14E0000}"/>
    <cellStyle name="Dane wyjściowe 2 6 3 2 3 2 4 2" xfId="20264" xr:uid="{00000000-0005-0000-0000-0000B24E0000}"/>
    <cellStyle name="Dane wyjściowe 2 6 3 2 3 2 4 2 2" xfId="20265" xr:uid="{00000000-0005-0000-0000-0000B34E0000}"/>
    <cellStyle name="Dane wyjściowe 2 6 3 2 3 2 4 3" xfId="20266" xr:uid="{00000000-0005-0000-0000-0000B44E0000}"/>
    <cellStyle name="Dane wyjściowe 2 6 3 2 3 2 5" xfId="20267" xr:uid="{00000000-0005-0000-0000-0000B54E0000}"/>
    <cellStyle name="Dane wyjściowe 2 6 3 2 3 2 5 2" xfId="20268" xr:uid="{00000000-0005-0000-0000-0000B64E0000}"/>
    <cellStyle name="Dane wyjściowe 2 6 3 2 3 2 6" xfId="20269" xr:uid="{00000000-0005-0000-0000-0000B74E0000}"/>
    <cellStyle name="Dane wyjściowe 2 6 3 2 3 2 6 2" xfId="20270" xr:uid="{00000000-0005-0000-0000-0000B84E0000}"/>
    <cellStyle name="Dane wyjściowe 2 6 3 2 3 2 7" xfId="20271" xr:uid="{00000000-0005-0000-0000-0000B94E0000}"/>
    <cellStyle name="Dane wyjściowe 2 6 3 2 3 3" xfId="20272" xr:uid="{00000000-0005-0000-0000-0000BA4E0000}"/>
    <cellStyle name="Dane wyjściowe 2 6 3 2 3 3 2" xfId="20273" xr:uid="{00000000-0005-0000-0000-0000BB4E0000}"/>
    <cellStyle name="Dane wyjściowe 2 6 3 2 3 3 2 2" xfId="20274" xr:uid="{00000000-0005-0000-0000-0000BC4E0000}"/>
    <cellStyle name="Dane wyjściowe 2 6 3 2 3 3 3" xfId="20275" xr:uid="{00000000-0005-0000-0000-0000BD4E0000}"/>
    <cellStyle name="Dane wyjściowe 2 6 3 2 3 4" xfId="20276" xr:uid="{00000000-0005-0000-0000-0000BE4E0000}"/>
    <cellStyle name="Dane wyjściowe 2 6 3 2 3 4 2" xfId="20277" xr:uid="{00000000-0005-0000-0000-0000BF4E0000}"/>
    <cellStyle name="Dane wyjściowe 2 6 3 2 3 4 2 2" xfId="20278" xr:uid="{00000000-0005-0000-0000-0000C04E0000}"/>
    <cellStyle name="Dane wyjściowe 2 6 3 2 3 4 3" xfId="20279" xr:uid="{00000000-0005-0000-0000-0000C14E0000}"/>
    <cellStyle name="Dane wyjściowe 2 6 3 2 3 5" xfId="20280" xr:uid="{00000000-0005-0000-0000-0000C24E0000}"/>
    <cellStyle name="Dane wyjściowe 2 6 3 2 3 5 2" xfId="20281" xr:uid="{00000000-0005-0000-0000-0000C34E0000}"/>
    <cellStyle name="Dane wyjściowe 2 6 3 2 3 5 2 2" xfId="20282" xr:uid="{00000000-0005-0000-0000-0000C44E0000}"/>
    <cellStyle name="Dane wyjściowe 2 6 3 2 3 5 3" xfId="20283" xr:uid="{00000000-0005-0000-0000-0000C54E0000}"/>
    <cellStyle name="Dane wyjściowe 2 6 3 2 3 6" xfId="20284" xr:uid="{00000000-0005-0000-0000-0000C64E0000}"/>
    <cellStyle name="Dane wyjściowe 2 6 3 2 3 6 2" xfId="20285" xr:uid="{00000000-0005-0000-0000-0000C74E0000}"/>
    <cellStyle name="Dane wyjściowe 2 6 3 2 3 7" xfId="20286" xr:uid="{00000000-0005-0000-0000-0000C84E0000}"/>
    <cellStyle name="Dane wyjściowe 2 6 3 2 3 7 2" xfId="20287" xr:uid="{00000000-0005-0000-0000-0000C94E0000}"/>
    <cellStyle name="Dane wyjściowe 2 6 3 2 3 8" xfId="20288" xr:uid="{00000000-0005-0000-0000-0000CA4E0000}"/>
    <cellStyle name="Dane wyjściowe 2 6 3 2 4" xfId="20289" xr:uid="{00000000-0005-0000-0000-0000CB4E0000}"/>
    <cellStyle name="Dane wyjściowe 2 6 3 2 4 2" xfId="20290" xr:uid="{00000000-0005-0000-0000-0000CC4E0000}"/>
    <cellStyle name="Dane wyjściowe 2 6 3 2 4 2 2" xfId="20291" xr:uid="{00000000-0005-0000-0000-0000CD4E0000}"/>
    <cellStyle name="Dane wyjściowe 2 6 3 2 4 3" xfId="20292" xr:uid="{00000000-0005-0000-0000-0000CE4E0000}"/>
    <cellStyle name="Dane wyjściowe 2 6 3 2 5" xfId="20293" xr:uid="{00000000-0005-0000-0000-0000CF4E0000}"/>
    <cellStyle name="Dane wyjściowe 2 6 3 2 5 2" xfId="20294" xr:uid="{00000000-0005-0000-0000-0000D04E0000}"/>
    <cellStyle name="Dane wyjściowe 2 6 3 2 5 2 2" xfId="20295" xr:uid="{00000000-0005-0000-0000-0000D14E0000}"/>
    <cellStyle name="Dane wyjściowe 2 6 3 2 5 3" xfId="20296" xr:uid="{00000000-0005-0000-0000-0000D24E0000}"/>
    <cellStyle name="Dane wyjściowe 2 6 3 2 6" xfId="20297" xr:uid="{00000000-0005-0000-0000-0000D34E0000}"/>
    <cellStyle name="Dane wyjściowe 2 6 3 2 6 2" xfId="20298" xr:uid="{00000000-0005-0000-0000-0000D44E0000}"/>
    <cellStyle name="Dane wyjściowe 2 6 3 2 6 2 2" xfId="20299" xr:uid="{00000000-0005-0000-0000-0000D54E0000}"/>
    <cellStyle name="Dane wyjściowe 2 6 3 2 6 3" xfId="20300" xr:uid="{00000000-0005-0000-0000-0000D64E0000}"/>
    <cellStyle name="Dane wyjściowe 2 6 3 2 7" xfId="20301" xr:uid="{00000000-0005-0000-0000-0000D74E0000}"/>
    <cellStyle name="Dane wyjściowe 2 6 3 2 7 2" xfId="20302" xr:uid="{00000000-0005-0000-0000-0000D84E0000}"/>
    <cellStyle name="Dane wyjściowe 2 6 3 2 7 2 2" xfId="20303" xr:uid="{00000000-0005-0000-0000-0000D94E0000}"/>
    <cellStyle name="Dane wyjściowe 2 6 3 2 7 2 2 2" xfId="20304" xr:uid="{00000000-0005-0000-0000-0000DA4E0000}"/>
    <cellStyle name="Dane wyjściowe 2 6 3 2 7 2 3" xfId="20305" xr:uid="{00000000-0005-0000-0000-0000DB4E0000}"/>
    <cellStyle name="Dane wyjściowe 2 6 3 2 7 3" xfId="20306" xr:uid="{00000000-0005-0000-0000-0000DC4E0000}"/>
    <cellStyle name="Dane wyjściowe 2 6 3 2 7 3 2" xfId="20307" xr:uid="{00000000-0005-0000-0000-0000DD4E0000}"/>
    <cellStyle name="Dane wyjściowe 2 6 3 2 7 3 2 2" xfId="20308" xr:uid="{00000000-0005-0000-0000-0000DE4E0000}"/>
    <cellStyle name="Dane wyjściowe 2 6 3 2 7 3 3" xfId="20309" xr:uid="{00000000-0005-0000-0000-0000DF4E0000}"/>
    <cellStyle name="Dane wyjściowe 2 6 3 2 7 4" xfId="20310" xr:uid="{00000000-0005-0000-0000-0000E04E0000}"/>
    <cellStyle name="Dane wyjściowe 2 6 3 2 7 4 2" xfId="20311" xr:uid="{00000000-0005-0000-0000-0000E14E0000}"/>
    <cellStyle name="Dane wyjściowe 2 6 3 2 7 4 2 2" xfId="20312" xr:uid="{00000000-0005-0000-0000-0000E24E0000}"/>
    <cellStyle name="Dane wyjściowe 2 6 3 2 7 4 3" xfId="20313" xr:uid="{00000000-0005-0000-0000-0000E34E0000}"/>
    <cellStyle name="Dane wyjściowe 2 6 3 2 7 5" xfId="20314" xr:uid="{00000000-0005-0000-0000-0000E44E0000}"/>
    <cellStyle name="Dane wyjściowe 2 6 3 2 7 5 2" xfId="20315" xr:uid="{00000000-0005-0000-0000-0000E54E0000}"/>
    <cellStyle name="Dane wyjściowe 2 6 3 2 7 6" xfId="20316" xr:uid="{00000000-0005-0000-0000-0000E64E0000}"/>
    <cellStyle name="Dane wyjściowe 2 6 3 2 7 6 2" xfId="20317" xr:uid="{00000000-0005-0000-0000-0000E74E0000}"/>
    <cellStyle name="Dane wyjściowe 2 6 3 2 7 7" xfId="20318" xr:uid="{00000000-0005-0000-0000-0000E84E0000}"/>
    <cellStyle name="Dane wyjściowe 2 6 3 2 8" xfId="20319" xr:uid="{00000000-0005-0000-0000-0000E94E0000}"/>
    <cellStyle name="Dane wyjściowe 2 6 3 2 8 2" xfId="20320" xr:uid="{00000000-0005-0000-0000-0000EA4E0000}"/>
    <cellStyle name="Dane wyjściowe 2 6 3 2 8 2 2" xfId="20321" xr:uid="{00000000-0005-0000-0000-0000EB4E0000}"/>
    <cellStyle name="Dane wyjściowe 2 6 3 2 8 3" xfId="20322" xr:uid="{00000000-0005-0000-0000-0000EC4E0000}"/>
    <cellStyle name="Dane wyjściowe 2 6 3 2 9" xfId="20323" xr:uid="{00000000-0005-0000-0000-0000ED4E0000}"/>
    <cellStyle name="Dane wyjściowe 2 6 3 2 9 2" xfId="20324" xr:uid="{00000000-0005-0000-0000-0000EE4E0000}"/>
    <cellStyle name="Dane wyjściowe 2 6 3 2 9 2 2" xfId="20325" xr:uid="{00000000-0005-0000-0000-0000EF4E0000}"/>
    <cellStyle name="Dane wyjściowe 2 6 3 2 9 3" xfId="20326" xr:uid="{00000000-0005-0000-0000-0000F04E0000}"/>
    <cellStyle name="Dane wyjściowe 2 6 3 3" xfId="20327" xr:uid="{00000000-0005-0000-0000-0000F14E0000}"/>
    <cellStyle name="Dane wyjściowe 2 6 3 3 2" xfId="20328" xr:uid="{00000000-0005-0000-0000-0000F24E0000}"/>
    <cellStyle name="Dane wyjściowe 2 6 3 3 2 2" xfId="20329" xr:uid="{00000000-0005-0000-0000-0000F34E0000}"/>
    <cellStyle name="Dane wyjściowe 2 6 3 3 2 2 2" xfId="20330" xr:uid="{00000000-0005-0000-0000-0000F44E0000}"/>
    <cellStyle name="Dane wyjściowe 2 6 3 3 2 2 2 2" xfId="20331" xr:uid="{00000000-0005-0000-0000-0000F54E0000}"/>
    <cellStyle name="Dane wyjściowe 2 6 3 3 2 2 3" xfId="20332" xr:uid="{00000000-0005-0000-0000-0000F64E0000}"/>
    <cellStyle name="Dane wyjściowe 2 6 3 3 2 3" xfId="20333" xr:uid="{00000000-0005-0000-0000-0000F74E0000}"/>
    <cellStyle name="Dane wyjściowe 2 6 3 3 2 3 2" xfId="20334" xr:uid="{00000000-0005-0000-0000-0000F84E0000}"/>
    <cellStyle name="Dane wyjściowe 2 6 3 3 2 3 2 2" xfId="20335" xr:uid="{00000000-0005-0000-0000-0000F94E0000}"/>
    <cellStyle name="Dane wyjściowe 2 6 3 3 2 3 3" xfId="20336" xr:uid="{00000000-0005-0000-0000-0000FA4E0000}"/>
    <cellStyle name="Dane wyjściowe 2 6 3 3 2 4" xfId="20337" xr:uid="{00000000-0005-0000-0000-0000FB4E0000}"/>
    <cellStyle name="Dane wyjściowe 2 6 3 3 2 4 2" xfId="20338" xr:uid="{00000000-0005-0000-0000-0000FC4E0000}"/>
    <cellStyle name="Dane wyjściowe 2 6 3 3 2 4 2 2" xfId="20339" xr:uid="{00000000-0005-0000-0000-0000FD4E0000}"/>
    <cellStyle name="Dane wyjściowe 2 6 3 3 2 4 3" xfId="20340" xr:uid="{00000000-0005-0000-0000-0000FE4E0000}"/>
    <cellStyle name="Dane wyjściowe 2 6 3 3 2 5" xfId="20341" xr:uid="{00000000-0005-0000-0000-0000FF4E0000}"/>
    <cellStyle name="Dane wyjściowe 2 6 3 3 2 5 2" xfId="20342" xr:uid="{00000000-0005-0000-0000-0000004F0000}"/>
    <cellStyle name="Dane wyjściowe 2 6 3 3 2 6" xfId="20343" xr:uid="{00000000-0005-0000-0000-0000014F0000}"/>
    <cellStyle name="Dane wyjściowe 2 6 3 3 2 6 2" xfId="20344" xr:uid="{00000000-0005-0000-0000-0000024F0000}"/>
    <cellStyle name="Dane wyjściowe 2 6 3 3 2 7" xfId="20345" xr:uid="{00000000-0005-0000-0000-0000034F0000}"/>
    <cellStyle name="Dane wyjściowe 2 6 3 3 3" xfId="20346" xr:uid="{00000000-0005-0000-0000-0000044F0000}"/>
    <cellStyle name="Dane wyjściowe 2 6 3 3 3 2" xfId="20347" xr:uid="{00000000-0005-0000-0000-0000054F0000}"/>
    <cellStyle name="Dane wyjściowe 2 6 3 3 3 2 2" xfId="20348" xr:uid="{00000000-0005-0000-0000-0000064F0000}"/>
    <cellStyle name="Dane wyjściowe 2 6 3 3 3 3" xfId="20349" xr:uid="{00000000-0005-0000-0000-0000074F0000}"/>
    <cellStyle name="Dane wyjściowe 2 6 3 3 4" xfId="20350" xr:uid="{00000000-0005-0000-0000-0000084F0000}"/>
    <cellStyle name="Dane wyjściowe 2 6 3 3 4 2" xfId="20351" xr:uid="{00000000-0005-0000-0000-0000094F0000}"/>
    <cellStyle name="Dane wyjściowe 2 6 3 3 4 2 2" xfId="20352" xr:uid="{00000000-0005-0000-0000-00000A4F0000}"/>
    <cellStyle name="Dane wyjściowe 2 6 3 3 4 3" xfId="20353" xr:uid="{00000000-0005-0000-0000-00000B4F0000}"/>
    <cellStyle name="Dane wyjściowe 2 6 3 3 5" xfId="20354" xr:uid="{00000000-0005-0000-0000-00000C4F0000}"/>
    <cellStyle name="Dane wyjściowe 2 6 3 3 5 2" xfId="20355" xr:uid="{00000000-0005-0000-0000-00000D4F0000}"/>
    <cellStyle name="Dane wyjściowe 2 6 3 3 5 2 2" xfId="20356" xr:uid="{00000000-0005-0000-0000-00000E4F0000}"/>
    <cellStyle name="Dane wyjściowe 2 6 3 3 5 3" xfId="20357" xr:uid="{00000000-0005-0000-0000-00000F4F0000}"/>
    <cellStyle name="Dane wyjściowe 2 6 3 3 6" xfId="20358" xr:uid="{00000000-0005-0000-0000-0000104F0000}"/>
    <cellStyle name="Dane wyjściowe 2 6 3 3 6 2" xfId="20359" xr:uid="{00000000-0005-0000-0000-0000114F0000}"/>
    <cellStyle name="Dane wyjściowe 2 6 3 3 7" xfId="20360" xr:uid="{00000000-0005-0000-0000-0000124F0000}"/>
    <cellStyle name="Dane wyjściowe 2 6 3 3 7 2" xfId="20361" xr:uid="{00000000-0005-0000-0000-0000134F0000}"/>
    <cellStyle name="Dane wyjściowe 2 6 3 3 8" xfId="20362" xr:uid="{00000000-0005-0000-0000-0000144F0000}"/>
    <cellStyle name="Dane wyjściowe 2 6 3 4" xfId="20363" xr:uid="{00000000-0005-0000-0000-0000154F0000}"/>
    <cellStyle name="Dane wyjściowe 2 6 3 4 2" xfId="20364" xr:uid="{00000000-0005-0000-0000-0000164F0000}"/>
    <cellStyle name="Dane wyjściowe 2 6 3 4 2 2" xfId="20365" xr:uid="{00000000-0005-0000-0000-0000174F0000}"/>
    <cellStyle name="Dane wyjściowe 2 6 3 4 3" xfId="20366" xr:uid="{00000000-0005-0000-0000-0000184F0000}"/>
    <cellStyle name="Dane wyjściowe 2 6 3 5" xfId="20367" xr:uid="{00000000-0005-0000-0000-0000194F0000}"/>
    <cellStyle name="Dane wyjściowe 2 6 3 5 2" xfId="20368" xr:uid="{00000000-0005-0000-0000-00001A4F0000}"/>
    <cellStyle name="Dane wyjściowe 2 6 3 5 2 2" xfId="20369" xr:uid="{00000000-0005-0000-0000-00001B4F0000}"/>
    <cellStyle name="Dane wyjściowe 2 6 3 5 3" xfId="20370" xr:uid="{00000000-0005-0000-0000-00001C4F0000}"/>
    <cellStyle name="Dane wyjściowe 2 6 3 6" xfId="20371" xr:uid="{00000000-0005-0000-0000-00001D4F0000}"/>
    <cellStyle name="Dane wyjściowe 2 6 3 6 2" xfId="20372" xr:uid="{00000000-0005-0000-0000-00001E4F0000}"/>
    <cellStyle name="Dane wyjściowe 2 6 3 6 2 2" xfId="20373" xr:uid="{00000000-0005-0000-0000-00001F4F0000}"/>
    <cellStyle name="Dane wyjściowe 2 6 3 6 3" xfId="20374" xr:uid="{00000000-0005-0000-0000-0000204F0000}"/>
    <cellStyle name="Dane wyjściowe 2 6 3 7" xfId="20375" xr:uid="{00000000-0005-0000-0000-0000214F0000}"/>
    <cellStyle name="Dane wyjściowe 2 6 3 7 2" xfId="20376" xr:uid="{00000000-0005-0000-0000-0000224F0000}"/>
    <cellStyle name="Dane wyjściowe 2 6 3 7 2 2" xfId="20377" xr:uid="{00000000-0005-0000-0000-0000234F0000}"/>
    <cellStyle name="Dane wyjściowe 2 6 3 7 3" xfId="20378" xr:uid="{00000000-0005-0000-0000-0000244F0000}"/>
    <cellStyle name="Dane wyjściowe 2 6 3 8" xfId="20379" xr:uid="{00000000-0005-0000-0000-0000254F0000}"/>
    <cellStyle name="Dane wyjściowe 2 6 3 8 2" xfId="20380" xr:uid="{00000000-0005-0000-0000-0000264F0000}"/>
    <cellStyle name="Dane wyjściowe 2 6 3 8 2 2" xfId="20381" xr:uid="{00000000-0005-0000-0000-0000274F0000}"/>
    <cellStyle name="Dane wyjściowe 2 6 3 8 2 2 2" xfId="20382" xr:uid="{00000000-0005-0000-0000-0000284F0000}"/>
    <cellStyle name="Dane wyjściowe 2 6 3 8 2 3" xfId="20383" xr:uid="{00000000-0005-0000-0000-0000294F0000}"/>
    <cellStyle name="Dane wyjściowe 2 6 3 8 3" xfId="20384" xr:uid="{00000000-0005-0000-0000-00002A4F0000}"/>
    <cellStyle name="Dane wyjściowe 2 6 3 8 3 2" xfId="20385" xr:uid="{00000000-0005-0000-0000-00002B4F0000}"/>
    <cellStyle name="Dane wyjściowe 2 6 3 8 3 2 2" xfId="20386" xr:uid="{00000000-0005-0000-0000-00002C4F0000}"/>
    <cellStyle name="Dane wyjściowe 2 6 3 8 3 3" xfId="20387" xr:uid="{00000000-0005-0000-0000-00002D4F0000}"/>
    <cellStyle name="Dane wyjściowe 2 6 3 8 4" xfId="20388" xr:uid="{00000000-0005-0000-0000-00002E4F0000}"/>
    <cellStyle name="Dane wyjściowe 2 6 3 8 4 2" xfId="20389" xr:uid="{00000000-0005-0000-0000-00002F4F0000}"/>
    <cellStyle name="Dane wyjściowe 2 6 3 8 4 2 2" xfId="20390" xr:uid="{00000000-0005-0000-0000-0000304F0000}"/>
    <cellStyle name="Dane wyjściowe 2 6 3 8 4 3" xfId="20391" xr:uid="{00000000-0005-0000-0000-0000314F0000}"/>
    <cellStyle name="Dane wyjściowe 2 6 3 8 5" xfId="20392" xr:uid="{00000000-0005-0000-0000-0000324F0000}"/>
    <cellStyle name="Dane wyjściowe 2 6 3 8 5 2" xfId="20393" xr:uid="{00000000-0005-0000-0000-0000334F0000}"/>
    <cellStyle name="Dane wyjściowe 2 6 3 8 6" xfId="20394" xr:uid="{00000000-0005-0000-0000-0000344F0000}"/>
    <cellStyle name="Dane wyjściowe 2 6 3 8 6 2" xfId="20395" xr:uid="{00000000-0005-0000-0000-0000354F0000}"/>
    <cellStyle name="Dane wyjściowe 2 6 3 8 7" xfId="20396" xr:uid="{00000000-0005-0000-0000-0000364F0000}"/>
    <cellStyle name="Dane wyjściowe 2 6 3 9" xfId="20397" xr:uid="{00000000-0005-0000-0000-0000374F0000}"/>
    <cellStyle name="Dane wyjściowe 2 6 3 9 2" xfId="20398" xr:uid="{00000000-0005-0000-0000-0000384F0000}"/>
    <cellStyle name="Dane wyjściowe 2 6 3 9 2 2" xfId="20399" xr:uid="{00000000-0005-0000-0000-0000394F0000}"/>
    <cellStyle name="Dane wyjściowe 2 6 3 9 3" xfId="20400" xr:uid="{00000000-0005-0000-0000-00003A4F0000}"/>
    <cellStyle name="Dane wyjściowe 2 6 4" xfId="20401" xr:uid="{00000000-0005-0000-0000-00003B4F0000}"/>
    <cellStyle name="Dane wyjściowe 2 6 4 10" xfId="20402" xr:uid="{00000000-0005-0000-0000-00003C4F0000}"/>
    <cellStyle name="Dane wyjściowe 2 6 4 10 2" xfId="20403" xr:uid="{00000000-0005-0000-0000-00003D4F0000}"/>
    <cellStyle name="Dane wyjściowe 2 6 4 11" xfId="20404" xr:uid="{00000000-0005-0000-0000-00003E4F0000}"/>
    <cellStyle name="Dane wyjściowe 2 6 4 11 2" xfId="20405" xr:uid="{00000000-0005-0000-0000-00003F4F0000}"/>
    <cellStyle name="Dane wyjściowe 2 6 4 12" xfId="20406" xr:uid="{00000000-0005-0000-0000-0000404F0000}"/>
    <cellStyle name="Dane wyjściowe 2 6 4 2" xfId="20407" xr:uid="{00000000-0005-0000-0000-0000414F0000}"/>
    <cellStyle name="Dane wyjściowe 2 6 4 2 2" xfId="20408" xr:uid="{00000000-0005-0000-0000-0000424F0000}"/>
    <cellStyle name="Dane wyjściowe 2 6 4 2 2 2" xfId="20409" xr:uid="{00000000-0005-0000-0000-0000434F0000}"/>
    <cellStyle name="Dane wyjściowe 2 6 4 2 2 2 2" xfId="20410" xr:uid="{00000000-0005-0000-0000-0000444F0000}"/>
    <cellStyle name="Dane wyjściowe 2 6 4 2 2 2 2 2" xfId="20411" xr:uid="{00000000-0005-0000-0000-0000454F0000}"/>
    <cellStyle name="Dane wyjściowe 2 6 4 2 2 2 3" xfId="20412" xr:uid="{00000000-0005-0000-0000-0000464F0000}"/>
    <cellStyle name="Dane wyjściowe 2 6 4 2 2 3" xfId="20413" xr:uid="{00000000-0005-0000-0000-0000474F0000}"/>
    <cellStyle name="Dane wyjściowe 2 6 4 2 2 3 2" xfId="20414" xr:uid="{00000000-0005-0000-0000-0000484F0000}"/>
    <cellStyle name="Dane wyjściowe 2 6 4 2 2 3 2 2" xfId="20415" xr:uid="{00000000-0005-0000-0000-0000494F0000}"/>
    <cellStyle name="Dane wyjściowe 2 6 4 2 2 3 3" xfId="20416" xr:uid="{00000000-0005-0000-0000-00004A4F0000}"/>
    <cellStyle name="Dane wyjściowe 2 6 4 2 2 4" xfId="20417" xr:uid="{00000000-0005-0000-0000-00004B4F0000}"/>
    <cellStyle name="Dane wyjściowe 2 6 4 2 2 4 2" xfId="20418" xr:uid="{00000000-0005-0000-0000-00004C4F0000}"/>
    <cellStyle name="Dane wyjściowe 2 6 4 2 2 4 2 2" xfId="20419" xr:uid="{00000000-0005-0000-0000-00004D4F0000}"/>
    <cellStyle name="Dane wyjściowe 2 6 4 2 2 4 3" xfId="20420" xr:uid="{00000000-0005-0000-0000-00004E4F0000}"/>
    <cellStyle name="Dane wyjściowe 2 6 4 2 2 5" xfId="20421" xr:uid="{00000000-0005-0000-0000-00004F4F0000}"/>
    <cellStyle name="Dane wyjściowe 2 6 4 2 2 5 2" xfId="20422" xr:uid="{00000000-0005-0000-0000-0000504F0000}"/>
    <cellStyle name="Dane wyjściowe 2 6 4 2 2 6" xfId="20423" xr:uid="{00000000-0005-0000-0000-0000514F0000}"/>
    <cellStyle name="Dane wyjściowe 2 6 4 2 2 6 2" xfId="20424" xr:uid="{00000000-0005-0000-0000-0000524F0000}"/>
    <cellStyle name="Dane wyjściowe 2 6 4 2 2 7" xfId="20425" xr:uid="{00000000-0005-0000-0000-0000534F0000}"/>
    <cellStyle name="Dane wyjściowe 2 6 4 2 3" xfId="20426" xr:uid="{00000000-0005-0000-0000-0000544F0000}"/>
    <cellStyle name="Dane wyjściowe 2 6 4 2 3 2" xfId="20427" xr:uid="{00000000-0005-0000-0000-0000554F0000}"/>
    <cellStyle name="Dane wyjściowe 2 6 4 2 3 2 2" xfId="20428" xr:uid="{00000000-0005-0000-0000-0000564F0000}"/>
    <cellStyle name="Dane wyjściowe 2 6 4 2 3 3" xfId="20429" xr:uid="{00000000-0005-0000-0000-0000574F0000}"/>
    <cellStyle name="Dane wyjściowe 2 6 4 2 4" xfId="20430" xr:uid="{00000000-0005-0000-0000-0000584F0000}"/>
    <cellStyle name="Dane wyjściowe 2 6 4 2 4 2" xfId="20431" xr:uid="{00000000-0005-0000-0000-0000594F0000}"/>
    <cellStyle name="Dane wyjściowe 2 6 4 2 4 2 2" xfId="20432" xr:uid="{00000000-0005-0000-0000-00005A4F0000}"/>
    <cellStyle name="Dane wyjściowe 2 6 4 2 4 3" xfId="20433" xr:uid="{00000000-0005-0000-0000-00005B4F0000}"/>
    <cellStyle name="Dane wyjściowe 2 6 4 2 5" xfId="20434" xr:uid="{00000000-0005-0000-0000-00005C4F0000}"/>
    <cellStyle name="Dane wyjściowe 2 6 4 2 5 2" xfId="20435" xr:uid="{00000000-0005-0000-0000-00005D4F0000}"/>
    <cellStyle name="Dane wyjściowe 2 6 4 2 5 2 2" xfId="20436" xr:uid="{00000000-0005-0000-0000-00005E4F0000}"/>
    <cellStyle name="Dane wyjściowe 2 6 4 2 5 3" xfId="20437" xr:uid="{00000000-0005-0000-0000-00005F4F0000}"/>
    <cellStyle name="Dane wyjściowe 2 6 4 2 6" xfId="20438" xr:uid="{00000000-0005-0000-0000-0000604F0000}"/>
    <cellStyle name="Dane wyjściowe 2 6 4 2 6 2" xfId="20439" xr:uid="{00000000-0005-0000-0000-0000614F0000}"/>
    <cellStyle name="Dane wyjściowe 2 6 4 2 7" xfId="20440" xr:uid="{00000000-0005-0000-0000-0000624F0000}"/>
    <cellStyle name="Dane wyjściowe 2 6 4 2 7 2" xfId="20441" xr:uid="{00000000-0005-0000-0000-0000634F0000}"/>
    <cellStyle name="Dane wyjściowe 2 6 4 2 8" xfId="20442" xr:uid="{00000000-0005-0000-0000-0000644F0000}"/>
    <cellStyle name="Dane wyjściowe 2 6 4 3" xfId="20443" xr:uid="{00000000-0005-0000-0000-0000654F0000}"/>
    <cellStyle name="Dane wyjściowe 2 6 4 3 2" xfId="20444" xr:uid="{00000000-0005-0000-0000-0000664F0000}"/>
    <cellStyle name="Dane wyjściowe 2 6 4 3 2 2" xfId="20445" xr:uid="{00000000-0005-0000-0000-0000674F0000}"/>
    <cellStyle name="Dane wyjściowe 2 6 4 3 3" xfId="20446" xr:uid="{00000000-0005-0000-0000-0000684F0000}"/>
    <cellStyle name="Dane wyjściowe 2 6 4 4" xfId="20447" xr:uid="{00000000-0005-0000-0000-0000694F0000}"/>
    <cellStyle name="Dane wyjściowe 2 6 4 4 2" xfId="20448" xr:uid="{00000000-0005-0000-0000-00006A4F0000}"/>
    <cellStyle name="Dane wyjściowe 2 6 4 4 2 2" xfId="20449" xr:uid="{00000000-0005-0000-0000-00006B4F0000}"/>
    <cellStyle name="Dane wyjściowe 2 6 4 4 3" xfId="20450" xr:uid="{00000000-0005-0000-0000-00006C4F0000}"/>
    <cellStyle name="Dane wyjściowe 2 6 4 5" xfId="20451" xr:uid="{00000000-0005-0000-0000-00006D4F0000}"/>
    <cellStyle name="Dane wyjściowe 2 6 4 5 2" xfId="20452" xr:uid="{00000000-0005-0000-0000-00006E4F0000}"/>
    <cellStyle name="Dane wyjściowe 2 6 4 5 2 2" xfId="20453" xr:uid="{00000000-0005-0000-0000-00006F4F0000}"/>
    <cellStyle name="Dane wyjściowe 2 6 4 5 3" xfId="20454" xr:uid="{00000000-0005-0000-0000-0000704F0000}"/>
    <cellStyle name="Dane wyjściowe 2 6 4 6" xfId="20455" xr:uid="{00000000-0005-0000-0000-0000714F0000}"/>
    <cellStyle name="Dane wyjściowe 2 6 4 6 2" xfId="20456" xr:uid="{00000000-0005-0000-0000-0000724F0000}"/>
    <cellStyle name="Dane wyjściowe 2 6 4 6 2 2" xfId="20457" xr:uid="{00000000-0005-0000-0000-0000734F0000}"/>
    <cellStyle name="Dane wyjściowe 2 6 4 6 3" xfId="20458" xr:uid="{00000000-0005-0000-0000-0000744F0000}"/>
    <cellStyle name="Dane wyjściowe 2 6 4 7" xfId="20459" xr:uid="{00000000-0005-0000-0000-0000754F0000}"/>
    <cellStyle name="Dane wyjściowe 2 6 4 7 2" xfId="20460" xr:uid="{00000000-0005-0000-0000-0000764F0000}"/>
    <cellStyle name="Dane wyjściowe 2 6 4 7 2 2" xfId="20461" xr:uid="{00000000-0005-0000-0000-0000774F0000}"/>
    <cellStyle name="Dane wyjściowe 2 6 4 7 2 2 2" xfId="20462" xr:uid="{00000000-0005-0000-0000-0000784F0000}"/>
    <cellStyle name="Dane wyjściowe 2 6 4 7 2 3" xfId="20463" xr:uid="{00000000-0005-0000-0000-0000794F0000}"/>
    <cellStyle name="Dane wyjściowe 2 6 4 7 3" xfId="20464" xr:uid="{00000000-0005-0000-0000-00007A4F0000}"/>
    <cellStyle name="Dane wyjściowe 2 6 4 7 3 2" xfId="20465" xr:uid="{00000000-0005-0000-0000-00007B4F0000}"/>
    <cellStyle name="Dane wyjściowe 2 6 4 7 3 2 2" xfId="20466" xr:uid="{00000000-0005-0000-0000-00007C4F0000}"/>
    <cellStyle name="Dane wyjściowe 2 6 4 7 3 3" xfId="20467" xr:uid="{00000000-0005-0000-0000-00007D4F0000}"/>
    <cellStyle name="Dane wyjściowe 2 6 4 7 4" xfId="20468" xr:uid="{00000000-0005-0000-0000-00007E4F0000}"/>
    <cellStyle name="Dane wyjściowe 2 6 4 7 4 2" xfId="20469" xr:uid="{00000000-0005-0000-0000-00007F4F0000}"/>
    <cellStyle name="Dane wyjściowe 2 6 4 7 4 2 2" xfId="20470" xr:uid="{00000000-0005-0000-0000-0000804F0000}"/>
    <cellStyle name="Dane wyjściowe 2 6 4 7 4 3" xfId="20471" xr:uid="{00000000-0005-0000-0000-0000814F0000}"/>
    <cellStyle name="Dane wyjściowe 2 6 4 7 5" xfId="20472" xr:uid="{00000000-0005-0000-0000-0000824F0000}"/>
    <cellStyle name="Dane wyjściowe 2 6 4 7 5 2" xfId="20473" xr:uid="{00000000-0005-0000-0000-0000834F0000}"/>
    <cellStyle name="Dane wyjściowe 2 6 4 7 6" xfId="20474" xr:uid="{00000000-0005-0000-0000-0000844F0000}"/>
    <cellStyle name="Dane wyjściowe 2 6 4 7 6 2" xfId="20475" xr:uid="{00000000-0005-0000-0000-0000854F0000}"/>
    <cellStyle name="Dane wyjściowe 2 6 4 7 7" xfId="20476" xr:uid="{00000000-0005-0000-0000-0000864F0000}"/>
    <cellStyle name="Dane wyjściowe 2 6 4 8" xfId="20477" xr:uid="{00000000-0005-0000-0000-0000874F0000}"/>
    <cellStyle name="Dane wyjściowe 2 6 4 8 2" xfId="20478" xr:uid="{00000000-0005-0000-0000-0000884F0000}"/>
    <cellStyle name="Dane wyjściowe 2 6 4 8 2 2" xfId="20479" xr:uid="{00000000-0005-0000-0000-0000894F0000}"/>
    <cellStyle name="Dane wyjściowe 2 6 4 8 3" xfId="20480" xr:uid="{00000000-0005-0000-0000-00008A4F0000}"/>
    <cellStyle name="Dane wyjściowe 2 6 4 9" xfId="20481" xr:uid="{00000000-0005-0000-0000-00008B4F0000}"/>
    <cellStyle name="Dane wyjściowe 2 6 4 9 2" xfId="20482" xr:uid="{00000000-0005-0000-0000-00008C4F0000}"/>
    <cellStyle name="Dane wyjściowe 2 6 4 9 2 2" xfId="20483" xr:uid="{00000000-0005-0000-0000-00008D4F0000}"/>
    <cellStyle name="Dane wyjściowe 2 6 4 9 3" xfId="20484" xr:uid="{00000000-0005-0000-0000-00008E4F0000}"/>
    <cellStyle name="Dane wyjściowe 2 6 5" xfId="20485" xr:uid="{00000000-0005-0000-0000-00008F4F0000}"/>
    <cellStyle name="Dane wyjściowe 2 6 5 2" xfId="20486" xr:uid="{00000000-0005-0000-0000-0000904F0000}"/>
    <cellStyle name="Dane wyjściowe 2 6 5 2 2" xfId="20487" xr:uid="{00000000-0005-0000-0000-0000914F0000}"/>
    <cellStyle name="Dane wyjściowe 2 6 5 2 2 2" xfId="20488" xr:uid="{00000000-0005-0000-0000-0000924F0000}"/>
    <cellStyle name="Dane wyjściowe 2 6 5 2 2 2 2" xfId="20489" xr:uid="{00000000-0005-0000-0000-0000934F0000}"/>
    <cellStyle name="Dane wyjściowe 2 6 5 2 2 3" xfId="20490" xr:uid="{00000000-0005-0000-0000-0000944F0000}"/>
    <cellStyle name="Dane wyjściowe 2 6 5 2 3" xfId="20491" xr:uid="{00000000-0005-0000-0000-0000954F0000}"/>
    <cellStyle name="Dane wyjściowe 2 6 5 2 3 2" xfId="20492" xr:uid="{00000000-0005-0000-0000-0000964F0000}"/>
    <cellStyle name="Dane wyjściowe 2 6 5 2 3 2 2" xfId="20493" xr:uid="{00000000-0005-0000-0000-0000974F0000}"/>
    <cellStyle name="Dane wyjściowe 2 6 5 2 3 3" xfId="20494" xr:uid="{00000000-0005-0000-0000-0000984F0000}"/>
    <cellStyle name="Dane wyjściowe 2 6 5 2 4" xfId="20495" xr:uid="{00000000-0005-0000-0000-0000994F0000}"/>
    <cellStyle name="Dane wyjściowe 2 6 5 2 4 2" xfId="20496" xr:uid="{00000000-0005-0000-0000-00009A4F0000}"/>
    <cellStyle name="Dane wyjściowe 2 6 5 2 4 2 2" xfId="20497" xr:uid="{00000000-0005-0000-0000-00009B4F0000}"/>
    <cellStyle name="Dane wyjściowe 2 6 5 2 4 3" xfId="20498" xr:uid="{00000000-0005-0000-0000-00009C4F0000}"/>
    <cellStyle name="Dane wyjściowe 2 6 5 2 5" xfId="20499" xr:uid="{00000000-0005-0000-0000-00009D4F0000}"/>
    <cellStyle name="Dane wyjściowe 2 6 5 2 5 2" xfId="20500" xr:uid="{00000000-0005-0000-0000-00009E4F0000}"/>
    <cellStyle name="Dane wyjściowe 2 6 5 2 6" xfId="20501" xr:uid="{00000000-0005-0000-0000-00009F4F0000}"/>
    <cellStyle name="Dane wyjściowe 2 6 5 2 6 2" xfId="20502" xr:uid="{00000000-0005-0000-0000-0000A04F0000}"/>
    <cellStyle name="Dane wyjściowe 2 6 5 2 7" xfId="20503" xr:uid="{00000000-0005-0000-0000-0000A14F0000}"/>
    <cellStyle name="Dane wyjściowe 2 6 5 3" xfId="20504" xr:uid="{00000000-0005-0000-0000-0000A24F0000}"/>
    <cellStyle name="Dane wyjściowe 2 6 5 3 2" xfId="20505" xr:uid="{00000000-0005-0000-0000-0000A34F0000}"/>
    <cellStyle name="Dane wyjściowe 2 6 5 3 2 2" xfId="20506" xr:uid="{00000000-0005-0000-0000-0000A44F0000}"/>
    <cellStyle name="Dane wyjściowe 2 6 5 3 3" xfId="20507" xr:uid="{00000000-0005-0000-0000-0000A54F0000}"/>
    <cellStyle name="Dane wyjściowe 2 6 5 4" xfId="20508" xr:uid="{00000000-0005-0000-0000-0000A64F0000}"/>
    <cellStyle name="Dane wyjściowe 2 6 5 4 2" xfId="20509" xr:uid="{00000000-0005-0000-0000-0000A74F0000}"/>
    <cellStyle name="Dane wyjściowe 2 6 5 4 2 2" xfId="20510" xr:uid="{00000000-0005-0000-0000-0000A84F0000}"/>
    <cellStyle name="Dane wyjściowe 2 6 5 4 3" xfId="20511" xr:uid="{00000000-0005-0000-0000-0000A94F0000}"/>
    <cellStyle name="Dane wyjściowe 2 6 5 5" xfId="20512" xr:uid="{00000000-0005-0000-0000-0000AA4F0000}"/>
    <cellStyle name="Dane wyjściowe 2 6 5 5 2" xfId="20513" xr:uid="{00000000-0005-0000-0000-0000AB4F0000}"/>
    <cellStyle name="Dane wyjściowe 2 6 5 5 2 2" xfId="20514" xr:uid="{00000000-0005-0000-0000-0000AC4F0000}"/>
    <cellStyle name="Dane wyjściowe 2 6 5 5 3" xfId="20515" xr:uid="{00000000-0005-0000-0000-0000AD4F0000}"/>
    <cellStyle name="Dane wyjściowe 2 6 5 6" xfId="20516" xr:uid="{00000000-0005-0000-0000-0000AE4F0000}"/>
    <cellStyle name="Dane wyjściowe 2 6 5 6 2" xfId="20517" xr:uid="{00000000-0005-0000-0000-0000AF4F0000}"/>
    <cellStyle name="Dane wyjściowe 2 6 5 7" xfId="20518" xr:uid="{00000000-0005-0000-0000-0000B04F0000}"/>
    <cellStyle name="Dane wyjściowe 2 6 5 7 2" xfId="20519" xr:uid="{00000000-0005-0000-0000-0000B14F0000}"/>
    <cellStyle name="Dane wyjściowe 2 6 5 8" xfId="20520" xr:uid="{00000000-0005-0000-0000-0000B24F0000}"/>
    <cellStyle name="Dane wyjściowe 2 6 6" xfId="20521" xr:uid="{00000000-0005-0000-0000-0000B34F0000}"/>
    <cellStyle name="Dane wyjściowe 2 6 6 2" xfId="20522" xr:uid="{00000000-0005-0000-0000-0000B44F0000}"/>
    <cellStyle name="Dane wyjściowe 2 6 6 2 2" xfId="20523" xr:uid="{00000000-0005-0000-0000-0000B54F0000}"/>
    <cellStyle name="Dane wyjściowe 2 6 6 3" xfId="20524" xr:uid="{00000000-0005-0000-0000-0000B64F0000}"/>
    <cellStyle name="Dane wyjściowe 2 6 7" xfId="20525" xr:uid="{00000000-0005-0000-0000-0000B74F0000}"/>
    <cellStyle name="Dane wyjściowe 2 6 7 2" xfId="20526" xr:uid="{00000000-0005-0000-0000-0000B84F0000}"/>
    <cellStyle name="Dane wyjściowe 2 6 7 2 2" xfId="20527" xr:uid="{00000000-0005-0000-0000-0000B94F0000}"/>
    <cellStyle name="Dane wyjściowe 2 6 7 3" xfId="20528" xr:uid="{00000000-0005-0000-0000-0000BA4F0000}"/>
    <cellStyle name="Dane wyjściowe 2 6 8" xfId="20529" xr:uid="{00000000-0005-0000-0000-0000BB4F0000}"/>
    <cellStyle name="Dane wyjściowe 2 6 8 2" xfId="20530" xr:uid="{00000000-0005-0000-0000-0000BC4F0000}"/>
    <cellStyle name="Dane wyjściowe 2 6 8 2 2" xfId="20531" xr:uid="{00000000-0005-0000-0000-0000BD4F0000}"/>
    <cellStyle name="Dane wyjściowe 2 6 8 3" xfId="20532" xr:uid="{00000000-0005-0000-0000-0000BE4F0000}"/>
    <cellStyle name="Dane wyjściowe 2 6 9" xfId="20533" xr:uid="{00000000-0005-0000-0000-0000BF4F0000}"/>
    <cellStyle name="Dane wyjściowe 2 6 9 2" xfId="20534" xr:uid="{00000000-0005-0000-0000-0000C04F0000}"/>
    <cellStyle name="Dane wyjściowe 2 6 9 2 2" xfId="20535" xr:uid="{00000000-0005-0000-0000-0000C14F0000}"/>
    <cellStyle name="Dane wyjściowe 2 6 9 2 2 2" xfId="20536" xr:uid="{00000000-0005-0000-0000-0000C24F0000}"/>
    <cellStyle name="Dane wyjściowe 2 6 9 2 3" xfId="20537" xr:uid="{00000000-0005-0000-0000-0000C34F0000}"/>
    <cellStyle name="Dane wyjściowe 2 6 9 3" xfId="20538" xr:uid="{00000000-0005-0000-0000-0000C44F0000}"/>
    <cellStyle name="Dane wyjściowe 2 6 9 3 2" xfId="20539" xr:uid="{00000000-0005-0000-0000-0000C54F0000}"/>
    <cellStyle name="Dane wyjściowe 2 6 9 3 2 2" xfId="20540" xr:uid="{00000000-0005-0000-0000-0000C64F0000}"/>
    <cellStyle name="Dane wyjściowe 2 6 9 3 3" xfId="20541" xr:uid="{00000000-0005-0000-0000-0000C74F0000}"/>
    <cellStyle name="Dane wyjściowe 2 6 9 4" xfId="20542" xr:uid="{00000000-0005-0000-0000-0000C84F0000}"/>
    <cellStyle name="Dane wyjściowe 2 6 9 4 2" xfId="20543" xr:uid="{00000000-0005-0000-0000-0000C94F0000}"/>
    <cellStyle name="Dane wyjściowe 2 6 9 4 2 2" xfId="20544" xr:uid="{00000000-0005-0000-0000-0000CA4F0000}"/>
    <cellStyle name="Dane wyjściowe 2 6 9 4 3" xfId="20545" xr:uid="{00000000-0005-0000-0000-0000CB4F0000}"/>
    <cellStyle name="Dane wyjściowe 2 6 9 5" xfId="20546" xr:uid="{00000000-0005-0000-0000-0000CC4F0000}"/>
    <cellStyle name="Dane wyjściowe 2 6 9 5 2" xfId="20547" xr:uid="{00000000-0005-0000-0000-0000CD4F0000}"/>
    <cellStyle name="Dane wyjściowe 2 6 9 6" xfId="20548" xr:uid="{00000000-0005-0000-0000-0000CE4F0000}"/>
    <cellStyle name="Dane wyjściowe 2 6 9 6 2" xfId="20549" xr:uid="{00000000-0005-0000-0000-0000CF4F0000}"/>
    <cellStyle name="Dane wyjściowe 2 6 9 7" xfId="20550" xr:uid="{00000000-0005-0000-0000-0000D04F0000}"/>
    <cellStyle name="Dane wyjściowe 2 7" xfId="20551" xr:uid="{00000000-0005-0000-0000-0000D14F0000}"/>
    <cellStyle name="Dane wyjściowe 2 7 2" xfId="20552" xr:uid="{00000000-0005-0000-0000-0000D24F0000}"/>
    <cellStyle name="Dane wyjściowe 2 7 2 2" xfId="20553" xr:uid="{00000000-0005-0000-0000-0000D34F0000}"/>
    <cellStyle name="Dane wyjściowe 2 7 3" xfId="20554" xr:uid="{00000000-0005-0000-0000-0000D44F0000}"/>
    <cellStyle name="Dane wyjściowe 2 8" xfId="20555" xr:uid="{00000000-0005-0000-0000-0000D54F0000}"/>
    <cellStyle name="Dane wyjściowe 2 8 10" xfId="20556" xr:uid="{00000000-0005-0000-0000-0000D64F0000}"/>
    <cellStyle name="Dane wyjściowe 2 8 10 2" xfId="20557" xr:uid="{00000000-0005-0000-0000-0000D74F0000}"/>
    <cellStyle name="Dane wyjściowe 2 8 10 2 2" xfId="20558" xr:uid="{00000000-0005-0000-0000-0000D84F0000}"/>
    <cellStyle name="Dane wyjściowe 2 8 10 3" xfId="20559" xr:uid="{00000000-0005-0000-0000-0000D94F0000}"/>
    <cellStyle name="Dane wyjściowe 2 8 11" xfId="20560" xr:uid="{00000000-0005-0000-0000-0000DA4F0000}"/>
    <cellStyle name="Dane wyjściowe 2 8 11 2" xfId="20561" xr:uid="{00000000-0005-0000-0000-0000DB4F0000}"/>
    <cellStyle name="Dane wyjściowe 2 8 11 2 2" xfId="20562" xr:uid="{00000000-0005-0000-0000-0000DC4F0000}"/>
    <cellStyle name="Dane wyjściowe 2 8 11 3" xfId="20563" xr:uid="{00000000-0005-0000-0000-0000DD4F0000}"/>
    <cellStyle name="Dane wyjściowe 2 8 12" xfId="20564" xr:uid="{00000000-0005-0000-0000-0000DE4F0000}"/>
    <cellStyle name="Dane wyjściowe 2 8 12 2" xfId="20565" xr:uid="{00000000-0005-0000-0000-0000DF4F0000}"/>
    <cellStyle name="Dane wyjściowe 2 8 13" xfId="20566" xr:uid="{00000000-0005-0000-0000-0000E04F0000}"/>
    <cellStyle name="Dane wyjściowe 2 8 13 2" xfId="20567" xr:uid="{00000000-0005-0000-0000-0000E14F0000}"/>
    <cellStyle name="Dane wyjściowe 2 8 14" xfId="20568" xr:uid="{00000000-0005-0000-0000-0000E24F0000}"/>
    <cellStyle name="Dane wyjściowe 2 8 2" xfId="20569" xr:uid="{00000000-0005-0000-0000-0000E34F0000}"/>
    <cellStyle name="Dane wyjściowe 2 8 2 10" xfId="20570" xr:uid="{00000000-0005-0000-0000-0000E44F0000}"/>
    <cellStyle name="Dane wyjściowe 2 8 2 10 2" xfId="20571" xr:uid="{00000000-0005-0000-0000-0000E54F0000}"/>
    <cellStyle name="Dane wyjściowe 2 8 2 10 2 2" xfId="20572" xr:uid="{00000000-0005-0000-0000-0000E64F0000}"/>
    <cellStyle name="Dane wyjściowe 2 8 2 10 3" xfId="20573" xr:uid="{00000000-0005-0000-0000-0000E74F0000}"/>
    <cellStyle name="Dane wyjściowe 2 8 2 11" xfId="20574" xr:uid="{00000000-0005-0000-0000-0000E84F0000}"/>
    <cellStyle name="Dane wyjściowe 2 8 2 11 2" xfId="20575" xr:uid="{00000000-0005-0000-0000-0000E94F0000}"/>
    <cellStyle name="Dane wyjściowe 2 8 2 12" xfId="20576" xr:uid="{00000000-0005-0000-0000-0000EA4F0000}"/>
    <cellStyle name="Dane wyjściowe 2 8 2 12 2" xfId="20577" xr:uid="{00000000-0005-0000-0000-0000EB4F0000}"/>
    <cellStyle name="Dane wyjściowe 2 8 2 13" xfId="20578" xr:uid="{00000000-0005-0000-0000-0000EC4F0000}"/>
    <cellStyle name="Dane wyjściowe 2 8 2 2" xfId="20579" xr:uid="{00000000-0005-0000-0000-0000ED4F0000}"/>
    <cellStyle name="Dane wyjściowe 2 8 2 2 10" xfId="20580" xr:uid="{00000000-0005-0000-0000-0000EE4F0000}"/>
    <cellStyle name="Dane wyjściowe 2 8 2 2 10 2" xfId="20581" xr:uid="{00000000-0005-0000-0000-0000EF4F0000}"/>
    <cellStyle name="Dane wyjściowe 2 8 2 2 11" xfId="20582" xr:uid="{00000000-0005-0000-0000-0000F04F0000}"/>
    <cellStyle name="Dane wyjściowe 2 8 2 2 11 2" xfId="20583" xr:uid="{00000000-0005-0000-0000-0000F14F0000}"/>
    <cellStyle name="Dane wyjściowe 2 8 2 2 12" xfId="20584" xr:uid="{00000000-0005-0000-0000-0000F24F0000}"/>
    <cellStyle name="Dane wyjściowe 2 8 2 2 2" xfId="20585" xr:uid="{00000000-0005-0000-0000-0000F34F0000}"/>
    <cellStyle name="Dane wyjściowe 2 8 2 2 2 10" xfId="20586" xr:uid="{00000000-0005-0000-0000-0000F44F0000}"/>
    <cellStyle name="Dane wyjściowe 2 8 2 2 2 10 2" xfId="20587" xr:uid="{00000000-0005-0000-0000-0000F54F0000}"/>
    <cellStyle name="Dane wyjściowe 2 8 2 2 2 11" xfId="20588" xr:uid="{00000000-0005-0000-0000-0000F64F0000}"/>
    <cellStyle name="Dane wyjściowe 2 8 2 2 2 11 2" xfId="20589" xr:uid="{00000000-0005-0000-0000-0000F74F0000}"/>
    <cellStyle name="Dane wyjściowe 2 8 2 2 2 12" xfId="20590" xr:uid="{00000000-0005-0000-0000-0000F84F0000}"/>
    <cellStyle name="Dane wyjściowe 2 8 2 2 2 2" xfId="20591" xr:uid="{00000000-0005-0000-0000-0000F94F0000}"/>
    <cellStyle name="Dane wyjściowe 2 8 2 2 2 2 2" xfId="20592" xr:uid="{00000000-0005-0000-0000-0000FA4F0000}"/>
    <cellStyle name="Dane wyjściowe 2 8 2 2 2 2 2 2" xfId="20593" xr:uid="{00000000-0005-0000-0000-0000FB4F0000}"/>
    <cellStyle name="Dane wyjściowe 2 8 2 2 2 2 2 2 2" xfId="20594" xr:uid="{00000000-0005-0000-0000-0000FC4F0000}"/>
    <cellStyle name="Dane wyjściowe 2 8 2 2 2 2 2 2 2 2" xfId="20595" xr:uid="{00000000-0005-0000-0000-0000FD4F0000}"/>
    <cellStyle name="Dane wyjściowe 2 8 2 2 2 2 2 2 3" xfId="20596" xr:uid="{00000000-0005-0000-0000-0000FE4F0000}"/>
    <cellStyle name="Dane wyjściowe 2 8 2 2 2 2 2 3" xfId="20597" xr:uid="{00000000-0005-0000-0000-0000FF4F0000}"/>
    <cellStyle name="Dane wyjściowe 2 8 2 2 2 2 2 3 2" xfId="20598" xr:uid="{00000000-0005-0000-0000-000000500000}"/>
    <cellStyle name="Dane wyjściowe 2 8 2 2 2 2 2 3 2 2" xfId="20599" xr:uid="{00000000-0005-0000-0000-000001500000}"/>
    <cellStyle name="Dane wyjściowe 2 8 2 2 2 2 2 3 3" xfId="20600" xr:uid="{00000000-0005-0000-0000-000002500000}"/>
    <cellStyle name="Dane wyjściowe 2 8 2 2 2 2 2 4" xfId="20601" xr:uid="{00000000-0005-0000-0000-000003500000}"/>
    <cellStyle name="Dane wyjściowe 2 8 2 2 2 2 2 4 2" xfId="20602" xr:uid="{00000000-0005-0000-0000-000004500000}"/>
    <cellStyle name="Dane wyjściowe 2 8 2 2 2 2 2 4 2 2" xfId="20603" xr:uid="{00000000-0005-0000-0000-000005500000}"/>
    <cellStyle name="Dane wyjściowe 2 8 2 2 2 2 2 4 3" xfId="20604" xr:uid="{00000000-0005-0000-0000-000006500000}"/>
    <cellStyle name="Dane wyjściowe 2 8 2 2 2 2 2 5" xfId="20605" xr:uid="{00000000-0005-0000-0000-000007500000}"/>
    <cellStyle name="Dane wyjściowe 2 8 2 2 2 2 2 5 2" xfId="20606" xr:uid="{00000000-0005-0000-0000-000008500000}"/>
    <cellStyle name="Dane wyjściowe 2 8 2 2 2 2 2 6" xfId="20607" xr:uid="{00000000-0005-0000-0000-000009500000}"/>
    <cellStyle name="Dane wyjściowe 2 8 2 2 2 2 2 6 2" xfId="20608" xr:uid="{00000000-0005-0000-0000-00000A500000}"/>
    <cellStyle name="Dane wyjściowe 2 8 2 2 2 2 2 7" xfId="20609" xr:uid="{00000000-0005-0000-0000-00000B500000}"/>
    <cellStyle name="Dane wyjściowe 2 8 2 2 2 2 3" xfId="20610" xr:uid="{00000000-0005-0000-0000-00000C500000}"/>
    <cellStyle name="Dane wyjściowe 2 8 2 2 2 2 3 2" xfId="20611" xr:uid="{00000000-0005-0000-0000-00000D500000}"/>
    <cellStyle name="Dane wyjściowe 2 8 2 2 2 2 3 2 2" xfId="20612" xr:uid="{00000000-0005-0000-0000-00000E500000}"/>
    <cellStyle name="Dane wyjściowe 2 8 2 2 2 2 3 3" xfId="20613" xr:uid="{00000000-0005-0000-0000-00000F500000}"/>
    <cellStyle name="Dane wyjściowe 2 8 2 2 2 2 4" xfId="20614" xr:uid="{00000000-0005-0000-0000-000010500000}"/>
    <cellStyle name="Dane wyjściowe 2 8 2 2 2 2 4 2" xfId="20615" xr:uid="{00000000-0005-0000-0000-000011500000}"/>
    <cellStyle name="Dane wyjściowe 2 8 2 2 2 2 4 2 2" xfId="20616" xr:uid="{00000000-0005-0000-0000-000012500000}"/>
    <cellStyle name="Dane wyjściowe 2 8 2 2 2 2 4 3" xfId="20617" xr:uid="{00000000-0005-0000-0000-000013500000}"/>
    <cellStyle name="Dane wyjściowe 2 8 2 2 2 2 5" xfId="20618" xr:uid="{00000000-0005-0000-0000-000014500000}"/>
    <cellStyle name="Dane wyjściowe 2 8 2 2 2 2 5 2" xfId="20619" xr:uid="{00000000-0005-0000-0000-000015500000}"/>
    <cellStyle name="Dane wyjściowe 2 8 2 2 2 2 5 2 2" xfId="20620" xr:uid="{00000000-0005-0000-0000-000016500000}"/>
    <cellStyle name="Dane wyjściowe 2 8 2 2 2 2 5 3" xfId="20621" xr:uid="{00000000-0005-0000-0000-000017500000}"/>
    <cellStyle name="Dane wyjściowe 2 8 2 2 2 2 6" xfId="20622" xr:uid="{00000000-0005-0000-0000-000018500000}"/>
    <cellStyle name="Dane wyjściowe 2 8 2 2 2 2 6 2" xfId="20623" xr:uid="{00000000-0005-0000-0000-000019500000}"/>
    <cellStyle name="Dane wyjściowe 2 8 2 2 2 2 7" xfId="20624" xr:uid="{00000000-0005-0000-0000-00001A500000}"/>
    <cellStyle name="Dane wyjściowe 2 8 2 2 2 2 7 2" xfId="20625" xr:uid="{00000000-0005-0000-0000-00001B500000}"/>
    <cellStyle name="Dane wyjściowe 2 8 2 2 2 2 8" xfId="20626" xr:uid="{00000000-0005-0000-0000-00001C500000}"/>
    <cellStyle name="Dane wyjściowe 2 8 2 2 2 3" xfId="20627" xr:uid="{00000000-0005-0000-0000-00001D500000}"/>
    <cellStyle name="Dane wyjściowe 2 8 2 2 2 3 2" xfId="20628" xr:uid="{00000000-0005-0000-0000-00001E500000}"/>
    <cellStyle name="Dane wyjściowe 2 8 2 2 2 3 2 2" xfId="20629" xr:uid="{00000000-0005-0000-0000-00001F500000}"/>
    <cellStyle name="Dane wyjściowe 2 8 2 2 2 3 3" xfId="20630" xr:uid="{00000000-0005-0000-0000-000020500000}"/>
    <cellStyle name="Dane wyjściowe 2 8 2 2 2 4" xfId="20631" xr:uid="{00000000-0005-0000-0000-000021500000}"/>
    <cellStyle name="Dane wyjściowe 2 8 2 2 2 4 2" xfId="20632" xr:uid="{00000000-0005-0000-0000-000022500000}"/>
    <cellStyle name="Dane wyjściowe 2 8 2 2 2 4 2 2" xfId="20633" xr:uid="{00000000-0005-0000-0000-000023500000}"/>
    <cellStyle name="Dane wyjściowe 2 8 2 2 2 4 3" xfId="20634" xr:uid="{00000000-0005-0000-0000-000024500000}"/>
    <cellStyle name="Dane wyjściowe 2 8 2 2 2 5" xfId="20635" xr:uid="{00000000-0005-0000-0000-000025500000}"/>
    <cellStyle name="Dane wyjściowe 2 8 2 2 2 5 2" xfId="20636" xr:uid="{00000000-0005-0000-0000-000026500000}"/>
    <cellStyle name="Dane wyjściowe 2 8 2 2 2 5 2 2" xfId="20637" xr:uid="{00000000-0005-0000-0000-000027500000}"/>
    <cellStyle name="Dane wyjściowe 2 8 2 2 2 5 3" xfId="20638" xr:uid="{00000000-0005-0000-0000-000028500000}"/>
    <cellStyle name="Dane wyjściowe 2 8 2 2 2 6" xfId="20639" xr:uid="{00000000-0005-0000-0000-000029500000}"/>
    <cellStyle name="Dane wyjściowe 2 8 2 2 2 6 2" xfId="20640" xr:uid="{00000000-0005-0000-0000-00002A500000}"/>
    <cellStyle name="Dane wyjściowe 2 8 2 2 2 6 2 2" xfId="20641" xr:uid="{00000000-0005-0000-0000-00002B500000}"/>
    <cellStyle name="Dane wyjściowe 2 8 2 2 2 6 3" xfId="20642" xr:uid="{00000000-0005-0000-0000-00002C500000}"/>
    <cellStyle name="Dane wyjściowe 2 8 2 2 2 7" xfId="20643" xr:uid="{00000000-0005-0000-0000-00002D500000}"/>
    <cellStyle name="Dane wyjściowe 2 8 2 2 2 7 2" xfId="20644" xr:uid="{00000000-0005-0000-0000-00002E500000}"/>
    <cellStyle name="Dane wyjściowe 2 8 2 2 2 7 2 2" xfId="20645" xr:uid="{00000000-0005-0000-0000-00002F500000}"/>
    <cellStyle name="Dane wyjściowe 2 8 2 2 2 7 2 2 2" xfId="20646" xr:uid="{00000000-0005-0000-0000-000030500000}"/>
    <cellStyle name="Dane wyjściowe 2 8 2 2 2 7 2 3" xfId="20647" xr:uid="{00000000-0005-0000-0000-000031500000}"/>
    <cellStyle name="Dane wyjściowe 2 8 2 2 2 7 3" xfId="20648" xr:uid="{00000000-0005-0000-0000-000032500000}"/>
    <cellStyle name="Dane wyjściowe 2 8 2 2 2 7 3 2" xfId="20649" xr:uid="{00000000-0005-0000-0000-000033500000}"/>
    <cellStyle name="Dane wyjściowe 2 8 2 2 2 7 3 2 2" xfId="20650" xr:uid="{00000000-0005-0000-0000-000034500000}"/>
    <cellStyle name="Dane wyjściowe 2 8 2 2 2 7 3 3" xfId="20651" xr:uid="{00000000-0005-0000-0000-000035500000}"/>
    <cellStyle name="Dane wyjściowe 2 8 2 2 2 7 4" xfId="20652" xr:uid="{00000000-0005-0000-0000-000036500000}"/>
    <cellStyle name="Dane wyjściowe 2 8 2 2 2 7 4 2" xfId="20653" xr:uid="{00000000-0005-0000-0000-000037500000}"/>
    <cellStyle name="Dane wyjściowe 2 8 2 2 2 7 4 2 2" xfId="20654" xr:uid="{00000000-0005-0000-0000-000038500000}"/>
    <cellStyle name="Dane wyjściowe 2 8 2 2 2 7 4 3" xfId="20655" xr:uid="{00000000-0005-0000-0000-000039500000}"/>
    <cellStyle name="Dane wyjściowe 2 8 2 2 2 7 5" xfId="20656" xr:uid="{00000000-0005-0000-0000-00003A500000}"/>
    <cellStyle name="Dane wyjściowe 2 8 2 2 2 7 5 2" xfId="20657" xr:uid="{00000000-0005-0000-0000-00003B500000}"/>
    <cellStyle name="Dane wyjściowe 2 8 2 2 2 7 6" xfId="20658" xr:uid="{00000000-0005-0000-0000-00003C500000}"/>
    <cellStyle name="Dane wyjściowe 2 8 2 2 2 7 6 2" xfId="20659" xr:uid="{00000000-0005-0000-0000-00003D500000}"/>
    <cellStyle name="Dane wyjściowe 2 8 2 2 2 7 7" xfId="20660" xr:uid="{00000000-0005-0000-0000-00003E500000}"/>
    <cellStyle name="Dane wyjściowe 2 8 2 2 2 8" xfId="20661" xr:uid="{00000000-0005-0000-0000-00003F500000}"/>
    <cellStyle name="Dane wyjściowe 2 8 2 2 2 8 2" xfId="20662" xr:uid="{00000000-0005-0000-0000-000040500000}"/>
    <cellStyle name="Dane wyjściowe 2 8 2 2 2 8 2 2" xfId="20663" xr:uid="{00000000-0005-0000-0000-000041500000}"/>
    <cellStyle name="Dane wyjściowe 2 8 2 2 2 8 3" xfId="20664" xr:uid="{00000000-0005-0000-0000-000042500000}"/>
    <cellStyle name="Dane wyjściowe 2 8 2 2 2 9" xfId="20665" xr:uid="{00000000-0005-0000-0000-000043500000}"/>
    <cellStyle name="Dane wyjściowe 2 8 2 2 2 9 2" xfId="20666" xr:uid="{00000000-0005-0000-0000-000044500000}"/>
    <cellStyle name="Dane wyjściowe 2 8 2 2 2 9 2 2" xfId="20667" xr:uid="{00000000-0005-0000-0000-000045500000}"/>
    <cellStyle name="Dane wyjściowe 2 8 2 2 2 9 3" xfId="20668" xr:uid="{00000000-0005-0000-0000-000046500000}"/>
    <cellStyle name="Dane wyjściowe 2 8 2 2 3" xfId="20669" xr:uid="{00000000-0005-0000-0000-000047500000}"/>
    <cellStyle name="Dane wyjściowe 2 8 2 2 3 2" xfId="20670" xr:uid="{00000000-0005-0000-0000-000048500000}"/>
    <cellStyle name="Dane wyjściowe 2 8 2 2 3 2 2" xfId="20671" xr:uid="{00000000-0005-0000-0000-000049500000}"/>
    <cellStyle name="Dane wyjściowe 2 8 2 2 3 2 2 2" xfId="20672" xr:uid="{00000000-0005-0000-0000-00004A500000}"/>
    <cellStyle name="Dane wyjściowe 2 8 2 2 3 2 2 2 2" xfId="20673" xr:uid="{00000000-0005-0000-0000-00004B500000}"/>
    <cellStyle name="Dane wyjściowe 2 8 2 2 3 2 2 3" xfId="20674" xr:uid="{00000000-0005-0000-0000-00004C500000}"/>
    <cellStyle name="Dane wyjściowe 2 8 2 2 3 2 3" xfId="20675" xr:uid="{00000000-0005-0000-0000-00004D500000}"/>
    <cellStyle name="Dane wyjściowe 2 8 2 2 3 2 3 2" xfId="20676" xr:uid="{00000000-0005-0000-0000-00004E500000}"/>
    <cellStyle name="Dane wyjściowe 2 8 2 2 3 2 3 2 2" xfId="20677" xr:uid="{00000000-0005-0000-0000-00004F500000}"/>
    <cellStyle name="Dane wyjściowe 2 8 2 2 3 2 3 3" xfId="20678" xr:uid="{00000000-0005-0000-0000-000050500000}"/>
    <cellStyle name="Dane wyjściowe 2 8 2 2 3 2 4" xfId="20679" xr:uid="{00000000-0005-0000-0000-000051500000}"/>
    <cellStyle name="Dane wyjściowe 2 8 2 2 3 2 4 2" xfId="20680" xr:uid="{00000000-0005-0000-0000-000052500000}"/>
    <cellStyle name="Dane wyjściowe 2 8 2 2 3 2 4 2 2" xfId="20681" xr:uid="{00000000-0005-0000-0000-000053500000}"/>
    <cellStyle name="Dane wyjściowe 2 8 2 2 3 2 4 3" xfId="20682" xr:uid="{00000000-0005-0000-0000-000054500000}"/>
    <cellStyle name="Dane wyjściowe 2 8 2 2 3 2 5" xfId="20683" xr:uid="{00000000-0005-0000-0000-000055500000}"/>
    <cellStyle name="Dane wyjściowe 2 8 2 2 3 2 5 2" xfId="20684" xr:uid="{00000000-0005-0000-0000-000056500000}"/>
    <cellStyle name="Dane wyjściowe 2 8 2 2 3 2 6" xfId="20685" xr:uid="{00000000-0005-0000-0000-000057500000}"/>
    <cellStyle name="Dane wyjściowe 2 8 2 2 3 2 6 2" xfId="20686" xr:uid="{00000000-0005-0000-0000-000058500000}"/>
    <cellStyle name="Dane wyjściowe 2 8 2 2 3 2 7" xfId="20687" xr:uid="{00000000-0005-0000-0000-000059500000}"/>
    <cellStyle name="Dane wyjściowe 2 8 2 2 3 3" xfId="20688" xr:uid="{00000000-0005-0000-0000-00005A500000}"/>
    <cellStyle name="Dane wyjściowe 2 8 2 2 3 3 2" xfId="20689" xr:uid="{00000000-0005-0000-0000-00005B500000}"/>
    <cellStyle name="Dane wyjściowe 2 8 2 2 3 3 2 2" xfId="20690" xr:uid="{00000000-0005-0000-0000-00005C500000}"/>
    <cellStyle name="Dane wyjściowe 2 8 2 2 3 3 3" xfId="20691" xr:uid="{00000000-0005-0000-0000-00005D500000}"/>
    <cellStyle name="Dane wyjściowe 2 8 2 2 3 4" xfId="20692" xr:uid="{00000000-0005-0000-0000-00005E500000}"/>
    <cellStyle name="Dane wyjściowe 2 8 2 2 3 4 2" xfId="20693" xr:uid="{00000000-0005-0000-0000-00005F500000}"/>
    <cellStyle name="Dane wyjściowe 2 8 2 2 3 4 2 2" xfId="20694" xr:uid="{00000000-0005-0000-0000-000060500000}"/>
    <cellStyle name="Dane wyjściowe 2 8 2 2 3 4 3" xfId="20695" xr:uid="{00000000-0005-0000-0000-000061500000}"/>
    <cellStyle name="Dane wyjściowe 2 8 2 2 3 5" xfId="20696" xr:uid="{00000000-0005-0000-0000-000062500000}"/>
    <cellStyle name="Dane wyjściowe 2 8 2 2 3 5 2" xfId="20697" xr:uid="{00000000-0005-0000-0000-000063500000}"/>
    <cellStyle name="Dane wyjściowe 2 8 2 2 3 5 2 2" xfId="20698" xr:uid="{00000000-0005-0000-0000-000064500000}"/>
    <cellStyle name="Dane wyjściowe 2 8 2 2 3 5 3" xfId="20699" xr:uid="{00000000-0005-0000-0000-000065500000}"/>
    <cellStyle name="Dane wyjściowe 2 8 2 2 3 6" xfId="20700" xr:uid="{00000000-0005-0000-0000-000066500000}"/>
    <cellStyle name="Dane wyjściowe 2 8 2 2 3 6 2" xfId="20701" xr:uid="{00000000-0005-0000-0000-000067500000}"/>
    <cellStyle name="Dane wyjściowe 2 8 2 2 3 7" xfId="20702" xr:uid="{00000000-0005-0000-0000-000068500000}"/>
    <cellStyle name="Dane wyjściowe 2 8 2 2 3 7 2" xfId="20703" xr:uid="{00000000-0005-0000-0000-000069500000}"/>
    <cellStyle name="Dane wyjściowe 2 8 2 2 3 8" xfId="20704" xr:uid="{00000000-0005-0000-0000-00006A500000}"/>
    <cellStyle name="Dane wyjściowe 2 8 2 2 4" xfId="20705" xr:uid="{00000000-0005-0000-0000-00006B500000}"/>
    <cellStyle name="Dane wyjściowe 2 8 2 2 4 2" xfId="20706" xr:uid="{00000000-0005-0000-0000-00006C500000}"/>
    <cellStyle name="Dane wyjściowe 2 8 2 2 4 2 2" xfId="20707" xr:uid="{00000000-0005-0000-0000-00006D500000}"/>
    <cellStyle name="Dane wyjściowe 2 8 2 2 4 3" xfId="20708" xr:uid="{00000000-0005-0000-0000-00006E500000}"/>
    <cellStyle name="Dane wyjściowe 2 8 2 2 5" xfId="20709" xr:uid="{00000000-0005-0000-0000-00006F500000}"/>
    <cellStyle name="Dane wyjściowe 2 8 2 2 5 2" xfId="20710" xr:uid="{00000000-0005-0000-0000-000070500000}"/>
    <cellStyle name="Dane wyjściowe 2 8 2 2 5 2 2" xfId="20711" xr:uid="{00000000-0005-0000-0000-000071500000}"/>
    <cellStyle name="Dane wyjściowe 2 8 2 2 5 3" xfId="20712" xr:uid="{00000000-0005-0000-0000-000072500000}"/>
    <cellStyle name="Dane wyjściowe 2 8 2 2 6" xfId="20713" xr:uid="{00000000-0005-0000-0000-000073500000}"/>
    <cellStyle name="Dane wyjściowe 2 8 2 2 6 2" xfId="20714" xr:uid="{00000000-0005-0000-0000-000074500000}"/>
    <cellStyle name="Dane wyjściowe 2 8 2 2 6 2 2" xfId="20715" xr:uid="{00000000-0005-0000-0000-000075500000}"/>
    <cellStyle name="Dane wyjściowe 2 8 2 2 6 3" xfId="20716" xr:uid="{00000000-0005-0000-0000-000076500000}"/>
    <cellStyle name="Dane wyjściowe 2 8 2 2 7" xfId="20717" xr:uid="{00000000-0005-0000-0000-000077500000}"/>
    <cellStyle name="Dane wyjściowe 2 8 2 2 7 2" xfId="20718" xr:uid="{00000000-0005-0000-0000-000078500000}"/>
    <cellStyle name="Dane wyjściowe 2 8 2 2 7 2 2" xfId="20719" xr:uid="{00000000-0005-0000-0000-000079500000}"/>
    <cellStyle name="Dane wyjściowe 2 8 2 2 7 2 2 2" xfId="20720" xr:uid="{00000000-0005-0000-0000-00007A500000}"/>
    <cellStyle name="Dane wyjściowe 2 8 2 2 7 2 3" xfId="20721" xr:uid="{00000000-0005-0000-0000-00007B500000}"/>
    <cellStyle name="Dane wyjściowe 2 8 2 2 7 3" xfId="20722" xr:uid="{00000000-0005-0000-0000-00007C500000}"/>
    <cellStyle name="Dane wyjściowe 2 8 2 2 7 3 2" xfId="20723" xr:uid="{00000000-0005-0000-0000-00007D500000}"/>
    <cellStyle name="Dane wyjściowe 2 8 2 2 7 3 2 2" xfId="20724" xr:uid="{00000000-0005-0000-0000-00007E500000}"/>
    <cellStyle name="Dane wyjściowe 2 8 2 2 7 3 3" xfId="20725" xr:uid="{00000000-0005-0000-0000-00007F500000}"/>
    <cellStyle name="Dane wyjściowe 2 8 2 2 7 4" xfId="20726" xr:uid="{00000000-0005-0000-0000-000080500000}"/>
    <cellStyle name="Dane wyjściowe 2 8 2 2 7 4 2" xfId="20727" xr:uid="{00000000-0005-0000-0000-000081500000}"/>
    <cellStyle name="Dane wyjściowe 2 8 2 2 7 4 2 2" xfId="20728" xr:uid="{00000000-0005-0000-0000-000082500000}"/>
    <cellStyle name="Dane wyjściowe 2 8 2 2 7 4 3" xfId="20729" xr:uid="{00000000-0005-0000-0000-000083500000}"/>
    <cellStyle name="Dane wyjściowe 2 8 2 2 7 5" xfId="20730" xr:uid="{00000000-0005-0000-0000-000084500000}"/>
    <cellStyle name="Dane wyjściowe 2 8 2 2 7 5 2" xfId="20731" xr:uid="{00000000-0005-0000-0000-000085500000}"/>
    <cellStyle name="Dane wyjściowe 2 8 2 2 7 6" xfId="20732" xr:uid="{00000000-0005-0000-0000-000086500000}"/>
    <cellStyle name="Dane wyjściowe 2 8 2 2 7 6 2" xfId="20733" xr:uid="{00000000-0005-0000-0000-000087500000}"/>
    <cellStyle name="Dane wyjściowe 2 8 2 2 7 7" xfId="20734" xr:uid="{00000000-0005-0000-0000-000088500000}"/>
    <cellStyle name="Dane wyjściowe 2 8 2 2 8" xfId="20735" xr:uid="{00000000-0005-0000-0000-000089500000}"/>
    <cellStyle name="Dane wyjściowe 2 8 2 2 8 2" xfId="20736" xr:uid="{00000000-0005-0000-0000-00008A500000}"/>
    <cellStyle name="Dane wyjściowe 2 8 2 2 8 2 2" xfId="20737" xr:uid="{00000000-0005-0000-0000-00008B500000}"/>
    <cellStyle name="Dane wyjściowe 2 8 2 2 8 3" xfId="20738" xr:uid="{00000000-0005-0000-0000-00008C500000}"/>
    <cellStyle name="Dane wyjściowe 2 8 2 2 9" xfId="20739" xr:uid="{00000000-0005-0000-0000-00008D500000}"/>
    <cellStyle name="Dane wyjściowe 2 8 2 2 9 2" xfId="20740" xr:uid="{00000000-0005-0000-0000-00008E500000}"/>
    <cellStyle name="Dane wyjściowe 2 8 2 2 9 2 2" xfId="20741" xr:uid="{00000000-0005-0000-0000-00008F500000}"/>
    <cellStyle name="Dane wyjściowe 2 8 2 2 9 3" xfId="20742" xr:uid="{00000000-0005-0000-0000-000090500000}"/>
    <cellStyle name="Dane wyjściowe 2 8 2 3" xfId="20743" xr:uid="{00000000-0005-0000-0000-000091500000}"/>
    <cellStyle name="Dane wyjściowe 2 8 2 3 2" xfId="20744" xr:uid="{00000000-0005-0000-0000-000092500000}"/>
    <cellStyle name="Dane wyjściowe 2 8 2 3 2 2" xfId="20745" xr:uid="{00000000-0005-0000-0000-000093500000}"/>
    <cellStyle name="Dane wyjściowe 2 8 2 3 2 2 2" xfId="20746" xr:uid="{00000000-0005-0000-0000-000094500000}"/>
    <cellStyle name="Dane wyjściowe 2 8 2 3 2 2 2 2" xfId="20747" xr:uid="{00000000-0005-0000-0000-000095500000}"/>
    <cellStyle name="Dane wyjściowe 2 8 2 3 2 2 3" xfId="20748" xr:uid="{00000000-0005-0000-0000-000096500000}"/>
    <cellStyle name="Dane wyjściowe 2 8 2 3 2 3" xfId="20749" xr:uid="{00000000-0005-0000-0000-000097500000}"/>
    <cellStyle name="Dane wyjściowe 2 8 2 3 2 3 2" xfId="20750" xr:uid="{00000000-0005-0000-0000-000098500000}"/>
    <cellStyle name="Dane wyjściowe 2 8 2 3 2 3 2 2" xfId="20751" xr:uid="{00000000-0005-0000-0000-000099500000}"/>
    <cellStyle name="Dane wyjściowe 2 8 2 3 2 3 3" xfId="20752" xr:uid="{00000000-0005-0000-0000-00009A500000}"/>
    <cellStyle name="Dane wyjściowe 2 8 2 3 2 4" xfId="20753" xr:uid="{00000000-0005-0000-0000-00009B500000}"/>
    <cellStyle name="Dane wyjściowe 2 8 2 3 2 4 2" xfId="20754" xr:uid="{00000000-0005-0000-0000-00009C500000}"/>
    <cellStyle name="Dane wyjściowe 2 8 2 3 2 4 2 2" xfId="20755" xr:uid="{00000000-0005-0000-0000-00009D500000}"/>
    <cellStyle name="Dane wyjściowe 2 8 2 3 2 4 3" xfId="20756" xr:uid="{00000000-0005-0000-0000-00009E500000}"/>
    <cellStyle name="Dane wyjściowe 2 8 2 3 2 5" xfId="20757" xr:uid="{00000000-0005-0000-0000-00009F500000}"/>
    <cellStyle name="Dane wyjściowe 2 8 2 3 2 5 2" xfId="20758" xr:uid="{00000000-0005-0000-0000-0000A0500000}"/>
    <cellStyle name="Dane wyjściowe 2 8 2 3 2 6" xfId="20759" xr:uid="{00000000-0005-0000-0000-0000A1500000}"/>
    <cellStyle name="Dane wyjściowe 2 8 2 3 2 6 2" xfId="20760" xr:uid="{00000000-0005-0000-0000-0000A2500000}"/>
    <cellStyle name="Dane wyjściowe 2 8 2 3 2 7" xfId="20761" xr:uid="{00000000-0005-0000-0000-0000A3500000}"/>
    <cellStyle name="Dane wyjściowe 2 8 2 3 3" xfId="20762" xr:uid="{00000000-0005-0000-0000-0000A4500000}"/>
    <cellStyle name="Dane wyjściowe 2 8 2 3 3 2" xfId="20763" xr:uid="{00000000-0005-0000-0000-0000A5500000}"/>
    <cellStyle name="Dane wyjściowe 2 8 2 3 3 2 2" xfId="20764" xr:uid="{00000000-0005-0000-0000-0000A6500000}"/>
    <cellStyle name="Dane wyjściowe 2 8 2 3 3 3" xfId="20765" xr:uid="{00000000-0005-0000-0000-0000A7500000}"/>
    <cellStyle name="Dane wyjściowe 2 8 2 3 4" xfId="20766" xr:uid="{00000000-0005-0000-0000-0000A8500000}"/>
    <cellStyle name="Dane wyjściowe 2 8 2 3 4 2" xfId="20767" xr:uid="{00000000-0005-0000-0000-0000A9500000}"/>
    <cellStyle name="Dane wyjściowe 2 8 2 3 4 2 2" xfId="20768" xr:uid="{00000000-0005-0000-0000-0000AA500000}"/>
    <cellStyle name="Dane wyjściowe 2 8 2 3 4 3" xfId="20769" xr:uid="{00000000-0005-0000-0000-0000AB500000}"/>
    <cellStyle name="Dane wyjściowe 2 8 2 3 5" xfId="20770" xr:uid="{00000000-0005-0000-0000-0000AC500000}"/>
    <cellStyle name="Dane wyjściowe 2 8 2 3 5 2" xfId="20771" xr:uid="{00000000-0005-0000-0000-0000AD500000}"/>
    <cellStyle name="Dane wyjściowe 2 8 2 3 5 2 2" xfId="20772" xr:uid="{00000000-0005-0000-0000-0000AE500000}"/>
    <cellStyle name="Dane wyjściowe 2 8 2 3 5 3" xfId="20773" xr:uid="{00000000-0005-0000-0000-0000AF500000}"/>
    <cellStyle name="Dane wyjściowe 2 8 2 3 6" xfId="20774" xr:uid="{00000000-0005-0000-0000-0000B0500000}"/>
    <cellStyle name="Dane wyjściowe 2 8 2 3 6 2" xfId="20775" xr:uid="{00000000-0005-0000-0000-0000B1500000}"/>
    <cellStyle name="Dane wyjściowe 2 8 2 3 7" xfId="20776" xr:uid="{00000000-0005-0000-0000-0000B2500000}"/>
    <cellStyle name="Dane wyjściowe 2 8 2 3 7 2" xfId="20777" xr:uid="{00000000-0005-0000-0000-0000B3500000}"/>
    <cellStyle name="Dane wyjściowe 2 8 2 3 8" xfId="20778" xr:uid="{00000000-0005-0000-0000-0000B4500000}"/>
    <cellStyle name="Dane wyjściowe 2 8 2 4" xfId="20779" xr:uid="{00000000-0005-0000-0000-0000B5500000}"/>
    <cellStyle name="Dane wyjściowe 2 8 2 4 2" xfId="20780" xr:uid="{00000000-0005-0000-0000-0000B6500000}"/>
    <cellStyle name="Dane wyjściowe 2 8 2 4 2 2" xfId="20781" xr:uid="{00000000-0005-0000-0000-0000B7500000}"/>
    <cellStyle name="Dane wyjściowe 2 8 2 4 3" xfId="20782" xr:uid="{00000000-0005-0000-0000-0000B8500000}"/>
    <cellStyle name="Dane wyjściowe 2 8 2 5" xfId="20783" xr:uid="{00000000-0005-0000-0000-0000B9500000}"/>
    <cellStyle name="Dane wyjściowe 2 8 2 5 2" xfId="20784" xr:uid="{00000000-0005-0000-0000-0000BA500000}"/>
    <cellStyle name="Dane wyjściowe 2 8 2 5 2 2" xfId="20785" xr:uid="{00000000-0005-0000-0000-0000BB500000}"/>
    <cellStyle name="Dane wyjściowe 2 8 2 5 3" xfId="20786" xr:uid="{00000000-0005-0000-0000-0000BC500000}"/>
    <cellStyle name="Dane wyjściowe 2 8 2 6" xfId="20787" xr:uid="{00000000-0005-0000-0000-0000BD500000}"/>
    <cellStyle name="Dane wyjściowe 2 8 2 6 2" xfId="20788" xr:uid="{00000000-0005-0000-0000-0000BE500000}"/>
    <cellStyle name="Dane wyjściowe 2 8 2 6 2 2" xfId="20789" xr:uid="{00000000-0005-0000-0000-0000BF500000}"/>
    <cellStyle name="Dane wyjściowe 2 8 2 6 3" xfId="20790" xr:uid="{00000000-0005-0000-0000-0000C0500000}"/>
    <cellStyle name="Dane wyjściowe 2 8 2 7" xfId="20791" xr:uid="{00000000-0005-0000-0000-0000C1500000}"/>
    <cellStyle name="Dane wyjściowe 2 8 2 7 2" xfId="20792" xr:uid="{00000000-0005-0000-0000-0000C2500000}"/>
    <cellStyle name="Dane wyjściowe 2 8 2 7 2 2" xfId="20793" xr:uid="{00000000-0005-0000-0000-0000C3500000}"/>
    <cellStyle name="Dane wyjściowe 2 8 2 7 3" xfId="20794" xr:uid="{00000000-0005-0000-0000-0000C4500000}"/>
    <cellStyle name="Dane wyjściowe 2 8 2 8" xfId="20795" xr:uid="{00000000-0005-0000-0000-0000C5500000}"/>
    <cellStyle name="Dane wyjściowe 2 8 2 8 2" xfId="20796" xr:uid="{00000000-0005-0000-0000-0000C6500000}"/>
    <cellStyle name="Dane wyjściowe 2 8 2 8 2 2" xfId="20797" xr:uid="{00000000-0005-0000-0000-0000C7500000}"/>
    <cellStyle name="Dane wyjściowe 2 8 2 8 2 2 2" xfId="20798" xr:uid="{00000000-0005-0000-0000-0000C8500000}"/>
    <cellStyle name="Dane wyjściowe 2 8 2 8 2 3" xfId="20799" xr:uid="{00000000-0005-0000-0000-0000C9500000}"/>
    <cellStyle name="Dane wyjściowe 2 8 2 8 3" xfId="20800" xr:uid="{00000000-0005-0000-0000-0000CA500000}"/>
    <cellStyle name="Dane wyjściowe 2 8 2 8 3 2" xfId="20801" xr:uid="{00000000-0005-0000-0000-0000CB500000}"/>
    <cellStyle name="Dane wyjściowe 2 8 2 8 3 2 2" xfId="20802" xr:uid="{00000000-0005-0000-0000-0000CC500000}"/>
    <cellStyle name="Dane wyjściowe 2 8 2 8 3 3" xfId="20803" xr:uid="{00000000-0005-0000-0000-0000CD500000}"/>
    <cellStyle name="Dane wyjściowe 2 8 2 8 4" xfId="20804" xr:uid="{00000000-0005-0000-0000-0000CE500000}"/>
    <cellStyle name="Dane wyjściowe 2 8 2 8 4 2" xfId="20805" xr:uid="{00000000-0005-0000-0000-0000CF500000}"/>
    <cellStyle name="Dane wyjściowe 2 8 2 8 4 2 2" xfId="20806" xr:uid="{00000000-0005-0000-0000-0000D0500000}"/>
    <cellStyle name="Dane wyjściowe 2 8 2 8 4 3" xfId="20807" xr:uid="{00000000-0005-0000-0000-0000D1500000}"/>
    <cellStyle name="Dane wyjściowe 2 8 2 8 5" xfId="20808" xr:uid="{00000000-0005-0000-0000-0000D2500000}"/>
    <cellStyle name="Dane wyjściowe 2 8 2 8 5 2" xfId="20809" xr:uid="{00000000-0005-0000-0000-0000D3500000}"/>
    <cellStyle name="Dane wyjściowe 2 8 2 8 6" xfId="20810" xr:uid="{00000000-0005-0000-0000-0000D4500000}"/>
    <cellStyle name="Dane wyjściowe 2 8 2 8 6 2" xfId="20811" xr:uid="{00000000-0005-0000-0000-0000D5500000}"/>
    <cellStyle name="Dane wyjściowe 2 8 2 8 7" xfId="20812" xr:uid="{00000000-0005-0000-0000-0000D6500000}"/>
    <cellStyle name="Dane wyjściowe 2 8 2 9" xfId="20813" xr:uid="{00000000-0005-0000-0000-0000D7500000}"/>
    <cellStyle name="Dane wyjściowe 2 8 2 9 2" xfId="20814" xr:uid="{00000000-0005-0000-0000-0000D8500000}"/>
    <cellStyle name="Dane wyjściowe 2 8 2 9 2 2" xfId="20815" xr:uid="{00000000-0005-0000-0000-0000D9500000}"/>
    <cellStyle name="Dane wyjściowe 2 8 2 9 3" xfId="20816" xr:uid="{00000000-0005-0000-0000-0000DA500000}"/>
    <cellStyle name="Dane wyjściowe 2 8 3" xfId="20817" xr:uid="{00000000-0005-0000-0000-0000DB500000}"/>
    <cellStyle name="Dane wyjściowe 2 8 3 2" xfId="20818" xr:uid="{00000000-0005-0000-0000-0000DC500000}"/>
    <cellStyle name="Dane wyjściowe 2 8 3 2 2" xfId="20819" xr:uid="{00000000-0005-0000-0000-0000DD500000}"/>
    <cellStyle name="Dane wyjściowe 2 8 3 3" xfId="20820" xr:uid="{00000000-0005-0000-0000-0000DE500000}"/>
    <cellStyle name="Dane wyjściowe 2 8 4" xfId="20821" xr:uid="{00000000-0005-0000-0000-0000DF500000}"/>
    <cellStyle name="Dane wyjściowe 2 8 4 10" xfId="20822" xr:uid="{00000000-0005-0000-0000-0000E0500000}"/>
    <cellStyle name="Dane wyjściowe 2 8 4 10 2" xfId="20823" xr:uid="{00000000-0005-0000-0000-0000E1500000}"/>
    <cellStyle name="Dane wyjściowe 2 8 4 11" xfId="20824" xr:uid="{00000000-0005-0000-0000-0000E2500000}"/>
    <cellStyle name="Dane wyjściowe 2 8 4 11 2" xfId="20825" xr:uid="{00000000-0005-0000-0000-0000E3500000}"/>
    <cellStyle name="Dane wyjściowe 2 8 4 12" xfId="20826" xr:uid="{00000000-0005-0000-0000-0000E4500000}"/>
    <cellStyle name="Dane wyjściowe 2 8 4 2" xfId="20827" xr:uid="{00000000-0005-0000-0000-0000E5500000}"/>
    <cellStyle name="Dane wyjściowe 2 8 4 2 2" xfId="20828" xr:uid="{00000000-0005-0000-0000-0000E6500000}"/>
    <cellStyle name="Dane wyjściowe 2 8 4 2 2 2" xfId="20829" xr:uid="{00000000-0005-0000-0000-0000E7500000}"/>
    <cellStyle name="Dane wyjściowe 2 8 4 2 2 2 2" xfId="20830" xr:uid="{00000000-0005-0000-0000-0000E8500000}"/>
    <cellStyle name="Dane wyjściowe 2 8 4 2 2 2 2 2" xfId="20831" xr:uid="{00000000-0005-0000-0000-0000E9500000}"/>
    <cellStyle name="Dane wyjściowe 2 8 4 2 2 2 3" xfId="20832" xr:uid="{00000000-0005-0000-0000-0000EA500000}"/>
    <cellStyle name="Dane wyjściowe 2 8 4 2 2 3" xfId="20833" xr:uid="{00000000-0005-0000-0000-0000EB500000}"/>
    <cellStyle name="Dane wyjściowe 2 8 4 2 2 3 2" xfId="20834" xr:uid="{00000000-0005-0000-0000-0000EC500000}"/>
    <cellStyle name="Dane wyjściowe 2 8 4 2 2 3 2 2" xfId="20835" xr:uid="{00000000-0005-0000-0000-0000ED500000}"/>
    <cellStyle name="Dane wyjściowe 2 8 4 2 2 3 3" xfId="20836" xr:uid="{00000000-0005-0000-0000-0000EE500000}"/>
    <cellStyle name="Dane wyjściowe 2 8 4 2 2 4" xfId="20837" xr:uid="{00000000-0005-0000-0000-0000EF500000}"/>
    <cellStyle name="Dane wyjściowe 2 8 4 2 2 4 2" xfId="20838" xr:uid="{00000000-0005-0000-0000-0000F0500000}"/>
    <cellStyle name="Dane wyjściowe 2 8 4 2 2 4 2 2" xfId="20839" xr:uid="{00000000-0005-0000-0000-0000F1500000}"/>
    <cellStyle name="Dane wyjściowe 2 8 4 2 2 4 3" xfId="20840" xr:uid="{00000000-0005-0000-0000-0000F2500000}"/>
    <cellStyle name="Dane wyjściowe 2 8 4 2 2 5" xfId="20841" xr:uid="{00000000-0005-0000-0000-0000F3500000}"/>
    <cellStyle name="Dane wyjściowe 2 8 4 2 2 5 2" xfId="20842" xr:uid="{00000000-0005-0000-0000-0000F4500000}"/>
    <cellStyle name="Dane wyjściowe 2 8 4 2 2 6" xfId="20843" xr:uid="{00000000-0005-0000-0000-0000F5500000}"/>
    <cellStyle name="Dane wyjściowe 2 8 4 2 2 6 2" xfId="20844" xr:uid="{00000000-0005-0000-0000-0000F6500000}"/>
    <cellStyle name="Dane wyjściowe 2 8 4 2 2 7" xfId="20845" xr:uid="{00000000-0005-0000-0000-0000F7500000}"/>
    <cellStyle name="Dane wyjściowe 2 8 4 2 3" xfId="20846" xr:uid="{00000000-0005-0000-0000-0000F8500000}"/>
    <cellStyle name="Dane wyjściowe 2 8 4 2 3 2" xfId="20847" xr:uid="{00000000-0005-0000-0000-0000F9500000}"/>
    <cellStyle name="Dane wyjściowe 2 8 4 2 3 2 2" xfId="20848" xr:uid="{00000000-0005-0000-0000-0000FA500000}"/>
    <cellStyle name="Dane wyjściowe 2 8 4 2 3 3" xfId="20849" xr:uid="{00000000-0005-0000-0000-0000FB500000}"/>
    <cellStyle name="Dane wyjściowe 2 8 4 2 4" xfId="20850" xr:uid="{00000000-0005-0000-0000-0000FC500000}"/>
    <cellStyle name="Dane wyjściowe 2 8 4 2 4 2" xfId="20851" xr:uid="{00000000-0005-0000-0000-0000FD500000}"/>
    <cellStyle name="Dane wyjściowe 2 8 4 2 4 2 2" xfId="20852" xr:uid="{00000000-0005-0000-0000-0000FE500000}"/>
    <cellStyle name="Dane wyjściowe 2 8 4 2 4 3" xfId="20853" xr:uid="{00000000-0005-0000-0000-0000FF500000}"/>
    <cellStyle name="Dane wyjściowe 2 8 4 2 5" xfId="20854" xr:uid="{00000000-0005-0000-0000-000000510000}"/>
    <cellStyle name="Dane wyjściowe 2 8 4 2 5 2" xfId="20855" xr:uid="{00000000-0005-0000-0000-000001510000}"/>
    <cellStyle name="Dane wyjściowe 2 8 4 2 5 2 2" xfId="20856" xr:uid="{00000000-0005-0000-0000-000002510000}"/>
    <cellStyle name="Dane wyjściowe 2 8 4 2 5 3" xfId="20857" xr:uid="{00000000-0005-0000-0000-000003510000}"/>
    <cellStyle name="Dane wyjściowe 2 8 4 2 6" xfId="20858" xr:uid="{00000000-0005-0000-0000-000004510000}"/>
    <cellStyle name="Dane wyjściowe 2 8 4 2 6 2" xfId="20859" xr:uid="{00000000-0005-0000-0000-000005510000}"/>
    <cellStyle name="Dane wyjściowe 2 8 4 2 7" xfId="20860" xr:uid="{00000000-0005-0000-0000-000006510000}"/>
    <cellStyle name="Dane wyjściowe 2 8 4 2 7 2" xfId="20861" xr:uid="{00000000-0005-0000-0000-000007510000}"/>
    <cellStyle name="Dane wyjściowe 2 8 4 2 8" xfId="20862" xr:uid="{00000000-0005-0000-0000-000008510000}"/>
    <cellStyle name="Dane wyjściowe 2 8 4 3" xfId="20863" xr:uid="{00000000-0005-0000-0000-000009510000}"/>
    <cellStyle name="Dane wyjściowe 2 8 4 3 2" xfId="20864" xr:uid="{00000000-0005-0000-0000-00000A510000}"/>
    <cellStyle name="Dane wyjściowe 2 8 4 3 2 2" xfId="20865" xr:uid="{00000000-0005-0000-0000-00000B510000}"/>
    <cellStyle name="Dane wyjściowe 2 8 4 3 3" xfId="20866" xr:uid="{00000000-0005-0000-0000-00000C510000}"/>
    <cellStyle name="Dane wyjściowe 2 8 4 4" xfId="20867" xr:uid="{00000000-0005-0000-0000-00000D510000}"/>
    <cellStyle name="Dane wyjściowe 2 8 4 4 2" xfId="20868" xr:uid="{00000000-0005-0000-0000-00000E510000}"/>
    <cellStyle name="Dane wyjściowe 2 8 4 4 2 2" xfId="20869" xr:uid="{00000000-0005-0000-0000-00000F510000}"/>
    <cellStyle name="Dane wyjściowe 2 8 4 4 3" xfId="20870" xr:uid="{00000000-0005-0000-0000-000010510000}"/>
    <cellStyle name="Dane wyjściowe 2 8 4 5" xfId="20871" xr:uid="{00000000-0005-0000-0000-000011510000}"/>
    <cellStyle name="Dane wyjściowe 2 8 4 5 2" xfId="20872" xr:uid="{00000000-0005-0000-0000-000012510000}"/>
    <cellStyle name="Dane wyjściowe 2 8 4 5 2 2" xfId="20873" xr:uid="{00000000-0005-0000-0000-000013510000}"/>
    <cellStyle name="Dane wyjściowe 2 8 4 5 3" xfId="20874" xr:uid="{00000000-0005-0000-0000-000014510000}"/>
    <cellStyle name="Dane wyjściowe 2 8 4 6" xfId="20875" xr:uid="{00000000-0005-0000-0000-000015510000}"/>
    <cellStyle name="Dane wyjściowe 2 8 4 6 2" xfId="20876" xr:uid="{00000000-0005-0000-0000-000016510000}"/>
    <cellStyle name="Dane wyjściowe 2 8 4 6 2 2" xfId="20877" xr:uid="{00000000-0005-0000-0000-000017510000}"/>
    <cellStyle name="Dane wyjściowe 2 8 4 6 3" xfId="20878" xr:uid="{00000000-0005-0000-0000-000018510000}"/>
    <cellStyle name="Dane wyjściowe 2 8 4 7" xfId="20879" xr:uid="{00000000-0005-0000-0000-000019510000}"/>
    <cellStyle name="Dane wyjściowe 2 8 4 7 2" xfId="20880" xr:uid="{00000000-0005-0000-0000-00001A510000}"/>
    <cellStyle name="Dane wyjściowe 2 8 4 7 2 2" xfId="20881" xr:uid="{00000000-0005-0000-0000-00001B510000}"/>
    <cellStyle name="Dane wyjściowe 2 8 4 7 2 2 2" xfId="20882" xr:uid="{00000000-0005-0000-0000-00001C510000}"/>
    <cellStyle name="Dane wyjściowe 2 8 4 7 2 3" xfId="20883" xr:uid="{00000000-0005-0000-0000-00001D510000}"/>
    <cellStyle name="Dane wyjściowe 2 8 4 7 3" xfId="20884" xr:uid="{00000000-0005-0000-0000-00001E510000}"/>
    <cellStyle name="Dane wyjściowe 2 8 4 7 3 2" xfId="20885" xr:uid="{00000000-0005-0000-0000-00001F510000}"/>
    <cellStyle name="Dane wyjściowe 2 8 4 7 3 2 2" xfId="20886" xr:uid="{00000000-0005-0000-0000-000020510000}"/>
    <cellStyle name="Dane wyjściowe 2 8 4 7 3 3" xfId="20887" xr:uid="{00000000-0005-0000-0000-000021510000}"/>
    <cellStyle name="Dane wyjściowe 2 8 4 7 4" xfId="20888" xr:uid="{00000000-0005-0000-0000-000022510000}"/>
    <cellStyle name="Dane wyjściowe 2 8 4 7 4 2" xfId="20889" xr:uid="{00000000-0005-0000-0000-000023510000}"/>
    <cellStyle name="Dane wyjściowe 2 8 4 7 4 2 2" xfId="20890" xr:uid="{00000000-0005-0000-0000-000024510000}"/>
    <cellStyle name="Dane wyjściowe 2 8 4 7 4 3" xfId="20891" xr:uid="{00000000-0005-0000-0000-000025510000}"/>
    <cellStyle name="Dane wyjściowe 2 8 4 7 5" xfId="20892" xr:uid="{00000000-0005-0000-0000-000026510000}"/>
    <cellStyle name="Dane wyjściowe 2 8 4 7 5 2" xfId="20893" xr:uid="{00000000-0005-0000-0000-000027510000}"/>
    <cellStyle name="Dane wyjściowe 2 8 4 7 6" xfId="20894" xr:uid="{00000000-0005-0000-0000-000028510000}"/>
    <cellStyle name="Dane wyjściowe 2 8 4 7 6 2" xfId="20895" xr:uid="{00000000-0005-0000-0000-000029510000}"/>
    <cellStyle name="Dane wyjściowe 2 8 4 7 7" xfId="20896" xr:uid="{00000000-0005-0000-0000-00002A510000}"/>
    <cellStyle name="Dane wyjściowe 2 8 4 8" xfId="20897" xr:uid="{00000000-0005-0000-0000-00002B510000}"/>
    <cellStyle name="Dane wyjściowe 2 8 4 8 2" xfId="20898" xr:uid="{00000000-0005-0000-0000-00002C510000}"/>
    <cellStyle name="Dane wyjściowe 2 8 4 8 2 2" xfId="20899" xr:uid="{00000000-0005-0000-0000-00002D510000}"/>
    <cellStyle name="Dane wyjściowe 2 8 4 8 3" xfId="20900" xr:uid="{00000000-0005-0000-0000-00002E510000}"/>
    <cellStyle name="Dane wyjściowe 2 8 4 9" xfId="20901" xr:uid="{00000000-0005-0000-0000-00002F510000}"/>
    <cellStyle name="Dane wyjściowe 2 8 4 9 2" xfId="20902" xr:uid="{00000000-0005-0000-0000-000030510000}"/>
    <cellStyle name="Dane wyjściowe 2 8 4 9 2 2" xfId="20903" xr:uid="{00000000-0005-0000-0000-000031510000}"/>
    <cellStyle name="Dane wyjściowe 2 8 4 9 3" xfId="20904" xr:uid="{00000000-0005-0000-0000-000032510000}"/>
    <cellStyle name="Dane wyjściowe 2 8 5" xfId="20905" xr:uid="{00000000-0005-0000-0000-000033510000}"/>
    <cellStyle name="Dane wyjściowe 2 8 5 2" xfId="20906" xr:uid="{00000000-0005-0000-0000-000034510000}"/>
    <cellStyle name="Dane wyjściowe 2 8 5 2 2" xfId="20907" xr:uid="{00000000-0005-0000-0000-000035510000}"/>
    <cellStyle name="Dane wyjściowe 2 8 5 2 2 2" xfId="20908" xr:uid="{00000000-0005-0000-0000-000036510000}"/>
    <cellStyle name="Dane wyjściowe 2 8 5 2 2 2 2" xfId="20909" xr:uid="{00000000-0005-0000-0000-000037510000}"/>
    <cellStyle name="Dane wyjściowe 2 8 5 2 2 3" xfId="20910" xr:uid="{00000000-0005-0000-0000-000038510000}"/>
    <cellStyle name="Dane wyjściowe 2 8 5 2 3" xfId="20911" xr:uid="{00000000-0005-0000-0000-000039510000}"/>
    <cellStyle name="Dane wyjściowe 2 8 5 2 3 2" xfId="20912" xr:uid="{00000000-0005-0000-0000-00003A510000}"/>
    <cellStyle name="Dane wyjściowe 2 8 5 2 3 2 2" xfId="20913" xr:uid="{00000000-0005-0000-0000-00003B510000}"/>
    <cellStyle name="Dane wyjściowe 2 8 5 2 3 3" xfId="20914" xr:uid="{00000000-0005-0000-0000-00003C510000}"/>
    <cellStyle name="Dane wyjściowe 2 8 5 2 4" xfId="20915" xr:uid="{00000000-0005-0000-0000-00003D510000}"/>
    <cellStyle name="Dane wyjściowe 2 8 5 2 4 2" xfId="20916" xr:uid="{00000000-0005-0000-0000-00003E510000}"/>
    <cellStyle name="Dane wyjściowe 2 8 5 2 4 2 2" xfId="20917" xr:uid="{00000000-0005-0000-0000-00003F510000}"/>
    <cellStyle name="Dane wyjściowe 2 8 5 2 4 3" xfId="20918" xr:uid="{00000000-0005-0000-0000-000040510000}"/>
    <cellStyle name="Dane wyjściowe 2 8 5 2 5" xfId="20919" xr:uid="{00000000-0005-0000-0000-000041510000}"/>
    <cellStyle name="Dane wyjściowe 2 8 5 2 5 2" xfId="20920" xr:uid="{00000000-0005-0000-0000-000042510000}"/>
    <cellStyle name="Dane wyjściowe 2 8 5 2 6" xfId="20921" xr:uid="{00000000-0005-0000-0000-000043510000}"/>
    <cellStyle name="Dane wyjściowe 2 8 5 2 6 2" xfId="20922" xr:uid="{00000000-0005-0000-0000-000044510000}"/>
    <cellStyle name="Dane wyjściowe 2 8 5 2 7" xfId="20923" xr:uid="{00000000-0005-0000-0000-000045510000}"/>
    <cellStyle name="Dane wyjściowe 2 8 5 3" xfId="20924" xr:uid="{00000000-0005-0000-0000-000046510000}"/>
    <cellStyle name="Dane wyjściowe 2 8 5 3 2" xfId="20925" xr:uid="{00000000-0005-0000-0000-000047510000}"/>
    <cellStyle name="Dane wyjściowe 2 8 5 3 2 2" xfId="20926" xr:uid="{00000000-0005-0000-0000-000048510000}"/>
    <cellStyle name="Dane wyjściowe 2 8 5 3 3" xfId="20927" xr:uid="{00000000-0005-0000-0000-000049510000}"/>
    <cellStyle name="Dane wyjściowe 2 8 5 4" xfId="20928" xr:uid="{00000000-0005-0000-0000-00004A510000}"/>
    <cellStyle name="Dane wyjściowe 2 8 5 4 2" xfId="20929" xr:uid="{00000000-0005-0000-0000-00004B510000}"/>
    <cellStyle name="Dane wyjściowe 2 8 5 4 2 2" xfId="20930" xr:uid="{00000000-0005-0000-0000-00004C510000}"/>
    <cellStyle name="Dane wyjściowe 2 8 5 4 3" xfId="20931" xr:uid="{00000000-0005-0000-0000-00004D510000}"/>
    <cellStyle name="Dane wyjściowe 2 8 5 5" xfId="20932" xr:uid="{00000000-0005-0000-0000-00004E510000}"/>
    <cellStyle name="Dane wyjściowe 2 8 5 5 2" xfId="20933" xr:uid="{00000000-0005-0000-0000-00004F510000}"/>
    <cellStyle name="Dane wyjściowe 2 8 5 5 2 2" xfId="20934" xr:uid="{00000000-0005-0000-0000-000050510000}"/>
    <cellStyle name="Dane wyjściowe 2 8 5 5 3" xfId="20935" xr:uid="{00000000-0005-0000-0000-000051510000}"/>
    <cellStyle name="Dane wyjściowe 2 8 5 6" xfId="20936" xr:uid="{00000000-0005-0000-0000-000052510000}"/>
    <cellStyle name="Dane wyjściowe 2 8 5 6 2" xfId="20937" xr:uid="{00000000-0005-0000-0000-000053510000}"/>
    <cellStyle name="Dane wyjściowe 2 8 5 7" xfId="20938" xr:uid="{00000000-0005-0000-0000-000054510000}"/>
    <cellStyle name="Dane wyjściowe 2 8 5 7 2" xfId="20939" xr:uid="{00000000-0005-0000-0000-000055510000}"/>
    <cellStyle name="Dane wyjściowe 2 8 5 8" xfId="20940" xr:uid="{00000000-0005-0000-0000-000056510000}"/>
    <cellStyle name="Dane wyjściowe 2 8 6" xfId="20941" xr:uid="{00000000-0005-0000-0000-000057510000}"/>
    <cellStyle name="Dane wyjściowe 2 8 6 2" xfId="20942" xr:uid="{00000000-0005-0000-0000-000058510000}"/>
    <cellStyle name="Dane wyjściowe 2 8 6 2 2" xfId="20943" xr:uid="{00000000-0005-0000-0000-000059510000}"/>
    <cellStyle name="Dane wyjściowe 2 8 6 3" xfId="20944" xr:uid="{00000000-0005-0000-0000-00005A510000}"/>
    <cellStyle name="Dane wyjściowe 2 8 7" xfId="20945" xr:uid="{00000000-0005-0000-0000-00005B510000}"/>
    <cellStyle name="Dane wyjściowe 2 8 7 2" xfId="20946" xr:uid="{00000000-0005-0000-0000-00005C510000}"/>
    <cellStyle name="Dane wyjściowe 2 8 7 2 2" xfId="20947" xr:uid="{00000000-0005-0000-0000-00005D510000}"/>
    <cellStyle name="Dane wyjściowe 2 8 7 3" xfId="20948" xr:uid="{00000000-0005-0000-0000-00005E510000}"/>
    <cellStyle name="Dane wyjściowe 2 8 8" xfId="20949" xr:uid="{00000000-0005-0000-0000-00005F510000}"/>
    <cellStyle name="Dane wyjściowe 2 8 8 2" xfId="20950" xr:uid="{00000000-0005-0000-0000-000060510000}"/>
    <cellStyle name="Dane wyjściowe 2 8 8 2 2" xfId="20951" xr:uid="{00000000-0005-0000-0000-000061510000}"/>
    <cellStyle name="Dane wyjściowe 2 8 8 3" xfId="20952" xr:uid="{00000000-0005-0000-0000-000062510000}"/>
    <cellStyle name="Dane wyjściowe 2 8 9" xfId="20953" xr:uid="{00000000-0005-0000-0000-000063510000}"/>
    <cellStyle name="Dane wyjściowe 2 8 9 2" xfId="20954" xr:uid="{00000000-0005-0000-0000-000064510000}"/>
    <cellStyle name="Dane wyjściowe 2 8 9 2 2" xfId="20955" xr:uid="{00000000-0005-0000-0000-000065510000}"/>
    <cellStyle name="Dane wyjściowe 2 8 9 2 2 2" xfId="20956" xr:uid="{00000000-0005-0000-0000-000066510000}"/>
    <cellStyle name="Dane wyjściowe 2 8 9 2 3" xfId="20957" xr:uid="{00000000-0005-0000-0000-000067510000}"/>
    <cellStyle name="Dane wyjściowe 2 8 9 3" xfId="20958" xr:uid="{00000000-0005-0000-0000-000068510000}"/>
    <cellStyle name="Dane wyjściowe 2 8 9 3 2" xfId="20959" xr:uid="{00000000-0005-0000-0000-000069510000}"/>
    <cellStyle name="Dane wyjściowe 2 8 9 3 2 2" xfId="20960" xr:uid="{00000000-0005-0000-0000-00006A510000}"/>
    <cellStyle name="Dane wyjściowe 2 8 9 3 3" xfId="20961" xr:uid="{00000000-0005-0000-0000-00006B510000}"/>
    <cellStyle name="Dane wyjściowe 2 8 9 4" xfId="20962" xr:uid="{00000000-0005-0000-0000-00006C510000}"/>
    <cellStyle name="Dane wyjściowe 2 8 9 4 2" xfId="20963" xr:uid="{00000000-0005-0000-0000-00006D510000}"/>
    <cellStyle name="Dane wyjściowe 2 8 9 4 2 2" xfId="20964" xr:uid="{00000000-0005-0000-0000-00006E510000}"/>
    <cellStyle name="Dane wyjściowe 2 8 9 4 3" xfId="20965" xr:uid="{00000000-0005-0000-0000-00006F510000}"/>
    <cellStyle name="Dane wyjściowe 2 8 9 5" xfId="20966" xr:uid="{00000000-0005-0000-0000-000070510000}"/>
    <cellStyle name="Dane wyjściowe 2 8 9 5 2" xfId="20967" xr:uid="{00000000-0005-0000-0000-000071510000}"/>
    <cellStyle name="Dane wyjściowe 2 8 9 6" xfId="20968" xr:uid="{00000000-0005-0000-0000-000072510000}"/>
    <cellStyle name="Dane wyjściowe 2 8 9 6 2" xfId="20969" xr:uid="{00000000-0005-0000-0000-000073510000}"/>
    <cellStyle name="Dane wyjściowe 2 8 9 7" xfId="20970" xr:uid="{00000000-0005-0000-0000-000074510000}"/>
    <cellStyle name="Dane wyjściowe 2 9" xfId="20971" xr:uid="{00000000-0005-0000-0000-000075510000}"/>
    <cellStyle name="Dane wyjściowe 2 9 2" xfId="20972" xr:uid="{00000000-0005-0000-0000-000076510000}"/>
    <cellStyle name="Dane wyjściowe 2 9 2 2" xfId="20973" xr:uid="{00000000-0005-0000-0000-000077510000}"/>
    <cellStyle name="Dane wyjściowe 2 9 3" xfId="20974" xr:uid="{00000000-0005-0000-0000-000078510000}"/>
    <cellStyle name="Dane wyjściowe 3" xfId="238" xr:uid="{00000000-0005-0000-0000-000079510000}"/>
    <cellStyle name="Dane wyjściowe 3 2" xfId="20976" xr:uid="{00000000-0005-0000-0000-00007A510000}"/>
    <cellStyle name="Dane wyjściowe 3 2 2" xfId="20977" xr:uid="{00000000-0005-0000-0000-00007B510000}"/>
    <cellStyle name="Dane wyjściowe 3 3" xfId="20978" xr:uid="{00000000-0005-0000-0000-00007C510000}"/>
    <cellStyle name="Dane wyjściowe 3 3 2" xfId="20979" xr:uid="{00000000-0005-0000-0000-00007D510000}"/>
    <cellStyle name="Dane wyjściowe 3 4" xfId="20980" xr:uid="{00000000-0005-0000-0000-00007E510000}"/>
    <cellStyle name="Dane wyjściowe 3 4 2" xfId="20981" xr:uid="{00000000-0005-0000-0000-00007F510000}"/>
    <cellStyle name="Dane wyjściowe 3 5" xfId="20982" xr:uid="{00000000-0005-0000-0000-000080510000}"/>
    <cellStyle name="Dane wyjściowe 3 5 2" xfId="20983" xr:uid="{00000000-0005-0000-0000-000081510000}"/>
    <cellStyle name="Dane wyjściowe 3 6" xfId="20984" xr:uid="{00000000-0005-0000-0000-000082510000}"/>
    <cellStyle name="Dane wyjściowe 3 7" xfId="20985" xr:uid="{00000000-0005-0000-0000-000083510000}"/>
    <cellStyle name="Dane wyjściowe 3 8" xfId="20975" xr:uid="{00000000-0005-0000-0000-000084510000}"/>
    <cellStyle name="Dane wyjściowe 4" xfId="239" xr:uid="{00000000-0005-0000-0000-000085510000}"/>
    <cellStyle name="Dane wyjściowe 4 2" xfId="20987" xr:uid="{00000000-0005-0000-0000-000086510000}"/>
    <cellStyle name="Dane wyjściowe 4 2 2" xfId="20988" xr:uid="{00000000-0005-0000-0000-000087510000}"/>
    <cellStyle name="Dane wyjściowe 4 3" xfId="20989" xr:uid="{00000000-0005-0000-0000-000088510000}"/>
    <cellStyle name="Dane wyjściowe 4 3 2" xfId="20990" xr:uid="{00000000-0005-0000-0000-000089510000}"/>
    <cellStyle name="Dane wyjściowe 4 4" xfId="20991" xr:uid="{00000000-0005-0000-0000-00008A510000}"/>
    <cellStyle name="Dane wyjściowe 4 4 2" xfId="20992" xr:uid="{00000000-0005-0000-0000-00008B510000}"/>
    <cellStyle name="Dane wyjściowe 4 5" xfId="20993" xr:uid="{00000000-0005-0000-0000-00008C510000}"/>
    <cellStyle name="Dane wyjściowe 4 5 2" xfId="20994" xr:uid="{00000000-0005-0000-0000-00008D510000}"/>
    <cellStyle name="Dane wyjściowe 4 6" xfId="20995" xr:uid="{00000000-0005-0000-0000-00008E510000}"/>
    <cellStyle name="Dane wyjściowe 4 7" xfId="20996" xr:uid="{00000000-0005-0000-0000-00008F510000}"/>
    <cellStyle name="Dane wyjściowe 4 8" xfId="20986" xr:uid="{00000000-0005-0000-0000-000090510000}"/>
    <cellStyle name="Dane wyjściowe 5" xfId="240" xr:uid="{00000000-0005-0000-0000-000091510000}"/>
    <cellStyle name="Dane wyjściowe 5 2" xfId="20998" xr:uid="{00000000-0005-0000-0000-000092510000}"/>
    <cellStyle name="Dane wyjściowe 5 2 2" xfId="20999" xr:uid="{00000000-0005-0000-0000-000093510000}"/>
    <cellStyle name="Dane wyjściowe 5 3" xfId="21000" xr:uid="{00000000-0005-0000-0000-000094510000}"/>
    <cellStyle name="Dane wyjściowe 5 3 2" xfId="21001" xr:uid="{00000000-0005-0000-0000-000095510000}"/>
    <cellStyle name="Dane wyjściowe 5 4" xfId="21002" xr:uid="{00000000-0005-0000-0000-000096510000}"/>
    <cellStyle name="Dane wyjściowe 5 4 2" xfId="21003" xr:uid="{00000000-0005-0000-0000-000097510000}"/>
    <cellStyle name="Dane wyjściowe 5 5" xfId="21004" xr:uid="{00000000-0005-0000-0000-000098510000}"/>
    <cellStyle name="Dane wyjściowe 5 5 2" xfId="21005" xr:uid="{00000000-0005-0000-0000-000099510000}"/>
    <cellStyle name="Dane wyjściowe 5 6" xfId="21006" xr:uid="{00000000-0005-0000-0000-00009A510000}"/>
    <cellStyle name="Dane wyjściowe 5 7" xfId="21007" xr:uid="{00000000-0005-0000-0000-00009B510000}"/>
    <cellStyle name="Dane wyjściowe 5 8" xfId="20997" xr:uid="{00000000-0005-0000-0000-00009C510000}"/>
    <cellStyle name="Dane wyjściowe 6" xfId="241" xr:uid="{00000000-0005-0000-0000-00009D510000}"/>
    <cellStyle name="Dane wyjściowe 6 2" xfId="21009" xr:uid="{00000000-0005-0000-0000-00009E510000}"/>
    <cellStyle name="Dane wyjściowe 6 2 2" xfId="21010" xr:uid="{00000000-0005-0000-0000-00009F510000}"/>
    <cellStyle name="Dane wyjściowe 6 3" xfId="21011" xr:uid="{00000000-0005-0000-0000-0000A0510000}"/>
    <cellStyle name="Dane wyjściowe 6 3 2" xfId="21012" xr:uid="{00000000-0005-0000-0000-0000A1510000}"/>
    <cellStyle name="Dane wyjściowe 6 4" xfId="21013" xr:uid="{00000000-0005-0000-0000-0000A2510000}"/>
    <cellStyle name="Dane wyjściowe 6 4 2" xfId="21014" xr:uid="{00000000-0005-0000-0000-0000A3510000}"/>
    <cellStyle name="Dane wyjściowe 6 5" xfId="21015" xr:uid="{00000000-0005-0000-0000-0000A4510000}"/>
    <cellStyle name="Dane wyjściowe 6 5 2" xfId="21016" xr:uid="{00000000-0005-0000-0000-0000A5510000}"/>
    <cellStyle name="Dane wyjściowe 6 6" xfId="21017" xr:uid="{00000000-0005-0000-0000-0000A6510000}"/>
    <cellStyle name="Dane wyjściowe 6 7" xfId="21018" xr:uid="{00000000-0005-0000-0000-0000A7510000}"/>
    <cellStyle name="Dane wyjściowe 6 8" xfId="21008" xr:uid="{00000000-0005-0000-0000-0000A8510000}"/>
    <cellStyle name="Dane wyjściowe 7" xfId="242" xr:uid="{00000000-0005-0000-0000-0000A9510000}"/>
    <cellStyle name="Dane wyjściowe 7 2" xfId="21020" xr:uid="{00000000-0005-0000-0000-0000AA510000}"/>
    <cellStyle name="Dane wyjściowe 7 2 2" xfId="21021" xr:uid="{00000000-0005-0000-0000-0000AB510000}"/>
    <cellStyle name="Dane wyjściowe 7 3" xfId="21022" xr:uid="{00000000-0005-0000-0000-0000AC510000}"/>
    <cellStyle name="Dane wyjściowe 7 3 2" xfId="21023" xr:uid="{00000000-0005-0000-0000-0000AD510000}"/>
    <cellStyle name="Dane wyjściowe 7 4" xfId="21024" xr:uid="{00000000-0005-0000-0000-0000AE510000}"/>
    <cellStyle name="Dane wyjściowe 7 4 2" xfId="21025" xr:uid="{00000000-0005-0000-0000-0000AF510000}"/>
    <cellStyle name="Dane wyjściowe 7 5" xfId="21026" xr:uid="{00000000-0005-0000-0000-0000B0510000}"/>
    <cellStyle name="Dane wyjściowe 7 5 2" xfId="21027" xr:uid="{00000000-0005-0000-0000-0000B1510000}"/>
    <cellStyle name="Dane wyjściowe 7 6" xfId="21028" xr:uid="{00000000-0005-0000-0000-0000B2510000}"/>
    <cellStyle name="Dane wyjściowe 7 7" xfId="21029" xr:uid="{00000000-0005-0000-0000-0000B3510000}"/>
    <cellStyle name="Dane wyjściowe 7 8" xfId="21019" xr:uid="{00000000-0005-0000-0000-0000B4510000}"/>
    <cellStyle name="Dane wyjściowe 8" xfId="21030" xr:uid="{00000000-0005-0000-0000-0000B5510000}"/>
    <cellStyle name="Dane wyjściowe 8 2" xfId="21031" xr:uid="{00000000-0005-0000-0000-0000B6510000}"/>
    <cellStyle name="Dane wyjściowe 8 2 2" xfId="21032" xr:uid="{00000000-0005-0000-0000-0000B7510000}"/>
    <cellStyle name="Dane wyjściowe 8 3" xfId="21033" xr:uid="{00000000-0005-0000-0000-0000B8510000}"/>
    <cellStyle name="Dane wyjściowe 8 3 2" xfId="21034" xr:uid="{00000000-0005-0000-0000-0000B9510000}"/>
    <cellStyle name="Dane wyjściowe 8 4" xfId="21035" xr:uid="{00000000-0005-0000-0000-0000BA510000}"/>
    <cellStyle name="Dane wyjściowe 8 4 2" xfId="21036" xr:uid="{00000000-0005-0000-0000-0000BB510000}"/>
    <cellStyle name="Dane wyjściowe 8 5" xfId="21037" xr:uid="{00000000-0005-0000-0000-0000BC510000}"/>
    <cellStyle name="Dane wyjściowe 8 5 2" xfId="21038" xr:uid="{00000000-0005-0000-0000-0000BD510000}"/>
    <cellStyle name="Dane wyjściowe 8 6" xfId="21039" xr:uid="{00000000-0005-0000-0000-0000BE510000}"/>
    <cellStyle name="Dane wyjściowe 9" xfId="21040" xr:uid="{00000000-0005-0000-0000-0000BF510000}"/>
    <cellStyle name="Dane wyjściowe 9 2" xfId="21041" xr:uid="{00000000-0005-0000-0000-0000C0510000}"/>
    <cellStyle name="Dane wyjściowe 9 2 2" xfId="21042" xr:uid="{00000000-0005-0000-0000-0000C1510000}"/>
    <cellStyle name="Dane wyjściowe 9 3" xfId="21043" xr:uid="{00000000-0005-0000-0000-0000C2510000}"/>
    <cellStyle name="Dezimal [0]_SCH-HK" xfId="243" xr:uid="{00000000-0005-0000-0000-0000C3510000}"/>
    <cellStyle name="Dezimal_2002-01-25-Cc-Bu-Project Report" xfId="244" xr:uid="{00000000-0005-0000-0000-0000C4510000}"/>
    <cellStyle name="Dobre 1" xfId="21044" xr:uid="{00000000-0005-0000-0000-0000C5510000}"/>
    <cellStyle name="Dobre 10" xfId="21045" xr:uid="{00000000-0005-0000-0000-0000C6510000}"/>
    <cellStyle name="Dobre 11" xfId="21046" xr:uid="{00000000-0005-0000-0000-0000C7510000}"/>
    <cellStyle name="Dobre 11 2" xfId="21047" xr:uid="{00000000-0005-0000-0000-0000C8510000}"/>
    <cellStyle name="Dobre 11 3" xfId="21048" xr:uid="{00000000-0005-0000-0000-0000C9510000}"/>
    <cellStyle name="Dobre 11 4" xfId="21049" xr:uid="{00000000-0005-0000-0000-0000CA510000}"/>
    <cellStyle name="Dobre 12" xfId="21050" xr:uid="{00000000-0005-0000-0000-0000CB510000}"/>
    <cellStyle name="Dobre 13" xfId="21051" xr:uid="{00000000-0005-0000-0000-0000CC510000}"/>
    <cellStyle name="Dobre 14" xfId="21052" xr:uid="{00000000-0005-0000-0000-0000CD510000}"/>
    <cellStyle name="Dobre 15" xfId="21053" xr:uid="{00000000-0005-0000-0000-0000CE510000}"/>
    <cellStyle name="Dobre 16" xfId="21054" xr:uid="{00000000-0005-0000-0000-0000CF510000}"/>
    <cellStyle name="Dobre 17" xfId="21055" xr:uid="{00000000-0005-0000-0000-0000D0510000}"/>
    <cellStyle name="Dobre 18" xfId="21056" xr:uid="{00000000-0005-0000-0000-0000D1510000}"/>
    <cellStyle name="Dobre 19" xfId="21057" xr:uid="{00000000-0005-0000-0000-0000D2510000}"/>
    <cellStyle name="Dobre 2" xfId="245" xr:uid="{00000000-0005-0000-0000-0000D3510000}"/>
    <cellStyle name="Dobre 2 10" xfId="21059" xr:uid="{00000000-0005-0000-0000-0000D4510000}"/>
    <cellStyle name="Dobre 2 11" xfId="21060" xr:uid="{00000000-0005-0000-0000-0000D5510000}"/>
    <cellStyle name="Dobre 2 12" xfId="21061" xr:uid="{00000000-0005-0000-0000-0000D6510000}"/>
    <cellStyle name="Dobre 2 13" xfId="21062" xr:uid="{00000000-0005-0000-0000-0000D7510000}"/>
    <cellStyle name="Dobre 2 13 10" xfId="21063" xr:uid="{00000000-0005-0000-0000-0000D8510000}"/>
    <cellStyle name="Dobre 2 13 11" xfId="21064" xr:uid="{00000000-0005-0000-0000-0000D9510000}"/>
    <cellStyle name="Dobre 2 13 12" xfId="21065" xr:uid="{00000000-0005-0000-0000-0000DA510000}"/>
    <cellStyle name="Dobre 2 13 2" xfId="21066" xr:uid="{00000000-0005-0000-0000-0000DB510000}"/>
    <cellStyle name="Dobre 2 13 2 10" xfId="21067" xr:uid="{00000000-0005-0000-0000-0000DC510000}"/>
    <cellStyle name="Dobre 2 13 2 11" xfId="21068" xr:uid="{00000000-0005-0000-0000-0000DD510000}"/>
    <cellStyle name="Dobre 2 13 2 2" xfId="21069" xr:uid="{00000000-0005-0000-0000-0000DE510000}"/>
    <cellStyle name="Dobre 2 13 2 2 10" xfId="21070" xr:uid="{00000000-0005-0000-0000-0000DF510000}"/>
    <cellStyle name="Dobre 2 13 2 2 11" xfId="21071" xr:uid="{00000000-0005-0000-0000-0000E0510000}"/>
    <cellStyle name="Dobre 2 13 2 2 2" xfId="21072" xr:uid="{00000000-0005-0000-0000-0000E1510000}"/>
    <cellStyle name="Dobre 2 13 2 2 2 2" xfId="21073" xr:uid="{00000000-0005-0000-0000-0000E2510000}"/>
    <cellStyle name="Dobre 2 13 2 2 2 2 2" xfId="21074" xr:uid="{00000000-0005-0000-0000-0000E3510000}"/>
    <cellStyle name="Dobre 2 13 2 2 2 2 3" xfId="21075" xr:uid="{00000000-0005-0000-0000-0000E4510000}"/>
    <cellStyle name="Dobre 2 13 2 2 2 2 4" xfId="21076" xr:uid="{00000000-0005-0000-0000-0000E5510000}"/>
    <cellStyle name="Dobre 2 13 2 2 2 2 5" xfId="21077" xr:uid="{00000000-0005-0000-0000-0000E6510000}"/>
    <cellStyle name="Dobre 2 13 2 2 2 2 6" xfId="21078" xr:uid="{00000000-0005-0000-0000-0000E7510000}"/>
    <cellStyle name="Dobre 2 13 2 2 2 3" xfId="21079" xr:uid="{00000000-0005-0000-0000-0000E8510000}"/>
    <cellStyle name="Dobre 2 13 2 2 2 4" xfId="21080" xr:uid="{00000000-0005-0000-0000-0000E9510000}"/>
    <cellStyle name="Dobre 2 13 2 2 2 5" xfId="21081" xr:uid="{00000000-0005-0000-0000-0000EA510000}"/>
    <cellStyle name="Dobre 2 13 2 2 2 6" xfId="21082" xr:uid="{00000000-0005-0000-0000-0000EB510000}"/>
    <cellStyle name="Dobre 2 13 2 2 2 7" xfId="21083" xr:uid="{00000000-0005-0000-0000-0000EC510000}"/>
    <cellStyle name="Dobre 2 13 2 2 3" xfId="21084" xr:uid="{00000000-0005-0000-0000-0000ED510000}"/>
    <cellStyle name="Dobre 2 13 2 2 4" xfId="21085" xr:uid="{00000000-0005-0000-0000-0000EE510000}"/>
    <cellStyle name="Dobre 2 13 2 2 5" xfId="21086" xr:uid="{00000000-0005-0000-0000-0000EF510000}"/>
    <cellStyle name="Dobre 2 13 2 2 6" xfId="21087" xr:uid="{00000000-0005-0000-0000-0000F0510000}"/>
    <cellStyle name="Dobre 2 13 2 2 7" xfId="21088" xr:uid="{00000000-0005-0000-0000-0000F1510000}"/>
    <cellStyle name="Dobre 2 13 2 2 7 2" xfId="21089" xr:uid="{00000000-0005-0000-0000-0000F2510000}"/>
    <cellStyle name="Dobre 2 13 2 2 7 3" xfId="21090" xr:uid="{00000000-0005-0000-0000-0000F3510000}"/>
    <cellStyle name="Dobre 2 13 2 2 7 4" xfId="21091" xr:uid="{00000000-0005-0000-0000-0000F4510000}"/>
    <cellStyle name="Dobre 2 13 2 2 7 5" xfId="21092" xr:uid="{00000000-0005-0000-0000-0000F5510000}"/>
    <cellStyle name="Dobre 2 13 2 2 7 6" xfId="21093" xr:uid="{00000000-0005-0000-0000-0000F6510000}"/>
    <cellStyle name="Dobre 2 13 2 2 8" xfId="21094" xr:uid="{00000000-0005-0000-0000-0000F7510000}"/>
    <cellStyle name="Dobre 2 13 2 2 9" xfId="21095" xr:uid="{00000000-0005-0000-0000-0000F8510000}"/>
    <cellStyle name="Dobre 2 13 2 3" xfId="21096" xr:uid="{00000000-0005-0000-0000-0000F9510000}"/>
    <cellStyle name="Dobre 2 13 2 3 2" xfId="21097" xr:uid="{00000000-0005-0000-0000-0000FA510000}"/>
    <cellStyle name="Dobre 2 13 2 3 2 2" xfId="21098" xr:uid="{00000000-0005-0000-0000-0000FB510000}"/>
    <cellStyle name="Dobre 2 13 2 3 2 3" xfId="21099" xr:uid="{00000000-0005-0000-0000-0000FC510000}"/>
    <cellStyle name="Dobre 2 13 2 3 2 4" xfId="21100" xr:uid="{00000000-0005-0000-0000-0000FD510000}"/>
    <cellStyle name="Dobre 2 13 2 3 2 5" xfId="21101" xr:uid="{00000000-0005-0000-0000-0000FE510000}"/>
    <cellStyle name="Dobre 2 13 2 3 2 6" xfId="21102" xr:uid="{00000000-0005-0000-0000-0000FF510000}"/>
    <cellStyle name="Dobre 2 13 2 3 3" xfId="21103" xr:uid="{00000000-0005-0000-0000-000000520000}"/>
    <cellStyle name="Dobre 2 13 2 3 4" xfId="21104" xr:uid="{00000000-0005-0000-0000-000001520000}"/>
    <cellStyle name="Dobre 2 13 2 3 5" xfId="21105" xr:uid="{00000000-0005-0000-0000-000002520000}"/>
    <cellStyle name="Dobre 2 13 2 3 6" xfId="21106" xr:uid="{00000000-0005-0000-0000-000003520000}"/>
    <cellStyle name="Dobre 2 13 2 3 7" xfId="21107" xr:uid="{00000000-0005-0000-0000-000004520000}"/>
    <cellStyle name="Dobre 2 13 2 4" xfId="21108" xr:uid="{00000000-0005-0000-0000-000005520000}"/>
    <cellStyle name="Dobre 2 13 2 5" xfId="21109" xr:uid="{00000000-0005-0000-0000-000006520000}"/>
    <cellStyle name="Dobre 2 13 2 6" xfId="21110" xr:uid="{00000000-0005-0000-0000-000007520000}"/>
    <cellStyle name="Dobre 2 13 2 7" xfId="21111" xr:uid="{00000000-0005-0000-0000-000008520000}"/>
    <cellStyle name="Dobre 2 13 2 7 2" xfId="21112" xr:uid="{00000000-0005-0000-0000-000009520000}"/>
    <cellStyle name="Dobre 2 13 2 7 3" xfId="21113" xr:uid="{00000000-0005-0000-0000-00000A520000}"/>
    <cellStyle name="Dobre 2 13 2 7 4" xfId="21114" xr:uid="{00000000-0005-0000-0000-00000B520000}"/>
    <cellStyle name="Dobre 2 13 2 7 5" xfId="21115" xr:uid="{00000000-0005-0000-0000-00000C520000}"/>
    <cellStyle name="Dobre 2 13 2 7 6" xfId="21116" xr:uid="{00000000-0005-0000-0000-00000D520000}"/>
    <cellStyle name="Dobre 2 13 2 8" xfId="21117" xr:uid="{00000000-0005-0000-0000-00000E520000}"/>
    <cellStyle name="Dobre 2 13 2 9" xfId="21118" xr:uid="{00000000-0005-0000-0000-00000F520000}"/>
    <cellStyle name="Dobre 2 13 3" xfId="21119" xr:uid="{00000000-0005-0000-0000-000010520000}"/>
    <cellStyle name="Dobre 2 13 3 2" xfId="21120" xr:uid="{00000000-0005-0000-0000-000011520000}"/>
    <cellStyle name="Dobre 2 13 3 2 2" xfId="21121" xr:uid="{00000000-0005-0000-0000-000012520000}"/>
    <cellStyle name="Dobre 2 13 3 2 3" xfId="21122" xr:uid="{00000000-0005-0000-0000-000013520000}"/>
    <cellStyle name="Dobre 2 13 3 2 4" xfId="21123" xr:uid="{00000000-0005-0000-0000-000014520000}"/>
    <cellStyle name="Dobre 2 13 3 2 5" xfId="21124" xr:uid="{00000000-0005-0000-0000-000015520000}"/>
    <cellStyle name="Dobre 2 13 3 2 6" xfId="21125" xr:uid="{00000000-0005-0000-0000-000016520000}"/>
    <cellStyle name="Dobre 2 13 3 3" xfId="21126" xr:uid="{00000000-0005-0000-0000-000017520000}"/>
    <cellStyle name="Dobre 2 13 3 4" xfId="21127" xr:uid="{00000000-0005-0000-0000-000018520000}"/>
    <cellStyle name="Dobre 2 13 3 5" xfId="21128" xr:uid="{00000000-0005-0000-0000-000019520000}"/>
    <cellStyle name="Dobre 2 13 3 6" xfId="21129" xr:uid="{00000000-0005-0000-0000-00001A520000}"/>
    <cellStyle name="Dobre 2 13 3 7" xfId="21130" xr:uid="{00000000-0005-0000-0000-00001B520000}"/>
    <cellStyle name="Dobre 2 13 4" xfId="21131" xr:uid="{00000000-0005-0000-0000-00001C520000}"/>
    <cellStyle name="Dobre 2 13 5" xfId="21132" xr:uid="{00000000-0005-0000-0000-00001D520000}"/>
    <cellStyle name="Dobre 2 13 6" xfId="21133" xr:uid="{00000000-0005-0000-0000-00001E520000}"/>
    <cellStyle name="Dobre 2 13 7" xfId="21134" xr:uid="{00000000-0005-0000-0000-00001F520000}"/>
    <cellStyle name="Dobre 2 13 8" xfId="21135" xr:uid="{00000000-0005-0000-0000-000020520000}"/>
    <cellStyle name="Dobre 2 13 8 2" xfId="21136" xr:uid="{00000000-0005-0000-0000-000021520000}"/>
    <cellStyle name="Dobre 2 13 8 3" xfId="21137" xr:uid="{00000000-0005-0000-0000-000022520000}"/>
    <cellStyle name="Dobre 2 13 8 4" xfId="21138" xr:uid="{00000000-0005-0000-0000-000023520000}"/>
    <cellStyle name="Dobre 2 13 8 5" xfId="21139" xr:uid="{00000000-0005-0000-0000-000024520000}"/>
    <cellStyle name="Dobre 2 13 8 6" xfId="21140" xr:uid="{00000000-0005-0000-0000-000025520000}"/>
    <cellStyle name="Dobre 2 13 9" xfId="21141" xr:uid="{00000000-0005-0000-0000-000026520000}"/>
    <cellStyle name="Dobre 2 14" xfId="21142" xr:uid="{00000000-0005-0000-0000-000027520000}"/>
    <cellStyle name="Dobre 2 14 10" xfId="21143" xr:uid="{00000000-0005-0000-0000-000028520000}"/>
    <cellStyle name="Dobre 2 14 11" xfId="21144" xr:uid="{00000000-0005-0000-0000-000029520000}"/>
    <cellStyle name="Dobre 2 14 2" xfId="21145" xr:uid="{00000000-0005-0000-0000-00002A520000}"/>
    <cellStyle name="Dobre 2 14 2 2" xfId="21146" xr:uid="{00000000-0005-0000-0000-00002B520000}"/>
    <cellStyle name="Dobre 2 14 2 2 2" xfId="21147" xr:uid="{00000000-0005-0000-0000-00002C520000}"/>
    <cellStyle name="Dobre 2 14 2 2 3" xfId="21148" xr:uid="{00000000-0005-0000-0000-00002D520000}"/>
    <cellStyle name="Dobre 2 14 2 2 4" xfId="21149" xr:uid="{00000000-0005-0000-0000-00002E520000}"/>
    <cellStyle name="Dobre 2 14 2 2 5" xfId="21150" xr:uid="{00000000-0005-0000-0000-00002F520000}"/>
    <cellStyle name="Dobre 2 14 2 2 6" xfId="21151" xr:uid="{00000000-0005-0000-0000-000030520000}"/>
    <cellStyle name="Dobre 2 14 2 3" xfId="21152" xr:uid="{00000000-0005-0000-0000-000031520000}"/>
    <cellStyle name="Dobre 2 14 2 4" xfId="21153" xr:uid="{00000000-0005-0000-0000-000032520000}"/>
    <cellStyle name="Dobre 2 14 2 5" xfId="21154" xr:uid="{00000000-0005-0000-0000-000033520000}"/>
    <cellStyle name="Dobre 2 14 2 6" xfId="21155" xr:uid="{00000000-0005-0000-0000-000034520000}"/>
    <cellStyle name="Dobre 2 14 2 7" xfId="21156" xr:uid="{00000000-0005-0000-0000-000035520000}"/>
    <cellStyle name="Dobre 2 14 3" xfId="21157" xr:uid="{00000000-0005-0000-0000-000036520000}"/>
    <cellStyle name="Dobre 2 14 4" xfId="21158" xr:uid="{00000000-0005-0000-0000-000037520000}"/>
    <cellStyle name="Dobre 2 14 5" xfId="21159" xr:uid="{00000000-0005-0000-0000-000038520000}"/>
    <cellStyle name="Dobre 2 14 6" xfId="21160" xr:uid="{00000000-0005-0000-0000-000039520000}"/>
    <cellStyle name="Dobre 2 14 7" xfId="21161" xr:uid="{00000000-0005-0000-0000-00003A520000}"/>
    <cellStyle name="Dobre 2 14 7 2" xfId="21162" xr:uid="{00000000-0005-0000-0000-00003B520000}"/>
    <cellStyle name="Dobre 2 14 7 3" xfId="21163" xr:uid="{00000000-0005-0000-0000-00003C520000}"/>
    <cellStyle name="Dobre 2 14 7 4" xfId="21164" xr:uid="{00000000-0005-0000-0000-00003D520000}"/>
    <cellStyle name="Dobre 2 14 7 5" xfId="21165" xr:uid="{00000000-0005-0000-0000-00003E520000}"/>
    <cellStyle name="Dobre 2 14 7 6" xfId="21166" xr:uid="{00000000-0005-0000-0000-00003F520000}"/>
    <cellStyle name="Dobre 2 14 8" xfId="21167" xr:uid="{00000000-0005-0000-0000-000040520000}"/>
    <cellStyle name="Dobre 2 14 9" xfId="21168" xr:uid="{00000000-0005-0000-0000-000041520000}"/>
    <cellStyle name="Dobre 2 15" xfId="21169" xr:uid="{00000000-0005-0000-0000-000042520000}"/>
    <cellStyle name="Dobre 2 15 2" xfId="21170" xr:uid="{00000000-0005-0000-0000-000043520000}"/>
    <cellStyle name="Dobre 2 15 2 2" xfId="21171" xr:uid="{00000000-0005-0000-0000-000044520000}"/>
    <cellStyle name="Dobre 2 15 2 3" xfId="21172" xr:uid="{00000000-0005-0000-0000-000045520000}"/>
    <cellStyle name="Dobre 2 15 2 4" xfId="21173" xr:uid="{00000000-0005-0000-0000-000046520000}"/>
    <cellStyle name="Dobre 2 15 2 5" xfId="21174" xr:uid="{00000000-0005-0000-0000-000047520000}"/>
    <cellStyle name="Dobre 2 15 2 6" xfId="21175" xr:uid="{00000000-0005-0000-0000-000048520000}"/>
    <cellStyle name="Dobre 2 15 3" xfId="21176" xr:uid="{00000000-0005-0000-0000-000049520000}"/>
    <cellStyle name="Dobre 2 15 4" xfId="21177" xr:uid="{00000000-0005-0000-0000-00004A520000}"/>
    <cellStyle name="Dobre 2 15 5" xfId="21178" xr:uid="{00000000-0005-0000-0000-00004B520000}"/>
    <cellStyle name="Dobre 2 15 6" xfId="21179" xr:uid="{00000000-0005-0000-0000-00004C520000}"/>
    <cellStyle name="Dobre 2 15 7" xfId="21180" xr:uid="{00000000-0005-0000-0000-00004D520000}"/>
    <cellStyle name="Dobre 2 16" xfId="21181" xr:uid="{00000000-0005-0000-0000-00004E520000}"/>
    <cellStyle name="Dobre 2 17" xfId="21182" xr:uid="{00000000-0005-0000-0000-00004F520000}"/>
    <cellStyle name="Dobre 2 18" xfId="21183" xr:uid="{00000000-0005-0000-0000-000050520000}"/>
    <cellStyle name="Dobre 2 19" xfId="21184" xr:uid="{00000000-0005-0000-0000-000051520000}"/>
    <cellStyle name="Dobre 2 2" xfId="21185" xr:uid="{00000000-0005-0000-0000-000052520000}"/>
    <cellStyle name="Dobre 2 20" xfId="21186" xr:uid="{00000000-0005-0000-0000-000053520000}"/>
    <cellStyle name="Dobre 2 21" xfId="21187" xr:uid="{00000000-0005-0000-0000-000054520000}"/>
    <cellStyle name="Dobre 2 21 2" xfId="21188" xr:uid="{00000000-0005-0000-0000-000055520000}"/>
    <cellStyle name="Dobre 2 21 3" xfId="21189" xr:uid="{00000000-0005-0000-0000-000056520000}"/>
    <cellStyle name="Dobre 2 21 4" xfId="21190" xr:uid="{00000000-0005-0000-0000-000057520000}"/>
    <cellStyle name="Dobre 2 21 5" xfId="21191" xr:uid="{00000000-0005-0000-0000-000058520000}"/>
    <cellStyle name="Dobre 2 21 6" xfId="21192" xr:uid="{00000000-0005-0000-0000-000059520000}"/>
    <cellStyle name="Dobre 2 22" xfId="21193" xr:uid="{00000000-0005-0000-0000-00005A520000}"/>
    <cellStyle name="Dobre 2 23" xfId="21194" xr:uid="{00000000-0005-0000-0000-00005B520000}"/>
    <cellStyle name="Dobre 2 24" xfId="21195" xr:uid="{00000000-0005-0000-0000-00005C520000}"/>
    <cellStyle name="Dobre 2 25" xfId="21196" xr:uid="{00000000-0005-0000-0000-00005D520000}"/>
    <cellStyle name="Dobre 2 26" xfId="21197" xr:uid="{00000000-0005-0000-0000-00005E520000}"/>
    <cellStyle name="Dobre 2 27" xfId="21198" xr:uid="{00000000-0005-0000-0000-00005F520000}"/>
    <cellStyle name="Dobre 2 28" xfId="21199" xr:uid="{00000000-0005-0000-0000-000060520000}"/>
    <cellStyle name="Dobre 2 29" xfId="21200" xr:uid="{00000000-0005-0000-0000-000061520000}"/>
    <cellStyle name="Dobre 2 3" xfId="21201" xr:uid="{00000000-0005-0000-0000-000062520000}"/>
    <cellStyle name="Dobre 2 30" xfId="21202" xr:uid="{00000000-0005-0000-0000-000063520000}"/>
    <cellStyle name="Dobre 2 31" xfId="21203" xr:uid="{00000000-0005-0000-0000-000064520000}"/>
    <cellStyle name="Dobre 2 32" xfId="21058" xr:uid="{00000000-0005-0000-0000-000065520000}"/>
    <cellStyle name="Dobre 2 33" xfId="37843" xr:uid="{00000000-0005-0000-0000-000066520000}"/>
    <cellStyle name="Dobre 2 4" xfId="21204" xr:uid="{00000000-0005-0000-0000-000067520000}"/>
    <cellStyle name="Dobre 2 5" xfId="21205" xr:uid="{00000000-0005-0000-0000-000068520000}"/>
    <cellStyle name="Dobre 2 6" xfId="21206" xr:uid="{00000000-0005-0000-0000-000069520000}"/>
    <cellStyle name="Dobre 2 6 10" xfId="21207" xr:uid="{00000000-0005-0000-0000-00006A520000}"/>
    <cellStyle name="Dobre 2 6 11" xfId="21208" xr:uid="{00000000-0005-0000-0000-00006B520000}"/>
    <cellStyle name="Dobre 2 6 12" xfId="21209" xr:uid="{00000000-0005-0000-0000-00006C520000}"/>
    <cellStyle name="Dobre 2 6 13" xfId="21210" xr:uid="{00000000-0005-0000-0000-00006D520000}"/>
    <cellStyle name="Dobre 2 6 2" xfId="21211" xr:uid="{00000000-0005-0000-0000-00006E520000}"/>
    <cellStyle name="Dobre 2 6 2 10" xfId="21212" xr:uid="{00000000-0005-0000-0000-00006F520000}"/>
    <cellStyle name="Dobre 2 6 2 11" xfId="21213" xr:uid="{00000000-0005-0000-0000-000070520000}"/>
    <cellStyle name="Dobre 2 6 2 12" xfId="21214" xr:uid="{00000000-0005-0000-0000-000071520000}"/>
    <cellStyle name="Dobre 2 6 2 2" xfId="21215" xr:uid="{00000000-0005-0000-0000-000072520000}"/>
    <cellStyle name="Dobre 2 6 2 2 10" xfId="21216" xr:uid="{00000000-0005-0000-0000-000073520000}"/>
    <cellStyle name="Dobre 2 6 2 2 11" xfId="21217" xr:uid="{00000000-0005-0000-0000-000074520000}"/>
    <cellStyle name="Dobre 2 6 2 2 2" xfId="21218" xr:uid="{00000000-0005-0000-0000-000075520000}"/>
    <cellStyle name="Dobre 2 6 2 2 2 10" xfId="21219" xr:uid="{00000000-0005-0000-0000-000076520000}"/>
    <cellStyle name="Dobre 2 6 2 2 2 11" xfId="21220" xr:uid="{00000000-0005-0000-0000-000077520000}"/>
    <cellStyle name="Dobre 2 6 2 2 2 2" xfId="21221" xr:uid="{00000000-0005-0000-0000-000078520000}"/>
    <cellStyle name="Dobre 2 6 2 2 2 2 2" xfId="21222" xr:uid="{00000000-0005-0000-0000-000079520000}"/>
    <cellStyle name="Dobre 2 6 2 2 2 2 2 2" xfId="21223" xr:uid="{00000000-0005-0000-0000-00007A520000}"/>
    <cellStyle name="Dobre 2 6 2 2 2 2 2 3" xfId="21224" xr:uid="{00000000-0005-0000-0000-00007B520000}"/>
    <cellStyle name="Dobre 2 6 2 2 2 2 2 4" xfId="21225" xr:uid="{00000000-0005-0000-0000-00007C520000}"/>
    <cellStyle name="Dobre 2 6 2 2 2 2 2 5" xfId="21226" xr:uid="{00000000-0005-0000-0000-00007D520000}"/>
    <cellStyle name="Dobre 2 6 2 2 2 2 2 6" xfId="21227" xr:uid="{00000000-0005-0000-0000-00007E520000}"/>
    <cellStyle name="Dobre 2 6 2 2 2 2 3" xfId="21228" xr:uid="{00000000-0005-0000-0000-00007F520000}"/>
    <cellStyle name="Dobre 2 6 2 2 2 2 4" xfId="21229" xr:uid="{00000000-0005-0000-0000-000080520000}"/>
    <cellStyle name="Dobre 2 6 2 2 2 2 5" xfId="21230" xr:uid="{00000000-0005-0000-0000-000081520000}"/>
    <cellStyle name="Dobre 2 6 2 2 2 2 6" xfId="21231" xr:uid="{00000000-0005-0000-0000-000082520000}"/>
    <cellStyle name="Dobre 2 6 2 2 2 2 7" xfId="21232" xr:uid="{00000000-0005-0000-0000-000083520000}"/>
    <cellStyle name="Dobre 2 6 2 2 2 3" xfId="21233" xr:uid="{00000000-0005-0000-0000-000084520000}"/>
    <cellStyle name="Dobre 2 6 2 2 2 4" xfId="21234" xr:uid="{00000000-0005-0000-0000-000085520000}"/>
    <cellStyle name="Dobre 2 6 2 2 2 5" xfId="21235" xr:uid="{00000000-0005-0000-0000-000086520000}"/>
    <cellStyle name="Dobre 2 6 2 2 2 6" xfId="21236" xr:uid="{00000000-0005-0000-0000-000087520000}"/>
    <cellStyle name="Dobre 2 6 2 2 2 7" xfId="21237" xr:uid="{00000000-0005-0000-0000-000088520000}"/>
    <cellStyle name="Dobre 2 6 2 2 2 7 2" xfId="21238" xr:uid="{00000000-0005-0000-0000-000089520000}"/>
    <cellStyle name="Dobre 2 6 2 2 2 7 3" xfId="21239" xr:uid="{00000000-0005-0000-0000-00008A520000}"/>
    <cellStyle name="Dobre 2 6 2 2 2 7 4" xfId="21240" xr:uid="{00000000-0005-0000-0000-00008B520000}"/>
    <cellStyle name="Dobre 2 6 2 2 2 7 5" xfId="21241" xr:uid="{00000000-0005-0000-0000-00008C520000}"/>
    <cellStyle name="Dobre 2 6 2 2 2 7 6" xfId="21242" xr:uid="{00000000-0005-0000-0000-00008D520000}"/>
    <cellStyle name="Dobre 2 6 2 2 2 8" xfId="21243" xr:uid="{00000000-0005-0000-0000-00008E520000}"/>
    <cellStyle name="Dobre 2 6 2 2 2 9" xfId="21244" xr:uid="{00000000-0005-0000-0000-00008F520000}"/>
    <cellStyle name="Dobre 2 6 2 2 3" xfId="21245" xr:uid="{00000000-0005-0000-0000-000090520000}"/>
    <cellStyle name="Dobre 2 6 2 2 3 2" xfId="21246" xr:uid="{00000000-0005-0000-0000-000091520000}"/>
    <cellStyle name="Dobre 2 6 2 2 3 2 2" xfId="21247" xr:uid="{00000000-0005-0000-0000-000092520000}"/>
    <cellStyle name="Dobre 2 6 2 2 3 2 3" xfId="21248" xr:uid="{00000000-0005-0000-0000-000093520000}"/>
    <cellStyle name="Dobre 2 6 2 2 3 2 4" xfId="21249" xr:uid="{00000000-0005-0000-0000-000094520000}"/>
    <cellStyle name="Dobre 2 6 2 2 3 2 5" xfId="21250" xr:uid="{00000000-0005-0000-0000-000095520000}"/>
    <cellStyle name="Dobre 2 6 2 2 3 2 6" xfId="21251" xr:uid="{00000000-0005-0000-0000-000096520000}"/>
    <cellStyle name="Dobre 2 6 2 2 3 3" xfId="21252" xr:uid="{00000000-0005-0000-0000-000097520000}"/>
    <cellStyle name="Dobre 2 6 2 2 3 4" xfId="21253" xr:uid="{00000000-0005-0000-0000-000098520000}"/>
    <cellStyle name="Dobre 2 6 2 2 3 5" xfId="21254" xr:uid="{00000000-0005-0000-0000-000099520000}"/>
    <cellStyle name="Dobre 2 6 2 2 3 6" xfId="21255" xr:uid="{00000000-0005-0000-0000-00009A520000}"/>
    <cellStyle name="Dobre 2 6 2 2 3 7" xfId="21256" xr:uid="{00000000-0005-0000-0000-00009B520000}"/>
    <cellStyle name="Dobre 2 6 2 2 4" xfId="21257" xr:uid="{00000000-0005-0000-0000-00009C520000}"/>
    <cellStyle name="Dobre 2 6 2 2 5" xfId="21258" xr:uid="{00000000-0005-0000-0000-00009D520000}"/>
    <cellStyle name="Dobre 2 6 2 2 6" xfId="21259" xr:uid="{00000000-0005-0000-0000-00009E520000}"/>
    <cellStyle name="Dobre 2 6 2 2 7" xfId="21260" xr:uid="{00000000-0005-0000-0000-00009F520000}"/>
    <cellStyle name="Dobre 2 6 2 2 7 2" xfId="21261" xr:uid="{00000000-0005-0000-0000-0000A0520000}"/>
    <cellStyle name="Dobre 2 6 2 2 7 3" xfId="21262" xr:uid="{00000000-0005-0000-0000-0000A1520000}"/>
    <cellStyle name="Dobre 2 6 2 2 7 4" xfId="21263" xr:uid="{00000000-0005-0000-0000-0000A2520000}"/>
    <cellStyle name="Dobre 2 6 2 2 7 5" xfId="21264" xr:uid="{00000000-0005-0000-0000-0000A3520000}"/>
    <cellStyle name="Dobre 2 6 2 2 7 6" xfId="21265" xr:uid="{00000000-0005-0000-0000-0000A4520000}"/>
    <cellStyle name="Dobre 2 6 2 2 8" xfId="21266" xr:uid="{00000000-0005-0000-0000-0000A5520000}"/>
    <cellStyle name="Dobre 2 6 2 2 9" xfId="21267" xr:uid="{00000000-0005-0000-0000-0000A6520000}"/>
    <cellStyle name="Dobre 2 6 2 3" xfId="21268" xr:uid="{00000000-0005-0000-0000-0000A7520000}"/>
    <cellStyle name="Dobre 2 6 2 3 2" xfId="21269" xr:uid="{00000000-0005-0000-0000-0000A8520000}"/>
    <cellStyle name="Dobre 2 6 2 3 2 2" xfId="21270" xr:uid="{00000000-0005-0000-0000-0000A9520000}"/>
    <cellStyle name="Dobre 2 6 2 3 2 3" xfId="21271" xr:uid="{00000000-0005-0000-0000-0000AA520000}"/>
    <cellStyle name="Dobre 2 6 2 3 2 4" xfId="21272" xr:uid="{00000000-0005-0000-0000-0000AB520000}"/>
    <cellStyle name="Dobre 2 6 2 3 2 5" xfId="21273" xr:uid="{00000000-0005-0000-0000-0000AC520000}"/>
    <cellStyle name="Dobre 2 6 2 3 2 6" xfId="21274" xr:uid="{00000000-0005-0000-0000-0000AD520000}"/>
    <cellStyle name="Dobre 2 6 2 3 3" xfId="21275" xr:uid="{00000000-0005-0000-0000-0000AE520000}"/>
    <cellStyle name="Dobre 2 6 2 3 4" xfId="21276" xr:uid="{00000000-0005-0000-0000-0000AF520000}"/>
    <cellStyle name="Dobre 2 6 2 3 5" xfId="21277" xr:uid="{00000000-0005-0000-0000-0000B0520000}"/>
    <cellStyle name="Dobre 2 6 2 3 6" xfId="21278" xr:uid="{00000000-0005-0000-0000-0000B1520000}"/>
    <cellStyle name="Dobre 2 6 2 3 7" xfId="21279" xr:uid="{00000000-0005-0000-0000-0000B2520000}"/>
    <cellStyle name="Dobre 2 6 2 4" xfId="21280" xr:uid="{00000000-0005-0000-0000-0000B3520000}"/>
    <cellStyle name="Dobre 2 6 2 5" xfId="21281" xr:uid="{00000000-0005-0000-0000-0000B4520000}"/>
    <cellStyle name="Dobre 2 6 2 6" xfId="21282" xr:uid="{00000000-0005-0000-0000-0000B5520000}"/>
    <cellStyle name="Dobre 2 6 2 7" xfId="21283" xr:uid="{00000000-0005-0000-0000-0000B6520000}"/>
    <cellStyle name="Dobre 2 6 2 8" xfId="21284" xr:uid="{00000000-0005-0000-0000-0000B7520000}"/>
    <cellStyle name="Dobre 2 6 2 8 2" xfId="21285" xr:uid="{00000000-0005-0000-0000-0000B8520000}"/>
    <cellStyle name="Dobre 2 6 2 8 3" xfId="21286" xr:uid="{00000000-0005-0000-0000-0000B9520000}"/>
    <cellStyle name="Dobre 2 6 2 8 4" xfId="21287" xr:uid="{00000000-0005-0000-0000-0000BA520000}"/>
    <cellStyle name="Dobre 2 6 2 8 5" xfId="21288" xr:uid="{00000000-0005-0000-0000-0000BB520000}"/>
    <cellStyle name="Dobre 2 6 2 8 6" xfId="21289" xr:uid="{00000000-0005-0000-0000-0000BC520000}"/>
    <cellStyle name="Dobre 2 6 2 9" xfId="21290" xr:uid="{00000000-0005-0000-0000-0000BD520000}"/>
    <cellStyle name="Dobre 2 6 3" xfId="21291" xr:uid="{00000000-0005-0000-0000-0000BE520000}"/>
    <cellStyle name="Dobre 2 6 4" xfId="21292" xr:uid="{00000000-0005-0000-0000-0000BF520000}"/>
    <cellStyle name="Dobre 2 6 4 10" xfId="21293" xr:uid="{00000000-0005-0000-0000-0000C0520000}"/>
    <cellStyle name="Dobre 2 6 4 11" xfId="21294" xr:uid="{00000000-0005-0000-0000-0000C1520000}"/>
    <cellStyle name="Dobre 2 6 4 2" xfId="21295" xr:uid="{00000000-0005-0000-0000-0000C2520000}"/>
    <cellStyle name="Dobre 2 6 4 2 2" xfId="21296" xr:uid="{00000000-0005-0000-0000-0000C3520000}"/>
    <cellStyle name="Dobre 2 6 4 2 2 2" xfId="21297" xr:uid="{00000000-0005-0000-0000-0000C4520000}"/>
    <cellStyle name="Dobre 2 6 4 2 2 3" xfId="21298" xr:uid="{00000000-0005-0000-0000-0000C5520000}"/>
    <cellStyle name="Dobre 2 6 4 2 2 4" xfId="21299" xr:uid="{00000000-0005-0000-0000-0000C6520000}"/>
    <cellStyle name="Dobre 2 6 4 2 2 5" xfId="21300" xr:uid="{00000000-0005-0000-0000-0000C7520000}"/>
    <cellStyle name="Dobre 2 6 4 2 2 6" xfId="21301" xr:uid="{00000000-0005-0000-0000-0000C8520000}"/>
    <cellStyle name="Dobre 2 6 4 2 3" xfId="21302" xr:uid="{00000000-0005-0000-0000-0000C9520000}"/>
    <cellStyle name="Dobre 2 6 4 2 4" xfId="21303" xr:uid="{00000000-0005-0000-0000-0000CA520000}"/>
    <cellStyle name="Dobre 2 6 4 2 5" xfId="21304" xr:uid="{00000000-0005-0000-0000-0000CB520000}"/>
    <cellStyle name="Dobre 2 6 4 2 6" xfId="21305" xr:uid="{00000000-0005-0000-0000-0000CC520000}"/>
    <cellStyle name="Dobre 2 6 4 2 7" xfId="21306" xr:uid="{00000000-0005-0000-0000-0000CD520000}"/>
    <cellStyle name="Dobre 2 6 4 3" xfId="21307" xr:uid="{00000000-0005-0000-0000-0000CE520000}"/>
    <cellStyle name="Dobre 2 6 4 4" xfId="21308" xr:uid="{00000000-0005-0000-0000-0000CF520000}"/>
    <cellStyle name="Dobre 2 6 4 5" xfId="21309" xr:uid="{00000000-0005-0000-0000-0000D0520000}"/>
    <cellStyle name="Dobre 2 6 4 6" xfId="21310" xr:uid="{00000000-0005-0000-0000-0000D1520000}"/>
    <cellStyle name="Dobre 2 6 4 7" xfId="21311" xr:uid="{00000000-0005-0000-0000-0000D2520000}"/>
    <cellStyle name="Dobre 2 6 4 7 2" xfId="21312" xr:uid="{00000000-0005-0000-0000-0000D3520000}"/>
    <cellStyle name="Dobre 2 6 4 7 3" xfId="21313" xr:uid="{00000000-0005-0000-0000-0000D4520000}"/>
    <cellStyle name="Dobre 2 6 4 7 4" xfId="21314" xr:uid="{00000000-0005-0000-0000-0000D5520000}"/>
    <cellStyle name="Dobre 2 6 4 7 5" xfId="21315" xr:uid="{00000000-0005-0000-0000-0000D6520000}"/>
    <cellStyle name="Dobre 2 6 4 7 6" xfId="21316" xr:uid="{00000000-0005-0000-0000-0000D7520000}"/>
    <cellStyle name="Dobre 2 6 4 8" xfId="21317" xr:uid="{00000000-0005-0000-0000-0000D8520000}"/>
    <cellStyle name="Dobre 2 6 4 9" xfId="21318" xr:uid="{00000000-0005-0000-0000-0000D9520000}"/>
    <cellStyle name="Dobre 2 6 5" xfId="21319" xr:uid="{00000000-0005-0000-0000-0000DA520000}"/>
    <cellStyle name="Dobre 2 6 5 2" xfId="21320" xr:uid="{00000000-0005-0000-0000-0000DB520000}"/>
    <cellStyle name="Dobre 2 6 5 2 2" xfId="21321" xr:uid="{00000000-0005-0000-0000-0000DC520000}"/>
    <cellStyle name="Dobre 2 6 5 2 3" xfId="21322" xr:uid="{00000000-0005-0000-0000-0000DD520000}"/>
    <cellStyle name="Dobre 2 6 5 2 4" xfId="21323" xr:uid="{00000000-0005-0000-0000-0000DE520000}"/>
    <cellStyle name="Dobre 2 6 5 2 5" xfId="21324" xr:uid="{00000000-0005-0000-0000-0000DF520000}"/>
    <cellStyle name="Dobre 2 6 5 2 6" xfId="21325" xr:uid="{00000000-0005-0000-0000-0000E0520000}"/>
    <cellStyle name="Dobre 2 6 5 3" xfId="21326" xr:uid="{00000000-0005-0000-0000-0000E1520000}"/>
    <cellStyle name="Dobre 2 6 5 4" xfId="21327" xr:uid="{00000000-0005-0000-0000-0000E2520000}"/>
    <cellStyle name="Dobre 2 6 5 5" xfId="21328" xr:uid="{00000000-0005-0000-0000-0000E3520000}"/>
    <cellStyle name="Dobre 2 6 5 6" xfId="21329" xr:uid="{00000000-0005-0000-0000-0000E4520000}"/>
    <cellStyle name="Dobre 2 6 5 7" xfId="21330" xr:uid="{00000000-0005-0000-0000-0000E5520000}"/>
    <cellStyle name="Dobre 2 6 6" xfId="21331" xr:uid="{00000000-0005-0000-0000-0000E6520000}"/>
    <cellStyle name="Dobre 2 6 7" xfId="21332" xr:uid="{00000000-0005-0000-0000-0000E7520000}"/>
    <cellStyle name="Dobre 2 6 8" xfId="21333" xr:uid="{00000000-0005-0000-0000-0000E8520000}"/>
    <cellStyle name="Dobre 2 6 9" xfId="21334" xr:uid="{00000000-0005-0000-0000-0000E9520000}"/>
    <cellStyle name="Dobre 2 6 9 2" xfId="21335" xr:uid="{00000000-0005-0000-0000-0000EA520000}"/>
    <cellStyle name="Dobre 2 6 9 3" xfId="21336" xr:uid="{00000000-0005-0000-0000-0000EB520000}"/>
    <cellStyle name="Dobre 2 6 9 4" xfId="21337" xr:uid="{00000000-0005-0000-0000-0000EC520000}"/>
    <cellStyle name="Dobre 2 6 9 5" xfId="21338" xr:uid="{00000000-0005-0000-0000-0000ED520000}"/>
    <cellStyle name="Dobre 2 6 9 6" xfId="21339" xr:uid="{00000000-0005-0000-0000-0000EE520000}"/>
    <cellStyle name="Dobre 2 7" xfId="21340" xr:uid="{00000000-0005-0000-0000-0000EF520000}"/>
    <cellStyle name="Dobre 2 8" xfId="21341" xr:uid="{00000000-0005-0000-0000-0000F0520000}"/>
    <cellStyle name="Dobre 2 9" xfId="21342" xr:uid="{00000000-0005-0000-0000-0000F1520000}"/>
    <cellStyle name="Dobre 3" xfId="246" xr:uid="{00000000-0005-0000-0000-0000F2520000}"/>
    <cellStyle name="Dobre 3 2" xfId="21343" xr:uid="{00000000-0005-0000-0000-0000F3520000}"/>
    <cellStyle name="Dobre 4" xfId="247" xr:uid="{00000000-0005-0000-0000-0000F4520000}"/>
    <cellStyle name="Dobre 4 2" xfId="21344" xr:uid="{00000000-0005-0000-0000-0000F5520000}"/>
    <cellStyle name="Dobre 5" xfId="248" xr:uid="{00000000-0005-0000-0000-0000F6520000}"/>
    <cellStyle name="Dobre 5 2" xfId="21345" xr:uid="{00000000-0005-0000-0000-0000F7520000}"/>
    <cellStyle name="Dobre 6" xfId="249" xr:uid="{00000000-0005-0000-0000-0000F8520000}"/>
    <cellStyle name="Dobre 6 2" xfId="21346" xr:uid="{00000000-0005-0000-0000-0000F9520000}"/>
    <cellStyle name="Dobre 7" xfId="250" xr:uid="{00000000-0005-0000-0000-0000FA520000}"/>
    <cellStyle name="Dobre 7 2" xfId="21347" xr:uid="{00000000-0005-0000-0000-0000FB520000}"/>
    <cellStyle name="Dobre 8" xfId="21348" xr:uid="{00000000-0005-0000-0000-0000FC520000}"/>
    <cellStyle name="Dobre 9" xfId="21349" xr:uid="{00000000-0005-0000-0000-0000FD520000}"/>
    <cellStyle name="Dobre 9 2" xfId="21350" xr:uid="{00000000-0005-0000-0000-0000FE520000}"/>
    <cellStyle name="Dobre 9 3" xfId="21351" xr:uid="{00000000-0005-0000-0000-0000FF520000}"/>
    <cellStyle name="Dziesiętny 2" xfId="251" xr:uid="{00000000-0005-0000-0000-000000530000}"/>
    <cellStyle name="Dziesiętny 2 10" xfId="21352" xr:uid="{00000000-0005-0000-0000-000001530000}"/>
    <cellStyle name="Dziesiętny 2 11" xfId="21353" xr:uid="{00000000-0005-0000-0000-000002530000}"/>
    <cellStyle name="Dziesiętny 2 12" xfId="383" xr:uid="{00000000-0005-0000-0000-000003530000}"/>
    <cellStyle name="Dziesiętny 2 13" xfId="38707" xr:uid="{0579644C-DA68-4552-B9A2-36B168D4FAFB}"/>
    <cellStyle name="Dziesiętny 2 2" xfId="21354" xr:uid="{00000000-0005-0000-0000-000004530000}"/>
    <cellStyle name="Dziesiętny 2 2 2" xfId="21355" xr:uid="{00000000-0005-0000-0000-000005530000}"/>
    <cellStyle name="Dziesiętny 2 2 2 2" xfId="21356" xr:uid="{00000000-0005-0000-0000-000006530000}"/>
    <cellStyle name="Dziesiętny 2 2 2 3" xfId="21357" xr:uid="{00000000-0005-0000-0000-000007530000}"/>
    <cellStyle name="Dziesiętny 2 2 3" xfId="21358" xr:uid="{00000000-0005-0000-0000-000008530000}"/>
    <cellStyle name="Dziesiętny 2 2 4" xfId="21359" xr:uid="{00000000-0005-0000-0000-000009530000}"/>
    <cellStyle name="Dziesiętny 2 2 5" xfId="21360" xr:uid="{00000000-0005-0000-0000-00000A530000}"/>
    <cellStyle name="Dziesiętny 2 2 6" xfId="21361" xr:uid="{00000000-0005-0000-0000-00000B530000}"/>
    <cellStyle name="Dziesiętny 2 2 7" xfId="21362" xr:uid="{00000000-0005-0000-0000-00000C530000}"/>
    <cellStyle name="Dziesiętny 2 2 8" xfId="21363" xr:uid="{00000000-0005-0000-0000-00000D530000}"/>
    <cellStyle name="Dziesiętny 2 2 9" xfId="21364" xr:uid="{00000000-0005-0000-0000-00000E530000}"/>
    <cellStyle name="Dziesiętny 2 3" xfId="21365" xr:uid="{00000000-0005-0000-0000-00000F530000}"/>
    <cellStyle name="Dziesiętny 2 3 2" xfId="21366" xr:uid="{00000000-0005-0000-0000-000010530000}"/>
    <cellStyle name="Dziesiętny 2 3 3" xfId="21367" xr:uid="{00000000-0005-0000-0000-000011530000}"/>
    <cellStyle name="Dziesiętny 2 3 4" xfId="21368" xr:uid="{00000000-0005-0000-0000-000012530000}"/>
    <cellStyle name="Dziesiętny 2 4" xfId="21369" xr:uid="{00000000-0005-0000-0000-000013530000}"/>
    <cellStyle name="Dziesiętny 2 4 2" xfId="21370" xr:uid="{00000000-0005-0000-0000-000014530000}"/>
    <cellStyle name="Dziesiętny 2 4 3" xfId="21371" xr:uid="{00000000-0005-0000-0000-000015530000}"/>
    <cellStyle name="Dziesiętny 2 4 4" xfId="21372" xr:uid="{00000000-0005-0000-0000-000016530000}"/>
    <cellStyle name="Dziesiętny 2 5" xfId="21373" xr:uid="{00000000-0005-0000-0000-000017530000}"/>
    <cellStyle name="Dziesiętny 2 5 2" xfId="21374" xr:uid="{00000000-0005-0000-0000-000018530000}"/>
    <cellStyle name="Dziesiętny 2 5 3" xfId="21375" xr:uid="{00000000-0005-0000-0000-000019530000}"/>
    <cellStyle name="Dziesiętny 2 5 4" xfId="21376" xr:uid="{00000000-0005-0000-0000-00001A530000}"/>
    <cellStyle name="Dziesiętny 2 6" xfId="21377" xr:uid="{00000000-0005-0000-0000-00001B530000}"/>
    <cellStyle name="Dziesiętny 2 6 2" xfId="21378" xr:uid="{00000000-0005-0000-0000-00001C530000}"/>
    <cellStyle name="Dziesiętny 2 6 3" xfId="21379" xr:uid="{00000000-0005-0000-0000-00001D530000}"/>
    <cellStyle name="Dziesiętny 2 6 4" xfId="21380" xr:uid="{00000000-0005-0000-0000-00001E530000}"/>
    <cellStyle name="Dziesiętny 2 7" xfId="21381" xr:uid="{00000000-0005-0000-0000-00001F530000}"/>
    <cellStyle name="Dziesiętny 2 7 2" xfId="21382" xr:uid="{00000000-0005-0000-0000-000020530000}"/>
    <cellStyle name="Dziesiętny 2 7 3" xfId="21383" xr:uid="{00000000-0005-0000-0000-000021530000}"/>
    <cellStyle name="Dziesiętny 2 7 4" xfId="21384" xr:uid="{00000000-0005-0000-0000-000022530000}"/>
    <cellStyle name="Dziesiętny 2 8" xfId="21385" xr:uid="{00000000-0005-0000-0000-000023530000}"/>
    <cellStyle name="Dziesiętny 2 8 2" xfId="21386" xr:uid="{00000000-0005-0000-0000-000024530000}"/>
    <cellStyle name="Dziesiętny 2 8 3" xfId="21387" xr:uid="{00000000-0005-0000-0000-000025530000}"/>
    <cellStyle name="Dziesiętny 2 8 4" xfId="21388" xr:uid="{00000000-0005-0000-0000-000026530000}"/>
    <cellStyle name="Dziesiętny 2 9" xfId="21389" xr:uid="{00000000-0005-0000-0000-000027530000}"/>
    <cellStyle name="Dziesiętny 3" xfId="21390" xr:uid="{00000000-0005-0000-0000-000028530000}"/>
    <cellStyle name="Dziesiętny 3 2" xfId="21391" xr:uid="{00000000-0005-0000-0000-000029530000}"/>
    <cellStyle name="Dziesiętny 3 3" xfId="21392" xr:uid="{00000000-0005-0000-0000-00002A530000}"/>
    <cellStyle name="Dziesiętny 3 4" xfId="21393" xr:uid="{00000000-0005-0000-0000-00002B530000}"/>
    <cellStyle name="Dziesiętny 4" xfId="21394" xr:uid="{00000000-0005-0000-0000-00002C530000}"/>
    <cellStyle name="Dziesiętny 4 2" xfId="21395" xr:uid="{00000000-0005-0000-0000-00002D530000}"/>
    <cellStyle name="Dziesiętny 5" xfId="21396" xr:uid="{00000000-0005-0000-0000-00002E530000}"/>
    <cellStyle name="Dziesiętny 5 2" xfId="21397" xr:uid="{00000000-0005-0000-0000-00002F530000}"/>
    <cellStyle name="Dziesiętny 6" xfId="37814" xr:uid="{00000000-0005-0000-0000-000030530000}"/>
    <cellStyle name="Dziesiętny 7" xfId="38635" xr:uid="{00000000-0005-0000-0000-000031530000}"/>
    <cellStyle name="Dziesiętny 8" xfId="38701" xr:uid="{F2B06ED4-DEDB-4A23-B9CD-0B37809955D5}"/>
    <cellStyle name="Encabezado 4" xfId="21398" xr:uid="{00000000-0005-0000-0000-000032530000}"/>
    <cellStyle name="Énfasis1" xfId="21399" xr:uid="{00000000-0005-0000-0000-000033530000}"/>
    <cellStyle name="Énfasis2" xfId="21400" xr:uid="{00000000-0005-0000-0000-000034530000}"/>
    <cellStyle name="Énfasis3" xfId="21401" xr:uid="{00000000-0005-0000-0000-000035530000}"/>
    <cellStyle name="Énfasis4" xfId="21402" xr:uid="{00000000-0005-0000-0000-000036530000}"/>
    <cellStyle name="Énfasis5" xfId="21403" xr:uid="{00000000-0005-0000-0000-000037530000}"/>
    <cellStyle name="Énfasis6" xfId="21404" xr:uid="{00000000-0005-0000-0000-000038530000}"/>
    <cellStyle name="Entrada" xfId="21405" xr:uid="{00000000-0005-0000-0000-000039530000}"/>
    <cellStyle name="Entrada 2" xfId="21406" xr:uid="{00000000-0005-0000-0000-00003A530000}"/>
    <cellStyle name="Euro" xfId="252" xr:uid="{00000000-0005-0000-0000-00003B530000}"/>
    <cellStyle name="Euro 2" xfId="21407" xr:uid="{00000000-0005-0000-0000-00003C530000}"/>
    <cellStyle name="Excel Built-in Normal" xfId="21408" xr:uid="{00000000-0005-0000-0000-00003D530000}"/>
    <cellStyle name="Excel Built-in Normal 2" xfId="21409" xr:uid="{00000000-0005-0000-0000-00003E530000}"/>
    <cellStyle name="Excel Built-in Normal 3" xfId="21410" xr:uid="{00000000-0005-0000-0000-00003F530000}"/>
    <cellStyle name="Excel Built-in Normal 4" xfId="21411" xr:uid="{00000000-0005-0000-0000-000040530000}"/>
    <cellStyle name="Excel Built-in Normal 5" xfId="21412" xr:uid="{00000000-0005-0000-0000-000041530000}"/>
    <cellStyle name="Excel Built-in Normal 6" xfId="21413" xr:uid="{00000000-0005-0000-0000-000042530000}"/>
    <cellStyle name="Explanatory Text" xfId="21414" xr:uid="{00000000-0005-0000-0000-000043530000}"/>
    <cellStyle name="Explanatory Text 2" xfId="21415" xr:uid="{00000000-0005-0000-0000-000044530000}"/>
    <cellStyle name="Explanatory Text 3" xfId="21416" xr:uid="{00000000-0005-0000-0000-000045530000}"/>
    <cellStyle name="Explanatory Text 4" xfId="21417" xr:uid="{00000000-0005-0000-0000-000046530000}"/>
    <cellStyle name="Explanatory Text 5" xfId="21418" xr:uid="{00000000-0005-0000-0000-000047530000}"/>
    <cellStyle name="Explanatory Text 6" xfId="21419" xr:uid="{00000000-0005-0000-0000-000048530000}"/>
    <cellStyle name="Explanatory Text 7" xfId="21420" xr:uid="{00000000-0005-0000-0000-000049530000}"/>
    <cellStyle name="Explanatory Text 8" xfId="21421" xr:uid="{00000000-0005-0000-0000-00004A530000}"/>
    <cellStyle name="Explanatory Text 9" xfId="21422" xr:uid="{00000000-0005-0000-0000-00004B530000}"/>
    <cellStyle name="Explanatory Text_PGE Rzeszów Budget" xfId="38668" xr:uid="{E1811143-086E-46BE-973A-4E4AA4D05B58}"/>
    <cellStyle name="Good" xfId="21423" xr:uid="{00000000-0005-0000-0000-00004C530000}"/>
    <cellStyle name="Good 2" xfId="21424" xr:uid="{00000000-0005-0000-0000-00004D530000}"/>
    <cellStyle name="Good 3" xfId="21425" xr:uid="{00000000-0005-0000-0000-00004E530000}"/>
    <cellStyle name="Good 4" xfId="21426" xr:uid="{00000000-0005-0000-0000-00004F530000}"/>
    <cellStyle name="Good 5" xfId="21427" xr:uid="{00000000-0005-0000-0000-000050530000}"/>
    <cellStyle name="Good 6" xfId="21428" xr:uid="{00000000-0005-0000-0000-000051530000}"/>
    <cellStyle name="Good 7" xfId="21429" xr:uid="{00000000-0005-0000-0000-000052530000}"/>
    <cellStyle name="Good 8" xfId="21430" xr:uid="{00000000-0005-0000-0000-000053530000}"/>
    <cellStyle name="Good 9" xfId="21431" xr:uid="{00000000-0005-0000-0000-000054530000}"/>
    <cellStyle name="Good_PGE Rzeszów Budget" xfId="38669" xr:uid="{32C3B1E4-8557-4F38-A4F7-1A9439B87674}"/>
    <cellStyle name="Grey" xfId="21432" xr:uid="{00000000-0005-0000-0000-000055530000}"/>
    <cellStyle name="Heading 1" xfId="21433" xr:uid="{00000000-0005-0000-0000-000056530000}"/>
    <cellStyle name="Heading 1 2" xfId="21434" xr:uid="{00000000-0005-0000-0000-000057530000}"/>
    <cellStyle name="Heading 1 3" xfId="21435" xr:uid="{00000000-0005-0000-0000-000058530000}"/>
    <cellStyle name="Heading 1 4" xfId="21436" xr:uid="{00000000-0005-0000-0000-000059530000}"/>
    <cellStyle name="Heading 1 5" xfId="21437" xr:uid="{00000000-0005-0000-0000-00005A530000}"/>
    <cellStyle name="Heading 1 6" xfId="21438" xr:uid="{00000000-0005-0000-0000-00005B530000}"/>
    <cellStyle name="Heading 1 7" xfId="21439" xr:uid="{00000000-0005-0000-0000-00005C530000}"/>
    <cellStyle name="Heading 1 8" xfId="21440" xr:uid="{00000000-0005-0000-0000-00005D530000}"/>
    <cellStyle name="Heading 1 9" xfId="21441" xr:uid="{00000000-0005-0000-0000-00005E530000}"/>
    <cellStyle name="Heading 1_PGE Rzeszów Budget" xfId="38670" xr:uid="{CC34F794-DD46-4FB5-A8DA-AD38C7CA00B0}"/>
    <cellStyle name="Heading 2" xfId="21442" xr:uid="{00000000-0005-0000-0000-00005F530000}"/>
    <cellStyle name="Heading 2 2" xfId="21443" xr:uid="{00000000-0005-0000-0000-000060530000}"/>
    <cellStyle name="Heading 2 3" xfId="21444" xr:uid="{00000000-0005-0000-0000-000061530000}"/>
    <cellStyle name="Heading 2 4" xfId="21445" xr:uid="{00000000-0005-0000-0000-000062530000}"/>
    <cellStyle name="Heading 2 5" xfId="21446" xr:uid="{00000000-0005-0000-0000-000063530000}"/>
    <cellStyle name="Heading 2 6" xfId="21447" xr:uid="{00000000-0005-0000-0000-000064530000}"/>
    <cellStyle name="Heading 2 7" xfId="21448" xr:uid="{00000000-0005-0000-0000-000065530000}"/>
    <cellStyle name="Heading 2 8" xfId="21449" xr:uid="{00000000-0005-0000-0000-000066530000}"/>
    <cellStyle name="Heading 2 9" xfId="21450" xr:uid="{00000000-0005-0000-0000-000067530000}"/>
    <cellStyle name="Heading 2_PGE Rzeszów Budget" xfId="38671" xr:uid="{6862A7E9-F491-4F31-B008-87B523267E47}"/>
    <cellStyle name="Heading 3" xfId="21451" xr:uid="{00000000-0005-0000-0000-000068530000}"/>
    <cellStyle name="Heading 3 2" xfId="21452" xr:uid="{00000000-0005-0000-0000-000069530000}"/>
    <cellStyle name="Heading 3 3" xfId="21453" xr:uid="{00000000-0005-0000-0000-00006A530000}"/>
    <cellStyle name="Heading 3 4" xfId="21454" xr:uid="{00000000-0005-0000-0000-00006B530000}"/>
    <cellStyle name="Heading 3 5" xfId="21455" xr:uid="{00000000-0005-0000-0000-00006C530000}"/>
    <cellStyle name="Heading 3 6" xfId="21456" xr:uid="{00000000-0005-0000-0000-00006D530000}"/>
    <cellStyle name="Heading 3 7" xfId="21457" xr:uid="{00000000-0005-0000-0000-00006E530000}"/>
    <cellStyle name="Heading 3 8" xfId="21458" xr:uid="{00000000-0005-0000-0000-00006F530000}"/>
    <cellStyle name="Heading 3 9" xfId="21459" xr:uid="{00000000-0005-0000-0000-000070530000}"/>
    <cellStyle name="Heading 3_PGE Rzeszów Budget" xfId="38672" xr:uid="{34C15A3E-F7FF-4295-9742-C144E8A3A1C9}"/>
    <cellStyle name="Heading 4" xfId="21460" xr:uid="{00000000-0005-0000-0000-000071530000}"/>
    <cellStyle name="Heading 4 2" xfId="21461" xr:uid="{00000000-0005-0000-0000-000072530000}"/>
    <cellStyle name="Heading 4 3" xfId="21462" xr:uid="{00000000-0005-0000-0000-000073530000}"/>
    <cellStyle name="Heading 4 4" xfId="21463" xr:uid="{00000000-0005-0000-0000-000074530000}"/>
    <cellStyle name="Heading 4 5" xfId="21464" xr:uid="{00000000-0005-0000-0000-000075530000}"/>
    <cellStyle name="Heading 4 6" xfId="21465" xr:uid="{00000000-0005-0000-0000-000076530000}"/>
    <cellStyle name="Heading 4 7" xfId="21466" xr:uid="{00000000-0005-0000-0000-000077530000}"/>
    <cellStyle name="Heading 4 8" xfId="21467" xr:uid="{00000000-0005-0000-0000-000078530000}"/>
    <cellStyle name="Heading 4 9" xfId="21468" xr:uid="{00000000-0005-0000-0000-000079530000}"/>
    <cellStyle name="Heading 4_PGE Rzeszów Budget" xfId="38673" xr:uid="{32322036-98E6-4410-A848-C6AC22CF10D8}"/>
    <cellStyle name="Hiperłącze 2" xfId="38683" xr:uid="{313DAC9C-7D0B-42D5-82B2-E56503FB4310}"/>
    <cellStyle name="Hyperlink" xfId="38692" xr:uid="{FBE107E0-E409-4D76-A58E-9AE1F882FE46}"/>
    <cellStyle name="Incorrecto" xfId="21469" xr:uid="{00000000-0005-0000-0000-00007A530000}"/>
    <cellStyle name="Input" xfId="21470" xr:uid="{00000000-0005-0000-0000-00007B530000}"/>
    <cellStyle name="Input [yellow]" xfId="21471" xr:uid="{00000000-0005-0000-0000-00007C530000}"/>
    <cellStyle name="Input [yellow] 2" xfId="21472" xr:uid="{00000000-0005-0000-0000-00007D530000}"/>
    <cellStyle name="Input 10" xfId="21473" xr:uid="{00000000-0005-0000-0000-00007E530000}"/>
    <cellStyle name="Input 10 2" xfId="21474" xr:uid="{00000000-0005-0000-0000-00007F530000}"/>
    <cellStyle name="Input 11" xfId="21475" xr:uid="{00000000-0005-0000-0000-000080530000}"/>
    <cellStyle name="Input 2" xfId="21476" xr:uid="{00000000-0005-0000-0000-000081530000}"/>
    <cellStyle name="Input 2 2" xfId="21477" xr:uid="{00000000-0005-0000-0000-000082530000}"/>
    <cellStyle name="Input 2 2 2" xfId="21478" xr:uid="{00000000-0005-0000-0000-000083530000}"/>
    <cellStyle name="Input 2 3" xfId="21479" xr:uid="{00000000-0005-0000-0000-000084530000}"/>
    <cellStyle name="Input 3" xfId="21480" xr:uid="{00000000-0005-0000-0000-000085530000}"/>
    <cellStyle name="Input 3 2" xfId="21481" xr:uid="{00000000-0005-0000-0000-000086530000}"/>
    <cellStyle name="Input 3 2 2" xfId="21482" xr:uid="{00000000-0005-0000-0000-000087530000}"/>
    <cellStyle name="Input 3 3" xfId="21483" xr:uid="{00000000-0005-0000-0000-000088530000}"/>
    <cellStyle name="Input 4" xfId="21484" xr:uid="{00000000-0005-0000-0000-000089530000}"/>
    <cellStyle name="Input 4 2" xfId="21485" xr:uid="{00000000-0005-0000-0000-00008A530000}"/>
    <cellStyle name="Input 4 2 2" xfId="21486" xr:uid="{00000000-0005-0000-0000-00008B530000}"/>
    <cellStyle name="Input 4 3" xfId="21487" xr:uid="{00000000-0005-0000-0000-00008C530000}"/>
    <cellStyle name="Input 5" xfId="21488" xr:uid="{00000000-0005-0000-0000-00008D530000}"/>
    <cellStyle name="Input 5 2" xfId="21489" xr:uid="{00000000-0005-0000-0000-00008E530000}"/>
    <cellStyle name="Input 5 2 2" xfId="21490" xr:uid="{00000000-0005-0000-0000-00008F530000}"/>
    <cellStyle name="Input 5 3" xfId="21491" xr:uid="{00000000-0005-0000-0000-000090530000}"/>
    <cellStyle name="Input 6" xfId="21492" xr:uid="{00000000-0005-0000-0000-000091530000}"/>
    <cellStyle name="Input 6 2" xfId="21493" xr:uid="{00000000-0005-0000-0000-000092530000}"/>
    <cellStyle name="Input 6 2 2" xfId="21494" xr:uid="{00000000-0005-0000-0000-000093530000}"/>
    <cellStyle name="Input 6 3" xfId="21495" xr:uid="{00000000-0005-0000-0000-000094530000}"/>
    <cellStyle name="Input 7" xfId="21496" xr:uid="{00000000-0005-0000-0000-000095530000}"/>
    <cellStyle name="Input 7 2" xfId="21497" xr:uid="{00000000-0005-0000-0000-000096530000}"/>
    <cellStyle name="Input 7 2 2" xfId="21498" xr:uid="{00000000-0005-0000-0000-000097530000}"/>
    <cellStyle name="Input 7 3" xfId="21499" xr:uid="{00000000-0005-0000-0000-000098530000}"/>
    <cellStyle name="Input 8" xfId="21500" xr:uid="{00000000-0005-0000-0000-000099530000}"/>
    <cellStyle name="Input 8 2" xfId="21501" xr:uid="{00000000-0005-0000-0000-00009A530000}"/>
    <cellStyle name="Input 8 2 2" xfId="21502" xr:uid="{00000000-0005-0000-0000-00009B530000}"/>
    <cellStyle name="Input 8 3" xfId="21503" xr:uid="{00000000-0005-0000-0000-00009C530000}"/>
    <cellStyle name="Input 9" xfId="21504" xr:uid="{00000000-0005-0000-0000-00009D530000}"/>
    <cellStyle name="Input 9 2" xfId="21505" xr:uid="{00000000-0005-0000-0000-00009E530000}"/>
    <cellStyle name="Input 9 2 2" xfId="21506" xr:uid="{00000000-0005-0000-0000-00009F530000}"/>
    <cellStyle name="Input 9 3" xfId="21507" xr:uid="{00000000-0005-0000-0000-0000A0530000}"/>
    <cellStyle name="Input_archeolagia" xfId="21508" xr:uid="{00000000-0005-0000-0000-0000A1530000}"/>
    <cellStyle name="Kolumnowy 3W" xfId="253" xr:uid="{00000000-0005-0000-0000-0000A2530000}"/>
    <cellStyle name="Kolumnowy 3W 3" xfId="254" xr:uid="{00000000-0005-0000-0000-0000A3530000}"/>
    <cellStyle name="Komórka połączona 1" xfId="21509" xr:uid="{00000000-0005-0000-0000-0000A4530000}"/>
    <cellStyle name="Komórka połączona 10" xfId="21510" xr:uid="{00000000-0005-0000-0000-0000A5530000}"/>
    <cellStyle name="Komórka połączona 11" xfId="21511" xr:uid="{00000000-0005-0000-0000-0000A6530000}"/>
    <cellStyle name="Komórka połączona 12" xfId="21512" xr:uid="{00000000-0005-0000-0000-0000A7530000}"/>
    <cellStyle name="Komórka połączona 13" xfId="21513" xr:uid="{00000000-0005-0000-0000-0000A8530000}"/>
    <cellStyle name="Komórka połączona 14" xfId="21514" xr:uid="{00000000-0005-0000-0000-0000A9530000}"/>
    <cellStyle name="Komórka połączona 15" xfId="21515" xr:uid="{00000000-0005-0000-0000-0000AA530000}"/>
    <cellStyle name="Komórka połączona 16" xfId="21516" xr:uid="{00000000-0005-0000-0000-0000AB530000}"/>
    <cellStyle name="Komórka połączona 17" xfId="21517" xr:uid="{00000000-0005-0000-0000-0000AC530000}"/>
    <cellStyle name="Komórka połączona 18" xfId="21518" xr:uid="{00000000-0005-0000-0000-0000AD530000}"/>
    <cellStyle name="Komórka połączona 19" xfId="21519" xr:uid="{00000000-0005-0000-0000-0000AE530000}"/>
    <cellStyle name="Komórka połączona 2" xfId="255" xr:uid="{00000000-0005-0000-0000-0000AF530000}"/>
    <cellStyle name="Komórka połączona 2 10" xfId="21520" xr:uid="{00000000-0005-0000-0000-0000B0530000}"/>
    <cellStyle name="Komórka połączona 2 11" xfId="21521" xr:uid="{00000000-0005-0000-0000-0000B1530000}"/>
    <cellStyle name="Komórka połączona 2 12" xfId="21522" xr:uid="{00000000-0005-0000-0000-0000B2530000}"/>
    <cellStyle name="Komórka połączona 2 13" xfId="37844" xr:uid="{00000000-0005-0000-0000-0000B3530000}"/>
    <cellStyle name="Komórka połączona 2 2" xfId="21523" xr:uid="{00000000-0005-0000-0000-0000B4530000}"/>
    <cellStyle name="Komórka połączona 2 3" xfId="21524" xr:uid="{00000000-0005-0000-0000-0000B5530000}"/>
    <cellStyle name="Komórka połączona 2 4" xfId="21525" xr:uid="{00000000-0005-0000-0000-0000B6530000}"/>
    <cellStyle name="Komórka połączona 2 5" xfId="21526" xr:uid="{00000000-0005-0000-0000-0000B7530000}"/>
    <cellStyle name="Komórka połączona 2 6" xfId="21527" xr:uid="{00000000-0005-0000-0000-0000B8530000}"/>
    <cellStyle name="Komórka połączona 2 7" xfId="21528" xr:uid="{00000000-0005-0000-0000-0000B9530000}"/>
    <cellStyle name="Komórka połączona 2 8" xfId="21529" xr:uid="{00000000-0005-0000-0000-0000BA530000}"/>
    <cellStyle name="Komórka połączona 2 9" xfId="21530" xr:uid="{00000000-0005-0000-0000-0000BB530000}"/>
    <cellStyle name="Komórka połączona 3" xfId="256" xr:uid="{00000000-0005-0000-0000-0000BC530000}"/>
    <cellStyle name="Komórka połączona 4" xfId="257" xr:uid="{00000000-0005-0000-0000-0000BD530000}"/>
    <cellStyle name="Komórka połączona 5" xfId="258" xr:uid="{00000000-0005-0000-0000-0000BE530000}"/>
    <cellStyle name="Komórka połączona 6" xfId="259" xr:uid="{00000000-0005-0000-0000-0000BF530000}"/>
    <cellStyle name="Komórka połączona 7" xfId="260" xr:uid="{00000000-0005-0000-0000-0000C0530000}"/>
    <cellStyle name="Komórka połączona 8" xfId="21531" xr:uid="{00000000-0005-0000-0000-0000C1530000}"/>
    <cellStyle name="Komórka połączona 9" xfId="21532" xr:uid="{00000000-0005-0000-0000-0000C2530000}"/>
    <cellStyle name="Komórka zaznaczona 1" xfId="21533" xr:uid="{00000000-0005-0000-0000-0000C3530000}"/>
    <cellStyle name="Komórka zaznaczona 10" xfId="21534" xr:uid="{00000000-0005-0000-0000-0000C4530000}"/>
    <cellStyle name="Komórka zaznaczona 11" xfId="21535" xr:uid="{00000000-0005-0000-0000-0000C5530000}"/>
    <cellStyle name="Komórka zaznaczona 12" xfId="21536" xr:uid="{00000000-0005-0000-0000-0000C6530000}"/>
    <cellStyle name="Komórka zaznaczona 13" xfId="21537" xr:uid="{00000000-0005-0000-0000-0000C7530000}"/>
    <cellStyle name="Komórka zaznaczona 14" xfId="21538" xr:uid="{00000000-0005-0000-0000-0000C8530000}"/>
    <cellStyle name="Komórka zaznaczona 15" xfId="21539" xr:uid="{00000000-0005-0000-0000-0000C9530000}"/>
    <cellStyle name="Komórka zaznaczona 16" xfId="21540" xr:uid="{00000000-0005-0000-0000-0000CA530000}"/>
    <cellStyle name="Komórka zaznaczona 17" xfId="21541" xr:uid="{00000000-0005-0000-0000-0000CB530000}"/>
    <cellStyle name="Komórka zaznaczona 18" xfId="21542" xr:uid="{00000000-0005-0000-0000-0000CC530000}"/>
    <cellStyle name="Komórka zaznaczona 19" xfId="21543" xr:uid="{00000000-0005-0000-0000-0000CD530000}"/>
    <cellStyle name="Komórka zaznaczona 2" xfId="261" xr:uid="{00000000-0005-0000-0000-0000CE530000}"/>
    <cellStyle name="Komórka zaznaczona 2 10" xfId="21545" xr:uid="{00000000-0005-0000-0000-0000CF530000}"/>
    <cellStyle name="Komórka zaznaczona 2 11" xfId="21546" xr:uid="{00000000-0005-0000-0000-0000D0530000}"/>
    <cellStyle name="Komórka zaznaczona 2 12" xfId="21547" xr:uid="{00000000-0005-0000-0000-0000D1530000}"/>
    <cellStyle name="Komórka zaznaczona 2 13" xfId="21548" xr:uid="{00000000-0005-0000-0000-0000D2530000}"/>
    <cellStyle name="Komórka zaznaczona 2 13 10" xfId="21549" xr:uid="{00000000-0005-0000-0000-0000D3530000}"/>
    <cellStyle name="Komórka zaznaczona 2 13 11" xfId="21550" xr:uid="{00000000-0005-0000-0000-0000D4530000}"/>
    <cellStyle name="Komórka zaznaczona 2 13 12" xfId="21551" xr:uid="{00000000-0005-0000-0000-0000D5530000}"/>
    <cellStyle name="Komórka zaznaczona 2 13 2" xfId="21552" xr:uid="{00000000-0005-0000-0000-0000D6530000}"/>
    <cellStyle name="Komórka zaznaczona 2 13 2 10" xfId="21553" xr:uid="{00000000-0005-0000-0000-0000D7530000}"/>
    <cellStyle name="Komórka zaznaczona 2 13 2 11" xfId="21554" xr:uid="{00000000-0005-0000-0000-0000D8530000}"/>
    <cellStyle name="Komórka zaznaczona 2 13 2 2" xfId="21555" xr:uid="{00000000-0005-0000-0000-0000D9530000}"/>
    <cellStyle name="Komórka zaznaczona 2 13 2 2 10" xfId="21556" xr:uid="{00000000-0005-0000-0000-0000DA530000}"/>
    <cellStyle name="Komórka zaznaczona 2 13 2 2 11" xfId="21557" xr:uid="{00000000-0005-0000-0000-0000DB530000}"/>
    <cellStyle name="Komórka zaznaczona 2 13 2 2 2" xfId="21558" xr:uid="{00000000-0005-0000-0000-0000DC530000}"/>
    <cellStyle name="Komórka zaznaczona 2 13 2 2 2 2" xfId="21559" xr:uid="{00000000-0005-0000-0000-0000DD530000}"/>
    <cellStyle name="Komórka zaznaczona 2 13 2 2 2 2 2" xfId="21560" xr:uid="{00000000-0005-0000-0000-0000DE530000}"/>
    <cellStyle name="Komórka zaznaczona 2 13 2 2 2 2 3" xfId="21561" xr:uid="{00000000-0005-0000-0000-0000DF530000}"/>
    <cellStyle name="Komórka zaznaczona 2 13 2 2 2 2 4" xfId="21562" xr:uid="{00000000-0005-0000-0000-0000E0530000}"/>
    <cellStyle name="Komórka zaznaczona 2 13 2 2 2 2 5" xfId="21563" xr:uid="{00000000-0005-0000-0000-0000E1530000}"/>
    <cellStyle name="Komórka zaznaczona 2 13 2 2 2 2 6" xfId="21564" xr:uid="{00000000-0005-0000-0000-0000E2530000}"/>
    <cellStyle name="Komórka zaznaczona 2 13 2 2 2 3" xfId="21565" xr:uid="{00000000-0005-0000-0000-0000E3530000}"/>
    <cellStyle name="Komórka zaznaczona 2 13 2 2 2 4" xfId="21566" xr:uid="{00000000-0005-0000-0000-0000E4530000}"/>
    <cellStyle name="Komórka zaznaczona 2 13 2 2 2 5" xfId="21567" xr:uid="{00000000-0005-0000-0000-0000E5530000}"/>
    <cellStyle name="Komórka zaznaczona 2 13 2 2 2 6" xfId="21568" xr:uid="{00000000-0005-0000-0000-0000E6530000}"/>
    <cellStyle name="Komórka zaznaczona 2 13 2 2 2 7" xfId="21569" xr:uid="{00000000-0005-0000-0000-0000E7530000}"/>
    <cellStyle name="Komórka zaznaczona 2 13 2 2 3" xfId="21570" xr:uid="{00000000-0005-0000-0000-0000E8530000}"/>
    <cellStyle name="Komórka zaznaczona 2 13 2 2 4" xfId="21571" xr:uid="{00000000-0005-0000-0000-0000E9530000}"/>
    <cellStyle name="Komórka zaznaczona 2 13 2 2 5" xfId="21572" xr:uid="{00000000-0005-0000-0000-0000EA530000}"/>
    <cellStyle name="Komórka zaznaczona 2 13 2 2 6" xfId="21573" xr:uid="{00000000-0005-0000-0000-0000EB530000}"/>
    <cellStyle name="Komórka zaznaczona 2 13 2 2 7" xfId="21574" xr:uid="{00000000-0005-0000-0000-0000EC530000}"/>
    <cellStyle name="Komórka zaznaczona 2 13 2 2 7 2" xfId="21575" xr:uid="{00000000-0005-0000-0000-0000ED530000}"/>
    <cellStyle name="Komórka zaznaczona 2 13 2 2 7 3" xfId="21576" xr:uid="{00000000-0005-0000-0000-0000EE530000}"/>
    <cellStyle name="Komórka zaznaczona 2 13 2 2 7 4" xfId="21577" xr:uid="{00000000-0005-0000-0000-0000EF530000}"/>
    <cellStyle name="Komórka zaznaczona 2 13 2 2 7 5" xfId="21578" xr:uid="{00000000-0005-0000-0000-0000F0530000}"/>
    <cellStyle name="Komórka zaznaczona 2 13 2 2 7 6" xfId="21579" xr:uid="{00000000-0005-0000-0000-0000F1530000}"/>
    <cellStyle name="Komórka zaznaczona 2 13 2 2 8" xfId="21580" xr:uid="{00000000-0005-0000-0000-0000F2530000}"/>
    <cellStyle name="Komórka zaznaczona 2 13 2 2 9" xfId="21581" xr:uid="{00000000-0005-0000-0000-0000F3530000}"/>
    <cellStyle name="Komórka zaznaczona 2 13 2 3" xfId="21582" xr:uid="{00000000-0005-0000-0000-0000F4530000}"/>
    <cellStyle name="Komórka zaznaczona 2 13 2 3 2" xfId="21583" xr:uid="{00000000-0005-0000-0000-0000F5530000}"/>
    <cellStyle name="Komórka zaznaczona 2 13 2 3 2 2" xfId="21584" xr:uid="{00000000-0005-0000-0000-0000F6530000}"/>
    <cellStyle name="Komórka zaznaczona 2 13 2 3 2 3" xfId="21585" xr:uid="{00000000-0005-0000-0000-0000F7530000}"/>
    <cellStyle name="Komórka zaznaczona 2 13 2 3 2 4" xfId="21586" xr:uid="{00000000-0005-0000-0000-0000F8530000}"/>
    <cellStyle name="Komórka zaznaczona 2 13 2 3 2 5" xfId="21587" xr:uid="{00000000-0005-0000-0000-0000F9530000}"/>
    <cellStyle name="Komórka zaznaczona 2 13 2 3 2 6" xfId="21588" xr:uid="{00000000-0005-0000-0000-0000FA530000}"/>
    <cellStyle name="Komórka zaznaczona 2 13 2 3 3" xfId="21589" xr:uid="{00000000-0005-0000-0000-0000FB530000}"/>
    <cellStyle name="Komórka zaznaczona 2 13 2 3 4" xfId="21590" xr:uid="{00000000-0005-0000-0000-0000FC530000}"/>
    <cellStyle name="Komórka zaznaczona 2 13 2 3 5" xfId="21591" xr:uid="{00000000-0005-0000-0000-0000FD530000}"/>
    <cellStyle name="Komórka zaznaczona 2 13 2 3 6" xfId="21592" xr:uid="{00000000-0005-0000-0000-0000FE530000}"/>
    <cellStyle name="Komórka zaznaczona 2 13 2 3 7" xfId="21593" xr:uid="{00000000-0005-0000-0000-0000FF530000}"/>
    <cellStyle name="Komórka zaznaczona 2 13 2 4" xfId="21594" xr:uid="{00000000-0005-0000-0000-000000540000}"/>
    <cellStyle name="Komórka zaznaczona 2 13 2 5" xfId="21595" xr:uid="{00000000-0005-0000-0000-000001540000}"/>
    <cellStyle name="Komórka zaznaczona 2 13 2 6" xfId="21596" xr:uid="{00000000-0005-0000-0000-000002540000}"/>
    <cellStyle name="Komórka zaznaczona 2 13 2 7" xfId="21597" xr:uid="{00000000-0005-0000-0000-000003540000}"/>
    <cellStyle name="Komórka zaznaczona 2 13 2 7 2" xfId="21598" xr:uid="{00000000-0005-0000-0000-000004540000}"/>
    <cellStyle name="Komórka zaznaczona 2 13 2 7 3" xfId="21599" xr:uid="{00000000-0005-0000-0000-000005540000}"/>
    <cellStyle name="Komórka zaznaczona 2 13 2 7 4" xfId="21600" xr:uid="{00000000-0005-0000-0000-000006540000}"/>
    <cellStyle name="Komórka zaznaczona 2 13 2 7 5" xfId="21601" xr:uid="{00000000-0005-0000-0000-000007540000}"/>
    <cellStyle name="Komórka zaznaczona 2 13 2 7 6" xfId="21602" xr:uid="{00000000-0005-0000-0000-000008540000}"/>
    <cellStyle name="Komórka zaznaczona 2 13 2 8" xfId="21603" xr:uid="{00000000-0005-0000-0000-000009540000}"/>
    <cellStyle name="Komórka zaznaczona 2 13 2 9" xfId="21604" xr:uid="{00000000-0005-0000-0000-00000A540000}"/>
    <cellStyle name="Komórka zaznaczona 2 13 3" xfId="21605" xr:uid="{00000000-0005-0000-0000-00000B540000}"/>
    <cellStyle name="Komórka zaznaczona 2 13 3 2" xfId="21606" xr:uid="{00000000-0005-0000-0000-00000C540000}"/>
    <cellStyle name="Komórka zaznaczona 2 13 3 2 2" xfId="21607" xr:uid="{00000000-0005-0000-0000-00000D540000}"/>
    <cellStyle name="Komórka zaznaczona 2 13 3 2 3" xfId="21608" xr:uid="{00000000-0005-0000-0000-00000E540000}"/>
    <cellStyle name="Komórka zaznaczona 2 13 3 2 4" xfId="21609" xr:uid="{00000000-0005-0000-0000-00000F540000}"/>
    <cellStyle name="Komórka zaznaczona 2 13 3 2 5" xfId="21610" xr:uid="{00000000-0005-0000-0000-000010540000}"/>
    <cellStyle name="Komórka zaznaczona 2 13 3 2 6" xfId="21611" xr:uid="{00000000-0005-0000-0000-000011540000}"/>
    <cellStyle name="Komórka zaznaczona 2 13 3 3" xfId="21612" xr:uid="{00000000-0005-0000-0000-000012540000}"/>
    <cellStyle name="Komórka zaznaczona 2 13 3 4" xfId="21613" xr:uid="{00000000-0005-0000-0000-000013540000}"/>
    <cellStyle name="Komórka zaznaczona 2 13 3 5" xfId="21614" xr:uid="{00000000-0005-0000-0000-000014540000}"/>
    <cellStyle name="Komórka zaznaczona 2 13 3 6" xfId="21615" xr:uid="{00000000-0005-0000-0000-000015540000}"/>
    <cellStyle name="Komórka zaznaczona 2 13 3 7" xfId="21616" xr:uid="{00000000-0005-0000-0000-000016540000}"/>
    <cellStyle name="Komórka zaznaczona 2 13 4" xfId="21617" xr:uid="{00000000-0005-0000-0000-000017540000}"/>
    <cellStyle name="Komórka zaznaczona 2 13 5" xfId="21618" xr:uid="{00000000-0005-0000-0000-000018540000}"/>
    <cellStyle name="Komórka zaznaczona 2 13 6" xfId="21619" xr:uid="{00000000-0005-0000-0000-000019540000}"/>
    <cellStyle name="Komórka zaznaczona 2 13 7" xfId="21620" xr:uid="{00000000-0005-0000-0000-00001A540000}"/>
    <cellStyle name="Komórka zaznaczona 2 13 8" xfId="21621" xr:uid="{00000000-0005-0000-0000-00001B540000}"/>
    <cellStyle name="Komórka zaznaczona 2 13 8 2" xfId="21622" xr:uid="{00000000-0005-0000-0000-00001C540000}"/>
    <cellStyle name="Komórka zaznaczona 2 13 8 3" xfId="21623" xr:uid="{00000000-0005-0000-0000-00001D540000}"/>
    <cellStyle name="Komórka zaznaczona 2 13 8 4" xfId="21624" xr:uid="{00000000-0005-0000-0000-00001E540000}"/>
    <cellStyle name="Komórka zaznaczona 2 13 8 5" xfId="21625" xr:uid="{00000000-0005-0000-0000-00001F540000}"/>
    <cellStyle name="Komórka zaznaczona 2 13 8 6" xfId="21626" xr:uid="{00000000-0005-0000-0000-000020540000}"/>
    <cellStyle name="Komórka zaznaczona 2 13 9" xfId="21627" xr:uid="{00000000-0005-0000-0000-000021540000}"/>
    <cellStyle name="Komórka zaznaczona 2 14" xfId="21628" xr:uid="{00000000-0005-0000-0000-000022540000}"/>
    <cellStyle name="Komórka zaznaczona 2 14 10" xfId="21629" xr:uid="{00000000-0005-0000-0000-000023540000}"/>
    <cellStyle name="Komórka zaznaczona 2 14 11" xfId="21630" xr:uid="{00000000-0005-0000-0000-000024540000}"/>
    <cellStyle name="Komórka zaznaczona 2 14 2" xfId="21631" xr:uid="{00000000-0005-0000-0000-000025540000}"/>
    <cellStyle name="Komórka zaznaczona 2 14 2 2" xfId="21632" xr:uid="{00000000-0005-0000-0000-000026540000}"/>
    <cellStyle name="Komórka zaznaczona 2 14 2 2 2" xfId="21633" xr:uid="{00000000-0005-0000-0000-000027540000}"/>
    <cellStyle name="Komórka zaznaczona 2 14 2 2 3" xfId="21634" xr:uid="{00000000-0005-0000-0000-000028540000}"/>
    <cellStyle name="Komórka zaznaczona 2 14 2 2 4" xfId="21635" xr:uid="{00000000-0005-0000-0000-000029540000}"/>
    <cellStyle name="Komórka zaznaczona 2 14 2 2 5" xfId="21636" xr:uid="{00000000-0005-0000-0000-00002A540000}"/>
    <cellStyle name="Komórka zaznaczona 2 14 2 2 6" xfId="21637" xr:uid="{00000000-0005-0000-0000-00002B540000}"/>
    <cellStyle name="Komórka zaznaczona 2 14 2 3" xfId="21638" xr:uid="{00000000-0005-0000-0000-00002C540000}"/>
    <cellStyle name="Komórka zaznaczona 2 14 2 4" xfId="21639" xr:uid="{00000000-0005-0000-0000-00002D540000}"/>
    <cellStyle name="Komórka zaznaczona 2 14 2 5" xfId="21640" xr:uid="{00000000-0005-0000-0000-00002E540000}"/>
    <cellStyle name="Komórka zaznaczona 2 14 2 6" xfId="21641" xr:uid="{00000000-0005-0000-0000-00002F540000}"/>
    <cellStyle name="Komórka zaznaczona 2 14 2 7" xfId="21642" xr:uid="{00000000-0005-0000-0000-000030540000}"/>
    <cellStyle name="Komórka zaznaczona 2 14 3" xfId="21643" xr:uid="{00000000-0005-0000-0000-000031540000}"/>
    <cellStyle name="Komórka zaznaczona 2 14 4" xfId="21644" xr:uid="{00000000-0005-0000-0000-000032540000}"/>
    <cellStyle name="Komórka zaznaczona 2 14 5" xfId="21645" xr:uid="{00000000-0005-0000-0000-000033540000}"/>
    <cellStyle name="Komórka zaznaczona 2 14 6" xfId="21646" xr:uid="{00000000-0005-0000-0000-000034540000}"/>
    <cellStyle name="Komórka zaznaczona 2 14 7" xfId="21647" xr:uid="{00000000-0005-0000-0000-000035540000}"/>
    <cellStyle name="Komórka zaznaczona 2 14 7 2" xfId="21648" xr:uid="{00000000-0005-0000-0000-000036540000}"/>
    <cellStyle name="Komórka zaznaczona 2 14 7 3" xfId="21649" xr:uid="{00000000-0005-0000-0000-000037540000}"/>
    <cellStyle name="Komórka zaznaczona 2 14 7 4" xfId="21650" xr:uid="{00000000-0005-0000-0000-000038540000}"/>
    <cellStyle name="Komórka zaznaczona 2 14 7 5" xfId="21651" xr:uid="{00000000-0005-0000-0000-000039540000}"/>
    <cellStyle name="Komórka zaznaczona 2 14 7 6" xfId="21652" xr:uid="{00000000-0005-0000-0000-00003A540000}"/>
    <cellStyle name="Komórka zaznaczona 2 14 8" xfId="21653" xr:uid="{00000000-0005-0000-0000-00003B540000}"/>
    <cellStyle name="Komórka zaznaczona 2 14 9" xfId="21654" xr:uid="{00000000-0005-0000-0000-00003C540000}"/>
    <cellStyle name="Komórka zaznaczona 2 15" xfId="21655" xr:uid="{00000000-0005-0000-0000-00003D540000}"/>
    <cellStyle name="Komórka zaznaczona 2 15 2" xfId="21656" xr:uid="{00000000-0005-0000-0000-00003E540000}"/>
    <cellStyle name="Komórka zaznaczona 2 15 2 2" xfId="21657" xr:uid="{00000000-0005-0000-0000-00003F540000}"/>
    <cellStyle name="Komórka zaznaczona 2 15 2 3" xfId="21658" xr:uid="{00000000-0005-0000-0000-000040540000}"/>
    <cellStyle name="Komórka zaznaczona 2 15 2 4" xfId="21659" xr:uid="{00000000-0005-0000-0000-000041540000}"/>
    <cellStyle name="Komórka zaznaczona 2 15 2 5" xfId="21660" xr:uid="{00000000-0005-0000-0000-000042540000}"/>
    <cellStyle name="Komórka zaznaczona 2 15 2 6" xfId="21661" xr:uid="{00000000-0005-0000-0000-000043540000}"/>
    <cellStyle name="Komórka zaznaczona 2 15 3" xfId="21662" xr:uid="{00000000-0005-0000-0000-000044540000}"/>
    <cellStyle name="Komórka zaznaczona 2 15 4" xfId="21663" xr:uid="{00000000-0005-0000-0000-000045540000}"/>
    <cellStyle name="Komórka zaznaczona 2 15 5" xfId="21664" xr:uid="{00000000-0005-0000-0000-000046540000}"/>
    <cellStyle name="Komórka zaznaczona 2 15 6" xfId="21665" xr:uid="{00000000-0005-0000-0000-000047540000}"/>
    <cellStyle name="Komórka zaznaczona 2 15 7" xfId="21666" xr:uid="{00000000-0005-0000-0000-000048540000}"/>
    <cellStyle name="Komórka zaznaczona 2 16" xfId="21667" xr:uid="{00000000-0005-0000-0000-000049540000}"/>
    <cellStyle name="Komórka zaznaczona 2 17" xfId="21668" xr:uid="{00000000-0005-0000-0000-00004A540000}"/>
    <cellStyle name="Komórka zaznaczona 2 18" xfId="21669" xr:uid="{00000000-0005-0000-0000-00004B540000}"/>
    <cellStyle name="Komórka zaznaczona 2 19" xfId="21670" xr:uid="{00000000-0005-0000-0000-00004C540000}"/>
    <cellStyle name="Komórka zaznaczona 2 2" xfId="21671" xr:uid="{00000000-0005-0000-0000-00004D540000}"/>
    <cellStyle name="Komórka zaznaczona 2 20" xfId="21672" xr:uid="{00000000-0005-0000-0000-00004E540000}"/>
    <cellStyle name="Komórka zaznaczona 2 21" xfId="21673" xr:uid="{00000000-0005-0000-0000-00004F540000}"/>
    <cellStyle name="Komórka zaznaczona 2 21 2" xfId="21674" xr:uid="{00000000-0005-0000-0000-000050540000}"/>
    <cellStyle name="Komórka zaznaczona 2 21 3" xfId="21675" xr:uid="{00000000-0005-0000-0000-000051540000}"/>
    <cellStyle name="Komórka zaznaczona 2 21 4" xfId="21676" xr:uid="{00000000-0005-0000-0000-000052540000}"/>
    <cellStyle name="Komórka zaznaczona 2 21 5" xfId="21677" xr:uid="{00000000-0005-0000-0000-000053540000}"/>
    <cellStyle name="Komórka zaznaczona 2 21 6" xfId="21678" xr:uid="{00000000-0005-0000-0000-000054540000}"/>
    <cellStyle name="Komórka zaznaczona 2 22" xfId="21679" xr:uid="{00000000-0005-0000-0000-000055540000}"/>
    <cellStyle name="Komórka zaznaczona 2 23" xfId="21680" xr:uid="{00000000-0005-0000-0000-000056540000}"/>
    <cellStyle name="Komórka zaznaczona 2 24" xfId="21681" xr:uid="{00000000-0005-0000-0000-000057540000}"/>
    <cellStyle name="Komórka zaznaczona 2 25" xfId="21682" xr:uid="{00000000-0005-0000-0000-000058540000}"/>
    <cellStyle name="Komórka zaznaczona 2 26" xfId="21683" xr:uid="{00000000-0005-0000-0000-000059540000}"/>
    <cellStyle name="Komórka zaznaczona 2 27" xfId="21684" xr:uid="{00000000-0005-0000-0000-00005A540000}"/>
    <cellStyle name="Komórka zaznaczona 2 28" xfId="21685" xr:uid="{00000000-0005-0000-0000-00005B540000}"/>
    <cellStyle name="Komórka zaznaczona 2 29" xfId="21686" xr:uid="{00000000-0005-0000-0000-00005C540000}"/>
    <cellStyle name="Komórka zaznaczona 2 3" xfId="21687" xr:uid="{00000000-0005-0000-0000-00005D540000}"/>
    <cellStyle name="Komórka zaznaczona 2 30" xfId="21688" xr:uid="{00000000-0005-0000-0000-00005E540000}"/>
    <cellStyle name="Komórka zaznaczona 2 31" xfId="21689" xr:uid="{00000000-0005-0000-0000-00005F540000}"/>
    <cellStyle name="Komórka zaznaczona 2 32" xfId="21544" xr:uid="{00000000-0005-0000-0000-000060540000}"/>
    <cellStyle name="Komórka zaznaczona 2 33" xfId="37845" xr:uid="{00000000-0005-0000-0000-000061540000}"/>
    <cellStyle name="Komórka zaznaczona 2 4" xfId="21690" xr:uid="{00000000-0005-0000-0000-000062540000}"/>
    <cellStyle name="Komórka zaznaczona 2 5" xfId="21691" xr:uid="{00000000-0005-0000-0000-000063540000}"/>
    <cellStyle name="Komórka zaznaczona 2 6" xfId="21692" xr:uid="{00000000-0005-0000-0000-000064540000}"/>
    <cellStyle name="Komórka zaznaczona 2 6 10" xfId="21693" xr:uid="{00000000-0005-0000-0000-000065540000}"/>
    <cellStyle name="Komórka zaznaczona 2 6 11" xfId="21694" xr:uid="{00000000-0005-0000-0000-000066540000}"/>
    <cellStyle name="Komórka zaznaczona 2 6 12" xfId="21695" xr:uid="{00000000-0005-0000-0000-000067540000}"/>
    <cellStyle name="Komórka zaznaczona 2 6 13" xfId="21696" xr:uid="{00000000-0005-0000-0000-000068540000}"/>
    <cellStyle name="Komórka zaznaczona 2 6 2" xfId="21697" xr:uid="{00000000-0005-0000-0000-000069540000}"/>
    <cellStyle name="Komórka zaznaczona 2 6 2 10" xfId="21698" xr:uid="{00000000-0005-0000-0000-00006A540000}"/>
    <cellStyle name="Komórka zaznaczona 2 6 2 11" xfId="21699" xr:uid="{00000000-0005-0000-0000-00006B540000}"/>
    <cellStyle name="Komórka zaznaczona 2 6 2 12" xfId="21700" xr:uid="{00000000-0005-0000-0000-00006C540000}"/>
    <cellStyle name="Komórka zaznaczona 2 6 2 2" xfId="21701" xr:uid="{00000000-0005-0000-0000-00006D540000}"/>
    <cellStyle name="Komórka zaznaczona 2 6 2 2 10" xfId="21702" xr:uid="{00000000-0005-0000-0000-00006E540000}"/>
    <cellStyle name="Komórka zaznaczona 2 6 2 2 11" xfId="21703" xr:uid="{00000000-0005-0000-0000-00006F540000}"/>
    <cellStyle name="Komórka zaznaczona 2 6 2 2 2" xfId="21704" xr:uid="{00000000-0005-0000-0000-000070540000}"/>
    <cellStyle name="Komórka zaznaczona 2 6 2 2 2 10" xfId="21705" xr:uid="{00000000-0005-0000-0000-000071540000}"/>
    <cellStyle name="Komórka zaznaczona 2 6 2 2 2 11" xfId="21706" xr:uid="{00000000-0005-0000-0000-000072540000}"/>
    <cellStyle name="Komórka zaznaczona 2 6 2 2 2 2" xfId="21707" xr:uid="{00000000-0005-0000-0000-000073540000}"/>
    <cellStyle name="Komórka zaznaczona 2 6 2 2 2 2 2" xfId="21708" xr:uid="{00000000-0005-0000-0000-000074540000}"/>
    <cellStyle name="Komórka zaznaczona 2 6 2 2 2 2 2 2" xfId="21709" xr:uid="{00000000-0005-0000-0000-000075540000}"/>
    <cellStyle name="Komórka zaznaczona 2 6 2 2 2 2 2 3" xfId="21710" xr:uid="{00000000-0005-0000-0000-000076540000}"/>
    <cellStyle name="Komórka zaznaczona 2 6 2 2 2 2 2 4" xfId="21711" xr:uid="{00000000-0005-0000-0000-000077540000}"/>
    <cellStyle name="Komórka zaznaczona 2 6 2 2 2 2 2 5" xfId="21712" xr:uid="{00000000-0005-0000-0000-000078540000}"/>
    <cellStyle name="Komórka zaznaczona 2 6 2 2 2 2 2 6" xfId="21713" xr:uid="{00000000-0005-0000-0000-000079540000}"/>
    <cellStyle name="Komórka zaznaczona 2 6 2 2 2 2 3" xfId="21714" xr:uid="{00000000-0005-0000-0000-00007A540000}"/>
    <cellStyle name="Komórka zaznaczona 2 6 2 2 2 2 4" xfId="21715" xr:uid="{00000000-0005-0000-0000-00007B540000}"/>
    <cellStyle name="Komórka zaznaczona 2 6 2 2 2 2 5" xfId="21716" xr:uid="{00000000-0005-0000-0000-00007C540000}"/>
    <cellStyle name="Komórka zaznaczona 2 6 2 2 2 2 6" xfId="21717" xr:uid="{00000000-0005-0000-0000-00007D540000}"/>
    <cellStyle name="Komórka zaznaczona 2 6 2 2 2 2 7" xfId="21718" xr:uid="{00000000-0005-0000-0000-00007E540000}"/>
    <cellStyle name="Komórka zaznaczona 2 6 2 2 2 3" xfId="21719" xr:uid="{00000000-0005-0000-0000-00007F540000}"/>
    <cellStyle name="Komórka zaznaczona 2 6 2 2 2 4" xfId="21720" xr:uid="{00000000-0005-0000-0000-000080540000}"/>
    <cellStyle name="Komórka zaznaczona 2 6 2 2 2 5" xfId="21721" xr:uid="{00000000-0005-0000-0000-000081540000}"/>
    <cellStyle name="Komórka zaznaczona 2 6 2 2 2 6" xfId="21722" xr:uid="{00000000-0005-0000-0000-000082540000}"/>
    <cellStyle name="Komórka zaznaczona 2 6 2 2 2 7" xfId="21723" xr:uid="{00000000-0005-0000-0000-000083540000}"/>
    <cellStyle name="Komórka zaznaczona 2 6 2 2 2 7 2" xfId="21724" xr:uid="{00000000-0005-0000-0000-000084540000}"/>
    <cellStyle name="Komórka zaznaczona 2 6 2 2 2 7 3" xfId="21725" xr:uid="{00000000-0005-0000-0000-000085540000}"/>
    <cellStyle name="Komórka zaznaczona 2 6 2 2 2 7 4" xfId="21726" xr:uid="{00000000-0005-0000-0000-000086540000}"/>
    <cellStyle name="Komórka zaznaczona 2 6 2 2 2 7 5" xfId="21727" xr:uid="{00000000-0005-0000-0000-000087540000}"/>
    <cellStyle name="Komórka zaznaczona 2 6 2 2 2 7 6" xfId="21728" xr:uid="{00000000-0005-0000-0000-000088540000}"/>
    <cellStyle name="Komórka zaznaczona 2 6 2 2 2 8" xfId="21729" xr:uid="{00000000-0005-0000-0000-000089540000}"/>
    <cellStyle name="Komórka zaznaczona 2 6 2 2 2 9" xfId="21730" xr:uid="{00000000-0005-0000-0000-00008A540000}"/>
    <cellStyle name="Komórka zaznaczona 2 6 2 2 3" xfId="21731" xr:uid="{00000000-0005-0000-0000-00008B540000}"/>
    <cellStyle name="Komórka zaznaczona 2 6 2 2 3 2" xfId="21732" xr:uid="{00000000-0005-0000-0000-00008C540000}"/>
    <cellStyle name="Komórka zaznaczona 2 6 2 2 3 2 2" xfId="21733" xr:uid="{00000000-0005-0000-0000-00008D540000}"/>
    <cellStyle name="Komórka zaznaczona 2 6 2 2 3 2 3" xfId="21734" xr:uid="{00000000-0005-0000-0000-00008E540000}"/>
    <cellStyle name="Komórka zaznaczona 2 6 2 2 3 2 4" xfId="21735" xr:uid="{00000000-0005-0000-0000-00008F540000}"/>
    <cellStyle name="Komórka zaznaczona 2 6 2 2 3 2 5" xfId="21736" xr:uid="{00000000-0005-0000-0000-000090540000}"/>
    <cellStyle name="Komórka zaznaczona 2 6 2 2 3 2 6" xfId="21737" xr:uid="{00000000-0005-0000-0000-000091540000}"/>
    <cellStyle name="Komórka zaznaczona 2 6 2 2 3 3" xfId="21738" xr:uid="{00000000-0005-0000-0000-000092540000}"/>
    <cellStyle name="Komórka zaznaczona 2 6 2 2 3 4" xfId="21739" xr:uid="{00000000-0005-0000-0000-000093540000}"/>
    <cellStyle name="Komórka zaznaczona 2 6 2 2 3 5" xfId="21740" xr:uid="{00000000-0005-0000-0000-000094540000}"/>
    <cellStyle name="Komórka zaznaczona 2 6 2 2 3 6" xfId="21741" xr:uid="{00000000-0005-0000-0000-000095540000}"/>
    <cellStyle name="Komórka zaznaczona 2 6 2 2 3 7" xfId="21742" xr:uid="{00000000-0005-0000-0000-000096540000}"/>
    <cellStyle name="Komórka zaznaczona 2 6 2 2 4" xfId="21743" xr:uid="{00000000-0005-0000-0000-000097540000}"/>
    <cellStyle name="Komórka zaznaczona 2 6 2 2 5" xfId="21744" xr:uid="{00000000-0005-0000-0000-000098540000}"/>
    <cellStyle name="Komórka zaznaczona 2 6 2 2 6" xfId="21745" xr:uid="{00000000-0005-0000-0000-000099540000}"/>
    <cellStyle name="Komórka zaznaczona 2 6 2 2 7" xfId="21746" xr:uid="{00000000-0005-0000-0000-00009A540000}"/>
    <cellStyle name="Komórka zaznaczona 2 6 2 2 7 2" xfId="21747" xr:uid="{00000000-0005-0000-0000-00009B540000}"/>
    <cellStyle name="Komórka zaznaczona 2 6 2 2 7 3" xfId="21748" xr:uid="{00000000-0005-0000-0000-00009C540000}"/>
    <cellStyle name="Komórka zaznaczona 2 6 2 2 7 4" xfId="21749" xr:uid="{00000000-0005-0000-0000-00009D540000}"/>
    <cellStyle name="Komórka zaznaczona 2 6 2 2 7 5" xfId="21750" xr:uid="{00000000-0005-0000-0000-00009E540000}"/>
    <cellStyle name="Komórka zaznaczona 2 6 2 2 7 6" xfId="21751" xr:uid="{00000000-0005-0000-0000-00009F540000}"/>
    <cellStyle name="Komórka zaznaczona 2 6 2 2 8" xfId="21752" xr:uid="{00000000-0005-0000-0000-0000A0540000}"/>
    <cellStyle name="Komórka zaznaczona 2 6 2 2 9" xfId="21753" xr:uid="{00000000-0005-0000-0000-0000A1540000}"/>
    <cellStyle name="Komórka zaznaczona 2 6 2 3" xfId="21754" xr:uid="{00000000-0005-0000-0000-0000A2540000}"/>
    <cellStyle name="Komórka zaznaczona 2 6 2 3 2" xfId="21755" xr:uid="{00000000-0005-0000-0000-0000A3540000}"/>
    <cellStyle name="Komórka zaznaczona 2 6 2 3 2 2" xfId="21756" xr:uid="{00000000-0005-0000-0000-0000A4540000}"/>
    <cellStyle name="Komórka zaznaczona 2 6 2 3 2 3" xfId="21757" xr:uid="{00000000-0005-0000-0000-0000A5540000}"/>
    <cellStyle name="Komórka zaznaczona 2 6 2 3 2 4" xfId="21758" xr:uid="{00000000-0005-0000-0000-0000A6540000}"/>
    <cellStyle name="Komórka zaznaczona 2 6 2 3 2 5" xfId="21759" xr:uid="{00000000-0005-0000-0000-0000A7540000}"/>
    <cellStyle name="Komórka zaznaczona 2 6 2 3 2 6" xfId="21760" xr:uid="{00000000-0005-0000-0000-0000A8540000}"/>
    <cellStyle name="Komórka zaznaczona 2 6 2 3 3" xfId="21761" xr:uid="{00000000-0005-0000-0000-0000A9540000}"/>
    <cellStyle name="Komórka zaznaczona 2 6 2 3 4" xfId="21762" xr:uid="{00000000-0005-0000-0000-0000AA540000}"/>
    <cellStyle name="Komórka zaznaczona 2 6 2 3 5" xfId="21763" xr:uid="{00000000-0005-0000-0000-0000AB540000}"/>
    <cellStyle name="Komórka zaznaczona 2 6 2 3 6" xfId="21764" xr:uid="{00000000-0005-0000-0000-0000AC540000}"/>
    <cellStyle name="Komórka zaznaczona 2 6 2 3 7" xfId="21765" xr:uid="{00000000-0005-0000-0000-0000AD540000}"/>
    <cellStyle name="Komórka zaznaczona 2 6 2 4" xfId="21766" xr:uid="{00000000-0005-0000-0000-0000AE540000}"/>
    <cellStyle name="Komórka zaznaczona 2 6 2 5" xfId="21767" xr:uid="{00000000-0005-0000-0000-0000AF540000}"/>
    <cellStyle name="Komórka zaznaczona 2 6 2 6" xfId="21768" xr:uid="{00000000-0005-0000-0000-0000B0540000}"/>
    <cellStyle name="Komórka zaznaczona 2 6 2 7" xfId="21769" xr:uid="{00000000-0005-0000-0000-0000B1540000}"/>
    <cellStyle name="Komórka zaznaczona 2 6 2 8" xfId="21770" xr:uid="{00000000-0005-0000-0000-0000B2540000}"/>
    <cellStyle name="Komórka zaznaczona 2 6 2 8 2" xfId="21771" xr:uid="{00000000-0005-0000-0000-0000B3540000}"/>
    <cellStyle name="Komórka zaznaczona 2 6 2 8 3" xfId="21772" xr:uid="{00000000-0005-0000-0000-0000B4540000}"/>
    <cellStyle name="Komórka zaznaczona 2 6 2 8 4" xfId="21773" xr:uid="{00000000-0005-0000-0000-0000B5540000}"/>
    <cellStyle name="Komórka zaznaczona 2 6 2 8 5" xfId="21774" xr:uid="{00000000-0005-0000-0000-0000B6540000}"/>
    <cellStyle name="Komórka zaznaczona 2 6 2 8 6" xfId="21775" xr:uid="{00000000-0005-0000-0000-0000B7540000}"/>
    <cellStyle name="Komórka zaznaczona 2 6 2 9" xfId="21776" xr:uid="{00000000-0005-0000-0000-0000B8540000}"/>
    <cellStyle name="Komórka zaznaczona 2 6 3" xfId="21777" xr:uid="{00000000-0005-0000-0000-0000B9540000}"/>
    <cellStyle name="Komórka zaznaczona 2 6 4" xfId="21778" xr:uid="{00000000-0005-0000-0000-0000BA540000}"/>
    <cellStyle name="Komórka zaznaczona 2 6 4 10" xfId="21779" xr:uid="{00000000-0005-0000-0000-0000BB540000}"/>
    <cellStyle name="Komórka zaznaczona 2 6 4 11" xfId="21780" xr:uid="{00000000-0005-0000-0000-0000BC540000}"/>
    <cellStyle name="Komórka zaznaczona 2 6 4 2" xfId="21781" xr:uid="{00000000-0005-0000-0000-0000BD540000}"/>
    <cellStyle name="Komórka zaznaczona 2 6 4 2 2" xfId="21782" xr:uid="{00000000-0005-0000-0000-0000BE540000}"/>
    <cellStyle name="Komórka zaznaczona 2 6 4 2 2 2" xfId="21783" xr:uid="{00000000-0005-0000-0000-0000BF540000}"/>
    <cellStyle name="Komórka zaznaczona 2 6 4 2 2 3" xfId="21784" xr:uid="{00000000-0005-0000-0000-0000C0540000}"/>
    <cellStyle name="Komórka zaznaczona 2 6 4 2 2 4" xfId="21785" xr:uid="{00000000-0005-0000-0000-0000C1540000}"/>
    <cellStyle name="Komórka zaznaczona 2 6 4 2 2 5" xfId="21786" xr:uid="{00000000-0005-0000-0000-0000C2540000}"/>
    <cellStyle name="Komórka zaznaczona 2 6 4 2 2 6" xfId="21787" xr:uid="{00000000-0005-0000-0000-0000C3540000}"/>
    <cellStyle name="Komórka zaznaczona 2 6 4 2 3" xfId="21788" xr:uid="{00000000-0005-0000-0000-0000C4540000}"/>
    <cellStyle name="Komórka zaznaczona 2 6 4 2 4" xfId="21789" xr:uid="{00000000-0005-0000-0000-0000C5540000}"/>
    <cellStyle name="Komórka zaznaczona 2 6 4 2 5" xfId="21790" xr:uid="{00000000-0005-0000-0000-0000C6540000}"/>
    <cellStyle name="Komórka zaznaczona 2 6 4 2 6" xfId="21791" xr:uid="{00000000-0005-0000-0000-0000C7540000}"/>
    <cellStyle name="Komórka zaznaczona 2 6 4 2 7" xfId="21792" xr:uid="{00000000-0005-0000-0000-0000C8540000}"/>
    <cellStyle name="Komórka zaznaczona 2 6 4 3" xfId="21793" xr:uid="{00000000-0005-0000-0000-0000C9540000}"/>
    <cellStyle name="Komórka zaznaczona 2 6 4 4" xfId="21794" xr:uid="{00000000-0005-0000-0000-0000CA540000}"/>
    <cellStyle name="Komórka zaznaczona 2 6 4 5" xfId="21795" xr:uid="{00000000-0005-0000-0000-0000CB540000}"/>
    <cellStyle name="Komórka zaznaczona 2 6 4 6" xfId="21796" xr:uid="{00000000-0005-0000-0000-0000CC540000}"/>
    <cellStyle name="Komórka zaznaczona 2 6 4 7" xfId="21797" xr:uid="{00000000-0005-0000-0000-0000CD540000}"/>
    <cellStyle name="Komórka zaznaczona 2 6 4 7 2" xfId="21798" xr:uid="{00000000-0005-0000-0000-0000CE540000}"/>
    <cellStyle name="Komórka zaznaczona 2 6 4 7 3" xfId="21799" xr:uid="{00000000-0005-0000-0000-0000CF540000}"/>
    <cellStyle name="Komórka zaznaczona 2 6 4 7 4" xfId="21800" xr:uid="{00000000-0005-0000-0000-0000D0540000}"/>
    <cellStyle name="Komórka zaznaczona 2 6 4 7 5" xfId="21801" xr:uid="{00000000-0005-0000-0000-0000D1540000}"/>
    <cellStyle name="Komórka zaznaczona 2 6 4 7 6" xfId="21802" xr:uid="{00000000-0005-0000-0000-0000D2540000}"/>
    <cellStyle name="Komórka zaznaczona 2 6 4 8" xfId="21803" xr:uid="{00000000-0005-0000-0000-0000D3540000}"/>
    <cellStyle name="Komórka zaznaczona 2 6 4 9" xfId="21804" xr:uid="{00000000-0005-0000-0000-0000D4540000}"/>
    <cellStyle name="Komórka zaznaczona 2 6 5" xfId="21805" xr:uid="{00000000-0005-0000-0000-0000D5540000}"/>
    <cellStyle name="Komórka zaznaczona 2 6 5 2" xfId="21806" xr:uid="{00000000-0005-0000-0000-0000D6540000}"/>
    <cellStyle name="Komórka zaznaczona 2 6 5 2 2" xfId="21807" xr:uid="{00000000-0005-0000-0000-0000D7540000}"/>
    <cellStyle name="Komórka zaznaczona 2 6 5 2 3" xfId="21808" xr:uid="{00000000-0005-0000-0000-0000D8540000}"/>
    <cellStyle name="Komórka zaznaczona 2 6 5 2 4" xfId="21809" xr:uid="{00000000-0005-0000-0000-0000D9540000}"/>
    <cellStyle name="Komórka zaznaczona 2 6 5 2 5" xfId="21810" xr:uid="{00000000-0005-0000-0000-0000DA540000}"/>
    <cellStyle name="Komórka zaznaczona 2 6 5 2 6" xfId="21811" xr:uid="{00000000-0005-0000-0000-0000DB540000}"/>
    <cellStyle name="Komórka zaznaczona 2 6 5 3" xfId="21812" xr:uid="{00000000-0005-0000-0000-0000DC540000}"/>
    <cellStyle name="Komórka zaznaczona 2 6 5 4" xfId="21813" xr:uid="{00000000-0005-0000-0000-0000DD540000}"/>
    <cellStyle name="Komórka zaznaczona 2 6 5 5" xfId="21814" xr:uid="{00000000-0005-0000-0000-0000DE540000}"/>
    <cellStyle name="Komórka zaznaczona 2 6 5 6" xfId="21815" xr:uid="{00000000-0005-0000-0000-0000DF540000}"/>
    <cellStyle name="Komórka zaznaczona 2 6 5 7" xfId="21816" xr:uid="{00000000-0005-0000-0000-0000E0540000}"/>
    <cellStyle name="Komórka zaznaczona 2 6 6" xfId="21817" xr:uid="{00000000-0005-0000-0000-0000E1540000}"/>
    <cellStyle name="Komórka zaznaczona 2 6 7" xfId="21818" xr:uid="{00000000-0005-0000-0000-0000E2540000}"/>
    <cellStyle name="Komórka zaznaczona 2 6 8" xfId="21819" xr:uid="{00000000-0005-0000-0000-0000E3540000}"/>
    <cellStyle name="Komórka zaznaczona 2 6 9" xfId="21820" xr:uid="{00000000-0005-0000-0000-0000E4540000}"/>
    <cellStyle name="Komórka zaznaczona 2 6 9 2" xfId="21821" xr:uid="{00000000-0005-0000-0000-0000E5540000}"/>
    <cellStyle name="Komórka zaznaczona 2 6 9 3" xfId="21822" xr:uid="{00000000-0005-0000-0000-0000E6540000}"/>
    <cellStyle name="Komórka zaznaczona 2 6 9 4" xfId="21823" xr:uid="{00000000-0005-0000-0000-0000E7540000}"/>
    <cellStyle name="Komórka zaznaczona 2 6 9 5" xfId="21824" xr:uid="{00000000-0005-0000-0000-0000E8540000}"/>
    <cellStyle name="Komórka zaznaczona 2 6 9 6" xfId="21825" xr:uid="{00000000-0005-0000-0000-0000E9540000}"/>
    <cellStyle name="Komórka zaznaczona 2 7" xfId="21826" xr:uid="{00000000-0005-0000-0000-0000EA540000}"/>
    <cellStyle name="Komórka zaznaczona 2 8" xfId="21827" xr:uid="{00000000-0005-0000-0000-0000EB540000}"/>
    <cellStyle name="Komórka zaznaczona 2 9" xfId="21828" xr:uid="{00000000-0005-0000-0000-0000EC540000}"/>
    <cellStyle name="Komórka zaznaczona 3" xfId="262" xr:uid="{00000000-0005-0000-0000-0000ED540000}"/>
    <cellStyle name="Komórka zaznaczona 3 2" xfId="21830" xr:uid="{00000000-0005-0000-0000-0000EE540000}"/>
    <cellStyle name="Komórka zaznaczona 3 3" xfId="21831" xr:uid="{00000000-0005-0000-0000-0000EF540000}"/>
    <cellStyle name="Komórka zaznaczona 3 4" xfId="21832" xr:uid="{00000000-0005-0000-0000-0000F0540000}"/>
    <cellStyle name="Komórka zaznaczona 3 5" xfId="21829" xr:uid="{00000000-0005-0000-0000-0000F1540000}"/>
    <cellStyle name="Komórka zaznaczona 4" xfId="263" xr:uid="{00000000-0005-0000-0000-0000F2540000}"/>
    <cellStyle name="Komórka zaznaczona 4 2" xfId="21834" xr:uid="{00000000-0005-0000-0000-0000F3540000}"/>
    <cellStyle name="Komórka zaznaczona 4 3" xfId="21835" xr:uid="{00000000-0005-0000-0000-0000F4540000}"/>
    <cellStyle name="Komórka zaznaczona 4 4" xfId="21836" xr:uid="{00000000-0005-0000-0000-0000F5540000}"/>
    <cellStyle name="Komórka zaznaczona 4 5" xfId="21833" xr:uid="{00000000-0005-0000-0000-0000F6540000}"/>
    <cellStyle name="Komórka zaznaczona 5" xfId="264" xr:uid="{00000000-0005-0000-0000-0000F7540000}"/>
    <cellStyle name="Komórka zaznaczona 5 2" xfId="21838" xr:uid="{00000000-0005-0000-0000-0000F8540000}"/>
    <cellStyle name="Komórka zaznaczona 5 3" xfId="21839" xr:uid="{00000000-0005-0000-0000-0000F9540000}"/>
    <cellStyle name="Komórka zaznaczona 5 4" xfId="21840" xr:uid="{00000000-0005-0000-0000-0000FA540000}"/>
    <cellStyle name="Komórka zaznaczona 5 5" xfId="21837" xr:uid="{00000000-0005-0000-0000-0000FB540000}"/>
    <cellStyle name="Komórka zaznaczona 6" xfId="265" xr:uid="{00000000-0005-0000-0000-0000FC540000}"/>
    <cellStyle name="Komórka zaznaczona 6 2" xfId="21842" xr:uid="{00000000-0005-0000-0000-0000FD540000}"/>
    <cellStyle name="Komórka zaznaczona 6 3" xfId="21843" xr:uid="{00000000-0005-0000-0000-0000FE540000}"/>
    <cellStyle name="Komórka zaznaczona 6 4" xfId="21844" xr:uid="{00000000-0005-0000-0000-0000FF540000}"/>
    <cellStyle name="Komórka zaznaczona 6 5" xfId="21841" xr:uid="{00000000-0005-0000-0000-000000550000}"/>
    <cellStyle name="Komórka zaznaczona 7" xfId="266" xr:uid="{00000000-0005-0000-0000-000001550000}"/>
    <cellStyle name="Komórka zaznaczona 7 2" xfId="21846" xr:uid="{00000000-0005-0000-0000-000002550000}"/>
    <cellStyle name="Komórka zaznaczona 7 3" xfId="21847" xr:uid="{00000000-0005-0000-0000-000003550000}"/>
    <cellStyle name="Komórka zaznaczona 7 4" xfId="21848" xr:uid="{00000000-0005-0000-0000-000004550000}"/>
    <cellStyle name="Komórka zaznaczona 7 5" xfId="21845" xr:uid="{00000000-0005-0000-0000-000005550000}"/>
    <cellStyle name="Komórka zaznaczona 8" xfId="21849" xr:uid="{00000000-0005-0000-0000-000006550000}"/>
    <cellStyle name="Komórka zaznaczona 8 2" xfId="21850" xr:uid="{00000000-0005-0000-0000-000007550000}"/>
    <cellStyle name="Komórka zaznaczona 8 3" xfId="21851" xr:uid="{00000000-0005-0000-0000-000008550000}"/>
    <cellStyle name="Komórka zaznaczona 8 4" xfId="21852" xr:uid="{00000000-0005-0000-0000-000009550000}"/>
    <cellStyle name="Komórka zaznaczona 9" xfId="21853" xr:uid="{00000000-0005-0000-0000-00000A550000}"/>
    <cellStyle name="Linked Cell" xfId="21854" xr:uid="{00000000-0005-0000-0000-00000B550000}"/>
    <cellStyle name="Linked Cell 2" xfId="21855" xr:uid="{00000000-0005-0000-0000-00000C550000}"/>
    <cellStyle name="Linked Cell 3" xfId="21856" xr:uid="{00000000-0005-0000-0000-00000D550000}"/>
    <cellStyle name="Linked Cell 4" xfId="21857" xr:uid="{00000000-0005-0000-0000-00000E550000}"/>
    <cellStyle name="Linked Cell 5" xfId="21858" xr:uid="{00000000-0005-0000-0000-00000F550000}"/>
    <cellStyle name="Linked Cell 6" xfId="21859" xr:uid="{00000000-0005-0000-0000-000010550000}"/>
    <cellStyle name="Linked Cell 7" xfId="21860" xr:uid="{00000000-0005-0000-0000-000011550000}"/>
    <cellStyle name="Linked Cell 8" xfId="21861" xr:uid="{00000000-0005-0000-0000-000012550000}"/>
    <cellStyle name="Linked Cell 9" xfId="21862" xr:uid="{00000000-0005-0000-0000-000013550000}"/>
    <cellStyle name="Linked Cell_PGE Rzeszów Budget" xfId="38674" xr:uid="{E96110A0-2EF3-40D0-BFB7-E6E66CB7E03D}"/>
    <cellStyle name="Nagłówek" xfId="267" xr:uid="{00000000-0005-0000-0000-000014550000}"/>
    <cellStyle name="Nagłówek 1 1" xfId="21863" xr:uid="{00000000-0005-0000-0000-000015550000}"/>
    <cellStyle name="Nagłówek 1 10" xfId="21864" xr:uid="{00000000-0005-0000-0000-000016550000}"/>
    <cellStyle name="Nagłówek 1 11" xfId="21865" xr:uid="{00000000-0005-0000-0000-000017550000}"/>
    <cellStyle name="Nagłówek 1 12" xfId="21866" xr:uid="{00000000-0005-0000-0000-000018550000}"/>
    <cellStyle name="Nagłówek 1 13" xfId="21867" xr:uid="{00000000-0005-0000-0000-000019550000}"/>
    <cellStyle name="Nagłówek 1 14" xfId="21868" xr:uid="{00000000-0005-0000-0000-00001A550000}"/>
    <cellStyle name="Nagłówek 1 15" xfId="21869" xr:uid="{00000000-0005-0000-0000-00001B550000}"/>
    <cellStyle name="Nagłówek 1 16" xfId="21870" xr:uid="{00000000-0005-0000-0000-00001C550000}"/>
    <cellStyle name="Nagłówek 1 17" xfId="21871" xr:uid="{00000000-0005-0000-0000-00001D550000}"/>
    <cellStyle name="Nagłówek 1 18" xfId="21872" xr:uid="{00000000-0005-0000-0000-00001E550000}"/>
    <cellStyle name="Nagłówek 1 19" xfId="21873" xr:uid="{00000000-0005-0000-0000-00001F550000}"/>
    <cellStyle name="Nagłówek 1 2" xfId="268" xr:uid="{00000000-0005-0000-0000-000020550000}"/>
    <cellStyle name="Nagłówek 1 2 10" xfId="21875" xr:uid="{00000000-0005-0000-0000-000021550000}"/>
    <cellStyle name="Nagłówek 1 2 11" xfId="21876" xr:uid="{00000000-0005-0000-0000-000022550000}"/>
    <cellStyle name="Nagłówek 1 2 12" xfId="21877" xr:uid="{00000000-0005-0000-0000-000023550000}"/>
    <cellStyle name="Nagłówek 1 2 13" xfId="21878" xr:uid="{00000000-0005-0000-0000-000024550000}"/>
    <cellStyle name="Nagłówek 1 2 14" xfId="21879" xr:uid="{00000000-0005-0000-0000-000025550000}"/>
    <cellStyle name="Nagłówek 1 2 15" xfId="21874" xr:uid="{00000000-0005-0000-0000-000026550000}"/>
    <cellStyle name="Nagłówek 1 2 16" xfId="37846" xr:uid="{00000000-0005-0000-0000-000027550000}"/>
    <cellStyle name="Nagłówek 1 2 2" xfId="21880" xr:uid="{00000000-0005-0000-0000-000028550000}"/>
    <cellStyle name="Nagłówek 1 2 2 10" xfId="21881" xr:uid="{00000000-0005-0000-0000-000029550000}"/>
    <cellStyle name="Nagłówek 1 2 2 10 10" xfId="21882" xr:uid="{00000000-0005-0000-0000-00002A550000}"/>
    <cellStyle name="Nagłówek 1 2 2 10 11" xfId="21883" xr:uid="{00000000-0005-0000-0000-00002B550000}"/>
    <cellStyle name="Nagłówek 1 2 2 10 12" xfId="21884" xr:uid="{00000000-0005-0000-0000-00002C550000}"/>
    <cellStyle name="Nagłówek 1 2 2 10 2" xfId="21885" xr:uid="{00000000-0005-0000-0000-00002D550000}"/>
    <cellStyle name="Nagłówek 1 2 2 10 2 10" xfId="21886" xr:uid="{00000000-0005-0000-0000-00002E550000}"/>
    <cellStyle name="Nagłówek 1 2 2 10 2 11" xfId="21887" xr:uid="{00000000-0005-0000-0000-00002F550000}"/>
    <cellStyle name="Nagłówek 1 2 2 10 2 2" xfId="21888" xr:uid="{00000000-0005-0000-0000-000030550000}"/>
    <cellStyle name="Nagłówek 1 2 2 10 2 2 10" xfId="21889" xr:uid="{00000000-0005-0000-0000-000031550000}"/>
    <cellStyle name="Nagłówek 1 2 2 10 2 2 11" xfId="21890" xr:uid="{00000000-0005-0000-0000-000032550000}"/>
    <cellStyle name="Nagłówek 1 2 2 10 2 2 2" xfId="21891" xr:uid="{00000000-0005-0000-0000-000033550000}"/>
    <cellStyle name="Nagłówek 1 2 2 10 2 2 2 2" xfId="21892" xr:uid="{00000000-0005-0000-0000-000034550000}"/>
    <cellStyle name="Nagłówek 1 2 2 10 2 2 2 2 2" xfId="21893" xr:uid="{00000000-0005-0000-0000-000035550000}"/>
    <cellStyle name="Nagłówek 1 2 2 10 2 2 2 2 3" xfId="21894" xr:uid="{00000000-0005-0000-0000-000036550000}"/>
    <cellStyle name="Nagłówek 1 2 2 10 2 2 2 2 4" xfId="21895" xr:uid="{00000000-0005-0000-0000-000037550000}"/>
    <cellStyle name="Nagłówek 1 2 2 10 2 2 2 2 5" xfId="21896" xr:uid="{00000000-0005-0000-0000-000038550000}"/>
    <cellStyle name="Nagłówek 1 2 2 10 2 2 2 2 6" xfId="21897" xr:uid="{00000000-0005-0000-0000-000039550000}"/>
    <cellStyle name="Nagłówek 1 2 2 10 2 2 2 3" xfId="21898" xr:uid="{00000000-0005-0000-0000-00003A550000}"/>
    <cellStyle name="Nagłówek 1 2 2 10 2 2 2 4" xfId="21899" xr:uid="{00000000-0005-0000-0000-00003B550000}"/>
    <cellStyle name="Nagłówek 1 2 2 10 2 2 2 5" xfId="21900" xr:uid="{00000000-0005-0000-0000-00003C550000}"/>
    <cellStyle name="Nagłówek 1 2 2 10 2 2 2 6" xfId="21901" xr:uid="{00000000-0005-0000-0000-00003D550000}"/>
    <cellStyle name="Nagłówek 1 2 2 10 2 2 2 7" xfId="21902" xr:uid="{00000000-0005-0000-0000-00003E550000}"/>
    <cellStyle name="Nagłówek 1 2 2 10 2 2 3" xfId="21903" xr:uid="{00000000-0005-0000-0000-00003F550000}"/>
    <cellStyle name="Nagłówek 1 2 2 10 2 2 4" xfId="21904" xr:uid="{00000000-0005-0000-0000-000040550000}"/>
    <cellStyle name="Nagłówek 1 2 2 10 2 2 5" xfId="21905" xr:uid="{00000000-0005-0000-0000-000041550000}"/>
    <cellStyle name="Nagłówek 1 2 2 10 2 2 6" xfId="21906" xr:uid="{00000000-0005-0000-0000-000042550000}"/>
    <cellStyle name="Nagłówek 1 2 2 10 2 2 7" xfId="21907" xr:uid="{00000000-0005-0000-0000-000043550000}"/>
    <cellStyle name="Nagłówek 1 2 2 10 2 2 7 2" xfId="21908" xr:uid="{00000000-0005-0000-0000-000044550000}"/>
    <cellStyle name="Nagłówek 1 2 2 10 2 2 7 3" xfId="21909" xr:uid="{00000000-0005-0000-0000-000045550000}"/>
    <cellStyle name="Nagłówek 1 2 2 10 2 2 7 4" xfId="21910" xr:uid="{00000000-0005-0000-0000-000046550000}"/>
    <cellStyle name="Nagłówek 1 2 2 10 2 2 7 5" xfId="21911" xr:uid="{00000000-0005-0000-0000-000047550000}"/>
    <cellStyle name="Nagłówek 1 2 2 10 2 2 7 6" xfId="21912" xr:uid="{00000000-0005-0000-0000-000048550000}"/>
    <cellStyle name="Nagłówek 1 2 2 10 2 2 8" xfId="21913" xr:uid="{00000000-0005-0000-0000-000049550000}"/>
    <cellStyle name="Nagłówek 1 2 2 10 2 2 9" xfId="21914" xr:uid="{00000000-0005-0000-0000-00004A550000}"/>
    <cellStyle name="Nagłówek 1 2 2 10 2 3" xfId="21915" xr:uid="{00000000-0005-0000-0000-00004B550000}"/>
    <cellStyle name="Nagłówek 1 2 2 10 2 3 2" xfId="21916" xr:uid="{00000000-0005-0000-0000-00004C550000}"/>
    <cellStyle name="Nagłówek 1 2 2 10 2 3 2 2" xfId="21917" xr:uid="{00000000-0005-0000-0000-00004D550000}"/>
    <cellStyle name="Nagłówek 1 2 2 10 2 3 2 3" xfId="21918" xr:uid="{00000000-0005-0000-0000-00004E550000}"/>
    <cellStyle name="Nagłówek 1 2 2 10 2 3 2 4" xfId="21919" xr:uid="{00000000-0005-0000-0000-00004F550000}"/>
    <cellStyle name="Nagłówek 1 2 2 10 2 3 2 5" xfId="21920" xr:uid="{00000000-0005-0000-0000-000050550000}"/>
    <cellStyle name="Nagłówek 1 2 2 10 2 3 2 6" xfId="21921" xr:uid="{00000000-0005-0000-0000-000051550000}"/>
    <cellStyle name="Nagłówek 1 2 2 10 2 3 3" xfId="21922" xr:uid="{00000000-0005-0000-0000-000052550000}"/>
    <cellStyle name="Nagłówek 1 2 2 10 2 3 4" xfId="21923" xr:uid="{00000000-0005-0000-0000-000053550000}"/>
    <cellStyle name="Nagłówek 1 2 2 10 2 3 5" xfId="21924" xr:uid="{00000000-0005-0000-0000-000054550000}"/>
    <cellStyle name="Nagłówek 1 2 2 10 2 3 6" xfId="21925" xr:uid="{00000000-0005-0000-0000-000055550000}"/>
    <cellStyle name="Nagłówek 1 2 2 10 2 3 7" xfId="21926" xr:uid="{00000000-0005-0000-0000-000056550000}"/>
    <cellStyle name="Nagłówek 1 2 2 10 2 4" xfId="21927" xr:uid="{00000000-0005-0000-0000-000057550000}"/>
    <cellStyle name="Nagłówek 1 2 2 10 2 5" xfId="21928" xr:uid="{00000000-0005-0000-0000-000058550000}"/>
    <cellStyle name="Nagłówek 1 2 2 10 2 6" xfId="21929" xr:uid="{00000000-0005-0000-0000-000059550000}"/>
    <cellStyle name="Nagłówek 1 2 2 10 2 7" xfId="21930" xr:uid="{00000000-0005-0000-0000-00005A550000}"/>
    <cellStyle name="Nagłówek 1 2 2 10 2 7 2" xfId="21931" xr:uid="{00000000-0005-0000-0000-00005B550000}"/>
    <cellStyle name="Nagłówek 1 2 2 10 2 7 3" xfId="21932" xr:uid="{00000000-0005-0000-0000-00005C550000}"/>
    <cellStyle name="Nagłówek 1 2 2 10 2 7 4" xfId="21933" xr:uid="{00000000-0005-0000-0000-00005D550000}"/>
    <cellStyle name="Nagłówek 1 2 2 10 2 7 5" xfId="21934" xr:uid="{00000000-0005-0000-0000-00005E550000}"/>
    <cellStyle name="Nagłówek 1 2 2 10 2 7 6" xfId="21935" xr:uid="{00000000-0005-0000-0000-00005F550000}"/>
    <cellStyle name="Nagłówek 1 2 2 10 2 8" xfId="21936" xr:uid="{00000000-0005-0000-0000-000060550000}"/>
    <cellStyle name="Nagłówek 1 2 2 10 2 9" xfId="21937" xr:uid="{00000000-0005-0000-0000-000061550000}"/>
    <cellStyle name="Nagłówek 1 2 2 10 3" xfId="21938" xr:uid="{00000000-0005-0000-0000-000062550000}"/>
    <cellStyle name="Nagłówek 1 2 2 10 3 2" xfId="21939" xr:uid="{00000000-0005-0000-0000-000063550000}"/>
    <cellStyle name="Nagłówek 1 2 2 10 3 2 2" xfId="21940" xr:uid="{00000000-0005-0000-0000-000064550000}"/>
    <cellStyle name="Nagłówek 1 2 2 10 3 2 3" xfId="21941" xr:uid="{00000000-0005-0000-0000-000065550000}"/>
    <cellStyle name="Nagłówek 1 2 2 10 3 2 4" xfId="21942" xr:uid="{00000000-0005-0000-0000-000066550000}"/>
    <cellStyle name="Nagłówek 1 2 2 10 3 2 5" xfId="21943" xr:uid="{00000000-0005-0000-0000-000067550000}"/>
    <cellStyle name="Nagłówek 1 2 2 10 3 2 6" xfId="21944" xr:uid="{00000000-0005-0000-0000-000068550000}"/>
    <cellStyle name="Nagłówek 1 2 2 10 3 3" xfId="21945" xr:uid="{00000000-0005-0000-0000-000069550000}"/>
    <cellStyle name="Nagłówek 1 2 2 10 3 4" xfId="21946" xr:uid="{00000000-0005-0000-0000-00006A550000}"/>
    <cellStyle name="Nagłówek 1 2 2 10 3 5" xfId="21947" xr:uid="{00000000-0005-0000-0000-00006B550000}"/>
    <cellStyle name="Nagłówek 1 2 2 10 3 6" xfId="21948" xr:uid="{00000000-0005-0000-0000-00006C550000}"/>
    <cellStyle name="Nagłówek 1 2 2 10 3 7" xfId="21949" xr:uid="{00000000-0005-0000-0000-00006D550000}"/>
    <cellStyle name="Nagłówek 1 2 2 10 4" xfId="21950" xr:uid="{00000000-0005-0000-0000-00006E550000}"/>
    <cellStyle name="Nagłówek 1 2 2 10 5" xfId="21951" xr:uid="{00000000-0005-0000-0000-00006F550000}"/>
    <cellStyle name="Nagłówek 1 2 2 10 6" xfId="21952" xr:uid="{00000000-0005-0000-0000-000070550000}"/>
    <cellStyle name="Nagłówek 1 2 2 10 7" xfId="21953" xr:uid="{00000000-0005-0000-0000-000071550000}"/>
    <cellStyle name="Nagłówek 1 2 2 10 8" xfId="21954" xr:uid="{00000000-0005-0000-0000-000072550000}"/>
    <cellStyle name="Nagłówek 1 2 2 10 8 2" xfId="21955" xr:uid="{00000000-0005-0000-0000-000073550000}"/>
    <cellStyle name="Nagłówek 1 2 2 10 8 3" xfId="21956" xr:uid="{00000000-0005-0000-0000-000074550000}"/>
    <cellStyle name="Nagłówek 1 2 2 10 8 4" xfId="21957" xr:uid="{00000000-0005-0000-0000-000075550000}"/>
    <cellStyle name="Nagłówek 1 2 2 10 8 5" xfId="21958" xr:uid="{00000000-0005-0000-0000-000076550000}"/>
    <cellStyle name="Nagłówek 1 2 2 10 8 6" xfId="21959" xr:uid="{00000000-0005-0000-0000-000077550000}"/>
    <cellStyle name="Nagłówek 1 2 2 10 9" xfId="21960" xr:uid="{00000000-0005-0000-0000-000078550000}"/>
    <cellStyle name="Nagłówek 1 2 2 11" xfId="21961" xr:uid="{00000000-0005-0000-0000-000079550000}"/>
    <cellStyle name="Nagłówek 1 2 2 11 10" xfId="21962" xr:uid="{00000000-0005-0000-0000-00007A550000}"/>
    <cellStyle name="Nagłówek 1 2 2 11 11" xfId="21963" xr:uid="{00000000-0005-0000-0000-00007B550000}"/>
    <cellStyle name="Nagłówek 1 2 2 11 2" xfId="21964" xr:uid="{00000000-0005-0000-0000-00007C550000}"/>
    <cellStyle name="Nagłówek 1 2 2 11 2 2" xfId="21965" xr:uid="{00000000-0005-0000-0000-00007D550000}"/>
    <cellStyle name="Nagłówek 1 2 2 11 2 2 2" xfId="21966" xr:uid="{00000000-0005-0000-0000-00007E550000}"/>
    <cellStyle name="Nagłówek 1 2 2 11 2 2 3" xfId="21967" xr:uid="{00000000-0005-0000-0000-00007F550000}"/>
    <cellStyle name="Nagłówek 1 2 2 11 2 2 4" xfId="21968" xr:uid="{00000000-0005-0000-0000-000080550000}"/>
    <cellStyle name="Nagłówek 1 2 2 11 2 2 5" xfId="21969" xr:uid="{00000000-0005-0000-0000-000081550000}"/>
    <cellStyle name="Nagłówek 1 2 2 11 2 2 6" xfId="21970" xr:uid="{00000000-0005-0000-0000-000082550000}"/>
    <cellStyle name="Nagłówek 1 2 2 11 2 3" xfId="21971" xr:uid="{00000000-0005-0000-0000-000083550000}"/>
    <cellStyle name="Nagłówek 1 2 2 11 2 4" xfId="21972" xr:uid="{00000000-0005-0000-0000-000084550000}"/>
    <cellStyle name="Nagłówek 1 2 2 11 2 5" xfId="21973" xr:uid="{00000000-0005-0000-0000-000085550000}"/>
    <cellStyle name="Nagłówek 1 2 2 11 2 6" xfId="21974" xr:uid="{00000000-0005-0000-0000-000086550000}"/>
    <cellStyle name="Nagłówek 1 2 2 11 2 7" xfId="21975" xr:uid="{00000000-0005-0000-0000-000087550000}"/>
    <cellStyle name="Nagłówek 1 2 2 11 3" xfId="21976" xr:uid="{00000000-0005-0000-0000-000088550000}"/>
    <cellStyle name="Nagłówek 1 2 2 11 4" xfId="21977" xr:uid="{00000000-0005-0000-0000-000089550000}"/>
    <cellStyle name="Nagłówek 1 2 2 11 5" xfId="21978" xr:uid="{00000000-0005-0000-0000-00008A550000}"/>
    <cellStyle name="Nagłówek 1 2 2 11 6" xfId="21979" xr:uid="{00000000-0005-0000-0000-00008B550000}"/>
    <cellStyle name="Nagłówek 1 2 2 11 7" xfId="21980" xr:uid="{00000000-0005-0000-0000-00008C550000}"/>
    <cellStyle name="Nagłówek 1 2 2 11 7 2" xfId="21981" xr:uid="{00000000-0005-0000-0000-00008D550000}"/>
    <cellStyle name="Nagłówek 1 2 2 11 7 3" xfId="21982" xr:uid="{00000000-0005-0000-0000-00008E550000}"/>
    <cellStyle name="Nagłówek 1 2 2 11 7 4" xfId="21983" xr:uid="{00000000-0005-0000-0000-00008F550000}"/>
    <cellStyle name="Nagłówek 1 2 2 11 7 5" xfId="21984" xr:uid="{00000000-0005-0000-0000-000090550000}"/>
    <cellStyle name="Nagłówek 1 2 2 11 7 6" xfId="21985" xr:uid="{00000000-0005-0000-0000-000091550000}"/>
    <cellStyle name="Nagłówek 1 2 2 11 8" xfId="21986" xr:uid="{00000000-0005-0000-0000-000092550000}"/>
    <cellStyle name="Nagłówek 1 2 2 11 9" xfId="21987" xr:uid="{00000000-0005-0000-0000-000093550000}"/>
    <cellStyle name="Nagłówek 1 2 2 12" xfId="21988" xr:uid="{00000000-0005-0000-0000-000094550000}"/>
    <cellStyle name="Nagłówek 1 2 2 12 2" xfId="21989" xr:uid="{00000000-0005-0000-0000-000095550000}"/>
    <cellStyle name="Nagłówek 1 2 2 12 2 2" xfId="21990" xr:uid="{00000000-0005-0000-0000-000096550000}"/>
    <cellStyle name="Nagłówek 1 2 2 12 2 3" xfId="21991" xr:uid="{00000000-0005-0000-0000-000097550000}"/>
    <cellStyle name="Nagłówek 1 2 2 12 2 4" xfId="21992" xr:uid="{00000000-0005-0000-0000-000098550000}"/>
    <cellStyle name="Nagłówek 1 2 2 12 2 5" xfId="21993" xr:uid="{00000000-0005-0000-0000-000099550000}"/>
    <cellStyle name="Nagłówek 1 2 2 12 2 6" xfId="21994" xr:uid="{00000000-0005-0000-0000-00009A550000}"/>
    <cellStyle name="Nagłówek 1 2 2 12 3" xfId="21995" xr:uid="{00000000-0005-0000-0000-00009B550000}"/>
    <cellStyle name="Nagłówek 1 2 2 12 4" xfId="21996" xr:uid="{00000000-0005-0000-0000-00009C550000}"/>
    <cellStyle name="Nagłówek 1 2 2 12 5" xfId="21997" xr:uid="{00000000-0005-0000-0000-00009D550000}"/>
    <cellStyle name="Nagłówek 1 2 2 12 6" xfId="21998" xr:uid="{00000000-0005-0000-0000-00009E550000}"/>
    <cellStyle name="Nagłówek 1 2 2 12 7" xfId="21999" xr:uid="{00000000-0005-0000-0000-00009F550000}"/>
    <cellStyle name="Nagłówek 1 2 2 13" xfId="22000" xr:uid="{00000000-0005-0000-0000-0000A0550000}"/>
    <cellStyle name="Nagłówek 1 2 2 14" xfId="22001" xr:uid="{00000000-0005-0000-0000-0000A1550000}"/>
    <cellStyle name="Nagłówek 1 2 2 15" xfId="22002" xr:uid="{00000000-0005-0000-0000-0000A2550000}"/>
    <cellStyle name="Nagłówek 1 2 2 16" xfId="22003" xr:uid="{00000000-0005-0000-0000-0000A3550000}"/>
    <cellStyle name="Nagłówek 1 2 2 17" xfId="22004" xr:uid="{00000000-0005-0000-0000-0000A4550000}"/>
    <cellStyle name="Nagłówek 1 2 2 18" xfId="22005" xr:uid="{00000000-0005-0000-0000-0000A5550000}"/>
    <cellStyle name="Nagłówek 1 2 2 18 2" xfId="22006" xr:uid="{00000000-0005-0000-0000-0000A6550000}"/>
    <cellStyle name="Nagłówek 1 2 2 18 3" xfId="22007" xr:uid="{00000000-0005-0000-0000-0000A7550000}"/>
    <cellStyle name="Nagłówek 1 2 2 18 4" xfId="22008" xr:uid="{00000000-0005-0000-0000-0000A8550000}"/>
    <cellStyle name="Nagłówek 1 2 2 18 5" xfId="22009" xr:uid="{00000000-0005-0000-0000-0000A9550000}"/>
    <cellStyle name="Nagłówek 1 2 2 18 6" xfId="22010" xr:uid="{00000000-0005-0000-0000-0000AA550000}"/>
    <cellStyle name="Nagłówek 1 2 2 19" xfId="22011" xr:uid="{00000000-0005-0000-0000-0000AB550000}"/>
    <cellStyle name="Nagłówek 1 2 2 2" xfId="22012" xr:uid="{00000000-0005-0000-0000-0000AC550000}"/>
    <cellStyle name="Nagłówek 1 2 2 2 10" xfId="22013" xr:uid="{00000000-0005-0000-0000-0000AD550000}"/>
    <cellStyle name="Nagłówek 1 2 2 2 11" xfId="22014" xr:uid="{00000000-0005-0000-0000-0000AE550000}"/>
    <cellStyle name="Nagłówek 1 2 2 2 2" xfId="22015" xr:uid="{00000000-0005-0000-0000-0000AF550000}"/>
    <cellStyle name="Nagłówek 1 2 2 2 2 10" xfId="22016" xr:uid="{00000000-0005-0000-0000-0000B0550000}"/>
    <cellStyle name="Nagłówek 1 2 2 2 2 2" xfId="22017" xr:uid="{00000000-0005-0000-0000-0000B1550000}"/>
    <cellStyle name="Nagłówek 1 2 2 2 2 2 2" xfId="22018" xr:uid="{00000000-0005-0000-0000-0000B2550000}"/>
    <cellStyle name="Nagłówek 1 2 2 2 2 2 2 2" xfId="22019" xr:uid="{00000000-0005-0000-0000-0000B3550000}"/>
    <cellStyle name="Nagłówek 1 2 2 2 2 2 2 2 2" xfId="22020" xr:uid="{00000000-0005-0000-0000-0000B4550000}"/>
    <cellStyle name="Nagłówek 1 2 2 2 2 2 2 2 2 2" xfId="22021" xr:uid="{00000000-0005-0000-0000-0000B5550000}"/>
    <cellStyle name="Nagłówek 1 2 2 2 2 2 2 2 2 3" xfId="22022" xr:uid="{00000000-0005-0000-0000-0000B6550000}"/>
    <cellStyle name="Nagłówek 1 2 2 2 2 2 2 2 2 4" xfId="22023" xr:uid="{00000000-0005-0000-0000-0000B7550000}"/>
    <cellStyle name="Nagłówek 1 2 2 2 2 2 2 2 3" xfId="22024" xr:uid="{00000000-0005-0000-0000-0000B8550000}"/>
    <cellStyle name="Nagłówek 1 2 2 2 2 2 2 2 4" xfId="22025" xr:uid="{00000000-0005-0000-0000-0000B9550000}"/>
    <cellStyle name="Nagłówek 1 2 2 2 2 2 2 2 5" xfId="22026" xr:uid="{00000000-0005-0000-0000-0000BA550000}"/>
    <cellStyle name="Nagłówek 1 2 2 2 2 2 2 3" xfId="22027" xr:uid="{00000000-0005-0000-0000-0000BB550000}"/>
    <cellStyle name="Nagłówek 1 2 2 2 2 2 2 4" xfId="22028" xr:uid="{00000000-0005-0000-0000-0000BC550000}"/>
    <cellStyle name="Nagłówek 1 2 2 2 2 2 2 5" xfId="22029" xr:uid="{00000000-0005-0000-0000-0000BD550000}"/>
    <cellStyle name="Nagłówek 1 2 2 2 2 2 2 6" xfId="22030" xr:uid="{00000000-0005-0000-0000-0000BE550000}"/>
    <cellStyle name="Nagłówek 1 2 2 2 2 2 2 7" xfId="22031" xr:uid="{00000000-0005-0000-0000-0000BF550000}"/>
    <cellStyle name="Nagłówek 1 2 2 2 2 2 2 7 2" xfId="22032" xr:uid="{00000000-0005-0000-0000-0000C0550000}"/>
    <cellStyle name="Nagłówek 1 2 2 2 2 2 2 7 3" xfId="22033" xr:uid="{00000000-0005-0000-0000-0000C1550000}"/>
    <cellStyle name="Nagłówek 1 2 2 2 2 2 2 7 4" xfId="22034" xr:uid="{00000000-0005-0000-0000-0000C2550000}"/>
    <cellStyle name="Nagłówek 1 2 2 2 2 2 2 7 5" xfId="22035" xr:uid="{00000000-0005-0000-0000-0000C3550000}"/>
    <cellStyle name="Nagłówek 1 2 2 2 2 2 2 7 6" xfId="22036" xr:uid="{00000000-0005-0000-0000-0000C4550000}"/>
    <cellStyle name="Nagłówek 1 2 2 2 2 2 2 8" xfId="22037" xr:uid="{00000000-0005-0000-0000-0000C5550000}"/>
    <cellStyle name="Nagłówek 1 2 2 2 2 2 2 9" xfId="22038" xr:uid="{00000000-0005-0000-0000-0000C6550000}"/>
    <cellStyle name="Nagłówek 1 2 2 2 2 2 3" xfId="22039" xr:uid="{00000000-0005-0000-0000-0000C7550000}"/>
    <cellStyle name="Nagłówek 1 2 2 2 2 2 3 2" xfId="22040" xr:uid="{00000000-0005-0000-0000-0000C8550000}"/>
    <cellStyle name="Nagłówek 1 2 2 2 2 2 3 2 2" xfId="22041" xr:uid="{00000000-0005-0000-0000-0000C9550000}"/>
    <cellStyle name="Nagłówek 1 2 2 2 2 2 3 2 3" xfId="22042" xr:uid="{00000000-0005-0000-0000-0000CA550000}"/>
    <cellStyle name="Nagłówek 1 2 2 2 2 2 3 2 4" xfId="22043" xr:uid="{00000000-0005-0000-0000-0000CB550000}"/>
    <cellStyle name="Nagłówek 1 2 2 2 2 2 3 2 5" xfId="22044" xr:uid="{00000000-0005-0000-0000-0000CC550000}"/>
    <cellStyle name="Nagłówek 1 2 2 2 2 2 3 2 6" xfId="22045" xr:uid="{00000000-0005-0000-0000-0000CD550000}"/>
    <cellStyle name="Nagłówek 1 2 2 2 2 2 3 3" xfId="22046" xr:uid="{00000000-0005-0000-0000-0000CE550000}"/>
    <cellStyle name="Nagłówek 1 2 2 2 2 2 3 4" xfId="22047" xr:uid="{00000000-0005-0000-0000-0000CF550000}"/>
    <cellStyle name="Nagłówek 1 2 2 2 2 2 3 5" xfId="22048" xr:uid="{00000000-0005-0000-0000-0000D0550000}"/>
    <cellStyle name="Nagłówek 1 2 2 2 2 2 3 6" xfId="22049" xr:uid="{00000000-0005-0000-0000-0000D1550000}"/>
    <cellStyle name="Nagłówek 1 2 2 2 2 2 3 7" xfId="22050" xr:uid="{00000000-0005-0000-0000-0000D2550000}"/>
    <cellStyle name="Nagłówek 1 2 2 2 2 2 4" xfId="22051" xr:uid="{00000000-0005-0000-0000-0000D3550000}"/>
    <cellStyle name="Nagłówek 1 2 2 2 2 2 5" xfId="22052" xr:uid="{00000000-0005-0000-0000-0000D4550000}"/>
    <cellStyle name="Nagłówek 1 2 2 2 2 2 6" xfId="22053" xr:uid="{00000000-0005-0000-0000-0000D5550000}"/>
    <cellStyle name="Nagłówek 1 2 2 2 2 2 7" xfId="22054" xr:uid="{00000000-0005-0000-0000-0000D6550000}"/>
    <cellStyle name="Nagłówek 1 2 2 2 2 2 7 2" xfId="22055" xr:uid="{00000000-0005-0000-0000-0000D7550000}"/>
    <cellStyle name="Nagłówek 1 2 2 2 2 2 7 3" xfId="22056" xr:uid="{00000000-0005-0000-0000-0000D8550000}"/>
    <cellStyle name="Nagłówek 1 2 2 2 2 2 7 4" xfId="22057" xr:uid="{00000000-0005-0000-0000-0000D9550000}"/>
    <cellStyle name="Nagłówek 1 2 2 2 2 2 7 5" xfId="22058" xr:uid="{00000000-0005-0000-0000-0000DA550000}"/>
    <cellStyle name="Nagłówek 1 2 2 2 2 2 7 6" xfId="22059" xr:uid="{00000000-0005-0000-0000-0000DB550000}"/>
    <cellStyle name="Nagłówek 1 2 2 2 2 2 8" xfId="22060" xr:uid="{00000000-0005-0000-0000-0000DC550000}"/>
    <cellStyle name="Nagłówek 1 2 2 2 2 2 9" xfId="22061" xr:uid="{00000000-0005-0000-0000-0000DD550000}"/>
    <cellStyle name="Nagłówek 1 2 2 2 2 3" xfId="22062" xr:uid="{00000000-0005-0000-0000-0000DE550000}"/>
    <cellStyle name="Nagłówek 1 2 2 2 2 3 2" xfId="22063" xr:uid="{00000000-0005-0000-0000-0000DF550000}"/>
    <cellStyle name="Nagłówek 1 2 2 2 2 3 2 2" xfId="22064" xr:uid="{00000000-0005-0000-0000-0000E0550000}"/>
    <cellStyle name="Nagłówek 1 2 2 2 2 3 2 3" xfId="22065" xr:uid="{00000000-0005-0000-0000-0000E1550000}"/>
    <cellStyle name="Nagłówek 1 2 2 2 2 3 2 4" xfId="22066" xr:uid="{00000000-0005-0000-0000-0000E2550000}"/>
    <cellStyle name="Nagłówek 1 2 2 2 2 3 2 5" xfId="22067" xr:uid="{00000000-0005-0000-0000-0000E3550000}"/>
    <cellStyle name="Nagłówek 1 2 2 2 2 3 2 6" xfId="22068" xr:uid="{00000000-0005-0000-0000-0000E4550000}"/>
    <cellStyle name="Nagłówek 1 2 2 2 2 3 3" xfId="22069" xr:uid="{00000000-0005-0000-0000-0000E5550000}"/>
    <cellStyle name="Nagłówek 1 2 2 2 2 3 4" xfId="22070" xr:uid="{00000000-0005-0000-0000-0000E6550000}"/>
    <cellStyle name="Nagłówek 1 2 2 2 2 3 5" xfId="22071" xr:uid="{00000000-0005-0000-0000-0000E7550000}"/>
    <cellStyle name="Nagłówek 1 2 2 2 2 3 6" xfId="22072" xr:uid="{00000000-0005-0000-0000-0000E8550000}"/>
    <cellStyle name="Nagłówek 1 2 2 2 2 3 7" xfId="22073" xr:uid="{00000000-0005-0000-0000-0000E9550000}"/>
    <cellStyle name="Nagłówek 1 2 2 2 2 4" xfId="22074" xr:uid="{00000000-0005-0000-0000-0000EA550000}"/>
    <cellStyle name="Nagłówek 1 2 2 2 2 5" xfId="22075" xr:uid="{00000000-0005-0000-0000-0000EB550000}"/>
    <cellStyle name="Nagłówek 1 2 2 2 2 6" xfId="22076" xr:uid="{00000000-0005-0000-0000-0000EC550000}"/>
    <cellStyle name="Nagłówek 1 2 2 2 2 7" xfId="22077" xr:uid="{00000000-0005-0000-0000-0000ED550000}"/>
    <cellStyle name="Nagłówek 1 2 2 2 2 8" xfId="22078" xr:uid="{00000000-0005-0000-0000-0000EE550000}"/>
    <cellStyle name="Nagłówek 1 2 2 2 2 8 2" xfId="22079" xr:uid="{00000000-0005-0000-0000-0000EF550000}"/>
    <cellStyle name="Nagłówek 1 2 2 2 2 8 3" xfId="22080" xr:uid="{00000000-0005-0000-0000-0000F0550000}"/>
    <cellStyle name="Nagłówek 1 2 2 2 2 8 4" xfId="22081" xr:uid="{00000000-0005-0000-0000-0000F1550000}"/>
    <cellStyle name="Nagłówek 1 2 2 2 2 8 5" xfId="22082" xr:uid="{00000000-0005-0000-0000-0000F2550000}"/>
    <cellStyle name="Nagłówek 1 2 2 2 2 8 6" xfId="22083" xr:uid="{00000000-0005-0000-0000-0000F3550000}"/>
    <cellStyle name="Nagłówek 1 2 2 2 2 9" xfId="22084" xr:uid="{00000000-0005-0000-0000-0000F4550000}"/>
    <cellStyle name="Nagłówek 1 2 2 2 3" xfId="22085" xr:uid="{00000000-0005-0000-0000-0000F5550000}"/>
    <cellStyle name="Nagłówek 1 2 2 2 4" xfId="22086" xr:uid="{00000000-0005-0000-0000-0000F6550000}"/>
    <cellStyle name="Nagłówek 1 2 2 2 4 10" xfId="22087" xr:uid="{00000000-0005-0000-0000-0000F7550000}"/>
    <cellStyle name="Nagłówek 1 2 2 2 4 11" xfId="22088" xr:uid="{00000000-0005-0000-0000-0000F8550000}"/>
    <cellStyle name="Nagłówek 1 2 2 2 4 2" xfId="22089" xr:uid="{00000000-0005-0000-0000-0000F9550000}"/>
    <cellStyle name="Nagłówek 1 2 2 2 4 2 2" xfId="22090" xr:uid="{00000000-0005-0000-0000-0000FA550000}"/>
    <cellStyle name="Nagłówek 1 2 2 2 4 2 2 2" xfId="22091" xr:uid="{00000000-0005-0000-0000-0000FB550000}"/>
    <cellStyle name="Nagłówek 1 2 2 2 4 2 2 3" xfId="22092" xr:uid="{00000000-0005-0000-0000-0000FC550000}"/>
    <cellStyle name="Nagłówek 1 2 2 2 4 2 2 4" xfId="22093" xr:uid="{00000000-0005-0000-0000-0000FD550000}"/>
    <cellStyle name="Nagłówek 1 2 2 2 4 2 2 5" xfId="22094" xr:uid="{00000000-0005-0000-0000-0000FE550000}"/>
    <cellStyle name="Nagłówek 1 2 2 2 4 2 2 6" xfId="22095" xr:uid="{00000000-0005-0000-0000-0000FF550000}"/>
    <cellStyle name="Nagłówek 1 2 2 2 4 2 3" xfId="22096" xr:uid="{00000000-0005-0000-0000-000000560000}"/>
    <cellStyle name="Nagłówek 1 2 2 2 4 2 4" xfId="22097" xr:uid="{00000000-0005-0000-0000-000001560000}"/>
    <cellStyle name="Nagłówek 1 2 2 2 4 2 5" xfId="22098" xr:uid="{00000000-0005-0000-0000-000002560000}"/>
    <cellStyle name="Nagłówek 1 2 2 2 4 2 6" xfId="22099" xr:uid="{00000000-0005-0000-0000-000003560000}"/>
    <cellStyle name="Nagłówek 1 2 2 2 4 2 7" xfId="22100" xr:uid="{00000000-0005-0000-0000-000004560000}"/>
    <cellStyle name="Nagłówek 1 2 2 2 4 3" xfId="22101" xr:uid="{00000000-0005-0000-0000-000005560000}"/>
    <cellStyle name="Nagłówek 1 2 2 2 4 4" xfId="22102" xr:uid="{00000000-0005-0000-0000-000006560000}"/>
    <cellStyle name="Nagłówek 1 2 2 2 4 5" xfId="22103" xr:uid="{00000000-0005-0000-0000-000007560000}"/>
    <cellStyle name="Nagłówek 1 2 2 2 4 6" xfId="22104" xr:uid="{00000000-0005-0000-0000-000008560000}"/>
    <cellStyle name="Nagłówek 1 2 2 2 4 7" xfId="22105" xr:uid="{00000000-0005-0000-0000-000009560000}"/>
    <cellStyle name="Nagłówek 1 2 2 2 4 7 2" xfId="22106" xr:uid="{00000000-0005-0000-0000-00000A560000}"/>
    <cellStyle name="Nagłówek 1 2 2 2 4 7 3" xfId="22107" xr:uid="{00000000-0005-0000-0000-00000B560000}"/>
    <cellStyle name="Nagłówek 1 2 2 2 4 7 4" xfId="22108" xr:uid="{00000000-0005-0000-0000-00000C560000}"/>
    <cellStyle name="Nagłówek 1 2 2 2 4 7 5" xfId="22109" xr:uid="{00000000-0005-0000-0000-00000D560000}"/>
    <cellStyle name="Nagłówek 1 2 2 2 4 7 6" xfId="22110" xr:uid="{00000000-0005-0000-0000-00000E560000}"/>
    <cellStyle name="Nagłówek 1 2 2 2 4 8" xfId="22111" xr:uid="{00000000-0005-0000-0000-00000F560000}"/>
    <cellStyle name="Nagłówek 1 2 2 2 4 9" xfId="22112" xr:uid="{00000000-0005-0000-0000-000010560000}"/>
    <cellStyle name="Nagłówek 1 2 2 2 5" xfId="22113" xr:uid="{00000000-0005-0000-0000-000011560000}"/>
    <cellStyle name="Nagłówek 1 2 2 2 5 2" xfId="22114" xr:uid="{00000000-0005-0000-0000-000012560000}"/>
    <cellStyle name="Nagłówek 1 2 2 2 5 2 2" xfId="22115" xr:uid="{00000000-0005-0000-0000-000013560000}"/>
    <cellStyle name="Nagłówek 1 2 2 2 5 2 3" xfId="22116" xr:uid="{00000000-0005-0000-0000-000014560000}"/>
    <cellStyle name="Nagłówek 1 2 2 2 5 2 4" xfId="22117" xr:uid="{00000000-0005-0000-0000-000015560000}"/>
    <cellStyle name="Nagłówek 1 2 2 2 5 2 5" xfId="22118" xr:uid="{00000000-0005-0000-0000-000016560000}"/>
    <cellStyle name="Nagłówek 1 2 2 2 5 2 6" xfId="22119" xr:uid="{00000000-0005-0000-0000-000017560000}"/>
    <cellStyle name="Nagłówek 1 2 2 2 5 3" xfId="22120" xr:uid="{00000000-0005-0000-0000-000018560000}"/>
    <cellStyle name="Nagłówek 1 2 2 2 5 4" xfId="22121" xr:uid="{00000000-0005-0000-0000-000019560000}"/>
    <cellStyle name="Nagłówek 1 2 2 2 5 5" xfId="22122" xr:uid="{00000000-0005-0000-0000-00001A560000}"/>
    <cellStyle name="Nagłówek 1 2 2 2 5 6" xfId="22123" xr:uid="{00000000-0005-0000-0000-00001B560000}"/>
    <cellStyle name="Nagłówek 1 2 2 2 5 7" xfId="22124" xr:uid="{00000000-0005-0000-0000-00001C560000}"/>
    <cellStyle name="Nagłówek 1 2 2 2 6" xfId="22125" xr:uid="{00000000-0005-0000-0000-00001D560000}"/>
    <cellStyle name="Nagłówek 1 2 2 2 7" xfId="22126" xr:uid="{00000000-0005-0000-0000-00001E560000}"/>
    <cellStyle name="Nagłówek 1 2 2 2 8" xfId="22127" xr:uid="{00000000-0005-0000-0000-00001F560000}"/>
    <cellStyle name="Nagłówek 1 2 2 2 9" xfId="22128" xr:uid="{00000000-0005-0000-0000-000020560000}"/>
    <cellStyle name="Nagłówek 1 2 2 2 9 2" xfId="22129" xr:uid="{00000000-0005-0000-0000-000021560000}"/>
    <cellStyle name="Nagłówek 1 2 2 2 9 3" xfId="22130" xr:uid="{00000000-0005-0000-0000-000022560000}"/>
    <cellStyle name="Nagłówek 1 2 2 2 9 4" xfId="22131" xr:uid="{00000000-0005-0000-0000-000023560000}"/>
    <cellStyle name="Nagłówek 1 2 2 2 9 5" xfId="22132" xr:uid="{00000000-0005-0000-0000-000024560000}"/>
    <cellStyle name="Nagłówek 1 2 2 2 9 6" xfId="22133" xr:uid="{00000000-0005-0000-0000-000025560000}"/>
    <cellStyle name="Nagłówek 1 2 2 20" xfId="22134" xr:uid="{00000000-0005-0000-0000-000026560000}"/>
    <cellStyle name="Nagłówek 1 2 2 3" xfId="22135" xr:uid="{00000000-0005-0000-0000-000027560000}"/>
    <cellStyle name="Nagłówek 1 2 2 4" xfId="22136" xr:uid="{00000000-0005-0000-0000-000028560000}"/>
    <cellStyle name="Nagłówek 1 2 2 5" xfId="22137" xr:uid="{00000000-0005-0000-0000-000029560000}"/>
    <cellStyle name="Nagłówek 1 2 2 6" xfId="22138" xr:uid="{00000000-0005-0000-0000-00002A560000}"/>
    <cellStyle name="Nagłówek 1 2 2 7" xfId="22139" xr:uid="{00000000-0005-0000-0000-00002B560000}"/>
    <cellStyle name="Nagłówek 1 2 2 8" xfId="22140" xr:uid="{00000000-0005-0000-0000-00002C560000}"/>
    <cellStyle name="Nagłówek 1 2 2 9" xfId="22141" xr:uid="{00000000-0005-0000-0000-00002D560000}"/>
    <cellStyle name="Nagłówek 1 2 3" xfId="22142" xr:uid="{00000000-0005-0000-0000-00002E560000}"/>
    <cellStyle name="Nagłówek 1 2 4" xfId="22143" xr:uid="{00000000-0005-0000-0000-00002F560000}"/>
    <cellStyle name="Nagłówek 1 2 5" xfId="22144" xr:uid="{00000000-0005-0000-0000-000030560000}"/>
    <cellStyle name="Nagłówek 1 2 6" xfId="22145" xr:uid="{00000000-0005-0000-0000-000031560000}"/>
    <cellStyle name="Nagłówek 1 2 6 10" xfId="22146" xr:uid="{00000000-0005-0000-0000-000032560000}"/>
    <cellStyle name="Nagłówek 1 2 6 11" xfId="22147" xr:uid="{00000000-0005-0000-0000-000033560000}"/>
    <cellStyle name="Nagłówek 1 2 6 12" xfId="22148" xr:uid="{00000000-0005-0000-0000-000034560000}"/>
    <cellStyle name="Nagłówek 1 2 6 13" xfId="22149" xr:uid="{00000000-0005-0000-0000-000035560000}"/>
    <cellStyle name="Nagłówek 1 2 6 2" xfId="22150" xr:uid="{00000000-0005-0000-0000-000036560000}"/>
    <cellStyle name="Nagłówek 1 2 6 2 10" xfId="22151" xr:uid="{00000000-0005-0000-0000-000037560000}"/>
    <cellStyle name="Nagłówek 1 2 6 2 11" xfId="22152" xr:uid="{00000000-0005-0000-0000-000038560000}"/>
    <cellStyle name="Nagłówek 1 2 6 2 12" xfId="22153" xr:uid="{00000000-0005-0000-0000-000039560000}"/>
    <cellStyle name="Nagłówek 1 2 6 2 13" xfId="22154" xr:uid="{00000000-0005-0000-0000-00003A560000}"/>
    <cellStyle name="Nagłówek 1 2 6 2 2" xfId="22155" xr:uid="{00000000-0005-0000-0000-00003B560000}"/>
    <cellStyle name="Nagłówek 1 2 6 2 2 10" xfId="22156" xr:uid="{00000000-0005-0000-0000-00003C560000}"/>
    <cellStyle name="Nagłówek 1 2 6 2 2 11" xfId="22157" xr:uid="{00000000-0005-0000-0000-00003D560000}"/>
    <cellStyle name="Nagłówek 1 2 6 2 2 12" xfId="22158" xr:uid="{00000000-0005-0000-0000-00003E560000}"/>
    <cellStyle name="Nagłówek 1 2 6 2 2 2" xfId="22159" xr:uid="{00000000-0005-0000-0000-00003F560000}"/>
    <cellStyle name="Nagłówek 1 2 6 2 2 2 10" xfId="22160" xr:uid="{00000000-0005-0000-0000-000040560000}"/>
    <cellStyle name="Nagłówek 1 2 6 2 2 2 11" xfId="22161" xr:uid="{00000000-0005-0000-0000-000041560000}"/>
    <cellStyle name="Nagłówek 1 2 6 2 2 2 2" xfId="22162" xr:uid="{00000000-0005-0000-0000-000042560000}"/>
    <cellStyle name="Nagłówek 1 2 6 2 2 2 2 10" xfId="22163" xr:uid="{00000000-0005-0000-0000-000043560000}"/>
    <cellStyle name="Nagłówek 1 2 6 2 2 2 2 11" xfId="22164" xr:uid="{00000000-0005-0000-0000-000044560000}"/>
    <cellStyle name="Nagłówek 1 2 6 2 2 2 2 2" xfId="22165" xr:uid="{00000000-0005-0000-0000-000045560000}"/>
    <cellStyle name="Nagłówek 1 2 6 2 2 2 2 2 2" xfId="22166" xr:uid="{00000000-0005-0000-0000-000046560000}"/>
    <cellStyle name="Nagłówek 1 2 6 2 2 2 2 2 2 2" xfId="22167" xr:uid="{00000000-0005-0000-0000-000047560000}"/>
    <cellStyle name="Nagłówek 1 2 6 2 2 2 2 2 2 3" xfId="22168" xr:uid="{00000000-0005-0000-0000-000048560000}"/>
    <cellStyle name="Nagłówek 1 2 6 2 2 2 2 2 2 4" xfId="22169" xr:uid="{00000000-0005-0000-0000-000049560000}"/>
    <cellStyle name="Nagłówek 1 2 6 2 2 2 2 2 2 5" xfId="22170" xr:uid="{00000000-0005-0000-0000-00004A560000}"/>
    <cellStyle name="Nagłówek 1 2 6 2 2 2 2 2 2 6" xfId="22171" xr:uid="{00000000-0005-0000-0000-00004B560000}"/>
    <cellStyle name="Nagłówek 1 2 6 2 2 2 2 2 3" xfId="22172" xr:uid="{00000000-0005-0000-0000-00004C560000}"/>
    <cellStyle name="Nagłówek 1 2 6 2 2 2 2 2 4" xfId="22173" xr:uid="{00000000-0005-0000-0000-00004D560000}"/>
    <cellStyle name="Nagłówek 1 2 6 2 2 2 2 2 5" xfId="22174" xr:uid="{00000000-0005-0000-0000-00004E560000}"/>
    <cellStyle name="Nagłówek 1 2 6 2 2 2 2 2 6" xfId="22175" xr:uid="{00000000-0005-0000-0000-00004F560000}"/>
    <cellStyle name="Nagłówek 1 2 6 2 2 2 2 2 7" xfId="22176" xr:uid="{00000000-0005-0000-0000-000050560000}"/>
    <cellStyle name="Nagłówek 1 2 6 2 2 2 2 3" xfId="22177" xr:uid="{00000000-0005-0000-0000-000051560000}"/>
    <cellStyle name="Nagłówek 1 2 6 2 2 2 2 4" xfId="22178" xr:uid="{00000000-0005-0000-0000-000052560000}"/>
    <cellStyle name="Nagłówek 1 2 6 2 2 2 2 5" xfId="22179" xr:uid="{00000000-0005-0000-0000-000053560000}"/>
    <cellStyle name="Nagłówek 1 2 6 2 2 2 2 6" xfId="22180" xr:uid="{00000000-0005-0000-0000-000054560000}"/>
    <cellStyle name="Nagłówek 1 2 6 2 2 2 2 7" xfId="22181" xr:uid="{00000000-0005-0000-0000-000055560000}"/>
    <cellStyle name="Nagłówek 1 2 6 2 2 2 2 7 2" xfId="22182" xr:uid="{00000000-0005-0000-0000-000056560000}"/>
    <cellStyle name="Nagłówek 1 2 6 2 2 2 2 7 3" xfId="22183" xr:uid="{00000000-0005-0000-0000-000057560000}"/>
    <cellStyle name="Nagłówek 1 2 6 2 2 2 2 7 4" xfId="22184" xr:uid="{00000000-0005-0000-0000-000058560000}"/>
    <cellStyle name="Nagłówek 1 2 6 2 2 2 2 7 5" xfId="22185" xr:uid="{00000000-0005-0000-0000-000059560000}"/>
    <cellStyle name="Nagłówek 1 2 6 2 2 2 2 7 6" xfId="22186" xr:uid="{00000000-0005-0000-0000-00005A560000}"/>
    <cellStyle name="Nagłówek 1 2 6 2 2 2 2 8" xfId="22187" xr:uid="{00000000-0005-0000-0000-00005B560000}"/>
    <cellStyle name="Nagłówek 1 2 6 2 2 2 2 9" xfId="22188" xr:uid="{00000000-0005-0000-0000-00005C560000}"/>
    <cellStyle name="Nagłówek 1 2 6 2 2 2 3" xfId="22189" xr:uid="{00000000-0005-0000-0000-00005D560000}"/>
    <cellStyle name="Nagłówek 1 2 6 2 2 2 3 2" xfId="22190" xr:uid="{00000000-0005-0000-0000-00005E560000}"/>
    <cellStyle name="Nagłówek 1 2 6 2 2 2 3 2 2" xfId="22191" xr:uid="{00000000-0005-0000-0000-00005F560000}"/>
    <cellStyle name="Nagłówek 1 2 6 2 2 2 3 2 3" xfId="22192" xr:uid="{00000000-0005-0000-0000-000060560000}"/>
    <cellStyle name="Nagłówek 1 2 6 2 2 2 3 2 4" xfId="22193" xr:uid="{00000000-0005-0000-0000-000061560000}"/>
    <cellStyle name="Nagłówek 1 2 6 2 2 2 3 2 5" xfId="22194" xr:uid="{00000000-0005-0000-0000-000062560000}"/>
    <cellStyle name="Nagłówek 1 2 6 2 2 2 3 2 6" xfId="22195" xr:uid="{00000000-0005-0000-0000-000063560000}"/>
    <cellStyle name="Nagłówek 1 2 6 2 2 2 3 3" xfId="22196" xr:uid="{00000000-0005-0000-0000-000064560000}"/>
    <cellStyle name="Nagłówek 1 2 6 2 2 2 3 4" xfId="22197" xr:uid="{00000000-0005-0000-0000-000065560000}"/>
    <cellStyle name="Nagłówek 1 2 6 2 2 2 3 5" xfId="22198" xr:uid="{00000000-0005-0000-0000-000066560000}"/>
    <cellStyle name="Nagłówek 1 2 6 2 2 2 3 6" xfId="22199" xr:uid="{00000000-0005-0000-0000-000067560000}"/>
    <cellStyle name="Nagłówek 1 2 6 2 2 2 3 7" xfId="22200" xr:uid="{00000000-0005-0000-0000-000068560000}"/>
    <cellStyle name="Nagłówek 1 2 6 2 2 2 4" xfId="22201" xr:uid="{00000000-0005-0000-0000-000069560000}"/>
    <cellStyle name="Nagłówek 1 2 6 2 2 2 5" xfId="22202" xr:uid="{00000000-0005-0000-0000-00006A560000}"/>
    <cellStyle name="Nagłówek 1 2 6 2 2 2 6" xfId="22203" xr:uid="{00000000-0005-0000-0000-00006B560000}"/>
    <cellStyle name="Nagłówek 1 2 6 2 2 2 7" xfId="22204" xr:uid="{00000000-0005-0000-0000-00006C560000}"/>
    <cellStyle name="Nagłówek 1 2 6 2 2 2 7 2" xfId="22205" xr:uid="{00000000-0005-0000-0000-00006D560000}"/>
    <cellStyle name="Nagłówek 1 2 6 2 2 2 7 3" xfId="22206" xr:uid="{00000000-0005-0000-0000-00006E560000}"/>
    <cellStyle name="Nagłówek 1 2 6 2 2 2 7 4" xfId="22207" xr:uid="{00000000-0005-0000-0000-00006F560000}"/>
    <cellStyle name="Nagłówek 1 2 6 2 2 2 7 5" xfId="22208" xr:uid="{00000000-0005-0000-0000-000070560000}"/>
    <cellStyle name="Nagłówek 1 2 6 2 2 2 7 6" xfId="22209" xr:uid="{00000000-0005-0000-0000-000071560000}"/>
    <cellStyle name="Nagłówek 1 2 6 2 2 2 8" xfId="22210" xr:uid="{00000000-0005-0000-0000-000072560000}"/>
    <cellStyle name="Nagłówek 1 2 6 2 2 2 9" xfId="22211" xr:uid="{00000000-0005-0000-0000-000073560000}"/>
    <cellStyle name="Nagłówek 1 2 6 2 2 3" xfId="22212" xr:uid="{00000000-0005-0000-0000-000074560000}"/>
    <cellStyle name="Nagłówek 1 2 6 2 2 3 2" xfId="22213" xr:uid="{00000000-0005-0000-0000-000075560000}"/>
    <cellStyle name="Nagłówek 1 2 6 2 2 3 2 2" xfId="22214" xr:uid="{00000000-0005-0000-0000-000076560000}"/>
    <cellStyle name="Nagłówek 1 2 6 2 2 3 2 3" xfId="22215" xr:uid="{00000000-0005-0000-0000-000077560000}"/>
    <cellStyle name="Nagłówek 1 2 6 2 2 3 2 4" xfId="22216" xr:uid="{00000000-0005-0000-0000-000078560000}"/>
    <cellStyle name="Nagłówek 1 2 6 2 2 3 2 5" xfId="22217" xr:uid="{00000000-0005-0000-0000-000079560000}"/>
    <cellStyle name="Nagłówek 1 2 6 2 2 3 2 6" xfId="22218" xr:uid="{00000000-0005-0000-0000-00007A560000}"/>
    <cellStyle name="Nagłówek 1 2 6 2 2 3 3" xfId="22219" xr:uid="{00000000-0005-0000-0000-00007B560000}"/>
    <cellStyle name="Nagłówek 1 2 6 2 2 3 4" xfId="22220" xr:uid="{00000000-0005-0000-0000-00007C560000}"/>
    <cellStyle name="Nagłówek 1 2 6 2 2 3 5" xfId="22221" xr:uid="{00000000-0005-0000-0000-00007D560000}"/>
    <cellStyle name="Nagłówek 1 2 6 2 2 3 6" xfId="22222" xr:uid="{00000000-0005-0000-0000-00007E560000}"/>
    <cellStyle name="Nagłówek 1 2 6 2 2 3 7" xfId="22223" xr:uid="{00000000-0005-0000-0000-00007F560000}"/>
    <cellStyle name="Nagłówek 1 2 6 2 2 4" xfId="22224" xr:uid="{00000000-0005-0000-0000-000080560000}"/>
    <cellStyle name="Nagłówek 1 2 6 2 2 5" xfId="22225" xr:uid="{00000000-0005-0000-0000-000081560000}"/>
    <cellStyle name="Nagłówek 1 2 6 2 2 6" xfId="22226" xr:uid="{00000000-0005-0000-0000-000082560000}"/>
    <cellStyle name="Nagłówek 1 2 6 2 2 7" xfId="22227" xr:uid="{00000000-0005-0000-0000-000083560000}"/>
    <cellStyle name="Nagłówek 1 2 6 2 2 8" xfId="22228" xr:uid="{00000000-0005-0000-0000-000084560000}"/>
    <cellStyle name="Nagłówek 1 2 6 2 2 8 2" xfId="22229" xr:uid="{00000000-0005-0000-0000-000085560000}"/>
    <cellStyle name="Nagłówek 1 2 6 2 2 8 3" xfId="22230" xr:uid="{00000000-0005-0000-0000-000086560000}"/>
    <cellStyle name="Nagłówek 1 2 6 2 2 8 4" xfId="22231" xr:uid="{00000000-0005-0000-0000-000087560000}"/>
    <cellStyle name="Nagłówek 1 2 6 2 2 8 5" xfId="22232" xr:uid="{00000000-0005-0000-0000-000088560000}"/>
    <cellStyle name="Nagłówek 1 2 6 2 2 8 6" xfId="22233" xr:uid="{00000000-0005-0000-0000-000089560000}"/>
    <cellStyle name="Nagłówek 1 2 6 2 2 9" xfId="22234" xr:uid="{00000000-0005-0000-0000-00008A560000}"/>
    <cellStyle name="Nagłówek 1 2 6 2 3" xfId="22235" xr:uid="{00000000-0005-0000-0000-00008B560000}"/>
    <cellStyle name="Nagłówek 1 2 6 2 4" xfId="22236" xr:uid="{00000000-0005-0000-0000-00008C560000}"/>
    <cellStyle name="Nagłówek 1 2 6 2 4 10" xfId="22237" xr:uid="{00000000-0005-0000-0000-00008D560000}"/>
    <cellStyle name="Nagłówek 1 2 6 2 4 11" xfId="22238" xr:uid="{00000000-0005-0000-0000-00008E560000}"/>
    <cellStyle name="Nagłówek 1 2 6 2 4 2" xfId="22239" xr:uid="{00000000-0005-0000-0000-00008F560000}"/>
    <cellStyle name="Nagłówek 1 2 6 2 4 2 2" xfId="22240" xr:uid="{00000000-0005-0000-0000-000090560000}"/>
    <cellStyle name="Nagłówek 1 2 6 2 4 2 2 2" xfId="22241" xr:uid="{00000000-0005-0000-0000-000091560000}"/>
    <cellStyle name="Nagłówek 1 2 6 2 4 2 2 3" xfId="22242" xr:uid="{00000000-0005-0000-0000-000092560000}"/>
    <cellStyle name="Nagłówek 1 2 6 2 4 2 2 4" xfId="22243" xr:uid="{00000000-0005-0000-0000-000093560000}"/>
    <cellStyle name="Nagłówek 1 2 6 2 4 2 2 5" xfId="22244" xr:uid="{00000000-0005-0000-0000-000094560000}"/>
    <cellStyle name="Nagłówek 1 2 6 2 4 2 2 6" xfId="22245" xr:uid="{00000000-0005-0000-0000-000095560000}"/>
    <cellStyle name="Nagłówek 1 2 6 2 4 2 3" xfId="22246" xr:uid="{00000000-0005-0000-0000-000096560000}"/>
    <cellStyle name="Nagłówek 1 2 6 2 4 2 4" xfId="22247" xr:uid="{00000000-0005-0000-0000-000097560000}"/>
    <cellStyle name="Nagłówek 1 2 6 2 4 2 5" xfId="22248" xr:uid="{00000000-0005-0000-0000-000098560000}"/>
    <cellStyle name="Nagłówek 1 2 6 2 4 2 6" xfId="22249" xr:uid="{00000000-0005-0000-0000-000099560000}"/>
    <cellStyle name="Nagłówek 1 2 6 2 4 2 7" xfId="22250" xr:uid="{00000000-0005-0000-0000-00009A560000}"/>
    <cellStyle name="Nagłówek 1 2 6 2 4 3" xfId="22251" xr:uid="{00000000-0005-0000-0000-00009B560000}"/>
    <cellStyle name="Nagłówek 1 2 6 2 4 4" xfId="22252" xr:uid="{00000000-0005-0000-0000-00009C560000}"/>
    <cellStyle name="Nagłówek 1 2 6 2 4 5" xfId="22253" xr:uid="{00000000-0005-0000-0000-00009D560000}"/>
    <cellStyle name="Nagłówek 1 2 6 2 4 6" xfId="22254" xr:uid="{00000000-0005-0000-0000-00009E560000}"/>
    <cellStyle name="Nagłówek 1 2 6 2 4 7" xfId="22255" xr:uid="{00000000-0005-0000-0000-00009F560000}"/>
    <cellStyle name="Nagłówek 1 2 6 2 4 7 2" xfId="22256" xr:uid="{00000000-0005-0000-0000-0000A0560000}"/>
    <cellStyle name="Nagłówek 1 2 6 2 4 7 3" xfId="22257" xr:uid="{00000000-0005-0000-0000-0000A1560000}"/>
    <cellStyle name="Nagłówek 1 2 6 2 4 7 4" xfId="22258" xr:uid="{00000000-0005-0000-0000-0000A2560000}"/>
    <cellStyle name="Nagłówek 1 2 6 2 4 7 5" xfId="22259" xr:uid="{00000000-0005-0000-0000-0000A3560000}"/>
    <cellStyle name="Nagłówek 1 2 6 2 4 7 6" xfId="22260" xr:uid="{00000000-0005-0000-0000-0000A4560000}"/>
    <cellStyle name="Nagłówek 1 2 6 2 4 8" xfId="22261" xr:uid="{00000000-0005-0000-0000-0000A5560000}"/>
    <cellStyle name="Nagłówek 1 2 6 2 4 9" xfId="22262" xr:uid="{00000000-0005-0000-0000-0000A6560000}"/>
    <cellStyle name="Nagłówek 1 2 6 2 5" xfId="22263" xr:uid="{00000000-0005-0000-0000-0000A7560000}"/>
    <cellStyle name="Nagłówek 1 2 6 2 5 2" xfId="22264" xr:uid="{00000000-0005-0000-0000-0000A8560000}"/>
    <cellStyle name="Nagłówek 1 2 6 2 5 2 2" xfId="22265" xr:uid="{00000000-0005-0000-0000-0000A9560000}"/>
    <cellStyle name="Nagłówek 1 2 6 2 5 2 3" xfId="22266" xr:uid="{00000000-0005-0000-0000-0000AA560000}"/>
    <cellStyle name="Nagłówek 1 2 6 2 5 2 4" xfId="22267" xr:uid="{00000000-0005-0000-0000-0000AB560000}"/>
    <cellStyle name="Nagłówek 1 2 6 2 5 2 5" xfId="22268" xr:uid="{00000000-0005-0000-0000-0000AC560000}"/>
    <cellStyle name="Nagłówek 1 2 6 2 5 2 6" xfId="22269" xr:uid="{00000000-0005-0000-0000-0000AD560000}"/>
    <cellStyle name="Nagłówek 1 2 6 2 5 3" xfId="22270" xr:uid="{00000000-0005-0000-0000-0000AE560000}"/>
    <cellStyle name="Nagłówek 1 2 6 2 5 4" xfId="22271" xr:uid="{00000000-0005-0000-0000-0000AF560000}"/>
    <cellStyle name="Nagłówek 1 2 6 2 5 5" xfId="22272" xr:uid="{00000000-0005-0000-0000-0000B0560000}"/>
    <cellStyle name="Nagłówek 1 2 6 2 5 6" xfId="22273" xr:uid="{00000000-0005-0000-0000-0000B1560000}"/>
    <cellStyle name="Nagłówek 1 2 6 2 5 7" xfId="22274" xr:uid="{00000000-0005-0000-0000-0000B2560000}"/>
    <cellStyle name="Nagłówek 1 2 6 2 6" xfId="22275" xr:uid="{00000000-0005-0000-0000-0000B3560000}"/>
    <cellStyle name="Nagłówek 1 2 6 2 7" xfId="22276" xr:uid="{00000000-0005-0000-0000-0000B4560000}"/>
    <cellStyle name="Nagłówek 1 2 6 2 8" xfId="22277" xr:uid="{00000000-0005-0000-0000-0000B5560000}"/>
    <cellStyle name="Nagłówek 1 2 6 2 9" xfId="22278" xr:uid="{00000000-0005-0000-0000-0000B6560000}"/>
    <cellStyle name="Nagłówek 1 2 6 2 9 2" xfId="22279" xr:uid="{00000000-0005-0000-0000-0000B7560000}"/>
    <cellStyle name="Nagłówek 1 2 6 2 9 3" xfId="22280" xr:uid="{00000000-0005-0000-0000-0000B8560000}"/>
    <cellStyle name="Nagłówek 1 2 6 2 9 4" xfId="22281" xr:uid="{00000000-0005-0000-0000-0000B9560000}"/>
    <cellStyle name="Nagłówek 1 2 6 2 9 5" xfId="22282" xr:uid="{00000000-0005-0000-0000-0000BA560000}"/>
    <cellStyle name="Nagłówek 1 2 6 2 9 6" xfId="22283" xr:uid="{00000000-0005-0000-0000-0000BB560000}"/>
    <cellStyle name="Nagłówek 1 2 6 3" xfId="22284" xr:uid="{00000000-0005-0000-0000-0000BC560000}"/>
    <cellStyle name="Nagłówek 1 2 6 3 10" xfId="22285" xr:uid="{00000000-0005-0000-0000-0000BD560000}"/>
    <cellStyle name="Nagłówek 1 2 6 3 11" xfId="22286" xr:uid="{00000000-0005-0000-0000-0000BE560000}"/>
    <cellStyle name="Nagłówek 1 2 6 3 12" xfId="22287" xr:uid="{00000000-0005-0000-0000-0000BF560000}"/>
    <cellStyle name="Nagłówek 1 2 6 3 2" xfId="22288" xr:uid="{00000000-0005-0000-0000-0000C0560000}"/>
    <cellStyle name="Nagłówek 1 2 6 3 2 10" xfId="22289" xr:uid="{00000000-0005-0000-0000-0000C1560000}"/>
    <cellStyle name="Nagłówek 1 2 6 3 2 11" xfId="22290" xr:uid="{00000000-0005-0000-0000-0000C2560000}"/>
    <cellStyle name="Nagłówek 1 2 6 3 2 2" xfId="22291" xr:uid="{00000000-0005-0000-0000-0000C3560000}"/>
    <cellStyle name="Nagłówek 1 2 6 3 2 2 10" xfId="22292" xr:uid="{00000000-0005-0000-0000-0000C4560000}"/>
    <cellStyle name="Nagłówek 1 2 6 3 2 2 11" xfId="22293" xr:uid="{00000000-0005-0000-0000-0000C5560000}"/>
    <cellStyle name="Nagłówek 1 2 6 3 2 2 2" xfId="22294" xr:uid="{00000000-0005-0000-0000-0000C6560000}"/>
    <cellStyle name="Nagłówek 1 2 6 3 2 2 2 2" xfId="22295" xr:uid="{00000000-0005-0000-0000-0000C7560000}"/>
    <cellStyle name="Nagłówek 1 2 6 3 2 2 2 2 2" xfId="22296" xr:uid="{00000000-0005-0000-0000-0000C8560000}"/>
    <cellStyle name="Nagłówek 1 2 6 3 2 2 2 2 3" xfId="22297" xr:uid="{00000000-0005-0000-0000-0000C9560000}"/>
    <cellStyle name="Nagłówek 1 2 6 3 2 2 2 2 4" xfId="22298" xr:uid="{00000000-0005-0000-0000-0000CA560000}"/>
    <cellStyle name="Nagłówek 1 2 6 3 2 2 2 2 5" xfId="22299" xr:uid="{00000000-0005-0000-0000-0000CB560000}"/>
    <cellStyle name="Nagłówek 1 2 6 3 2 2 2 2 6" xfId="22300" xr:uid="{00000000-0005-0000-0000-0000CC560000}"/>
    <cellStyle name="Nagłówek 1 2 6 3 2 2 2 3" xfId="22301" xr:uid="{00000000-0005-0000-0000-0000CD560000}"/>
    <cellStyle name="Nagłówek 1 2 6 3 2 2 2 4" xfId="22302" xr:uid="{00000000-0005-0000-0000-0000CE560000}"/>
    <cellStyle name="Nagłówek 1 2 6 3 2 2 2 5" xfId="22303" xr:uid="{00000000-0005-0000-0000-0000CF560000}"/>
    <cellStyle name="Nagłówek 1 2 6 3 2 2 2 6" xfId="22304" xr:uid="{00000000-0005-0000-0000-0000D0560000}"/>
    <cellStyle name="Nagłówek 1 2 6 3 2 2 2 7" xfId="22305" xr:uid="{00000000-0005-0000-0000-0000D1560000}"/>
    <cellStyle name="Nagłówek 1 2 6 3 2 2 3" xfId="22306" xr:uid="{00000000-0005-0000-0000-0000D2560000}"/>
    <cellStyle name="Nagłówek 1 2 6 3 2 2 4" xfId="22307" xr:uid="{00000000-0005-0000-0000-0000D3560000}"/>
    <cellStyle name="Nagłówek 1 2 6 3 2 2 5" xfId="22308" xr:uid="{00000000-0005-0000-0000-0000D4560000}"/>
    <cellStyle name="Nagłówek 1 2 6 3 2 2 6" xfId="22309" xr:uid="{00000000-0005-0000-0000-0000D5560000}"/>
    <cellStyle name="Nagłówek 1 2 6 3 2 2 7" xfId="22310" xr:uid="{00000000-0005-0000-0000-0000D6560000}"/>
    <cellStyle name="Nagłówek 1 2 6 3 2 2 7 2" xfId="22311" xr:uid="{00000000-0005-0000-0000-0000D7560000}"/>
    <cellStyle name="Nagłówek 1 2 6 3 2 2 7 3" xfId="22312" xr:uid="{00000000-0005-0000-0000-0000D8560000}"/>
    <cellStyle name="Nagłówek 1 2 6 3 2 2 7 4" xfId="22313" xr:uid="{00000000-0005-0000-0000-0000D9560000}"/>
    <cellStyle name="Nagłówek 1 2 6 3 2 2 7 5" xfId="22314" xr:uid="{00000000-0005-0000-0000-0000DA560000}"/>
    <cellStyle name="Nagłówek 1 2 6 3 2 2 7 6" xfId="22315" xr:uid="{00000000-0005-0000-0000-0000DB560000}"/>
    <cellStyle name="Nagłówek 1 2 6 3 2 2 8" xfId="22316" xr:uid="{00000000-0005-0000-0000-0000DC560000}"/>
    <cellStyle name="Nagłówek 1 2 6 3 2 2 9" xfId="22317" xr:uid="{00000000-0005-0000-0000-0000DD560000}"/>
    <cellStyle name="Nagłówek 1 2 6 3 2 3" xfId="22318" xr:uid="{00000000-0005-0000-0000-0000DE560000}"/>
    <cellStyle name="Nagłówek 1 2 6 3 2 3 2" xfId="22319" xr:uid="{00000000-0005-0000-0000-0000DF560000}"/>
    <cellStyle name="Nagłówek 1 2 6 3 2 3 2 2" xfId="22320" xr:uid="{00000000-0005-0000-0000-0000E0560000}"/>
    <cellStyle name="Nagłówek 1 2 6 3 2 3 2 3" xfId="22321" xr:uid="{00000000-0005-0000-0000-0000E1560000}"/>
    <cellStyle name="Nagłówek 1 2 6 3 2 3 2 4" xfId="22322" xr:uid="{00000000-0005-0000-0000-0000E2560000}"/>
    <cellStyle name="Nagłówek 1 2 6 3 2 3 2 5" xfId="22323" xr:uid="{00000000-0005-0000-0000-0000E3560000}"/>
    <cellStyle name="Nagłówek 1 2 6 3 2 3 2 6" xfId="22324" xr:uid="{00000000-0005-0000-0000-0000E4560000}"/>
    <cellStyle name="Nagłówek 1 2 6 3 2 3 3" xfId="22325" xr:uid="{00000000-0005-0000-0000-0000E5560000}"/>
    <cellStyle name="Nagłówek 1 2 6 3 2 3 4" xfId="22326" xr:uid="{00000000-0005-0000-0000-0000E6560000}"/>
    <cellStyle name="Nagłówek 1 2 6 3 2 3 5" xfId="22327" xr:uid="{00000000-0005-0000-0000-0000E7560000}"/>
    <cellStyle name="Nagłówek 1 2 6 3 2 3 6" xfId="22328" xr:uid="{00000000-0005-0000-0000-0000E8560000}"/>
    <cellStyle name="Nagłówek 1 2 6 3 2 3 7" xfId="22329" xr:uid="{00000000-0005-0000-0000-0000E9560000}"/>
    <cellStyle name="Nagłówek 1 2 6 3 2 4" xfId="22330" xr:uid="{00000000-0005-0000-0000-0000EA560000}"/>
    <cellStyle name="Nagłówek 1 2 6 3 2 5" xfId="22331" xr:uid="{00000000-0005-0000-0000-0000EB560000}"/>
    <cellStyle name="Nagłówek 1 2 6 3 2 6" xfId="22332" xr:uid="{00000000-0005-0000-0000-0000EC560000}"/>
    <cellStyle name="Nagłówek 1 2 6 3 2 7" xfId="22333" xr:uid="{00000000-0005-0000-0000-0000ED560000}"/>
    <cellStyle name="Nagłówek 1 2 6 3 2 7 2" xfId="22334" xr:uid="{00000000-0005-0000-0000-0000EE560000}"/>
    <cellStyle name="Nagłówek 1 2 6 3 2 7 3" xfId="22335" xr:uid="{00000000-0005-0000-0000-0000EF560000}"/>
    <cellStyle name="Nagłówek 1 2 6 3 2 7 4" xfId="22336" xr:uid="{00000000-0005-0000-0000-0000F0560000}"/>
    <cellStyle name="Nagłówek 1 2 6 3 2 7 5" xfId="22337" xr:uid="{00000000-0005-0000-0000-0000F1560000}"/>
    <cellStyle name="Nagłówek 1 2 6 3 2 7 6" xfId="22338" xr:uid="{00000000-0005-0000-0000-0000F2560000}"/>
    <cellStyle name="Nagłówek 1 2 6 3 2 8" xfId="22339" xr:uid="{00000000-0005-0000-0000-0000F3560000}"/>
    <cellStyle name="Nagłówek 1 2 6 3 2 9" xfId="22340" xr:uid="{00000000-0005-0000-0000-0000F4560000}"/>
    <cellStyle name="Nagłówek 1 2 6 3 3" xfId="22341" xr:uid="{00000000-0005-0000-0000-0000F5560000}"/>
    <cellStyle name="Nagłówek 1 2 6 3 3 2" xfId="22342" xr:uid="{00000000-0005-0000-0000-0000F6560000}"/>
    <cellStyle name="Nagłówek 1 2 6 3 3 2 2" xfId="22343" xr:uid="{00000000-0005-0000-0000-0000F7560000}"/>
    <cellStyle name="Nagłówek 1 2 6 3 3 2 3" xfId="22344" xr:uid="{00000000-0005-0000-0000-0000F8560000}"/>
    <cellStyle name="Nagłówek 1 2 6 3 3 2 4" xfId="22345" xr:uid="{00000000-0005-0000-0000-0000F9560000}"/>
    <cellStyle name="Nagłówek 1 2 6 3 3 2 5" xfId="22346" xr:uid="{00000000-0005-0000-0000-0000FA560000}"/>
    <cellStyle name="Nagłówek 1 2 6 3 3 2 6" xfId="22347" xr:uid="{00000000-0005-0000-0000-0000FB560000}"/>
    <cellStyle name="Nagłówek 1 2 6 3 3 3" xfId="22348" xr:uid="{00000000-0005-0000-0000-0000FC560000}"/>
    <cellStyle name="Nagłówek 1 2 6 3 3 4" xfId="22349" xr:uid="{00000000-0005-0000-0000-0000FD560000}"/>
    <cellStyle name="Nagłówek 1 2 6 3 3 5" xfId="22350" xr:uid="{00000000-0005-0000-0000-0000FE560000}"/>
    <cellStyle name="Nagłówek 1 2 6 3 3 6" xfId="22351" xr:uid="{00000000-0005-0000-0000-0000FF560000}"/>
    <cellStyle name="Nagłówek 1 2 6 3 3 7" xfId="22352" xr:uid="{00000000-0005-0000-0000-000000570000}"/>
    <cellStyle name="Nagłówek 1 2 6 3 4" xfId="22353" xr:uid="{00000000-0005-0000-0000-000001570000}"/>
    <cellStyle name="Nagłówek 1 2 6 3 5" xfId="22354" xr:uid="{00000000-0005-0000-0000-000002570000}"/>
    <cellStyle name="Nagłówek 1 2 6 3 6" xfId="22355" xr:uid="{00000000-0005-0000-0000-000003570000}"/>
    <cellStyle name="Nagłówek 1 2 6 3 7" xfId="22356" xr:uid="{00000000-0005-0000-0000-000004570000}"/>
    <cellStyle name="Nagłówek 1 2 6 3 8" xfId="22357" xr:uid="{00000000-0005-0000-0000-000005570000}"/>
    <cellStyle name="Nagłówek 1 2 6 3 8 2" xfId="22358" xr:uid="{00000000-0005-0000-0000-000006570000}"/>
    <cellStyle name="Nagłówek 1 2 6 3 8 3" xfId="22359" xr:uid="{00000000-0005-0000-0000-000007570000}"/>
    <cellStyle name="Nagłówek 1 2 6 3 8 4" xfId="22360" xr:uid="{00000000-0005-0000-0000-000008570000}"/>
    <cellStyle name="Nagłówek 1 2 6 3 8 5" xfId="22361" xr:uid="{00000000-0005-0000-0000-000009570000}"/>
    <cellStyle name="Nagłówek 1 2 6 3 8 6" xfId="22362" xr:uid="{00000000-0005-0000-0000-00000A570000}"/>
    <cellStyle name="Nagłówek 1 2 6 3 9" xfId="22363" xr:uid="{00000000-0005-0000-0000-00000B570000}"/>
    <cellStyle name="Nagłówek 1 2 6 4" xfId="22364" xr:uid="{00000000-0005-0000-0000-00000C570000}"/>
    <cellStyle name="Nagłówek 1 2 6 4 10" xfId="22365" xr:uid="{00000000-0005-0000-0000-00000D570000}"/>
    <cellStyle name="Nagłówek 1 2 6 4 11" xfId="22366" xr:uid="{00000000-0005-0000-0000-00000E570000}"/>
    <cellStyle name="Nagłówek 1 2 6 4 2" xfId="22367" xr:uid="{00000000-0005-0000-0000-00000F570000}"/>
    <cellStyle name="Nagłówek 1 2 6 4 2 2" xfId="22368" xr:uid="{00000000-0005-0000-0000-000010570000}"/>
    <cellStyle name="Nagłówek 1 2 6 4 2 2 2" xfId="22369" xr:uid="{00000000-0005-0000-0000-000011570000}"/>
    <cellStyle name="Nagłówek 1 2 6 4 2 2 3" xfId="22370" xr:uid="{00000000-0005-0000-0000-000012570000}"/>
    <cellStyle name="Nagłówek 1 2 6 4 2 2 4" xfId="22371" xr:uid="{00000000-0005-0000-0000-000013570000}"/>
    <cellStyle name="Nagłówek 1 2 6 4 2 2 5" xfId="22372" xr:uid="{00000000-0005-0000-0000-000014570000}"/>
    <cellStyle name="Nagłówek 1 2 6 4 2 2 6" xfId="22373" xr:uid="{00000000-0005-0000-0000-000015570000}"/>
    <cellStyle name="Nagłówek 1 2 6 4 2 3" xfId="22374" xr:uid="{00000000-0005-0000-0000-000016570000}"/>
    <cellStyle name="Nagłówek 1 2 6 4 2 4" xfId="22375" xr:uid="{00000000-0005-0000-0000-000017570000}"/>
    <cellStyle name="Nagłówek 1 2 6 4 2 5" xfId="22376" xr:uid="{00000000-0005-0000-0000-000018570000}"/>
    <cellStyle name="Nagłówek 1 2 6 4 2 6" xfId="22377" xr:uid="{00000000-0005-0000-0000-000019570000}"/>
    <cellStyle name="Nagłówek 1 2 6 4 2 7" xfId="22378" xr:uid="{00000000-0005-0000-0000-00001A570000}"/>
    <cellStyle name="Nagłówek 1 2 6 4 3" xfId="22379" xr:uid="{00000000-0005-0000-0000-00001B570000}"/>
    <cellStyle name="Nagłówek 1 2 6 4 4" xfId="22380" xr:uid="{00000000-0005-0000-0000-00001C570000}"/>
    <cellStyle name="Nagłówek 1 2 6 4 5" xfId="22381" xr:uid="{00000000-0005-0000-0000-00001D570000}"/>
    <cellStyle name="Nagłówek 1 2 6 4 6" xfId="22382" xr:uid="{00000000-0005-0000-0000-00001E570000}"/>
    <cellStyle name="Nagłówek 1 2 6 4 7" xfId="22383" xr:uid="{00000000-0005-0000-0000-00001F570000}"/>
    <cellStyle name="Nagłówek 1 2 6 4 7 2" xfId="22384" xr:uid="{00000000-0005-0000-0000-000020570000}"/>
    <cellStyle name="Nagłówek 1 2 6 4 7 3" xfId="22385" xr:uid="{00000000-0005-0000-0000-000021570000}"/>
    <cellStyle name="Nagłówek 1 2 6 4 7 4" xfId="22386" xr:uid="{00000000-0005-0000-0000-000022570000}"/>
    <cellStyle name="Nagłówek 1 2 6 4 7 5" xfId="22387" xr:uid="{00000000-0005-0000-0000-000023570000}"/>
    <cellStyle name="Nagłówek 1 2 6 4 7 6" xfId="22388" xr:uid="{00000000-0005-0000-0000-000024570000}"/>
    <cellStyle name="Nagłówek 1 2 6 4 8" xfId="22389" xr:uid="{00000000-0005-0000-0000-000025570000}"/>
    <cellStyle name="Nagłówek 1 2 6 4 9" xfId="22390" xr:uid="{00000000-0005-0000-0000-000026570000}"/>
    <cellStyle name="Nagłówek 1 2 6 5" xfId="22391" xr:uid="{00000000-0005-0000-0000-000027570000}"/>
    <cellStyle name="Nagłówek 1 2 6 5 2" xfId="22392" xr:uid="{00000000-0005-0000-0000-000028570000}"/>
    <cellStyle name="Nagłówek 1 2 6 5 2 2" xfId="22393" xr:uid="{00000000-0005-0000-0000-000029570000}"/>
    <cellStyle name="Nagłówek 1 2 6 5 2 3" xfId="22394" xr:uid="{00000000-0005-0000-0000-00002A570000}"/>
    <cellStyle name="Nagłówek 1 2 6 5 2 4" xfId="22395" xr:uid="{00000000-0005-0000-0000-00002B570000}"/>
    <cellStyle name="Nagłówek 1 2 6 5 2 5" xfId="22396" xr:uid="{00000000-0005-0000-0000-00002C570000}"/>
    <cellStyle name="Nagłówek 1 2 6 5 2 6" xfId="22397" xr:uid="{00000000-0005-0000-0000-00002D570000}"/>
    <cellStyle name="Nagłówek 1 2 6 5 3" xfId="22398" xr:uid="{00000000-0005-0000-0000-00002E570000}"/>
    <cellStyle name="Nagłówek 1 2 6 5 4" xfId="22399" xr:uid="{00000000-0005-0000-0000-00002F570000}"/>
    <cellStyle name="Nagłówek 1 2 6 5 5" xfId="22400" xr:uid="{00000000-0005-0000-0000-000030570000}"/>
    <cellStyle name="Nagłówek 1 2 6 5 6" xfId="22401" xr:uid="{00000000-0005-0000-0000-000031570000}"/>
    <cellStyle name="Nagłówek 1 2 6 5 7" xfId="22402" xr:uid="{00000000-0005-0000-0000-000032570000}"/>
    <cellStyle name="Nagłówek 1 2 6 6" xfId="22403" xr:uid="{00000000-0005-0000-0000-000033570000}"/>
    <cellStyle name="Nagłówek 1 2 6 7" xfId="22404" xr:uid="{00000000-0005-0000-0000-000034570000}"/>
    <cellStyle name="Nagłówek 1 2 6 8" xfId="22405" xr:uid="{00000000-0005-0000-0000-000035570000}"/>
    <cellStyle name="Nagłówek 1 2 6 9" xfId="22406" xr:uid="{00000000-0005-0000-0000-000036570000}"/>
    <cellStyle name="Nagłówek 1 2 6 9 2" xfId="22407" xr:uid="{00000000-0005-0000-0000-000037570000}"/>
    <cellStyle name="Nagłówek 1 2 6 9 3" xfId="22408" xr:uid="{00000000-0005-0000-0000-000038570000}"/>
    <cellStyle name="Nagłówek 1 2 6 9 4" xfId="22409" xr:uid="{00000000-0005-0000-0000-000039570000}"/>
    <cellStyle name="Nagłówek 1 2 6 9 5" xfId="22410" xr:uid="{00000000-0005-0000-0000-00003A570000}"/>
    <cellStyle name="Nagłówek 1 2 6 9 6" xfId="22411" xr:uid="{00000000-0005-0000-0000-00003B570000}"/>
    <cellStyle name="Nagłówek 1 2 7" xfId="22412" xr:uid="{00000000-0005-0000-0000-00003C570000}"/>
    <cellStyle name="Nagłówek 1 2 8" xfId="22413" xr:uid="{00000000-0005-0000-0000-00003D570000}"/>
    <cellStyle name="Nagłówek 1 2 9" xfId="22414" xr:uid="{00000000-0005-0000-0000-00003E570000}"/>
    <cellStyle name="Nagłówek 1 20" xfId="22415" xr:uid="{00000000-0005-0000-0000-00003F570000}"/>
    <cellStyle name="Nagłówek 1 21" xfId="22416" xr:uid="{00000000-0005-0000-0000-000040570000}"/>
    <cellStyle name="Nagłówek 1 22" xfId="22417" xr:uid="{00000000-0005-0000-0000-000041570000}"/>
    <cellStyle name="Nagłówek 1 3" xfId="269" xr:uid="{00000000-0005-0000-0000-000042570000}"/>
    <cellStyle name="Nagłówek 1 3 2" xfId="22419" xr:uid="{00000000-0005-0000-0000-000043570000}"/>
    <cellStyle name="Nagłówek 1 3 3" xfId="22418" xr:uid="{00000000-0005-0000-0000-000044570000}"/>
    <cellStyle name="Nagłówek 1 4" xfId="270" xr:uid="{00000000-0005-0000-0000-000045570000}"/>
    <cellStyle name="Nagłówek 1 4 2" xfId="22421" xr:uid="{00000000-0005-0000-0000-000046570000}"/>
    <cellStyle name="Nagłówek 1 4 3" xfId="22420" xr:uid="{00000000-0005-0000-0000-000047570000}"/>
    <cellStyle name="Nagłówek 1 5" xfId="271" xr:uid="{00000000-0005-0000-0000-000048570000}"/>
    <cellStyle name="Nagłówek 1 5 2" xfId="22423" xr:uid="{00000000-0005-0000-0000-000049570000}"/>
    <cellStyle name="Nagłówek 1 5 3" xfId="22422" xr:uid="{00000000-0005-0000-0000-00004A570000}"/>
    <cellStyle name="Nagłówek 1 6" xfId="272" xr:uid="{00000000-0005-0000-0000-00004B570000}"/>
    <cellStyle name="Nagłówek 1 6 2" xfId="22425" xr:uid="{00000000-0005-0000-0000-00004C570000}"/>
    <cellStyle name="Nagłówek 1 6 3" xfId="22424" xr:uid="{00000000-0005-0000-0000-00004D570000}"/>
    <cellStyle name="Nagłówek 1 7" xfId="273" xr:uid="{00000000-0005-0000-0000-00004E570000}"/>
    <cellStyle name="Nagłówek 1 7 2" xfId="22427" xr:uid="{00000000-0005-0000-0000-00004F570000}"/>
    <cellStyle name="Nagłówek 1 7 3" xfId="22426" xr:uid="{00000000-0005-0000-0000-000050570000}"/>
    <cellStyle name="Nagłówek 1 8" xfId="22428" xr:uid="{00000000-0005-0000-0000-000051570000}"/>
    <cellStyle name="Nagłówek 1 9" xfId="22429" xr:uid="{00000000-0005-0000-0000-000052570000}"/>
    <cellStyle name="Nagłówek 2 1" xfId="22430" xr:uid="{00000000-0005-0000-0000-000053570000}"/>
    <cellStyle name="Nagłówek 2 10" xfId="22431" xr:uid="{00000000-0005-0000-0000-000054570000}"/>
    <cellStyle name="Nagłówek 2 11" xfId="22432" xr:uid="{00000000-0005-0000-0000-000055570000}"/>
    <cellStyle name="Nagłówek 2 12" xfId="22433" xr:uid="{00000000-0005-0000-0000-000056570000}"/>
    <cellStyle name="Nagłówek 2 13" xfId="22434" xr:uid="{00000000-0005-0000-0000-000057570000}"/>
    <cellStyle name="Nagłówek 2 14" xfId="22435" xr:uid="{00000000-0005-0000-0000-000058570000}"/>
    <cellStyle name="Nagłówek 2 15" xfId="22436" xr:uid="{00000000-0005-0000-0000-000059570000}"/>
    <cellStyle name="Nagłówek 2 16" xfId="22437" xr:uid="{00000000-0005-0000-0000-00005A570000}"/>
    <cellStyle name="Nagłówek 2 17" xfId="22438" xr:uid="{00000000-0005-0000-0000-00005B570000}"/>
    <cellStyle name="Nagłówek 2 18" xfId="22439" xr:uid="{00000000-0005-0000-0000-00005C570000}"/>
    <cellStyle name="Nagłówek 2 19" xfId="22440" xr:uid="{00000000-0005-0000-0000-00005D570000}"/>
    <cellStyle name="Nagłówek 2 2" xfId="274" xr:uid="{00000000-0005-0000-0000-00005E570000}"/>
    <cellStyle name="Nagłówek 2 2 10" xfId="22442" xr:uid="{00000000-0005-0000-0000-00005F570000}"/>
    <cellStyle name="Nagłówek 2 2 11" xfId="22443" xr:uid="{00000000-0005-0000-0000-000060570000}"/>
    <cellStyle name="Nagłówek 2 2 12" xfId="22444" xr:uid="{00000000-0005-0000-0000-000061570000}"/>
    <cellStyle name="Nagłówek 2 2 13" xfId="22445" xr:uid="{00000000-0005-0000-0000-000062570000}"/>
    <cellStyle name="Nagłówek 2 2 13 2" xfId="22446" xr:uid="{00000000-0005-0000-0000-000063570000}"/>
    <cellStyle name="Nagłówek 2 2 13 3" xfId="22447" xr:uid="{00000000-0005-0000-0000-000064570000}"/>
    <cellStyle name="Nagłówek 2 2 14" xfId="22448" xr:uid="{00000000-0005-0000-0000-000065570000}"/>
    <cellStyle name="Nagłówek 2 2 14 2" xfId="22449" xr:uid="{00000000-0005-0000-0000-000066570000}"/>
    <cellStyle name="Nagłówek 2 2 14 3" xfId="22450" xr:uid="{00000000-0005-0000-0000-000067570000}"/>
    <cellStyle name="Nagłówek 2 2 15" xfId="22451" xr:uid="{00000000-0005-0000-0000-000068570000}"/>
    <cellStyle name="Nagłówek 2 2 16" xfId="22441" xr:uid="{00000000-0005-0000-0000-000069570000}"/>
    <cellStyle name="Nagłówek 2 2 17" xfId="37847" xr:uid="{00000000-0005-0000-0000-00006A570000}"/>
    <cellStyle name="Nagłówek 2 2 2" xfId="22452" xr:uid="{00000000-0005-0000-0000-00006B570000}"/>
    <cellStyle name="Nagłówek 2 2 2 10" xfId="22453" xr:uid="{00000000-0005-0000-0000-00006C570000}"/>
    <cellStyle name="Nagłówek 2 2 2 10 10" xfId="22454" xr:uid="{00000000-0005-0000-0000-00006D570000}"/>
    <cellStyle name="Nagłówek 2 2 2 10 11" xfId="22455" xr:uid="{00000000-0005-0000-0000-00006E570000}"/>
    <cellStyle name="Nagłówek 2 2 2 10 12" xfId="22456" xr:uid="{00000000-0005-0000-0000-00006F570000}"/>
    <cellStyle name="Nagłówek 2 2 2 10 2" xfId="22457" xr:uid="{00000000-0005-0000-0000-000070570000}"/>
    <cellStyle name="Nagłówek 2 2 2 10 2 10" xfId="22458" xr:uid="{00000000-0005-0000-0000-000071570000}"/>
    <cellStyle name="Nagłówek 2 2 2 10 2 11" xfId="22459" xr:uid="{00000000-0005-0000-0000-000072570000}"/>
    <cellStyle name="Nagłówek 2 2 2 10 2 2" xfId="22460" xr:uid="{00000000-0005-0000-0000-000073570000}"/>
    <cellStyle name="Nagłówek 2 2 2 10 2 2 10" xfId="22461" xr:uid="{00000000-0005-0000-0000-000074570000}"/>
    <cellStyle name="Nagłówek 2 2 2 10 2 2 11" xfId="22462" xr:uid="{00000000-0005-0000-0000-000075570000}"/>
    <cellStyle name="Nagłówek 2 2 2 10 2 2 2" xfId="22463" xr:uid="{00000000-0005-0000-0000-000076570000}"/>
    <cellStyle name="Nagłówek 2 2 2 10 2 2 2 2" xfId="22464" xr:uid="{00000000-0005-0000-0000-000077570000}"/>
    <cellStyle name="Nagłówek 2 2 2 10 2 2 2 2 2" xfId="22465" xr:uid="{00000000-0005-0000-0000-000078570000}"/>
    <cellStyle name="Nagłówek 2 2 2 10 2 2 2 2 3" xfId="22466" xr:uid="{00000000-0005-0000-0000-000079570000}"/>
    <cellStyle name="Nagłówek 2 2 2 10 2 2 2 2 4" xfId="22467" xr:uid="{00000000-0005-0000-0000-00007A570000}"/>
    <cellStyle name="Nagłówek 2 2 2 10 2 2 2 2 5" xfId="22468" xr:uid="{00000000-0005-0000-0000-00007B570000}"/>
    <cellStyle name="Nagłówek 2 2 2 10 2 2 2 2 6" xfId="22469" xr:uid="{00000000-0005-0000-0000-00007C570000}"/>
    <cellStyle name="Nagłówek 2 2 2 10 2 2 2 3" xfId="22470" xr:uid="{00000000-0005-0000-0000-00007D570000}"/>
    <cellStyle name="Nagłówek 2 2 2 10 2 2 2 4" xfId="22471" xr:uid="{00000000-0005-0000-0000-00007E570000}"/>
    <cellStyle name="Nagłówek 2 2 2 10 2 2 2 5" xfId="22472" xr:uid="{00000000-0005-0000-0000-00007F570000}"/>
    <cellStyle name="Nagłówek 2 2 2 10 2 2 2 6" xfId="22473" xr:uid="{00000000-0005-0000-0000-000080570000}"/>
    <cellStyle name="Nagłówek 2 2 2 10 2 2 2 7" xfId="22474" xr:uid="{00000000-0005-0000-0000-000081570000}"/>
    <cellStyle name="Nagłówek 2 2 2 10 2 2 3" xfId="22475" xr:uid="{00000000-0005-0000-0000-000082570000}"/>
    <cellStyle name="Nagłówek 2 2 2 10 2 2 4" xfId="22476" xr:uid="{00000000-0005-0000-0000-000083570000}"/>
    <cellStyle name="Nagłówek 2 2 2 10 2 2 5" xfId="22477" xr:uid="{00000000-0005-0000-0000-000084570000}"/>
    <cellStyle name="Nagłówek 2 2 2 10 2 2 6" xfId="22478" xr:uid="{00000000-0005-0000-0000-000085570000}"/>
    <cellStyle name="Nagłówek 2 2 2 10 2 2 7" xfId="22479" xr:uid="{00000000-0005-0000-0000-000086570000}"/>
    <cellStyle name="Nagłówek 2 2 2 10 2 2 7 2" xfId="22480" xr:uid="{00000000-0005-0000-0000-000087570000}"/>
    <cellStyle name="Nagłówek 2 2 2 10 2 2 7 3" xfId="22481" xr:uid="{00000000-0005-0000-0000-000088570000}"/>
    <cellStyle name="Nagłówek 2 2 2 10 2 2 7 4" xfId="22482" xr:uid="{00000000-0005-0000-0000-000089570000}"/>
    <cellStyle name="Nagłówek 2 2 2 10 2 2 7 5" xfId="22483" xr:uid="{00000000-0005-0000-0000-00008A570000}"/>
    <cellStyle name="Nagłówek 2 2 2 10 2 2 7 6" xfId="22484" xr:uid="{00000000-0005-0000-0000-00008B570000}"/>
    <cellStyle name="Nagłówek 2 2 2 10 2 2 8" xfId="22485" xr:uid="{00000000-0005-0000-0000-00008C570000}"/>
    <cellStyle name="Nagłówek 2 2 2 10 2 2 9" xfId="22486" xr:uid="{00000000-0005-0000-0000-00008D570000}"/>
    <cellStyle name="Nagłówek 2 2 2 10 2 3" xfId="22487" xr:uid="{00000000-0005-0000-0000-00008E570000}"/>
    <cellStyle name="Nagłówek 2 2 2 10 2 3 2" xfId="22488" xr:uid="{00000000-0005-0000-0000-00008F570000}"/>
    <cellStyle name="Nagłówek 2 2 2 10 2 3 2 2" xfId="22489" xr:uid="{00000000-0005-0000-0000-000090570000}"/>
    <cellStyle name="Nagłówek 2 2 2 10 2 3 2 3" xfId="22490" xr:uid="{00000000-0005-0000-0000-000091570000}"/>
    <cellStyle name="Nagłówek 2 2 2 10 2 3 2 4" xfId="22491" xr:uid="{00000000-0005-0000-0000-000092570000}"/>
    <cellStyle name="Nagłówek 2 2 2 10 2 3 2 5" xfId="22492" xr:uid="{00000000-0005-0000-0000-000093570000}"/>
    <cellStyle name="Nagłówek 2 2 2 10 2 3 2 6" xfId="22493" xr:uid="{00000000-0005-0000-0000-000094570000}"/>
    <cellStyle name="Nagłówek 2 2 2 10 2 3 3" xfId="22494" xr:uid="{00000000-0005-0000-0000-000095570000}"/>
    <cellStyle name="Nagłówek 2 2 2 10 2 3 4" xfId="22495" xr:uid="{00000000-0005-0000-0000-000096570000}"/>
    <cellStyle name="Nagłówek 2 2 2 10 2 3 5" xfId="22496" xr:uid="{00000000-0005-0000-0000-000097570000}"/>
    <cellStyle name="Nagłówek 2 2 2 10 2 3 6" xfId="22497" xr:uid="{00000000-0005-0000-0000-000098570000}"/>
    <cellStyle name="Nagłówek 2 2 2 10 2 3 7" xfId="22498" xr:uid="{00000000-0005-0000-0000-000099570000}"/>
    <cellStyle name="Nagłówek 2 2 2 10 2 4" xfId="22499" xr:uid="{00000000-0005-0000-0000-00009A570000}"/>
    <cellStyle name="Nagłówek 2 2 2 10 2 5" xfId="22500" xr:uid="{00000000-0005-0000-0000-00009B570000}"/>
    <cellStyle name="Nagłówek 2 2 2 10 2 6" xfId="22501" xr:uid="{00000000-0005-0000-0000-00009C570000}"/>
    <cellStyle name="Nagłówek 2 2 2 10 2 7" xfId="22502" xr:uid="{00000000-0005-0000-0000-00009D570000}"/>
    <cellStyle name="Nagłówek 2 2 2 10 2 7 2" xfId="22503" xr:uid="{00000000-0005-0000-0000-00009E570000}"/>
    <cellStyle name="Nagłówek 2 2 2 10 2 7 3" xfId="22504" xr:uid="{00000000-0005-0000-0000-00009F570000}"/>
    <cellStyle name="Nagłówek 2 2 2 10 2 7 4" xfId="22505" xr:uid="{00000000-0005-0000-0000-0000A0570000}"/>
    <cellStyle name="Nagłówek 2 2 2 10 2 7 5" xfId="22506" xr:uid="{00000000-0005-0000-0000-0000A1570000}"/>
    <cellStyle name="Nagłówek 2 2 2 10 2 7 6" xfId="22507" xr:uid="{00000000-0005-0000-0000-0000A2570000}"/>
    <cellStyle name="Nagłówek 2 2 2 10 2 8" xfId="22508" xr:uid="{00000000-0005-0000-0000-0000A3570000}"/>
    <cellStyle name="Nagłówek 2 2 2 10 2 9" xfId="22509" xr:uid="{00000000-0005-0000-0000-0000A4570000}"/>
    <cellStyle name="Nagłówek 2 2 2 10 3" xfId="22510" xr:uid="{00000000-0005-0000-0000-0000A5570000}"/>
    <cellStyle name="Nagłówek 2 2 2 10 3 2" xfId="22511" xr:uid="{00000000-0005-0000-0000-0000A6570000}"/>
    <cellStyle name="Nagłówek 2 2 2 10 3 2 2" xfId="22512" xr:uid="{00000000-0005-0000-0000-0000A7570000}"/>
    <cellStyle name="Nagłówek 2 2 2 10 3 2 3" xfId="22513" xr:uid="{00000000-0005-0000-0000-0000A8570000}"/>
    <cellStyle name="Nagłówek 2 2 2 10 3 2 4" xfId="22514" xr:uid="{00000000-0005-0000-0000-0000A9570000}"/>
    <cellStyle name="Nagłówek 2 2 2 10 3 2 5" xfId="22515" xr:uid="{00000000-0005-0000-0000-0000AA570000}"/>
    <cellStyle name="Nagłówek 2 2 2 10 3 2 6" xfId="22516" xr:uid="{00000000-0005-0000-0000-0000AB570000}"/>
    <cellStyle name="Nagłówek 2 2 2 10 3 3" xfId="22517" xr:uid="{00000000-0005-0000-0000-0000AC570000}"/>
    <cellStyle name="Nagłówek 2 2 2 10 3 4" xfId="22518" xr:uid="{00000000-0005-0000-0000-0000AD570000}"/>
    <cellStyle name="Nagłówek 2 2 2 10 3 5" xfId="22519" xr:uid="{00000000-0005-0000-0000-0000AE570000}"/>
    <cellStyle name="Nagłówek 2 2 2 10 3 6" xfId="22520" xr:uid="{00000000-0005-0000-0000-0000AF570000}"/>
    <cellStyle name="Nagłówek 2 2 2 10 3 7" xfId="22521" xr:uid="{00000000-0005-0000-0000-0000B0570000}"/>
    <cellStyle name="Nagłówek 2 2 2 10 4" xfId="22522" xr:uid="{00000000-0005-0000-0000-0000B1570000}"/>
    <cellStyle name="Nagłówek 2 2 2 10 5" xfId="22523" xr:uid="{00000000-0005-0000-0000-0000B2570000}"/>
    <cellStyle name="Nagłówek 2 2 2 10 6" xfId="22524" xr:uid="{00000000-0005-0000-0000-0000B3570000}"/>
    <cellStyle name="Nagłówek 2 2 2 10 7" xfId="22525" xr:uid="{00000000-0005-0000-0000-0000B4570000}"/>
    <cellStyle name="Nagłówek 2 2 2 10 8" xfId="22526" xr:uid="{00000000-0005-0000-0000-0000B5570000}"/>
    <cellStyle name="Nagłówek 2 2 2 10 8 2" xfId="22527" xr:uid="{00000000-0005-0000-0000-0000B6570000}"/>
    <cellStyle name="Nagłówek 2 2 2 10 8 3" xfId="22528" xr:uid="{00000000-0005-0000-0000-0000B7570000}"/>
    <cellStyle name="Nagłówek 2 2 2 10 8 4" xfId="22529" xr:uid="{00000000-0005-0000-0000-0000B8570000}"/>
    <cellStyle name="Nagłówek 2 2 2 10 8 5" xfId="22530" xr:uid="{00000000-0005-0000-0000-0000B9570000}"/>
    <cellStyle name="Nagłówek 2 2 2 10 8 6" xfId="22531" xr:uid="{00000000-0005-0000-0000-0000BA570000}"/>
    <cellStyle name="Nagłówek 2 2 2 10 9" xfId="22532" xr:uid="{00000000-0005-0000-0000-0000BB570000}"/>
    <cellStyle name="Nagłówek 2 2 2 11" xfId="22533" xr:uid="{00000000-0005-0000-0000-0000BC570000}"/>
    <cellStyle name="Nagłówek 2 2 2 11 10" xfId="22534" xr:uid="{00000000-0005-0000-0000-0000BD570000}"/>
    <cellStyle name="Nagłówek 2 2 2 11 11" xfId="22535" xr:uid="{00000000-0005-0000-0000-0000BE570000}"/>
    <cellStyle name="Nagłówek 2 2 2 11 2" xfId="22536" xr:uid="{00000000-0005-0000-0000-0000BF570000}"/>
    <cellStyle name="Nagłówek 2 2 2 11 2 2" xfId="22537" xr:uid="{00000000-0005-0000-0000-0000C0570000}"/>
    <cellStyle name="Nagłówek 2 2 2 11 2 2 2" xfId="22538" xr:uid="{00000000-0005-0000-0000-0000C1570000}"/>
    <cellStyle name="Nagłówek 2 2 2 11 2 2 3" xfId="22539" xr:uid="{00000000-0005-0000-0000-0000C2570000}"/>
    <cellStyle name="Nagłówek 2 2 2 11 2 2 4" xfId="22540" xr:uid="{00000000-0005-0000-0000-0000C3570000}"/>
    <cellStyle name="Nagłówek 2 2 2 11 2 2 5" xfId="22541" xr:uid="{00000000-0005-0000-0000-0000C4570000}"/>
    <cellStyle name="Nagłówek 2 2 2 11 2 2 6" xfId="22542" xr:uid="{00000000-0005-0000-0000-0000C5570000}"/>
    <cellStyle name="Nagłówek 2 2 2 11 2 3" xfId="22543" xr:uid="{00000000-0005-0000-0000-0000C6570000}"/>
    <cellStyle name="Nagłówek 2 2 2 11 2 4" xfId="22544" xr:uid="{00000000-0005-0000-0000-0000C7570000}"/>
    <cellStyle name="Nagłówek 2 2 2 11 2 5" xfId="22545" xr:uid="{00000000-0005-0000-0000-0000C8570000}"/>
    <cellStyle name="Nagłówek 2 2 2 11 2 6" xfId="22546" xr:uid="{00000000-0005-0000-0000-0000C9570000}"/>
    <cellStyle name="Nagłówek 2 2 2 11 2 7" xfId="22547" xr:uid="{00000000-0005-0000-0000-0000CA570000}"/>
    <cellStyle name="Nagłówek 2 2 2 11 3" xfId="22548" xr:uid="{00000000-0005-0000-0000-0000CB570000}"/>
    <cellStyle name="Nagłówek 2 2 2 11 4" xfId="22549" xr:uid="{00000000-0005-0000-0000-0000CC570000}"/>
    <cellStyle name="Nagłówek 2 2 2 11 5" xfId="22550" xr:uid="{00000000-0005-0000-0000-0000CD570000}"/>
    <cellStyle name="Nagłówek 2 2 2 11 6" xfId="22551" xr:uid="{00000000-0005-0000-0000-0000CE570000}"/>
    <cellStyle name="Nagłówek 2 2 2 11 7" xfId="22552" xr:uid="{00000000-0005-0000-0000-0000CF570000}"/>
    <cellStyle name="Nagłówek 2 2 2 11 7 2" xfId="22553" xr:uid="{00000000-0005-0000-0000-0000D0570000}"/>
    <cellStyle name="Nagłówek 2 2 2 11 7 3" xfId="22554" xr:uid="{00000000-0005-0000-0000-0000D1570000}"/>
    <cellStyle name="Nagłówek 2 2 2 11 7 4" xfId="22555" xr:uid="{00000000-0005-0000-0000-0000D2570000}"/>
    <cellStyle name="Nagłówek 2 2 2 11 7 5" xfId="22556" xr:uid="{00000000-0005-0000-0000-0000D3570000}"/>
    <cellStyle name="Nagłówek 2 2 2 11 7 6" xfId="22557" xr:uid="{00000000-0005-0000-0000-0000D4570000}"/>
    <cellStyle name="Nagłówek 2 2 2 11 8" xfId="22558" xr:uid="{00000000-0005-0000-0000-0000D5570000}"/>
    <cellStyle name="Nagłówek 2 2 2 11 9" xfId="22559" xr:uid="{00000000-0005-0000-0000-0000D6570000}"/>
    <cellStyle name="Nagłówek 2 2 2 12" xfId="22560" xr:uid="{00000000-0005-0000-0000-0000D7570000}"/>
    <cellStyle name="Nagłówek 2 2 2 12 2" xfId="22561" xr:uid="{00000000-0005-0000-0000-0000D8570000}"/>
    <cellStyle name="Nagłówek 2 2 2 12 2 2" xfId="22562" xr:uid="{00000000-0005-0000-0000-0000D9570000}"/>
    <cellStyle name="Nagłówek 2 2 2 12 2 3" xfId="22563" xr:uid="{00000000-0005-0000-0000-0000DA570000}"/>
    <cellStyle name="Nagłówek 2 2 2 12 2 4" xfId="22564" xr:uid="{00000000-0005-0000-0000-0000DB570000}"/>
    <cellStyle name="Nagłówek 2 2 2 12 2 5" xfId="22565" xr:uid="{00000000-0005-0000-0000-0000DC570000}"/>
    <cellStyle name="Nagłówek 2 2 2 12 2 6" xfId="22566" xr:uid="{00000000-0005-0000-0000-0000DD570000}"/>
    <cellStyle name="Nagłówek 2 2 2 12 3" xfId="22567" xr:uid="{00000000-0005-0000-0000-0000DE570000}"/>
    <cellStyle name="Nagłówek 2 2 2 12 4" xfId="22568" xr:uid="{00000000-0005-0000-0000-0000DF570000}"/>
    <cellStyle name="Nagłówek 2 2 2 12 5" xfId="22569" xr:uid="{00000000-0005-0000-0000-0000E0570000}"/>
    <cellStyle name="Nagłówek 2 2 2 12 6" xfId="22570" xr:uid="{00000000-0005-0000-0000-0000E1570000}"/>
    <cellStyle name="Nagłówek 2 2 2 12 7" xfId="22571" xr:uid="{00000000-0005-0000-0000-0000E2570000}"/>
    <cellStyle name="Nagłówek 2 2 2 13" xfId="22572" xr:uid="{00000000-0005-0000-0000-0000E3570000}"/>
    <cellStyle name="Nagłówek 2 2 2 14" xfId="22573" xr:uid="{00000000-0005-0000-0000-0000E4570000}"/>
    <cellStyle name="Nagłówek 2 2 2 15" xfId="22574" xr:uid="{00000000-0005-0000-0000-0000E5570000}"/>
    <cellStyle name="Nagłówek 2 2 2 16" xfId="22575" xr:uid="{00000000-0005-0000-0000-0000E6570000}"/>
    <cellStyle name="Nagłówek 2 2 2 17" xfId="22576" xr:uid="{00000000-0005-0000-0000-0000E7570000}"/>
    <cellStyle name="Nagłówek 2 2 2 18" xfId="22577" xr:uid="{00000000-0005-0000-0000-0000E8570000}"/>
    <cellStyle name="Nagłówek 2 2 2 18 2" xfId="22578" xr:uid="{00000000-0005-0000-0000-0000E9570000}"/>
    <cellStyle name="Nagłówek 2 2 2 18 3" xfId="22579" xr:uid="{00000000-0005-0000-0000-0000EA570000}"/>
    <cellStyle name="Nagłówek 2 2 2 18 4" xfId="22580" xr:uid="{00000000-0005-0000-0000-0000EB570000}"/>
    <cellStyle name="Nagłówek 2 2 2 18 5" xfId="22581" xr:uid="{00000000-0005-0000-0000-0000EC570000}"/>
    <cellStyle name="Nagłówek 2 2 2 18 6" xfId="22582" xr:uid="{00000000-0005-0000-0000-0000ED570000}"/>
    <cellStyle name="Nagłówek 2 2 2 19" xfId="22583" xr:uid="{00000000-0005-0000-0000-0000EE570000}"/>
    <cellStyle name="Nagłówek 2 2 2 2" xfId="22584" xr:uid="{00000000-0005-0000-0000-0000EF570000}"/>
    <cellStyle name="Nagłówek 2 2 2 2 10" xfId="22585" xr:uid="{00000000-0005-0000-0000-0000F0570000}"/>
    <cellStyle name="Nagłówek 2 2 2 2 11" xfId="22586" xr:uid="{00000000-0005-0000-0000-0000F1570000}"/>
    <cellStyle name="Nagłówek 2 2 2 2 2" xfId="22587" xr:uid="{00000000-0005-0000-0000-0000F2570000}"/>
    <cellStyle name="Nagłówek 2 2 2 2 2 10" xfId="22588" xr:uid="{00000000-0005-0000-0000-0000F3570000}"/>
    <cellStyle name="Nagłówek 2 2 2 2 2 2" xfId="22589" xr:uid="{00000000-0005-0000-0000-0000F4570000}"/>
    <cellStyle name="Nagłówek 2 2 2 2 2 2 2" xfId="22590" xr:uid="{00000000-0005-0000-0000-0000F5570000}"/>
    <cellStyle name="Nagłówek 2 2 2 2 2 2 2 2" xfId="22591" xr:uid="{00000000-0005-0000-0000-0000F6570000}"/>
    <cellStyle name="Nagłówek 2 2 2 2 2 2 2 2 2" xfId="22592" xr:uid="{00000000-0005-0000-0000-0000F7570000}"/>
    <cellStyle name="Nagłówek 2 2 2 2 2 2 2 2 2 2" xfId="22593" xr:uid="{00000000-0005-0000-0000-0000F8570000}"/>
    <cellStyle name="Nagłówek 2 2 2 2 2 2 2 2 2 3" xfId="22594" xr:uid="{00000000-0005-0000-0000-0000F9570000}"/>
    <cellStyle name="Nagłówek 2 2 2 2 2 2 2 2 2 4" xfId="22595" xr:uid="{00000000-0005-0000-0000-0000FA570000}"/>
    <cellStyle name="Nagłówek 2 2 2 2 2 2 2 2 3" xfId="22596" xr:uid="{00000000-0005-0000-0000-0000FB570000}"/>
    <cellStyle name="Nagłówek 2 2 2 2 2 2 2 2 4" xfId="22597" xr:uid="{00000000-0005-0000-0000-0000FC570000}"/>
    <cellStyle name="Nagłówek 2 2 2 2 2 2 2 2 5" xfId="22598" xr:uid="{00000000-0005-0000-0000-0000FD570000}"/>
    <cellStyle name="Nagłówek 2 2 2 2 2 2 2 3" xfId="22599" xr:uid="{00000000-0005-0000-0000-0000FE570000}"/>
    <cellStyle name="Nagłówek 2 2 2 2 2 2 2 4" xfId="22600" xr:uid="{00000000-0005-0000-0000-0000FF570000}"/>
    <cellStyle name="Nagłówek 2 2 2 2 2 2 2 5" xfId="22601" xr:uid="{00000000-0005-0000-0000-000000580000}"/>
    <cellStyle name="Nagłówek 2 2 2 2 2 2 2 6" xfId="22602" xr:uid="{00000000-0005-0000-0000-000001580000}"/>
    <cellStyle name="Nagłówek 2 2 2 2 2 2 2 7" xfId="22603" xr:uid="{00000000-0005-0000-0000-000002580000}"/>
    <cellStyle name="Nagłówek 2 2 2 2 2 2 2 7 2" xfId="22604" xr:uid="{00000000-0005-0000-0000-000003580000}"/>
    <cellStyle name="Nagłówek 2 2 2 2 2 2 2 7 3" xfId="22605" xr:uid="{00000000-0005-0000-0000-000004580000}"/>
    <cellStyle name="Nagłówek 2 2 2 2 2 2 2 7 4" xfId="22606" xr:uid="{00000000-0005-0000-0000-000005580000}"/>
    <cellStyle name="Nagłówek 2 2 2 2 2 2 2 7 5" xfId="22607" xr:uid="{00000000-0005-0000-0000-000006580000}"/>
    <cellStyle name="Nagłówek 2 2 2 2 2 2 2 7 6" xfId="22608" xr:uid="{00000000-0005-0000-0000-000007580000}"/>
    <cellStyle name="Nagłówek 2 2 2 2 2 2 2 8" xfId="22609" xr:uid="{00000000-0005-0000-0000-000008580000}"/>
    <cellStyle name="Nagłówek 2 2 2 2 2 2 2 9" xfId="22610" xr:uid="{00000000-0005-0000-0000-000009580000}"/>
    <cellStyle name="Nagłówek 2 2 2 2 2 2 3" xfId="22611" xr:uid="{00000000-0005-0000-0000-00000A580000}"/>
    <cellStyle name="Nagłówek 2 2 2 2 2 2 3 2" xfId="22612" xr:uid="{00000000-0005-0000-0000-00000B580000}"/>
    <cellStyle name="Nagłówek 2 2 2 2 2 2 3 2 2" xfId="22613" xr:uid="{00000000-0005-0000-0000-00000C580000}"/>
    <cellStyle name="Nagłówek 2 2 2 2 2 2 3 2 3" xfId="22614" xr:uid="{00000000-0005-0000-0000-00000D580000}"/>
    <cellStyle name="Nagłówek 2 2 2 2 2 2 3 2 4" xfId="22615" xr:uid="{00000000-0005-0000-0000-00000E580000}"/>
    <cellStyle name="Nagłówek 2 2 2 2 2 2 3 2 5" xfId="22616" xr:uid="{00000000-0005-0000-0000-00000F580000}"/>
    <cellStyle name="Nagłówek 2 2 2 2 2 2 3 2 6" xfId="22617" xr:uid="{00000000-0005-0000-0000-000010580000}"/>
    <cellStyle name="Nagłówek 2 2 2 2 2 2 3 3" xfId="22618" xr:uid="{00000000-0005-0000-0000-000011580000}"/>
    <cellStyle name="Nagłówek 2 2 2 2 2 2 3 4" xfId="22619" xr:uid="{00000000-0005-0000-0000-000012580000}"/>
    <cellStyle name="Nagłówek 2 2 2 2 2 2 3 5" xfId="22620" xr:uid="{00000000-0005-0000-0000-000013580000}"/>
    <cellStyle name="Nagłówek 2 2 2 2 2 2 3 6" xfId="22621" xr:uid="{00000000-0005-0000-0000-000014580000}"/>
    <cellStyle name="Nagłówek 2 2 2 2 2 2 3 7" xfId="22622" xr:uid="{00000000-0005-0000-0000-000015580000}"/>
    <cellStyle name="Nagłówek 2 2 2 2 2 2 4" xfId="22623" xr:uid="{00000000-0005-0000-0000-000016580000}"/>
    <cellStyle name="Nagłówek 2 2 2 2 2 2 5" xfId="22624" xr:uid="{00000000-0005-0000-0000-000017580000}"/>
    <cellStyle name="Nagłówek 2 2 2 2 2 2 6" xfId="22625" xr:uid="{00000000-0005-0000-0000-000018580000}"/>
    <cellStyle name="Nagłówek 2 2 2 2 2 2 7" xfId="22626" xr:uid="{00000000-0005-0000-0000-000019580000}"/>
    <cellStyle name="Nagłówek 2 2 2 2 2 2 7 2" xfId="22627" xr:uid="{00000000-0005-0000-0000-00001A580000}"/>
    <cellStyle name="Nagłówek 2 2 2 2 2 2 7 3" xfId="22628" xr:uid="{00000000-0005-0000-0000-00001B580000}"/>
    <cellStyle name="Nagłówek 2 2 2 2 2 2 7 4" xfId="22629" xr:uid="{00000000-0005-0000-0000-00001C580000}"/>
    <cellStyle name="Nagłówek 2 2 2 2 2 2 7 5" xfId="22630" xr:uid="{00000000-0005-0000-0000-00001D580000}"/>
    <cellStyle name="Nagłówek 2 2 2 2 2 2 7 6" xfId="22631" xr:uid="{00000000-0005-0000-0000-00001E580000}"/>
    <cellStyle name="Nagłówek 2 2 2 2 2 2 8" xfId="22632" xr:uid="{00000000-0005-0000-0000-00001F580000}"/>
    <cellStyle name="Nagłówek 2 2 2 2 2 2 9" xfId="22633" xr:uid="{00000000-0005-0000-0000-000020580000}"/>
    <cellStyle name="Nagłówek 2 2 2 2 2 3" xfId="22634" xr:uid="{00000000-0005-0000-0000-000021580000}"/>
    <cellStyle name="Nagłówek 2 2 2 2 2 3 2" xfId="22635" xr:uid="{00000000-0005-0000-0000-000022580000}"/>
    <cellStyle name="Nagłówek 2 2 2 2 2 3 2 2" xfId="22636" xr:uid="{00000000-0005-0000-0000-000023580000}"/>
    <cellStyle name="Nagłówek 2 2 2 2 2 3 2 3" xfId="22637" xr:uid="{00000000-0005-0000-0000-000024580000}"/>
    <cellStyle name="Nagłówek 2 2 2 2 2 3 2 4" xfId="22638" xr:uid="{00000000-0005-0000-0000-000025580000}"/>
    <cellStyle name="Nagłówek 2 2 2 2 2 3 2 5" xfId="22639" xr:uid="{00000000-0005-0000-0000-000026580000}"/>
    <cellStyle name="Nagłówek 2 2 2 2 2 3 2 6" xfId="22640" xr:uid="{00000000-0005-0000-0000-000027580000}"/>
    <cellStyle name="Nagłówek 2 2 2 2 2 3 3" xfId="22641" xr:uid="{00000000-0005-0000-0000-000028580000}"/>
    <cellStyle name="Nagłówek 2 2 2 2 2 3 4" xfId="22642" xr:uid="{00000000-0005-0000-0000-000029580000}"/>
    <cellStyle name="Nagłówek 2 2 2 2 2 3 5" xfId="22643" xr:uid="{00000000-0005-0000-0000-00002A580000}"/>
    <cellStyle name="Nagłówek 2 2 2 2 2 3 6" xfId="22644" xr:uid="{00000000-0005-0000-0000-00002B580000}"/>
    <cellStyle name="Nagłówek 2 2 2 2 2 3 7" xfId="22645" xr:uid="{00000000-0005-0000-0000-00002C580000}"/>
    <cellStyle name="Nagłówek 2 2 2 2 2 4" xfId="22646" xr:uid="{00000000-0005-0000-0000-00002D580000}"/>
    <cellStyle name="Nagłówek 2 2 2 2 2 5" xfId="22647" xr:uid="{00000000-0005-0000-0000-00002E580000}"/>
    <cellStyle name="Nagłówek 2 2 2 2 2 6" xfId="22648" xr:uid="{00000000-0005-0000-0000-00002F580000}"/>
    <cellStyle name="Nagłówek 2 2 2 2 2 7" xfId="22649" xr:uid="{00000000-0005-0000-0000-000030580000}"/>
    <cellStyle name="Nagłówek 2 2 2 2 2 8" xfId="22650" xr:uid="{00000000-0005-0000-0000-000031580000}"/>
    <cellStyle name="Nagłówek 2 2 2 2 2 8 2" xfId="22651" xr:uid="{00000000-0005-0000-0000-000032580000}"/>
    <cellStyle name="Nagłówek 2 2 2 2 2 8 3" xfId="22652" xr:uid="{00000000-0005-0000-0000-000033580000}"/>
    <cellStyle name="Nagłówek 2 2 2 2 2 8 4" xfId="22653" xr:uid="{00000000-0005-0000-0000-000034580000}"/>
    <cellStyle name="Nagłówek 2 2 2 2 2 8 5" xfId="22654" xr:uid="{00000000-0005-0000-0000-000035580000}"/>
    <cellStyle name="Nagłówek 2 2 2 2 2 8 6" xfId="22655" xr:uid="{00000000-0005-0000-0000-000036580000}"/>
    <cellStyle name="Nagłówek 2 2 2 2 2 9" xfId="22656" xr:uid="{00000000-0005-0000-0000-000037580000}"/>
    <cellStyle name="Nagłówek 2 2 2 2 3" xfId="22657" xr:uid="{00000000-0005-0000-0000-000038580000}"/>
    <cellStyle name="Nagłówek 2 2 2 2 4" xfId="22658" xr:uid="{00000000-0005-0000-0000-000039580000}"/>
    <cellStyle name="Nagłówek 2 2 2 2 4 10" xfId="22659" xr:uid="{00000000-0005-0000-0000-00003A580000}"/>
    <cellStyle name="Nagłówek 2 2 2 2 4 11" xfId="22660" xr:uid="{00000000-0005-0000-0000-00003B580000}"/>
    <cellStyle name="Nagłówek 2 2 2 2 4 2" xfId="22661" xr:uid="{00000000-0005-0000-0000-00003C580000}"/>
    <cellStyle name="Nagłówek 2 2 2 2 4 2 2" xfId="22662" xr:uid="{00000000-0005-0000-0000-00003D580000}"/>
    <cellStyle name="Nagłówek 2 2 2 2 4 2 2 2" xfId="22663" xr:uid="{00000000-0005-0000-0000-00003E580000}"/>
    <cellStyle name="Nagłówek 2 2 2 2 4 2 2 3" xfId="22664" xr:uid="{00000000-0005-0000-0000-00003F580000}"/>
    <cellStyle name="Nagłówek 2 2 2 2 4 2 2 4" xfId="22665" xr:uid="{00000000-0005-0000-0000-000040580000}"/>
    <cellStyle name="Nagłówek 2 2 2 2 4 2 2 5" xfId="22666" xr:uid="{00000000-0005-0000-0000-000041580000}"/>
    <cellStyle name="Nagłówek 2 2 2 2 4 2 2 6" xfId="22667" xr:uid="{00000000-0005-0000-0000-000042580000}"/>
    <cellStyle name="Nagłówek 2 2 2 2 4 2 3" xfId="22668" xr:uid="{00000000-0005-0000-0000-000043580000}"/>
    <cellStyle name="Nagłówek 2 2 2 2 4 2 4" xfId="22669" xr:uid="{00000000-0005-0000-0000-000044580000}"/>
    <cellStyle name="Nagłówek 2 2 2 2 4 2 5" xfId="22670" xr:uid="{00000000-0005-0000-0000-000045580000}"/>
    <cellStyle name="Nagłówek 2 2 2 2 4 2 6" xfId="22671" xr:uid="{00000000-0005-0000-0000-000046580000}"/>
    <cellStyle name="Nagłówek 2 2 2 2 4 2 7" xfId="22672" xr:uid="{00000000-0005-0000-0000-000047580000}"/>
    <cellStyle name="Nagłówek 2 2 2 2 4 3" xfId="22673" xr:uid="{00000000-0005-0000-0000-000048580000}"/>
    <cellStyle name="Nagłówek 2 2 2 2 4 4" xfId="22674" xr:uid="{00000000-0005-0000-0000-000049580000}"/>
    <cellStyle name="Nagłówek 2 2 2 2 4 5" xfId="22675" xr:uid="{00000000-0005-0000-0000-00004A580000}"/>
    <cellStyle name="Nagłówek 2 2 2 2 4 6" xfId="22676" xr:uid="{00000000-0005-0000-0000-00004B580000}"/>
    <cellStyle name="Nagłówek 2 2 2 2 4 7" xfId="22677" xr:uid="{00000000-0005-0000-0000-00004C580000}"/>
    <cellStyle name="Nagłówek 2 2 2 2 4 7 2" xfId="22678" xr:uid="{00000000-0005-0000-0000-00004D580000}"/>
    <cellStyle name="Nagłówek 2 2 2 2 4 7 3" xfId="22679" xr:uid="{00000000-0005-0000-0000-00004E580000}"/>
    <cellStyle name="Nagłówek 2 2 2 2 4 7 4" xfId="22680" xr:uid="{00000000-0005-0000-0000-00004F580000}"/>
    <cellStyle name="Nagłówek 2 2 2 2 4 7 5" xfId="22681" xr:uid="{00000000-0005-0000-0000-000050580000}"/>
    <cellStyle name="Nagłówek 2 2 2 2 4 7 6" xfId="22682" xr:uid="{00000000-0005-0000-0000-000051580000}"/>
    <cellStyle name="Nagłówek 2 2 2 2 4 8" xfId="22683" xr:uid="{00000000-0005-0000-0000-000052580000}"/>
    <cellStyle name="Nagłówek 2 2 2 2 4 9" xfId="22684" xr:uid="{00000000-0005-0000-0000-000053580000}"/>
    <cellStyle name="Nagłówek 2 2 2 2 5" xfId="22685" xr:uid="{00000000-0005-0000-0000-000054580000}"/>
    <cellStyle name="Nagłówek 2 2 2 2 5 2" xfId="22686" xr:uid="{00000000-0005-0000-0000-000055580000}"/>
    <cellStyle name="Nagłówek 2 2 2 2 5 2 2" xfId="22687" xr:uid="{00000000-0005-0000-0000-000056580000}"/>
    <cellStyle name="Nagłówek 2 2 2 2 5 2 3" xfId="22688" xr:uid="{00000000-0005-0000-0000-000057580000}"/>
    <cellStyle name="Nagłówek 2 2 2 2 5 2 4" xfId="22689" xr:uid="{00000000-0005-0000-0000-000058580000}"/>
    <cellStyle name="Nagłówek 2 2 2 2 5 2 5" xfId="22690" xr:uid="{00000000-0005-0000-0000-000059580000}"/>
    <cellStyle name="Nagłówek 2 2 2 2 5 2 6" xfId="22691" xr:uid="{00000000-0005-0000-0000-00005A580000}"/>
    <cellStyle name="Nagłówek 2 2 2 2 5 3" xfId="22692" xr:uid="{00000000-0005-0000-0000-00005B580000}"/>
    <cellStyle name="Nagłówek 2 2 2 2 5 4" xfId="22693" xr:uid="{00000000-0005-0000-0000-00005C580000}"/>
    <cellStyle name="Nagłówek 2 2 2 2 5 5" xfId="22694" xr:uid="{00000000-0005-0000-0000-00005D580000}"/>
    <cellStyle name="Nagłówek 2 2 2 2 5 6" xfId="22695" xr:uid="{00000000-0005-0000-0000-00005E580000}"/>
    <cellStyle name="Nagłówek 2 2 2 2 5 7" xfId="22696" xr:uid="{00000000-0005-0000-0000-00005F580000}"/>
    <cellStyle name="Nagłówek 2 2 2 2 6" xfId="22697" xr:uid="{00000000-0005-0000-0000-000060580000}"/>
    <cellStyle name="Nagłówek 2 2 2 2 7" xfId="22698" xr:uid="{00000000-0005-0000-0000-000061580000}"/>
    <cellStyle name="Nagłówek 2 2 2 2 8" xfId="22699" xr:uid="{00000000-0005-0000-0000-000062580000}"/>
    <cellStyle name="Nagłówek 2 2 2 2 9" xfId="22700" xr:uid="{00000000-0005-0000-0000-000063580000}"/>
    <cellStyle name="Nagłówek 2 2 2 2 9 2" xfId="22701" xr:uid="{00000000-0005-0000-0000-000064580000}"/>
    <cellStyle name="Nagłówek 2 2 2 2 9 3" xfId="22702" xr:uid="{00000000-0005-0000-0000-000065580000}"/>
    <cellStyle name="Nagłówek 2 2 2 2 9 4" xfId="22703" xr:uid="{00000000-0005-0000-0000-000066580000}"/>
    <cellStyle name="Nagłówek 2 2 2 2 9 5" xfId="22704" xr:uid="{00000000-0005-0000-0000-000067580000}"/>
    <cellStyle name="Nagłówek 2 2 2 2 9 6" xfId="22705" xr:uid="{00000000-0005-0000-0000-000068580000}"/>
    <cellStyle name="Nagłówek 2 2 2 20" xfId="22706" xr:uid="{00000000-0005-0000-0000-000069580000}"/>
    <cellStyle name="Nagłówek 2 2 2 3" xfId="22707" xr:uid="{00000000-0005-0000-0000-00006A580000}"/>
    <cellStyle name="Nagłówek 2 2 2 4" xfId="22708" xr:uid="{00000000-0005-0000-0000-00006B580000}"/>
    <cellStyle name="Nagłówek 2 2 2 5" xfId="22709" xr:uid="{00000000-0005-0000-0000-00006C580000}"/>
    <cellStyle name="Nagłówek 2 2 2 6" xfId="22710" xr:uid="{00000000-0005-0000-0000-00006D580000}"/>
    <cellStyle name="Nagłówek 2 2 2 7" xfId="22711" xr:uid="{00000000-0005-0000-0000-00006E580000}"/>
    <cellStyle name="Nagłówek 2 2 2 8" xfId="22712" xr:uid="{00000000-0005-0000-0000-00006F580000}"/>
    <cellStyle name="Nagłówek 2 2 2 9" xfId="22713" xr:uid="{00000000-0005-0000-0000-000070580000}"/>
    <cellStyle name="Nagłówek 2 2 3" xfId="22714" xr:uid="{00000000-0005-0000-0000-000071580000}"/>
    <cellStyle name="Nagłówek 2 2 4" xfId="22715" xr:uid="{00000000-0005-0000-0000-000072580000}"/>
    <cellStyle name="Nagłówek 2 2 5" xfId="22716" xr:uid="{00000000-0005-0000-0000-000073580000}"/>
    <cellStyle name="Nagłówek 2 2 6" xfId="22717" xr:uid="{00000000-0005-0000-0000-000074580000}"/>
    <cellStyle name="Nagłówek 2 2 6 10" xfId="22718" xr:uid="{00000000-0005-0000-0000-000075580000}"/>
    <cellStyle name="Nagłówek 2 2 6 11" xfId="22719" xr:uid="{00000000-0005-0000-0000-000076580000}"/>
    <cellStyle name="Nagłówek 2 2 6 12" xfId="22720" xr:uid="{00000000-0005-0000-0000-000077580000}"/>
    <cellStyle name="Nagłówek 2 2 6 13" xfId="22721" xr:uid="{00000000-0005-0000-0000-000078580000}"/>
    <cellStyle name="Nagłówek 2 2 6 2" xfId="22722" xr:uid="{00000000-0005-0000-0000-000079580000}"/>
    <cellStyle name="Nagłówek 2 2 6 2 10" xfId="22723" xr:uid="{00000000-0005-0000-0000-00007A580000}"/>
    <cellStyle name="Nagłówek 2 2 6 2 11" xfId="22724" xr:uid="{00000000-0005-0000-0000-00007B580000}"/>
    <cellStyle name="Nagłówek 2 2 6 2 12" xfId="22725" xr:uid="{00000000-0005-0000-0000-00007C580000}"/>
    <cellStyle name="Nagłówek 2 2 6 2 13" xfId="22726" xr:uid="{00000000-0005-0000-0000-00007D580000}"/>
    <cellStyle name="Nagłówek 2 2 6 2 2" xfId="22727" xr:uid="{00000000-0005-0000-0000-00007E580000}"/>
    <cellStyle name="Nagłówek 2 2 6 2 2 10" xfId="22728" xr:uid="{00000000-0005-0000-0000-00007F580000}"/>
    <cellStyle name="Nagłówek 2 2 6 2 2 11" xfId="22729" xr:uid="{00000000-0005-0000-0000-000080580000}"/>
    <cellStyle name="Nagłówek 2 2 6 2 2 12" xfId="22730" xr:uid="{00000000-0005-0000-0000-000081580000}"/>
    <cellStyle name="Nagłówek 2 2 6 2 2 2" xfId="22731" xr:uid="{00000000-0005-0000-0000-000082580000}"/>
    <cellStyle name="Nagłówek 2 2 6 2 2 2 10" xfId="22732" xr:uid="{00000000-0005-0000-0000-000083580000}"/>
    <cellStyle name="Nagłówek 2 2 6 2 2 2 11" xfId="22733" xr:uid="{00000000-0005-0000-0000-000084580000}"/>
    <cellStyle name="Nagłówek 2 2 6 2 2 2 2" xfId="22734" xr:uid="{00000000-0005-0000-0000-000085580000}"/>
    <cellStyle name="Nagłówek 2 2 6 2 2 2 2 10" xfId="22735" xr:uid="{00000000-0005-0000-0000-000086580000}"/>
    <cellStyle name="Nagłówek 2 2 6 2 2 2 2 11" xfId="22736" xr:uid="{00000000-0005-0000-0000-000087580000}"/>
    <cellStyle name="Nagłówek 2 2 6 2 2 2 2 2" xfId="22737" xr:uid="{00000000-0005-0000-0000-000088580000}"/>
    <cellStyle name="Nagłówek 2 2 6 2 2 2 2 2 2" xfId="22738" xr:uid="{00000000-0005-0000-0000-000089580000}"/>
    <cellStyle name="Nagłówek 2 2 6 2 2 2 2 2 2 2" xfId="22739" xr:uid="{00000000-0005-0000-0000-00008A580000}"/>
    <cellStyle name="Nagłówek 2 2 6 2 2 2 2 2 2 3" xfId="22740" xr:uid="{00000000-0005-0000-0000-00008B580000}"/>
    <cellStyle name="Nagłówek 2 2 6 2 2 2 2 2 2 4" xfId="22741" xr:uid="{00000000-0005-0000-0000-00008C580000}"/>
    <cellStyle name="Nagłówek 2 2 6 2 2 2 2 2 2 5" xfId="22742" xr:uid="{00000000-0005-0000-0000-00008D580000}"/>
    <cellStyle name="Nagłówek 2 2 6 2 2 2 2 2 2 6" xfId="22743" xr:uid="{00000000-0005-0000-0000-00008E580000}"/>
    <cellStyle name="Nagłówek 2 2 6 2 2 2 2 2 3" xfId="22744" xr:uid="{00000000-0005-0000-0000-00008F580000}"/>
    <cellStyle name="Nagłówek 2 2 6 2 2 2 2 2 4" xfId="22745" xr:uid="{00000000-0005-0000-0000-000090580000}"/>
    <cellStyle name="Nagłówek 2 2 6 2 2 2 2 2 5" xfId="22746" xr:uid="{00000000-0005-0000-0000-000091580000}"/>
    <cellStyle name="Nagłówek 2 2 6 2 2 2 2 2 6" xfId="22747" xr:uid="{00000000-0005-0000-0000-000092580000}"/>
    <cellStyle name="Nagłówek 2 2 6 2 2 2 2 2 7" xfId="22748" xr:uid="{00000000-0005-0000-0000-000093580000}"/>
    <cellStyle name="Nagłówek 2 2 6 2 2 2 2 3" xfId="22749" xr:uid="{00000000-0005-0000-0000-000094580000}"/>
    <cellStyle name="Nagłówek 2 2 6 2 2 2 2 4" xfId="22750" xr:uid="{00000000-0005-0000-0000-000095580000}"/>
    <cellStyle name="Nagłówek 2 2 6 2 2 2 2 5" xfId="22751" xr:uid="{00000000-0005-0000-0000-000096580000}"/>
    <cellStyle name="Nagłówek 2 2 6 2 2 2 2 6" xfId="22752" xr:uid="{00000000-0005-0000-0000-000097580000}"/>
    <cellStyle name="Nagłówek 2 2 6 2 2 2 2 7" xfId="22753" xr:uid="{00000000-0005-0000-0000-000098580000}"/>
    <cellStyle name="Nagłówek 2 2 6 2 2 2 2 7 2" xfId="22754" xr:uid="{00000000-0005-0000-0000-000099580000}"/>
    <cellStyle name="Nagłówek 2 2 6 2 2 2 2 7 3" xfId="22755" xr:uid="{00000000-0005-0000-0000-00009A580000}"/>
    <cellStyle name="Nagłówek 2 2 6 2 2 2 2 7 4" xfId="22756" xr:uid="{00000000-0005-0000-0000-00009B580000}"/>
    <cellStyle name="Nagłówek 2 2 6 2 2 2 2 7 5" xfId="22757" xr:uid="{00000000-0005-0000-0000-00009C580000}"/>
    <cellStyle name="Nagłówek 2 2 6 2 2 2 2 7 6" xfId="22758" xr:uid="{00000000-0005-0000-0000-00009D580000}"/>
    <cellStyle name="Nagłówek 2 2 6 2 2 2 2 8" xfId="22759" xr:uid="{00000000-0005-0000-0000-00009E580000}"/>
    <cellStyle name="Nagłówek 2 2 6 2 2 2 2 9" xfId="22760" xr:uid="{00000000-0005-0000-0000-00009F580000}"/>
    <cellStyle name="Nagłówek 2 2 6 2 2 2 3" xfId="22761" xr:uid="{00000000-0005-0000-0000-0000A0580000}"/>
    <cellStyle name="Nagłówek 2 2 6 2 2 2 3 2" xfId="22762" xr:uid="{00000000-0005-0000-0000-0000A1580000}"/>
    <cellStyle name="Nagłówek 2 2 6 2 2 2 3 2 2" xfId="22763" xr:uid="{00000000-0005-0000-0000-0000A2580000}"/>
    <cellStyle name="Nagłówek 2 2 6 2 2 2 3 2 3" xfId="22764" xr:uid="{00000000-0005-0000-0000-0000A3580000}"/>
    <cellStyle name="Nagłówek 2 2 6 2 2 2 3 2 4" xfId="22765" xr:uid="{00000000-0005-0000-0000-0000A4580000}"/>
    <cellStyle name="Nagłówek 2 2 6 2 2 2 3 2 5" xfId="22766" xr:uid="{00000000-0005-0000-0000-0000A5580000}"/>
    <cellStyle name="Nagłówek 2 2 6 2 2 2 3 2 6" xfId="22767" xr:uid="{00000000-0005-0000-0000-0000A6580000}"/>
    <cellStyle name="Nagłówek 2 2 6 2 2 2 3 3" xfId="22768" xr:uid="{00000000-0005-0000-0000-0000A7580000}"/>
    <cellStyle name="Nagłówek 2 2 6 2 2 2 3 4" xfId="22769" xr:uid="{00000000-0005-0000-0000-0000A8580000}"/>
    <cellStyle name="Nagłówek 2 2 6 2 2 2 3 5" xfId="22770" xr:uid="{00000000-0005-0000-0000-0000A9580000}"/>
    <cellStyle name="Nagłówek 2 2 6 2 2 2 3 6" xfId="22771" xr:uid="{00000000-0005-0000-0000-0000AA580000}"/>
    <cellStyle name="Nagłówek 2 2 6 2 2 2 3 7" xfId="22772" xr:uid="{00000000-0005-0000-0000-0000AB580000}"/>
    <cellStyle name="Nagłówek 2 2 6 2 2 2 4" xfId="22773" xr:uid="{00000000-0005-0000-0000-0000AC580000}"/>
    <cellStyle name="Nagłówek 2 2 6 2 2 2 5" xfId="22774" xr:uid="{00000000-0005-0000-0000-0000AD580000}"/>
    <cellStyle name="Nagłówek 2 2 6 2 2 2 6" xfId="22775" xr:uid="{00000000-0005-0000-0000-0000AE580000}"/>
    <cellStyle name="Nagłówek 2 2 6 2 2 2 7" xfId="22776" xr:uid="{00000000-0005-0000-0000-0000AF580000}"/>
    <cellStyle name="Nagłówek 2 2 6 2 2 2 7 2" xfId="22777" xr:uid="{00000000-0005-0000-0000-0000B0580000}"/>
    <cellStyle name="Nagłówek 2 2 6 2 2 2 7 3" xfId="22778" xr:uid="{00000000-0005-0000-0000-0000B1580000}"/>
    <cellStyle name="Nagłówek 2 2 6 2 2 2 7 4" xfId="22779" xr:uid="{00000000-0005-0000-0000-0000B2580000}"/>
    <cellStyle name="Nagłówek 2 2 6 2 2 2 7 5" xfId="22780" xr:uid="{00000000-0005-0000-0000-0000B3580000}"/>
    <cellStyle name="Nagłówek 2 2 6 2 2 2 7 6" xfId="22781" xr:uid="{00000000-0005-0000-0000-0000B4580000}"/>
    <cellStyle name="Nagłówek 2 2 6 2 2 2 8" xfId="22782" xr:uid="{00000000-0005-0000-0000-0000B5580000}"/>
    <cellStyle name="Nagłówek 2 2 6 2 2 2 9" xfId="22783" xr:uid="{00000000-0005-0000-0000-0000B6580000}"/>
    <cellStyle name="Nagłówek 2 2 6 2 2 3" xfId="22784" xr:uid="{00000000-0005-0000-0000-0000B7580000}"/>
    <cellStyle name="Nagłówek 2 2 6 2 2 3 2" xfId="22785" xr:uid="{00000000-0005-0000-0000-0000B8580000}"/>
    <cellStyle name="Nagłówek 2 2 6 2 2 3 2 2" xfId="22786" xr:uid="{00000000-0005-0000-0000-0000B9580000}"/>
    <cellStyle name="Nagłówek 2 2 6 2 2 3 2 3" xfId="22787" xr:uid="{00000000-0005-0000-0000-0000BA580000}"/>
    <cellStyle name="Nagłówek 2 2 6 2 2 3 2 4" xfId="22788" xr:uid="{00000000-0005-0000-0000-0000BB580000}"/>
    <cellStyle name="Nagłówek 2 2 6 2 2 3 2 5" xfId="22789" xr:uid="{00000000-0005-0000-0000-0000BC580000}"/>
    <cellStyle name="Nagłówek 2 2 6 2 2 3 2 6" xfId="22790" xr:uid="{00000000-0005-0000-0000-0000BD580000}"/>
    <cellStyle name="Nagłówek 2 2 6 2 2 3 3" xfId="22791" xr:uid="{00000000-0005-0000-0000-0000BE580000}"/>
    <cellStyle name="Nagłówek 2 2 6 2 2 3 4" xfId="22792" xr:uid="{00000000-0005-0000-0000-0000BF580000}"/>
    <cellStyle name="Nagłówek 2 2 6 2 2 3 5" xfId="22793" xr:uid="{00000000-0005-0000-0000-0000C0580000}"/>
    <cellStyle name="Nagłówek 2 2 6 2 2 3 6" xfId="22794" xr:uid="{00000000-0005-0000-0000-0000C1580000}"/>
    <cellStyle name="Nagłówek 2 2 6 2 2 3 7" xfId="22795" xr:uid="{00000000-0005-0000-0000-0000C2580000}"/>
    <cellStyle name="Nagłówek 2 2 6 2 2 4" xfId="22796" xr:uid="{00000000-0005-0000-0000-0000C3580000}"/>
    <cellStyle name="Nagłówek 2 2 6 2 2 5" xfId="22797" xr:uid="{00000000-0005-0000-0000-0000C4580000}"/>
    <cellStyle name="Nagłówek 2 2 6 2 2 6" xfId="22798" xr:uid="{00000000-0005-0000-0000-0000C5580000}"/>
    <cellStyle name="Nagłówek 2 2 6 2 2 7" xfId="22799" xr:uid="{00000000-0005-0000-0000-0000C6580000}"/>
    <cellStyle name="Nagłówek 2 2 6 2 2 8" xfId="22800" xr:uid="{00000000-0005-0000-0000-0000C7580000}"/>
    <cellStyle name="Nagłówek 2 2 6 2 2 8 2" xfId="22801" xr:uid="{00000000-0005-0000-0000-0000C8580000}"/>
    <cellStyle name="Nagłówek 2 2 6 2 2 8 3" xfId="22802" xr:uid="{00000000-0005-0000-0000-0000C9580000}"/>
    <cellStyle name="Nagłówek 2 2 6 2 2 8 4" xfId="22803" xr:uid="{00000000-0005-0000-0000-0000CA580000}"/>
    <cellStyle name="Nagłówek 2 2 6 2 2 8 5" xfId="22804" xr:uid="{00000000-0005-0000-0000-0000CB580000}"/>
    <cellStyle name="Nagłówek 2 2 6 2 2 8 6" xfId="22805" xr:uid="{00000000-0005-0000-0000-0000CC580000}"/>
    <cellStyle name="Nagłówek 2 2 6 2 2 9" xfId="22806" xr:uid="{00000000-0005-0000-0000-0000CD580000}"/>
    <cellStyle name="Nagłówek 2 2 6 2 3" xfId="22807" xr:uid="{00000000-0005-0000-0000-0000CE580000}"/>
    <cellStyle name="Nagłówek 2 2 6 2 4" xfId="22808" xr:uid="{00000000-0005-0000-0000-0000CF580000}"/>
    <cellStyle name="Nagłówek 2 2 6 2 4 10" xfId="22809" xr:uid="{00000000-0005-0000-0000-0000D0580000}"/>
    <cellStyle name="Nagłówek 2 2 6 2 4 11" xfId="22810" xr:uid="{00000000-0005-0000-0000-0000D1580000}"/>
    <cellStyle name="Nagłówek 2 2 6 2 4 2" xfId="22811" xr:uid="{00000000-0005-0000-0000-0000D2580000}"/>
    <cellStyle name="Nagłówek 2 2 6 2 4 2 2" xfId="22812" xr:uid="{00000000-0005-0000-0000-0000D3580000}"/>
    <cellStyle name="Nagłówek 2 2 6 2 4 2 2 2" xfId="22813" xr:uid="{00000000-0005-0000-0000-0000D4580000}"/>
    <cellStyle name="Nagłówek 2 2 6 2 4 2 2 3" xfId="22814" xr:uid="{00000000-0005-0000-0000-0000D5580000}"/>
    <cellStyle name="Nagłówek 2 2 6 2 4 2 2 4" xfId="22815" xr:uid="{00000000-0005-0000-0000-0000D6580000}"/>
    <cellStyle name="Nagłówek 2 2 6 2 4 2 2 5" xfId="22816" xr:uid="{00000000-0005-0000-0000-0000D7580000}"/>
    <cellStyle name="Nagłówek 2 2 6 2 4 2 2 6" xfId="22817" xr:uid="{00000000-0005-0000-0000-0000D8580000}"/>
    <cellStyle name="Nagłówek 2 2 6 2 4 2 3" xfId="22818" xr:uid="{00000000-0005-0000-0000-0000D9580000}"/>
    <cellStyle name="Nagłówek 2 2 6 2 4 2 4" xfId="22819" xr:uid="{00000000-0005-0000-0000-0000DA580000}"/>
    <cellStyle name="Nagłówek 2 2 6 2 4 2 5" xfId="22820" xr:uid="{00000000-0005-0000-0000-0000DB580000}"/>
    <cellStyle name="Nagłówek 2 2 6 2 4 2 6" xfId="22821" xr:uid="{00000000-0005-0000-0000-0000DC580000}"/>
    <cellStyle name="Nagłówek 2 2 6 2 4 2 7" xfId="22822" xr:uid="{00000000-0005-0000-0000-0000DD580000}"/>
    <cellStyle name="Nagłówek 2 2 6 2 4 3" xfId="22823" xr:uid="{00000000-0005-0000-0000-0000DE580000}"/>
    <cellStyle name="Nagłówek 2 2 6 2 4 4" xfId="22824" xr:uid="{00000000-0005-0000-0000-0000DF580000}"/>
    <cellStyle name="Nagłówek 2 2 6 2 4 5" xfId="22825" xr:uid="{00000000-0005-0000-0000-0000E0580000}"/>
    <cellStyle name="Nagłówek 2 2 6 2 4 6" xfId="22826" xr:uid="{00000000-0005-0000-0000-0000E1580000}"/>
    <cellStyle name="Nagłówek 2 2 6 2 4 7" xfId="22827" xr:uid="{00000000-0005-0000-0000-0000E2580000}"/>
    <cellStyle name="Nagłówek 2 2 6 2 4 7 2" xfId="22828" xr:uid="{00000000-0005-0000-0000-0000E3580000}"/>
    <cellStyle name="Nagłówek 2 2 6 2 4 7 3" xfId="22829" xr:uid="{00000000-0005-0000-0000-0000E4580000}"/>
    <cellStyle name="Nagłówek 2 2 6 2 4 7 4" xfId="22830" xr:uid="{00000000-0005-0000-0000-0000E5580000}"/>
    <cellStyle name="Nagłówek 2 2 6 2 4 7 5" xfId="22831" xr:uid="{00000000-0005-0000-0000-0000E6580000}"/>
    <cellStyle name="Nagłówek 2 2 6 2 4 7 6" xfId="22832" xr:uid="{00000000-0005-0000-0000-0000E7580000}"/>
    <cellStyle name="Nagłówek 2 2 6 2 4 8" xfId="22833" xr:uid="{00000000-0005-0000-0000-0000E8580000}"/>
    <cellStyle name="Nagłówek 2 2 6 2 4 9" xfId="22834" xr:uid="{00000000-0005-0000-0000-0000E9580000}"/>
    <cellStyle name="Nagłówek 2 2 6 2 5" xfId="22835" xr:uid="{00000000-0005-0000-0000-0000EA580000}"/>
    <cellStyle name="Nagłówek 2 2 6 2 5 2" xfId="22836" xr:uid="{00000000-0005-0000-0000-0000EB580000}"/>
    <cellStyle name="Nagłówek 2 2 6 2 5 2 2" xfId="22837" xr:uid="{00000000-0005-0000-0000-0000EC580000}"/>
    <cellStyle name="Nagłówek 2 2 6 2 5 2 3" xfId="22838" xr:uid="{00000000-0005-0000-0000-0000ED580000}"/>
    <cellStyle name="Nagłówek 2 2 6 2 5 2 4" xfId="22839" xr:uid="{00000000-0005-0000-0000-0000EE580000}"/>
    <cellStyle name="Nagłówek 2 2 6 2 5 2 5" xfId="22840" xr:uid="{00000000-0005-0000-0000-0000EF580000}"/>
    <cellStyle name="Nagłówek 2 2 6 2 5 2 6" xfId="22841" xr:uid="{00000000-0005-0000-0000-0000F0580000}"/>
    <cellStyle name="Nagłówek 2 2 6 2 5 3" xfId="22842" xr:uid="{00000000-0005-0000-0000-0000F1580000}"/>
    <cellStyle name="Nagłówek 2 2 6 2 5 4" xfId="22843" xr:uid="{00000000-0005-0000-0000-0000F2580000}"/>
    <cellStyle name="Nagłówek 2 2 6 2 5 5" xfId="22844" xr:uid="{00000000-0005-0000-0000-0000F3580000}"/>
    <cellStyle name="Nagłówek 2 2 6 2 5 6" xfId="22845" xr:uid="{00000000-0005-0000-0000-0000F4580000}"/>
    <cellStyle name="Nagłówek 2 2 6 2 5 7" xfId="22846" xr:uid="{00000000-0005-0000-0000-0000F5580000}"/>
    <cellStyle name="Nagłówek 2 2 6 2 6" xfId="22847" xr:uid="{00000000-0005-0000-0000-0000F6580000}"/>
    <cellStyle name="Nagłówek 2 2 6 2 7" xfId="22848" xr:uid="{00000000-0005-0000-0000-0000F7580000}"/>
    <cellStyle name="Nagłówek 2 2 6 2 8" xfId="22849" xr:uid="{00000000-0005-0000-0000-0000F8580000}"/>
    <cellStyle name="Nagłówek 2 2 6 2 9" xfId="22850" xr:uid="{00000000-0005-0000-0000-0000F9580000}"/>
    <cellStyle name="Nagłówek 2 2 6 2 9 2" xfId="22851" xr:uid="{00000000-0005-0000-0000-0000FA580000}"/>
    <cellStyle name="Nagłówek 2 2 6 2 9 3" xfId="22852" xr:uid="{00000000-0005-0000-0000-0000FB580000}"/>
    <cellStyle name="Nagłówek 2 2 6 2 9 4" xfId="22853" xr:uid="{00000000-0005-0000-0000-0000FC580000}"/>
    <cellStyle name="Nagłówek 2 2 6 2 9 5" xfId="22854" xr:uid="{00000000-0005-0000-0000-0000FD580000}"/>
    <cellStyle name="Nagłówek 2 2 6 2 9 6" xfId="22855" xr:uid="{00000000-0005-0000-0000-0000FE580000}"/>
    <cellStyle name="Nagłówek 2 2 6 3" xfId="22856" xr:uid="{00000000-0005-0000-0000-0000FF580000}"/>
    <cellStyle name="Nagłówek 2 2 6 3 10" xfId="22857" xr:uid="{00000000-0005-0000-0000-000000590000}"/>
    <cellStyle name="Nagłówek 2 2 6 3 11" xfId="22858" xr:uid="{00000000-0005-0000-0000-000001590000}"/>
    <cellStyle name="Nagłówek 2 2 6 3 12" xfId="22859" xr:uid="{00000000-0005-0000-0000-000002590000}"/>
    <cellStyle name="Nagłówek 2 2 6 3 2" xfId="22860" xr:uid="{00000000-0005-0000-0000-000003590000}"/>
    <cellStyle name="Nagłówek 2 2 6 3 2 10" xfId="22861" xr:uid="{00000000-0005-0000-0000-000004590000}"/>
    <cellStyle name="Nagłówek 2 2 6 3 2 11" xfId="22862" xr:uid="{00000000-0005-0000-0000-000005590000}"/>
    <cellStyle name="Nagłówek 2 2 6 3 2 2" xfId="22863" xr:uid="{00000000-0005-0000-0000-000006590000}"/>
    <cellStyle name="Nagłówek 2 2 6 3 2 2 10" xfId="22864" xr:uid="{00000000-0005-0000-0000-000007590000}"/>
    <cellStyle name="Nagłówek 2 2 6 3 2 2 11" xfId="22865" xr:uid="{00000000-0005-0000-0000-000008590000}"/>
    <cellStyle name="Nagłówek 2 2 6 3 2 2 2" xfId="22866" xr:uid="{00000000-0005-0000-0000-000009590000}"/>
    <cellStyle name="Nagłówek 2 2 6 3 2 2 2 2" xfId="22867" xr:uid="{00000000-0005-0000-0000-00000A590000}"/>
    <cellStyle name="Nagłówek 2 2 6 3 2 2 2 2 2" xfId="22868" xr:uid="{00000000-0005-0000-0000-00000B590000}"/>
    <cellStyle name="Nagłówek 2 2 6 3 2 2 2 2 3" xfId="22869" xr:uid="{00000000-0005-0000-0000-00000C590000}"/>
    <cellStyle name="Nagłówek 2 2 6 3 2 2 2 2 4" xfId="22870" xr:uid="{00000000-0005-0000-0000-00000D590000}"/>
    <cellStyle name="Nagłówek 2 2 6 3 2 2 2 2 5" xfId="22871" xr:uid="{00000000-0005-0000-0000-00000E590000}"/>
    <cellStyle name="Nagłówek 2 2 6 3 2 2 2 2 6" xfId="22872" xr:uid="{00000000-0005-0000-0000-00000F590000}"/>
    <cellStyle name="Nagłówek 2 2 6 3 2 2 2 3" xfId="22873" xr:uid="{00000000-0005-0000-0000-000010590000}"/>
    <cellStyle name="Nagłówek 2 2 6 3 2 2 2 4" xfId="22874" xr:uid="{00000000-0005-0000-0000-000011590000}"/>
    <cellStyle name="Nagłówek 2 2 6 3 2 2 2 5" xfId="22875" xr:uid="{00000000-0005-0000-0000-000012590000}"/>
    <cellStyle name="Nagłówek 2 2 6 3 2 2 2 6" xfId="22876" xr:uid="{00000000-0005-0000-0000-000013590000}"/>
    <cellStyle name="Nagłówek 2 2 6 3 2 2 2 7" xfId="22877" xr:uid="{00000000-0005-0000-0000-000014590000}"/>
    <cellStyle name="Nagłówek 2 2 6 3 2 2 3" xfId="22878" xr:uid="{00000000-0005-0000-0000-000015590000}"/>
    <cellStyle name="Nagłówek 2 2 6 3 2 2 4" xfId="22879" xr:uid="{00000000-0005-0000-0000-000016590000}"/>
    <cellStyle name="Nagłówek 2 2 6 3 2 2 5" xfId="22880" xr:uid="{00000000-0005-0000-0000-000017590000}"/>
    <cellStyle name="Nagłówek 2 2 6 3 2 2 6" xfId="22881" xr:uid="{00000000-0005-0000-0000-000018590000}"/>
    <cellStyle name="Nagłówek 2 2 6 3 2 2 7" xfId="22882" xr:uid="{00000000-0005-0000-0000-000019590000}"/>
    <cellStyle name="Nagłówek 2 2 6 3 2 2 7 2" xfId="22883" xr:uid="{00000000-0005-0000-0000-00001A590000}"/>
    <cellStyle name="Nagłówek 2 2 6 3 2 2 7 3" xfId="22884" xr:uid="{00000000-0005-0000-0000-00001B590000}"/>
    <cellStyle name="Nagłówek 2 2 6 3 2 2 7 4" xfId="22885" xr:uid="{00000000-0005-0000-0000-00001C590000}"/>
    <cellStyle name="Nagłówek 2 2 6 3 2 2 7 5" xfId="22886" xr:uid="{00000000-0005-0000-0000-00001D590000}"/>
    <cellStyle name="Nagłówek 2 2 6 3 2 2 7 6" xfId="22887" xr:uid="{00000000-0005-0000-0000-00001E590000}"/>
    <cellStyle name="Nagłówek 2 2 6 3 2 2 8" xfId="22888" xr:uid="{00000000-0005-0000-0000-00001F590000}"/>
    <cellStyle name="Nagłówek 2 2 6 3 2 2 9" xfId="22889" xr:uid="{00000000-0005-0000-0000-000020590000}"/>
    <cellStyle name="Nagłówek 2 2 6 3 2 3" xfId="22890" xr:uid="{00000000-0005-0000-0000-000021590000}"/>
    <cellStyle name="Nagłówek 2 2 6 3 2 3 2" xfId="22891" xr:uid="{00000000-0005-0000-0000-000022590000}"/>
    <cellStyle name="Nagłówek 2 2 6 3 2 3 2 2" xfId="22892" xr:uid="{00000000-0005-0000-0000-000023590000}"/>
    <cellStyle name="Nagłówek 2 2 6 3 2 3 2 3" xfId="22893" xr:uid="{00000000-0005-0000-0000-000024590000}"/>
    <cellStyle name="Nagłówek 2 2 6 3 2 3 2 4" xfId="22894" xr:uid="{00000000-0005-0000-0000-000025590000}"/>
    <cellStyle name="Nagłówek 2 2 6 3 2 3 2 5" xfId="22895" xr:uid="{00000000-0005-0000-0000-000026590000}"/>
    <cellStyle name="Nagłówek 2 2 6 3 2 3 2 6" xfId="22896" xr:uid="{00000000-0005-0000-0000-000027590000}"/>
    <cellStyle name="Nagłówek 2 2 6 3 2 3 3" xfId="22897" xr:uid="{00000000-0005-0000-0000-000028590000}"/>
    <cellStyle name="Nagłówek 2 2 6 3 2 3 4" xfId="22898" xr:uid="{00000000-0005-0000-0000-000029590000}"/>
    <cellStyle name="Nagłówek 2 2 6 3 2 3 5" xfId="22899" xr:uid="{00000000-0005-0000-0000-00002A590000}"/>
    <cellStyle name="Nagłówek 2 2 6 3 2 3 6" xfId="22900" xr:uid="{00000000-0005-0000-0000-00002B590000}"/>
    <cellStyle name="Nagłówek 2 2 6 3 2 3 7" xfId="22901" xr:uid="{00000000-0005-0000-0000-00002C590000}"/>
    <cellStyle name="Nagłówek 2 2 6 3 2 4" xfId="22902" xr:uid="{00000000-0005-0000-0000-00002D590000}"/>
    <cellStyle name="Nagłówek 2 2 6 3 2 5" xfId="22903" xr:uid="{00000000-0005-0000-0000-00002E590000}"/>
    <cellStyle name="Nagłówek 2 2 6 3 2 6" xfId="22904" xr:uid="{00000000-0005-0000-0000-00002F590000}"/>
    <cellStyle name="Nagłówek 2 2 6 3 2 7" xfId="22905" xr:uid="{00000000-0005-0000-0000-000030590000}"/>
    <cellStyle name="Nagłówek 2 2 6 3 2 7 2" xfId="22906" xr:uid="{00000000-0005-0000-0000-000031590000}"/>
    <cellStyle name="Nagłówek 2 2 6 3 2 7 3" xfId="22907" xr:uid="{00000000-0005-0000-0000-000032590000}"/>
    <cellStyle name="Nagłówek 2 2 6 3 2 7 4" xfId="22908" xr:uid="{00000000-0005-0000-0000-000033590000}"/>
    <cellStyle name="Nagłówek 2 2 6 3 2 7 5" xfId="22909" xr:uid="{00000000-0005-0000-0000-000034590000}"/>
    <cellStyle name="Nagłówek 2 2 6 3 2 7 6" xfId="22910" xr:uid="{00000000-0005-0000-0000-000035590000}"/>
    <cellStyle name="Nagłówek 2 2 6 3 2 8" xfId="22911" xr:uid="{00000000-0005-0000-0000-000036590000}"/>
    <cellStyle name="Nagłówek 2 2 6 3 2 9" xfId="22912" xr:uid="{00000000-0005-0000-0000-000037590000}"/>
    <cellStyle name="Nagłówek 2 2 6 3 3" xfId="22913" xr:uid="{00000000-0005-0000-0000-000038590000}"/>
    <cellStyle name="Nagłówek 2 2 6 3 3 2" xfId="22914" xr:uid="{00000000-0005-0000-0000-000039590000}"/>
    <cellStyle name="Nagłówek 2 2 6 3 3 2 2" xfId="22915" xr:uid="{00000000-0005-0000-0000-00003A590000}"/>
    <cellStyle name="Nagłówek 2 2 6 3 3 2 3" xfId="22916" xr:uid="{00000000-0005-0000-0000-00003B590000}"/>
    <cellStyle name="Nagłówek 2 2 6 3 3 2 4" xfId="22917" xr:uid="{00000000-0005-0000-0000-00003C590000}"/>
    <cellStyle name="Nagłówek 2 2 6 3 3 2 5" xfId="22918" xr:uid="{00000000-0005-0000-0000-00003D590000}"/>
    <cellStyle name="Nagłówek 2 2 6 3 3 2 6" xfId="22919" xr:uid="{00000000-0005-0000-0000-00003E590000}"/>
    <cellStyle name="Nagłówek 2 2 6 3 3 3" xfId="22920" xr:uid="{00000000-0005-0000-0000-00003F590000}"/>
    <cellStyle name="Nagłówek 2 2 6 3 3 4" xfId="22921" xr:uid="{00000000-0005-0000-0000-000040590000}"/>
    <cellStyle name="Nagłówek 2 2 6 3 3 5" xfId="22922" xr:uid="{00000000-0005-0000-0000-000041590000}"/>
    <cellStyle name="Nagłówek 2 2 6 3 3 6" xfId="22923" xr:uid="{00000000-0005-0000-0000-000042590000}"/>
    <cellStyle name="Nagłówek 2 2 6 3 3 7" xfId="22924" xr:uid="{00000000-0005-0000-0000-000043590000}"/>
    <cellStyle name="Nagłówek 2 2 6 3 4" xfId="22925" xr:uid="{00000000-0005-0000-0000-000044590000}"/>
    <cellStyle name="Nagłówek 2 2 6 3 5" xfId="22926" xr:uid="{00000000-0005-0000-0000-000045590000}"/>
    <cellStyle name="Nagłówek 2 2 6 3 6" xfId="22927" xr:uid="{00000000-0005-0000-0000-000046590000}"/>
    <cellStyle name="Nagłówek 2 2 6 3 7" xfId="22928" xr:uid="{00000000-0005-0000-0000-000047590000}"/>
    <cellStyle name="Nagłówek 2 2 6 3 8" xfId="22929" xr:uid="{00000000-0005-0000-0000-000048590000}"/>
    <cellStyle name="Nagłówek 2 2 6 3 8 2" xfId="22930" xr:uid="{00000000-0005-0000-0000-000049590000}"/>
    <cellStyle name="Nagłówek 2 2 6 3 8 3" xfId="22931" xr:uid="{00000000-0005-0000-0000-00004A590000}"/>
    <cellStyle name="Nagłówek 2 2 6 3 8 4" xfId="22932" xr:uid="{00000000-0005-0000-0000-00004B590000}"/>
    <cellStyle name="Nagłówek 2 2 6 3 8 5" xfId="22933" xr:uid="{00000000-0005-0000-0000-00004C590000}"/>
    <cellStyle name="Nagłówek 2 2 6 3 8 6" xfId="22934" xr:uid="{00000000-0005-0000-0000-00004D590000}"/>
    <cellStyle name="Nagłówek 2 2 6 3 9" xfId="22935" xr:uid="{00000000-0005-0000-0000-00004E590000}"/>
    <cellStyle name="Nagłówek 2 2 6 4" xfId="22936" xr:uid="{00000000-0005-0000-0000-00004F590000}"/>
    <cellStyle name="Nagłówek 2 2 6 4 10" xfId="22937" xr:uid="{00000000-0005-0000-0000-000050590000}"/>
    <cellStyle name="Nagłówek 2 2 6 4 11" xfId="22938" xr:uid="{00000000-0005-0000-0000-000051590000}"/>
    <cellStyle name="Nagłówek 2 2 6 4 2" xfId="22939" xr:uid="{00000000-0005-0000-0000-000052590000}"/>
    <cellStyle name="Nagłówek 2 2 6 4 2 2" xfId="22940" xr:uid="{00000000-0005-0000-0000-000053590000}"/>
    <cellStyle name="Nagłówek 2 2 6 4 2 2 2" xfId="22941" xr:uid="{00000000-0005-0000-0000-000054590000}"/>
    <cellStyle name="Nagłówek 2 2 6 4 2 2 3" xfId="22942" xr:uid="{00000000-0005-0000-0000-000055590000}"/>
    <cellStyle name="Nagłówek 2 2 6 4 2 2 4" xfId="22943" xr:uid="{00000000-0005-0000-0000-000056590000}"/>
    <cellStyle name="Nagłówek 2 2 6 4 2 2 5" xfId="22944" xr:uid="{00000000-0005-0000-0000-000057590000}"/>
    <cellStyle name="Nagłówek 2 2 6 4 2 2 6" xfId="22945" xr:uid="{00000000-0005-0000-0000-000058590000}"/>
    <cellStyle name="Nagłówek 2 2 6 4 2 3" xfId="22946" xr:uid="{00000000-0005-0000-0000-000059590000}"/>
    <cellStyle name="Nagłówek 2 2 6 4 2 4" xfId="22947" xr:uid="{00000000-0005-0000-0000-00005A590000}"/>
    <cellStyle name="Nagłówek 2 2 6 4 2 5" xfId="22948" xr:uid="{00000000-0005-0000-0000-00005B590000}"/>
    <cellStyle name="Nagłówek 2 2 6 4 2 6" xfId="22949" xr:uid="{00000000-0005-0000-0000-00005C590000}"/>
    <cellStyle name="Nagłówek 2 2 6 4 2 7" xfId="22950" xr:uid="{00000000-0005-0000-0000-00005D590000}"/>
    <cellStyle name="Nagłówek 2 2 6 4 3" xfId="22951" xr:uid="{00000000-0005-0000-0000-00005E590000}"/>
    <cellStyle name="Nagłówek 2 2 6 4 4" xfId="22952" xr:uid="{00000000-0005-0000-0000-00005F590000}"/>
    <cellStyle name="Nagłówek 2 2 6 4 5" xfId="22953" xr:uid="{00000000-0005-0000-0000-000060590000}"/>
    <cellStyle name="Nagłówek 2 2 6 4 6" xfId="22954" xr:uid="{00000000-0005-0000-0000-000061590000}"/>
    <cellStyle name="Nagłówek 2 2 6 4 7" xfId="22955" xr:uid="{00000000-0005-0000-0000-000062590000}"/>
    <cellStyle name="Nagłówek 2 2 6 4 7 2" xfId="22956" xr:uid="{00000000-0005-0000-0000-000063590000}"/>
    <cellStyle name="Nagłówek 2 2 6 4 7 3" xfId="22957" xr:uid="{00000000-0005-0000-0000-000064590000}"/>
    <cellStyle name="Nagłówek 2 2 6 4 7 4" xfId="22958" xr:uid="{00000000-0005-0000-0000-000065590000}"/>
    <cellStyle name="Nagłówek 2 2 6 4 7 5" xfId="22959" xr:uid="{00000000-0005-0000-0000-000066590000}"/>
    <cellStyle name="Nagłówek 2 2 6 4 7 6" xfId="22960" xr:uid="{00000000-0005-0000-0000-000067590000}"/>
    <cellStyle name="Nagłówek 2 2 6 4 8" xfId="22961" xr:uid="{00000000-0005-0000-0000-000068590000}"/>
    <cellStyle name="Nagłówek 2 2 6 4 9" xfId="22962" xr:uid="{00000000-0005-0000-0000-000069590000}"/>
    <cellStyle name="Nagłówek 2 2 6 5" xfId="22963" xr:uid="{00000000-0005-0000-0000-00006A590000}"/>
    <cellStyle name="Nagłówek 2 2 6 5 2" xfId="22964" xr:uid="{00000000-0005-0000-0000-00006B590000}"/>
    <cellStyle name="Nagłówek 2 2 6 5 2 2" xfId="22965" xr:uid="{00000000-0005-0000-0000-00006C590000}"/>
    <cellStyle name="Nagłówek 2 2 6 5 2 3" xfId="22966" xr:uid="{00000000-0005-0000-0000-00006D590000}"/>
    <cellStyle name="Nagłówek 2 2 6 5 2 4" xfId="22967" xr:uid="{00000000-0005-0000-0000-00006E590000}"/>
    <cellStyle name="Nagłówek 2 2 6 5 2 5" xfId="22968" xr:uid="{00000000-0005-0000-0000-00006F590000}"/>
    <cellStyle name="Nagłówek 2 2 6 5 2 6" xfId="22969" xr:uid="{00000000-0005-0000-0000-000070590000}"/>
    <cellStyle name="Nagłówek 2 2 6 5 3" xfId="22970" xr:uid="{00000000-0005-0000-0000-000071590000}"/>
    <cellStyle name="Nagłówek 2 2 6 5 4" xfId="22971" xr:uid="{00000000-0005-0000-0000-000072590000}"/>
    <cellStyle name="Nagłówek 2 2 6 5 5" xfId="22972" xr:uid="{00000000-0005-0000-0000-000073590000}"/>
    <cellStyle name="Nagłówek 2 2 6 5 6" xfId="22973" xr:uid="{00000000-0005-0000-0000-000074590000}"/>
    <cellStyle name="Nagłówek 2 2 6 5 7" xfId="22974" xr:uid="{00000000-0005-0000-0000-000075590000}"/>
    <cellStyle name="Nagłówek 2 2 6 6" xfId="22975" xr:uid="{00000000-0005-0000-0000-000076590000}"/>
    <cellStyle name="Nagłówek 2 2 6 7" xfId="22976" xr:uid="{00000000-0005-0000-0000-000077590000}"/>
    <cellStyle name="Nagłówek 2 2 6 8" xfId="22977" xr:uid="{00000000-0005-0000-0000-000078590000}"/>
    <cellStyle name="Nagłówek 2 2 6 9" xfId="22978" xr:uid="{00000000-0005-0000-0000-000079590000}"/>
    <cellStyle name="Nagłówek 2 2 6 9 2" xfId="22979" xr:uid="{00000000-0005-0000-0000-00007A590000}"/>
    <cellStyle name="Nagłówek 2 2 6 9 3" xfId="22980" xr:uid="{00000000-0005-0000-0000-00007B590000}"/>
    <cellStyle name="Nagłówek 2 2 6 9 4" xfId="22981" xr:uid="{00000000-0005-0000-0000-00007C590000}"/>
    <cellStyle name="Nagłówek 2 2 6 9 5" xfId="22982" xr:uid="{00000000-0005-0000-0000-00007D590000}"/>
    <cellStyle name="Nagłówek 2 2 6 9 6" xfId="22983" xr:uid="{00000000-0005-0000-0000-00007E590000}"/>
    <cellStyle name="Nagłówek 2 2 7" xfId="22984" xr:uid="{00000000-0005-0000-0000-00007F590000}"/>
    <cellStyle name="Nagłówek 2 2 8" xfId="22985" xr:uid="{00000000-0005-0000-0000-000080590000}"/>
    <cellStyle name="Nagłówek 2 2 9" xfId="22986" xr:uid="{00000000-0005-0000-0000-000081590000}"/>
    <cellStyle name="Nagłówek 2 3" xfId="275" xr:uid="{00000000-0005-0000-0000-000082590000}"/>
    <cellStyle name="Nagłówek 2 3 2" xfId="22988" xr:uid="{00000000-0005-0000-0000-000083590000}"/>
    <cellStyle name="Nagłówek 2 3 3" xfId="22989" xr:uid="{00000000-0005-0000-0000-000084590000}"/>
    <cellStyle name="Nagłówek 2 3 4" xfId="22990" xr:uid="{00000000-0005-0000-0000-000085590000}"/>
    <cellStyle name="Nagłówek 2 3 5" xfId="22991" xr:uid="{00000000-0005-0000-0000-000086590000}"/>
    <cellStyle name="Nagłówek 2 3 6" xfId="22987" xr:uid="{00000000-0005-0000-0000-000087590000}"/>
    <cellStyle name="Nagłówek 2 4" xfId="276" xr:uid="{00000000-0005-0000-0000-000088590000}"/>
    <cellStyle name="Nagłówek 2 4 2" xfId="22993" xr:uid="{00000000-0005-0000-0000-000089590000}"/>
    <cellStyle name="Nagłówek 2 4 3" xfId="22992" xr:uid="{00000000-0005-0000-0000-00008A590000}"/>
    <cellStyle name="Nagłówek 2 5" xfId="277" xr:uid="{00000000-0005-0000-0000-00008B590000}"/>
    <cellStyle name="Nagłówek 2 5 2" xfId="22995" xr:uid="{00000000-0005-0000-0000-00008C590000}"/>
    <cellStyle name="Nagłówek 2 5 3" xfId="22994" xr:uid="{00000000-0005-0000-0000-00008D590000}"/>
    <cellStyle name="Nagłówek 2 6" xfId="278" xr:uid="{00000000-0005-0000-0000-00008E590000}"/>
    <cellStyle name="Nagłówek 2 6 2" xfId="22997" xr:uid="{00000000-0005-0000-0000-00008F590000}"/>
    <cellStyle name="Nagłówek 2 6 3" xfId="22996" xr:uid="{00000000-0005-0000-0000-000090590000}"/>
    <cellStyle name="Nagłówek 2 7" xfId="279" xr:uid="{00000000-0005-0000-0000-000091590000}"/>
    <cellStyle name="Nagłówek 2 7 2" xfId="22999" xr:uid="{00000000-0005-0000-0000-000092590000}"/>
    <cellStyle name="Nagłówek 2 7 3" xfId="23000" xr:uid="{00000000-0005-0000-0000-000093590000}"/>
    <cellStyle name="Nagłówek 2 7 4" xfId="23001" xr:uid="{00000000-0005-0000-0000-000094590000}"/>
    <cellStyle name="Nagłówek 2 7 5" xfId="23002" xr:uid="{00000000-0005-0000-0000-000095590000}"/>
    <cellStyle name="Nagłówek 2 7 6" xfId="22998" xr:uid="{00000000-0005-0000-0000-000096590000}"/>
    <cellStyle name="Nagłówek 2 8" xfId="23003" xr:uid="{00000000-0005-0000-0000-000097590000}"/>
    <cellStyle name="Nagłówek 2 8 2" xfId="23004" xr:uid="{00000000-0005-0000-0000-000098590000}"/>
    <cellStyle name="Nagłówek 2 8 3" xfId="23005" xr:uid="{00000000-0005-0000-0000-000099590000}"/>
    <cellStyle name="Nagłówek 2 8 4" xfId="23006" xr:uid="{00000000-0005-0000-0000-00009A590000}"/>
    <cellStyle name="Nagłówek 2 9" xfId="23007" xr:uid="{00000000-0005-0000-0000-00009B590000}"/>
    <cellStyle name="Nagłówek 3 1" xfId="23008" xr:uid="{00000000-0005-0000-0000-00009C590000}"/>
    <cellStyle name="Nagłówek 3 10" xfId="23009" xr:uid="{00000000-0005-0000-0000-00009D590000}"/>
    <cellStyle name="Nagłówek 3 11" xfId="23010" xr:uid="{00000000-0005-0000-0000-00009E590000}"/>
    <cellStyle name="Nagłówek 3 12" xfId="23011" xr:uid="{00000000-0005-0000-0000-00009F590000}"/>
    <cellStyle name="Nagłówek 3 13" xfId="23012" xr:uid="{00000000-0005-0000-0000-0000A0590000}"/>
    <cellStyle name="Nagłówek 3 14" xfId="23013" xr:uid="{00000000-0005-0000-0000-0000A1590000}"/>
    <cellStyle name="Nagłówek 3 15" xfId="23014" xr:uid="{00000000-0005-0000-0000-0000A2590000}"/>
    <cellStyle name="Nagłówek 3 16" xfId="23015" xr:uid="{00000000-0005-0000-0000-0000A3590000}"/>
    <cellStyle name="Nagłówek 3 17" xfId="23016" xr:uid="{00000000-0005-0000-0000-0000A4590000}"/>
    <cellStyle name="Nagłówek 3 18" xfId="23017" xr:uid="{00000000-0005-0000-0000-0000A5590000}"/>
    <cellStyle name="Nagłówek 3 19" xfId="23018" xr:uid="{00000000-0005-0000-0000-0000A6590000}"/>
    <cellStyle name="Nagłówek 3 2" xfId="280" xr:uid="{00000000-0005-0000-0000-0000A7590000}"/>
    <cellStyle name="Nagłówek 3 2 10" xfId="23020" xr:uid="{00000000-0005-0000-0000-0000A8590000}"/>
    <cellStyle name="Nagłówek 3 2 11" xfId="23021" xr:uid="{00000000-0005-0000-0000-0000A9590000}"/>
    <cellStyle name="Nagłówek 3 2 12" xfId="23022" xr:uid="{00000000-0005-0000-0000-0000AA590000}"/>
    <cellStyle name="Nagłówek 3 2 13" xfId="23023" xr:uid="{00000000-0005-0000-0000-0000AB590000}"/>
    <cellStyle name="Nagłówek 3 2 14" xfId="23024" xr:uid="{00000000-0005-0000-0000-0000AC590000}"/>
    <cellStyle name="Nagłówek 3 2 15" xfId="23019" xr:uid="{00000000-0005-0000-0000-0000AD590000}"/>
    <cellStyle name="Nagłówek 3 2 16" xfId="37848" xr:uid="{00000000-0005-0000-0000-0000AE590000}"/>
    <cellStyle name="Nagłówek 3 2 2" xfId="23025" xr:uid="{00000000-0005-0000-0000-0000AF590000}"/>
    <cellStyle name="Nagłówek 3 2 2 10" xfId="23026" xr:uid="{00000000-0005-0000-0000-0000B0590000}"/>
    <cellStyle name="Nagłówek 3 2 2 10 10" xfId="23027" xr:uid="{00000000-0005-0000-0000-0000B1590000}"/>
    <cellStyle name="Nagłówek 3 2 2 10 11" xfId="23028" xr:uid="{00000000-0005-0000-0000-0000B2590000}"/>
    <cellStyle name="Nagłówek 3 2 2 10 12" xfId="23029" xr:uid="{00000000-0005-0000-0000-0000B3590000}"/>
    <cellStyle name="Nagłówek 3 2 2 10 2" xfId="23030" xr:uid="{00000000-0005-0000-0000-0000B4590000}"/>
    <cellStyle name="Nagłówek 3 2 2 10 2 10" xfId="23031" xr:uid="{00000000-0005-0000-0000-0000B5590000}"/>
    <cellStyle name="Nagłówek 3 2 2 10 2 11" xfId="23032" xr:uid="{00000000-0005-0000-0000-0000B6590000}"/>
    <cellStyle name="Nagłówek 3 2 2 10 2 2" xfId="23033" xr:uid="{00000000-0005-0000-0000-0000B7590000}"/>
    <cellStyle name="Nagłówek 3 2 2 10 2 2 10" xfId="23034" xr:uid="{00000000-0005-0000-0000-0000B8590000}"/>
    <cellStyle name="Nagłówek 3 2 2 10 2 2 11" xfId="23035" xr:uid="{00000000-0005-0000-0000-0000B9590000}"/>
    <cellStyle name="Nagłówek 3 2 2 10 2 2 2" xfId="23036" xr:uid="{00000000-0005-0000-0000-0000BA590000}"/>
    <cellStyle name="Nagłówek 3 2 2 10 2 2 2 2" xfId="23037" xr:uid="{00000000-0005-0000-0000-0000BB590000}"/>
    <cellStyle name="Nagłówek 3 2 2 10 2 2 2 2 2" xfId="23038" xr:uid="{00000000-0005-0000-0000-0000BC590000}"/>
    <cellStyle name="Nagłówek 3 2 2 10 2 2 2 2 3" xfId="23039" xr:uid="{00000000-0005-0000-0000-0000BD590000}"/>
    <cellStyle name="Nagłówek 3 2 2 10 2 2 2 2 4" xfId="23040" xr:uid="{00000000-0005-0000-0000-0000BE590000}"/>
    <cellStyle name="Nagłówek 3 2 2 10 2 2 2 2 5" xfId="23041" xr:uid="{00000000-0005-0000-0000-0000BF590000}"/>
    <cellStyle name="Nagłówek 3 2 2 10 2 2 2 2 6" xfId="23042" xr:uid="{00000000-0005-0000-0000-0000C0590000}"/>
    <cellStyle name="Nagłówek 3 2 2 10 2 2 2 3" xfId="23043" xr:uid="{00000000-0005-0000-0000-0000C1590000}"/>
    <cellStyle name="Nagłówek 3 2 2 10 2 2 2 4" xfId="23044" xr:uid="{00000000-0005-0000-0000-0000C2590000}"/>
    <cellStyle name="Nagłówek 3 2 2 10 2 2 2 5" xfId="23045" xr:uid="{00000000-0005-0000-0000-0000C3590000}"/>
    <cellStyle name="Nagłówek 3 2 2 10 2 2 2 6" xfId="23046" xr:uid="{00000000-0005-0000-0000-0000C4590000}"/>
    <cellStyle name="Nagłówek 3 2 2 10 2 2 2 7" xfId="23047" xr:uid="{00000000-0005-0000-0000-0000C5590000}"/>
    <cellStyle name="Nagłówek 3 2 2 10 2 2 3" xfId="23048" xr:uid="{00000000-0005-0000-0000-0000C6590000}"/>
    <cellStyle name="Nagłówek 3 2 2 10 2 2 4" xfId="23049" xr:uid="{00000000-0005-0000-0000-0000C7590000}"/>
    <cellStyle name="Nagłówek 3 2 2 10 2 2 5" xfId="23050" xr:uid="{00000000-0005-0000-0000-0000C8590000}"/>
    <cellStyle name="Nagłówek 3 2 2 10 2 2 6" xfId="23051" xr:uid="{00000000-0005-0000-0000-0000C9590000}"/>
    <cellStyle name="Nagłówek 3 2 2 10 2 2 7" xfId="23052" xr:uid="{00000000-0005-0000-0000-0000CA590000}"/>
    <cellStyle name="Nagłówek 3 2 2 10 2 2 7 2" xfId="23053" xr:uid="{00000000-0005-0000-0000-0000CB590000}"/>
    <cellStyle name="Nagłówek 3 2 2 10 2 2 7 3" xfId="23054" xr:uid="{00000000-0005-0000-0000-0000CC590000}"/>
    <cellStyle name="Nagłówek 3 2 2 10 2 2 7 4" xfId="23055" xr:uid="{00000000-0005-0000-0000-0000CD590000}"/>
    <cellStyle name="Nagłówek 3 2 2 10 2 2 7 5" xfId="23056" xr:uid="{00000000-0005-0000-0000-0000CE590000}"/>
    <cellStyle name="Nagłówek 3 2 2 10 2 2 7 6" xfId="23057" xr:uid="{00000000-0005-0000-0000-0000CF590000}"/>
    <cellStyle name="Nagłówek 3 2 2 10 2 2 8" xfId="23058" xr:uid="{00000000-0005-0000-0000-0000D0590000}"/>
    <cellStyle name="Nagłówek 3 2 2 10 2 2 9" xfId="23059" xr:uid="{00000000-0005-0000-0000-0000D1590000}"/>
    <cellStyle name="Nagłówek 3 2 2 10 2 3" xfId="23060" xr:uid="{00000000-0005-0000-0000-0000D2590000}"/>
    <cellStyle name="Nagłówek 3 2 2 10 2 3 2" xfId="23061" xr:uid="{00000000-0005-0000-0000-0000D3590000}"/>
    <cellStyle name="Nagłówek 3 2 2 10 2 3 2 2" xfId="23062" xr:uid="{00000000-0005-0000-0000-0000D4590000}"/>
    <cellStyle name="Nagłówek 3 2 2 10 2 3 2 3" xfId="23063" xr:uid="{00000000-0005-0000-0000-0000D5590000}"/>
    <cellStyle name="Nagłówek 3 2 2 10 2 3 2 4" xfId="23064" xr:uid="{00000000-0005-0000-0000-0000D6590000}"/>
    <cellStyle name="Nagłówek 3 2 2 10 2 3 2 5" xfId="23065" xr:uid="{00000000-0005-0000-0000-0000D7590000}"/>
    <cellStyle name="Nagłówek 3 2 2 10 2 3 2 6" xfId="23066" xr:uid="{00000000-0005-0000-0000-0000D8590000}"/>
    <cellStyle name="Nagłówek 3 2 2 10 2 3 3" xfId="23067" xr:uid="{00000000-0005-0000-0000-0000D9590000}"/>
    <cellStyle name="Nagłówek 3 2 2 10 2 3 4" xfId="23068" xr:uid="{00000000-0005-0000-0000-0000DA590000}"/>
    <cellStyle name="Nagłówek 3 2 2 10 2 3 5" xfId="23069" xr:uid="{00000000-0005-0000-0000-0000DB590000}"/>
    <cellStyle name="Nagłówek 3 2 2 10 2 3 6" xfId="23070" xr:uid="{00000000-0005-0000-0000-0000DC590000}"/>
    <cellStyle name="Nagłówek 3 2 2 10 2 3 7" xfId="23071" xr:uid="{00000000-0005-0000-0000-0000DD590000}"/>
    <cellStyle name="Nagłówek 3 2 2 10 2 4" xfId="23072" xr:uid="{00000000-0005-0000-0000-0000DE590000}"/>
    <cellStyle name="Nagłówek 3 2 2 10 2 5" xfId="23073" xr:uid="{00000000-0005-0000-0000-0000DF590000}"/>
    <cellStyle name="Nagłówek 3 2 2 10 2 6" xfId="23074" xr:uid="{00000000-0005-0000-0000-0000E0590000}"/>
    <cellStyle name="Nagłówek 3 2 2 10 2 7" xfId="23075" xr:uid="{00000000-0005-0000-0000-0000E1590000}"/>
    <cellStyle name="Nagłówek 3 2 2 10 2 7 2" xfId="23076" xr:uid="{00000000-0005-0000-0000-0000E2590000}"/>
    <cellStyle name="Nagłówek 3 2 2 10 2 7 3" xfId="23077" xr:uid="{00000000-0005-0000-0000-0000E3590000}"/>
    <cellStyle name="Nagłówek 3 2 2 10 2 7 4" xfId="23078" xr:uid="{00000000-0005-0000-0000-0000E4590000}"/>
    <cellStyle name="Nagłówek 3 2 2 10 2 7 5" xfId="23079" xr:uid="{00000000-0005-0000-0000-0000E5590000}"/>
    <cellStyle name="Nagłówek 3 2 2 10 2 7 6" xfId="23080" xr:uid="{00000000-0005-0000-0000-0000E6590000}"/>
    <cellStyle name="Nagłówek 3 2 2 10 2 8" xfId="23081" xr:uid="{00000000-0005-0000-0000-0000E7590000}"/>
    <cellStyle name="Nagłówek 3 2 2 10 2 9" xfId="23082" xr:uid="{00000000-0005-0000-0000-0000E8590000}"/>
    <cellStyle name="Nagłówek 3 2 2 10 3" xfId="23083" xr:uid="{00000000-0005-0000-0000-0000E9590000}"/>
    <cellStyle name="Nagłówek 3 2 2 10 3 2" xfId="23084" xr:uid="{00000000-0005-0000-0000-0000EA590000}"/>
    <cellStyle name="Nagłówek 3 2 2 10 3 2 2" xfId="23085" xr:uid="{00000000-0005-0000-0000-0000EB590000}"/>
    <cellStyle name="Nagłówek 3 2 2 10 3 2 3" xfId="23086" xr:uid="{00000000-0005-0000-0000-0000EC590000}"/>
    <cellStyle name="Nagłówek 3 2 2 10 3 2 4" xfId="23087" xr:uid="{00000000-0005-0000-0000-0000ED590000}"/>
    <cellStyle name="Nagłówek 3 2 2 10 3 2 5" xfId="23088" xr:uid="{00000000-0005-0000-0000-0000EE590000}"/>
    <cellStyle name="Nagłówek 3 2 2 10 3 2 6" xfId="23089" xr:uid="{00000000-0005-0000-0000-0000EF590000}"/>
    <cellStyle name="Nagłówek 3 2 2 10 3 3" xfId="23090" xr:uid="{00000000-0005-0000-0000-0000F0590000}"/>
    <cellStyle name="Nagłówek 3 2 2 10 3 4" xfId="23091" xr:uid="{00000000-0005-0000-0000-0000F1590000}"/>
    <cellStyle name="Nagłówek 3 2 2 10 3 5" xfId="23092" xr:uid="{00000000-0005-0000-0000-0000F2590000}"/>
    <cellStyle name="Nagłówek 3 2 2 10 3 6" xfId="23093" xr:uid="{00000000-0005-0000-0000-0000F3590000}"/>
    <cellStyle name="Nagłówek 3 2 2 10 3 7" xfId="23094" xr:uid="{00000000-0005-0000-0000-0000F4590000}"/>
    <cellStyle name="Nagłówek 3 2 2 10 4" xfId="23095" xr:uid="{00000000-0005-0000-0000-0000F5590000}"/>
    <cellStyle name="Nagłówek 3 2 2 10 5" xfId="23096" xr:uid="{00000000-0005-0000-0000-0000F6590000}"/>
    <cellStyle name="Nagłówek 3 2 2 10 6" xfId="23097" xr:uid="{00000000-0005-0000-0000-0000F7590000}"/>
    <cellStyle name="Nagłówek 3 2 2 10 7" xfId="23098" xr:uid="{00000000-0005-0000-0000-0000F8590000}"/>
    <cellStyle name="Nagłówek 3 2 2 10 8" xfId="23099" xr:uid="{00000000-0005-0000-0000-0000F9590000}"/>
    <cellStyle name="Nagłówek 3 2 2 10 8 2" xfId="23100" xr:uid="{00000000-0005-0000-0000-0000FA590000}"/>
    <cellStyle name="Nagłówek 3 2 2 10 8 3" xfId="23101" xr:uid="{00000000-0005-0000-0000-0000FB590000}"/>
    <cellStyle name="Nagłówek 3 2 2 10 8 4" xfId="23102" xr:uid="{00000000-0005-0000-0000-0000FC590000}"/>
    <cellStyle name="Nagłówek 3 2 2 10 8 5" xfId="23103" xr:uid="{00000000-0005-0000-0000-0000FD590000}"/>
    <cellStyle name="Nagłówek 3 2 2 10 8 6" xfId="23104" xr:uid="{00000000-0005-0000-0000-0000FE590000}"/>
    <cellStyle name="Nagłówek 3 2 2 10 9" xfId="23105" xr:uid="{00000000-0005-0000-0000-0000FF590000}"/>
    <cellStyle name="Nagłówek 3 2 2 11" xfId="23106" xr:uid="{00000000-0005-0000-0000-0000005A0000}"/>
    <cellStyle name="Nagłówek 3 2 2 11 10" xfId="23107" xr:uid="{00000000-0005-0000-0000-0000015A0000}"/>
    <cellStyle name="Nagłówek 3 2 2 11 11" xfId="23108" xr:uid="{00000000-0005-0000-0000-0000025A0000}"/>
    <cellStyle name="Nagłówek 3 2 2 11 2" xfId="23109" xr:uid="{00000000-0005-0000-0000-0000035A0000}"/>
    <cellStyle name="Nagłówek 3 2 2 11 2 2" xfId="23110" xr:uid="{00000000-0005-0000-0000-0000045A0000}"/>
    <cellStyle name="Nagłówek 3 2 2 11 2 2 2" xfId="23111" xr:uid="{00000000-0005-0000-0000-0000055A0000}"/>
    <cellStyle name="Nagłówek 3 2 2 11 2 2 3" xfId="23112" xr:uid="{00000000-0005-0000-0000-0000065A0000}"/>
    <cellStyle name="Nagłówek 3 2 2 11 2 2 4" xfId="23113" xr:uid="{00000000-0005-0000-0000-0000075A0000}"/>
    <cellStyle name="Nagłówek 3 2 2 11 2 2 5" xfId="23114" xr:uid="{00000000-0005-0000-0000-0000085A0000}"/>
    <cellStyle name="Nagłówek 3 2 2 11 2 2 6" xfId="23115" xr:uid="{00000000-0005-0000-0000-0000095A0000}"/>
    <cellStyle name="Nagłówek 3 2 2 11 2 3" xfId="23116" xr:uid="{00000000-0005-0000-0000-00000A5A0000}"/>
    <cellStyle name="Nagłówek 3 2 2 11 2 4" xfId="23117" xr:uid="{00000000-0005-0000-0000-00000B5A0000}"/>
    <cellStyle name="Nagłówek 3 2 2 11 2 5" xfId="23118" xr:uid="{00000000-0005-0000-0000-00000C5A0000}"/>
    <cellStyle name="Nagłówek 3 2 2 11 2 6" xfId="23119" xr:uid="{00000000-0005-0000-0000-00000D5A0000}"/>
    <cellStyle name="Nagłówek 3 2 2 11 2 7" xfId="23120" xr:uid="{00000000-0005-0000-0000-00000E5A0000}"/>
    <cellStyle name="Nagłówek 3 2 2 11 3" xfId="23121" xr:uid="{00000000-0005-0000-0000-00000F5A0000}"/>
    <cellStyle name="Nagłówek 3 2 2 11 4" xfId="23122" xr:uid="{00000000-0005-0000-0000-0000105A0000}"/>
    <cellStyle name="Nagłówek 3 2 2 11 5" xfId="23123" xr:uid="{00000000-0005-0000-0000-0000115A0000}"/>
    <cellStyle name="Nagłówek 3 2 2 11 6" xfId="23124" xr:uid="{00000000-0005-0000-0000-0000125A0000}"/>
    <cellStyle name="Nagłówek 3 2 2 11 7" xfId="23125" xr:uid="{00000000-0005-0000-0000-0000135A0000}"/>
    <cellStyle name="Nagłówek 3 2 2 11 7 2" xfId="23126" xr:uid="{00000000-0005-0000-0000-0000145A0000}"/>
    <cellStyle name="Nagłówek 3 2 2 11 7 3" xfId="23127" xr:uid="{00000000-0005-0000-0000-0000155A0000}"/>
    <cellStyle name="Nagłówek 3 2 2 11 7 4" xfId="23128" xr:uid="{00000000-0005-0000-0000-0000165A0000}"/>
    <cellStyle name="Nagłówek 3 2 2 11 7 5" xfId="23129" xr:uid="{00000000-0005-0000-0000-0000175A0000}"/>
    <cellStyle name="Nagłówek 3 2 2 11 7 6" xfId="23130" xr:uid="{00000000-0005-0000-0000-0000185A0000}"/>
    <cellStyle name="Nagłówek 3 2 2 11 8" xfId="23131" xr:uid="{00000000-0005-0000-0000-0000195A0000}"/>
    <cellStyle name="Nagłówek 3 2 2 11 9" xfId="23132" xr:uid="{00000000-0005-0000-0000-00001A5A0000}"/>
    <cellStyle name="Nagłówek 3 2 2 12" xfId="23133" xr:uid="{00000000-0005-0000-0000-00001B5A0000}"/>
    <cellStyle name="Nagłówek 3 2 2 12 2" xfId="23134" xr:uid="{00000000-0005-0000-0000-00001C5A0000}"/>
    <cellStyle name="Nagłówek 3 2 2 12 2 2" xfId="23135" xr:uid="{00000000-0005-0000-0000-00001D5A0000}"/>
    <cellStyle name="Nagłówek 3 2 2 12 2 3" xfId="23136" xr:uid="{00000000-0005-0000-0000-00001E5A0000}"/>
    <cellStyle name="Nagłówek 3 2 2 12 2 4" xfId="23137" xr:uid="{00000000-0005-0000-0000-00001F5A0000}"/>
    <cellStyle name="Nagłówek 3 2 2 12 2 5" xfId="23138" xr:uid="{00000000-0005-0000-0000-0000205A0000}"/>
    <cellStyle name="Nagłówek 3 2 2 12 2 6" xfId="23139" xr:uid="{00000000-0005-0000-0000-0000215A0000}"/>
    <cellStyle name="Nagłówek 3 2 2 12 3" xfId="23140" xr:uid="{00000000-0005-0000-0000-0000225A0000}"/>
    <cellStyle name="Nagłówek 3 2 2 12 4" xfId="23141" xr:uid="{00000000-0005-0000-0000-0000235A0000}"/>
    <cellStyle name="Nagłówek 3 2 2 12 5" xfId="23142" xr:uid="{00000000-0005-0000-0000-0000245A0000}"/>
    <cellStyle name="Nagłówek 3 2 2 12 6" xfId="23143" xr:uid="{00000000-0005-0000-0000-0000255A0000}"/>
    <cellStyle name="Nagłówek 3 2 2 12 7" xfId="23144" xr:uid="{00000000-0005-0000-0000-0000265A0000}"/>
    <cellStyle name="Nagłówek 3 2 2 13" xfId="23145" xr:uid="{00000000-0005-0000-0000-0000275A0000}"/>
    <cellStyle name="Nagłówek 3 2 2 14" xfId="23146" xr:uid="{00000000-0005-0000-0000-0000285A0000}"/>
    <cellStyle name="Nagłówek 3 2 2 15" xfId="23147" xr:uid="{00000000-0005-0000-0000-0000295A0000}"/>
    <cellStyle name="Nagłówek 3 2 2 16" xfId="23148" xr:uid="{00000000-0005-0000-0000-00002A5A0000}"/>
    <cellStyle name="Nagłówek 3 2 2 17" xfId="23149" xr:uid="{00000000-0005-0000-0000-00002B5A0000}"/>
    <cellStyle name="Nagłówek 3 2 2 18" xfId="23150" xr:uid="{00000000-0005-0000-0000-00002C5A0000}"/>
    <cellStyle name="Nagłówek 3 2 2 18 2" xfId="23151" xr:uid="{00000000-0005-0000-0000-00002D5A0000}"/>
    <cellStyle name="Nagłówek 3 2 2 18 3" xfId="23152" xr:uid="{00000000-0005-0000-0000-00002E5A0000}"/>
    <cellStyle name="Nagłówek 3 2 2 18 4" xfId="23153" xr:uid="{00000000-0005-0000-0000-00002F5A0000}"/>
    <cellStyle name="Nagłówek 3 2 2 18 5" xfId="23154" xr:uid="{00000000-0005-0000-0000-0000305A0000}"/>
    <cellStyle name="Nagłówek 3 2 2 18 6" xfId="23155" xr:uid="{00000000-0005-0000-0000-0000315A0000}"/>
    <cellStyle name="Nagłówek 3 2 2 19" xfId="23156" xr:uid="{00000000-0005-0000-0000-0000325A0000}"/>
    <cellStyle name="Nagłówek 3 2 2 2" xfId="23157" xr:uid="{00000000-0005-0000-0000-0000335A0000}"/>
    <cellStyle name="Nagłówek 3 2 2 2 10" xfId="23158" xr:uid="{00000000-0005-0000-0000-0000345A0000}"/>
    <cellStyle name="Nagłówek 3 2 2 2 11" xfId="23159" xr:uid="{00000000-0005-0000-0000-0000355A0000}"/>
    <cellStyle name="Nagłówek 3 2 2 2 2" xfId="23160" xr:uid="{00000000-0005-0000-0000-0000365A0000}"/>
    <cellStyle name="Nagłówek 3 2 2 2 2 10" xfId="23161" xr:uid="{00000000-0005-0000-0000-0000375A0000}"/>
    <cellStyle name="Nagłówek 3 2 2 2 2 2" xfId="23162" xr:uid="{00000000-0005-0000-0000-0000385A0000}"/>
    <cellStyle name="Nagłówek 3 2 2 2 2 2 2" xfId="23163" xr:uid="{00000000-0005-0000-0000-0000395A0000}"/>
    <cellStyle name="Nagłówek 3 2 2 2 2 2 2 2" xfId="23164" xr:uid="{00000000-0005-0000-0000-00003A5A0000}"/>
    <cellStyle name="Nagłówek 3 2 2 2 2 2 2 2 2" xfId="23165" xr:uid="{00000000-0005-0000-0000-00003B5A0000}"/>
    <cellStyle name="Nagłówek 3 2 2 2 2 2 2 2 2 2" xfId="23166" xr:uid="{00000000-0005-0000-0000-00003C5A0000}"/>
    <cellStyle name="Nagłówek 3 2 2 2 2 2 2 2 2 3" xfId="23167" xr:uid="{00000000-0005-0000-0000-00003D5A0000}"/>
    <cellStyle name="Nagłówek 3 2 2 2 2 2 2 2 2 4" xfId="23168" xr:uid="{00000000-0005-0000-0000-00003E5A0000}"/>
    <cellStyle name="Nagłówek 3 2 2 2 2 2 2 2 3" xfId="23169" xr:uid="{00000000-0005-0000-0000-00003F5A0000}"/>
    <cellStyle name="Nagłówek 3 2 2 2 2 2 2 2 4" xfId="23170" xr:uid="{00000000-0005-0000-0000-0000405A0000}"/>
    <cellStyle name="Nagłówek 3 2 2 2 2 2 2 2 5" xfId="23171" xr:uid="{00000000-0005-0000-0000-0000415A0000}"/>
    <cellStyle name="Nagłówek 3 2 2 2 2 2 2 3" xfId="23172" xr:uid="{00000000-0005-0000-0000-0000425A0000}"/>
    <cellStyle name="Nagłówek 3 2 2 2 2 2 2 4" xfId="23173" xr:uid="{00000000-0005-0000-0000-0000435A0000}"/>
    <cellStyle name="Nagłówek 3 2 2 2 2 2 2 5" xfId="23174" xr:uid="{00000000-0005-0000-0000-0000445A0000}"/>
    <cellStyle name="Nagłówek 3 2 2 2 2 2 2 6" xfId="23175" xr:uid="{00000000-0005-0000-0000-0000455A0000}"/>
    <cellStyle name="Nagłówek 3 2 2 2 2 2 2 7" xfId="23176" xr:uid="{00000000-0005-0000-0000-0000465A0000}"/>
    <cellStyle name="Nagłówek 3 2 2 2 2 2 2 7 2" xfId="23177" xr:uid="{00000000-0005-0000-0000-0000475A0000}"/>
    <cellStyle name="Nagłówek 3 2 2 2 2 2 2 7 3" xfId="23178" xr:uid="{00000000-0005-0000-0000-0000485A0000}"/>
    <cellStyle name="Nagłówek 3 2 2 2 2 2 2 7 4" xfId="23179" xr:uid="{00000000-0005-0000-0000-0000495A0000}"/>
    <cellStyle name="Nagłówek 3 2 2 2 2 2 2 7 5" xfId="23180" xr:uid="{00000000-0005-0000-0000-00004A5A0000}"/>
    <cellStyle name="Nagłówek 3 2 2 2 2 2 2 7 6" xfId="23181" xr:uid="{00000000-0005-0000-0000-00004B5A0000}"/>
    <cellStyle name="Nagłówek 3 2 2 2 2 2 2 8" xfId="23182" xr:uid="{00000000-0005-0000-0000-00004C5A0000}"/>
    <cellStyle name="Nagłówek 3 2 2 2 2 2 2 9" xfId="23183" xr:uid="{00000000-0005-0000-0000-00004D5A0000}"/>
    <cellStyle name="Nagłówek 3 2 2 2 2 2 3" xfId="23184" xr:uid="{00000000-0005-0000-0000-00004E5A0000}"/>
    <cellStyle name="Nagłówek 3 2 2 2 2 2 3 2" xfId="23185" xr:uid="{00000000-0005-0000-0000-00004F5A0000}"/>
    <cellStyle name="Nagłówek 3 2 2 2 2 2 3 2 2" xfId="23186" xr:uid="{00000000-0005-0000-0000-0000505A0000}"/>
    <cellStyle name="Nagłówek 3 2 2 2 2 2 3 2 3" xfId="23187" xr:uid="{00000000-0005-0000-0000-0000515A0000}"/>
    <cellStyle name="Nagłówek 3 2 2 2 2 2 3 2 4" xfId="23188" xr:uid="{00000000-0005-0000-0000-0000525A0000}"/>
    <cellStyle name="Nagłówek 3 2 2 2 2 2 3 2 5" xfId="23189" xr:uid="{00000000-0005-0000-0000-0000535A0000}"/>
    <cellStyle name="Nagłówek 3 2 2 2 2 2 3 2 6" xfId="23190" xr:uid="{00000000-0005-0000-0000-0000545A0000}"/>
    <cellStyle name="Nagłówek 3 2 2 2 2 2 3 3" xfId="23191" xr:uid="{00000000-0005-0000-0000-0000555A0000}"/>
    <cellStyle name="Nagłówek 3 2 2 2 2 2 3 4" xfId="23192" xr:uid="{00000000-0005-0000-0000-0000565A0000}"/>
    <cellStyle name="Nagłówek 3 2 2 2 2 2 3 5" xfId="23193" xr:uid="{00000000-0005-0000-0000-0000575A0000}"/>
    <cellStyle name="Nagłówek 3 2 2 2 2 2 3 6" xfId="23194" xr:uid="{00000000-0005-0000-0000-0000585A0000}"/>
    <cellStyle name="Nagłówek 3 2 2 2 2 2 3 7" xfId="23195" xr:uid="{00000000-0005-0000-0000-0000595A0000}"/>
    <cellStyle name="Nagłówek 3 2 2 2 2 2 4" xfId="23196" xr:uid="{00000000-0005-0000-0000-00005A5A0000}"/>
    <cellStyle name="Nagłówek 3 2 2 2 2 2 5" xfId="23197" xr:uid="{00000000-0005-0000-0000-00005B5A0000}"/>
    <cellStyle name="Nagłówek 3 2 2 2 2 2 6" xfId="23198" xr:uid="{00000000-0005-0000-0000-00005C5A0000}"/>
    <cellStyle name="Nagłówek 3 2 2 2 2 2 7" xfId="23199" xr:uid="{00000000-0005-0000-0000-00005D5A0000}"/>
    <cellStyle name="Nagłówek 3 2 2 2 2 2 7 2" xfId="23200" xr:uid="{00000000-0005-0000-0000-00005E5A0000}"/>
    <cellStyle name="Nagłówek 3 2 2 2 2 2 7 3" xfId="23201" xr:uid="{00000000-0005-0000-0000-00005F5A0000}"/>
    <cellStyle name="Nagłówek 3 2 2 2 2 2 7 4" xfId="23202" xr:uid="{00000000-0005-0000-0000-0000605A0000}"/>
    <cellStyle name="Nagłówek 3 2 2 2 2 2 7 5" xfId="23203" xr:uid="{00000000-0005-0000-0000-0000615A0000}"/>
    <cellStyle name="Nagłówek 3 2 2 2 2 2 7 6" xfId="23204" xr:uid="{00000000-0005-0000-0000-0000625A0000}"/>
    <cellStyle name="Nagłówek 3 2 2 2 2 2 8" xfId="23205" xr:uid="{00000000-0005-0000-0000-0000635A0000}"/>
    <cellStyle name="Nagłówek 3 2 2 2 2 2 9" xfId="23206" xr:uid="{00000000-0005-0000-0000-0000645A0000}"/>
    <cellStyle name="Nagłówek 3 2 2 2 2 3" xfId="23207" xr:uid="{00000000-0005-0000-0000-0000655A0000}"/>
    <cellStyle name="Nagłówek 3 2 2 2 2 3 2" xfId="23208" xr:uid="{00000000-0005-0000-0000-0000665A0000}"/>
    <cellStyle name="Nagłówek 3 2 2 2 2 3 2 2" xfId="23209" xr:uid="{00000000-0005-0000-0000-0000675A0000}"/>
    <cellStyle name="Nagłówek 3 2 2 2 2 3 2 3" xfId="23210" xr:uid="{00000000-0005-0000-0000-0000685A0000}"/>
    <cellStyle name="Nagłówek 3 2 2 2 2 3 2 4" xfId="23211" xr:uid="{00000000-0005-0000-0000-0000695A0000}"/>
    <cellStyle name="Nagłówek 3 2 2 2 2 3 2 5" xfId="23212" xr:uid="{00000000-0005-0000-0000-00006A5A0000}"/>
    <cellStyle name="Nagłówek 3 2 2 2 2 3 2 6" xfId="23213" xr:uid="{00000000-0005-0000-0000-00006B5A0000}"/>
    <cellStyle name="Nagłówek 3 2 2 2 2 3 3" xfId="23214" xr:uid="{00000000-0005-0000-0000-00006C5A0000}"/>
    <cellStyle name="Nagłówek 3 2 2 2 2 3 4" xfId="23215" xr:uid="{00000000-0005-0000-0000-00006D5A0000}"/>
    <cellStyle name="Nagłówek 3 2 2 2 2 3 5" xfId="23216" xr:uid="{00000000-0005-0000-0000-00006E5A0000}"/>
    <cellStyle name="Nagłówek 3 2 2 2 2 3 6" xfId="23217" xr:uid="{00000000-0005-0000-0000-00006F5A0000}"/>
    <cellStyle name="Nagłówek 3 2 2 2 2 3 7" xfId="23218" xr:uid="{00000000-0005-0000-0000-0000705A0000}"/>
    <cellStyle name="Nagłówek 3 2 2 2 2 4" xfId="23219" xr:uid="{00000000-0005-0000-0000-0000715A0000}"/>
    <cellStyle name="Nagłówek 3 2 2 2 2 5" xfId="23220" xr:uid="{00000000-0005-0000-0000-0000725A0000}"/>
    <cellStyle name="Nagłówek 3 2 2 2 2 6" xfId="23221" xr:uid="{00000000-0005-0000-0000-0000735A0000}"/>
    <cellStyle name="Nagłówek 3 2 2 2 2 7" xfId="23222" xr:uid="{00000000-0005-0000-0000-0000745A0000}"/>
    <cellStyle name="Nagłówek 3 2 2 2 2 8" xfId="23223" xr:uid="{00000000-0005-0000-0000-0000755A0000}"/>
    <cellStyle name="Nagłówek 3 2 2 2 2 8 2" xfId="23224" xr:uid="{00000000-0005-0000-0000-0000765A0000}"/>
    <cellStyle name="Nagłówek 3 2 2 2 2 8 3" xfId="23225" xr:uid="{00000000-0005-0000-0000-0000775A0000}"/>
    <cellStyle name="Nagłówek 3 2 2 2 2 8 4" xfId="23226" xr:uid="{00000000-0005-0000-0000-0000785A0000}"/>
    <cellStyle name="Nagłówek 3 2 2 2 2 8 5" xfId="23227" xr:uid="{00000000-0005-0000-0000-0000795A0000}"/>
    <cellStyle name="Nagłówek 3 2 2 2 2 8 6" xfId="23228" xr:uid="{00000000-0005-0000-0000-00007A5A0000}"/>
    <cellStyle name="Nagłówek 3 2 2 2 2 9" xfId="23229" xr:uid="{00000000-0005-0000-0000-00007B5A0000}"/>
    <cellStyle name="Nagłówek 3 2 2 2 3" xfId="23230" xr:uid="{00000000-0005-0000-0000-00007C5A0000}"/>
    <cellStyle name="Nagłówek 3 2 2 2 4" xfId="23231" xr:uid="{00000000-0005-0000-0000-00007D5A0000}"/>
    <cellStyle name="Nagłówek 3 2 2 2 4 10" xfId="23232" xr:uid="{00000000-0005-0000-0000-00007E5A0000}"/>
    <cellStyle name="Nagłówek 3 2 2 2 4 11" xfId="23233" xr:uid="{00000000-0005-0000-0000-00007F5A0000}"/>
    <cellStyle name="Nagłówek 3 2 2 2 4 2" xfId="23234" xr:uid="{00000000-0005-0000-0000-0000805A0000}"/>
    <cellStyle name="Nagłówek 3 2 2 2 4 2 2" xfId="23235" xr:uid="{00000000-0005-0000-0000-0000815A0000}"/>
    <cellStyle name="Nagłówek 3 2 2 2 4 2 2 2" xfId="23236" xr:uid="{00000000-0005-0000-0000-0000825A0000}"/>
    <cellStyle name="Nagłówek 3 2 2 2 4 2 2 3" xfId="23237" xr:uid="{00000000-0005-0000-0000-0000835A0000}"/>
    <cellStyle name="Nagłówek 3 2 2 2 4 2 2 4" xfId="23238" xr:uid="{00000000-0005-0000-0000-0000845A0000}"/>
    <cellStyle name="Nagłówek 3 2 2 2 4 2 2 5" xfId="23239" xr:uid="{00000000-0005-0000-0000-0000855A0000}"/>
    <cellStyle name="Nagłówek 3 2 2 2 4 2 2 6" xfId="23240" xr:uid="{00000000-0005-0000-0000-0000865A0000}"/>
    <cellStyle name="Nagłówek 3 2 2 2 4 2 3" xfId="23241" xr:uid="{00000000-0005-0000-0000-0000875A0000}"/>
    <cellStyle name="Nagłówek 3 2 2 2 4 2 4" xfId="23242" xr:uid="{00000000-0005-0000-0000-0000885A0000}"/>
    <cellStyle name="Nagłówek 3 2 2 2 4 2 5" xfId="23243" xr:uid="{00000000-0005-0000-0000-0000895A0000}"/>
    <cellStyle name="Nagłówek 3 2 2 2 4 2 6" xfId="23244" xr:uid="{00000000-0005-0000-0000-00008A5A0000}"/>
    <cellStyle name="Nagłówek 3 2 2 2 4 2 7" xfId="23245" xr:uid="{00000000-0005-0000-0000-00008B5A0000}"/>
    <cellStyle name="Nagłówek 3 2 2 2 4 3" xfId="23246" xr:uid="{00000000-0005-0000-0000-00008C5A0000}"/>
    <cellStyle name="Nagłówek 3 2 2 2 4 4" xfId="23247" xr:uid="{00000000-0005-0000-0000-00008D5A0000}"/>
    <cellStyle name="Nagłówek 3 2 2 2 4 5" xfId="23248" xr:uid="{00000000-0005-0000-0000-00008E5A0000}"/>
    <cellStyle name="Nagłówek 3 2 2 2 4 6" xfId="23249" xr:uid="{00000000-0005-0000-0000-00008F5A0000}"/>
    <cellStyle name="Nagłówek 3 2 2 2 4 7" xfId="23250" xr:uid="{00000000-0005-0000-0000-0000905A0000}"/>
    <cellStyle name="Nagłówek 3 2 2 2 4 7 2" xfId="23251" xr:uid="{00000000-0005-0000-0000-0000915A0000}"/>
    <cellStyle name="Nagłówek 3 2 2 2 4 7 3" xfId="23252" xr:uid="{00000000-0005-0000-0000-0000925A0000}"/>
    <cellStyle name="Nagłówek 3 2 2 2 4 7 4" xfId="23253" xr:uid="{00000000-0005-0000-0000-0000935A0000}"/>
    <cellStyle name="Nagłówek 3 2 2 2 4 7 5" xfId="23254" xr:uid="{00000000-0005-0000-0000-0000945A0000}"/>
    <cellStyle name="Nagłówek 3 2 2 2 4 7 6" xfId="23255" xr:uid="{00000000-0005-0000-0000-0000955A0000}"/>
    <cellStyle name="Nagłówek 3 2 2 2 4 8" xfId="23256" xr:uid="{00000000-0005-0000-0000-0000965A0000}"/>
    <cellStyle name="Nagłówek 3 2 2 2 4 9" xfId="23257" xr:uid="{00000000-0005-0000-0000-0000975A0000}"/>
    <cellStyle name="Nagłówek 3 2 2 2 5" xfId="23258" xr:uid="{00000000-0005-0000-0000-0000985A0000}"/>
    <cellStyle name="Nagłówek 3 2 2 2 5 2" xfId="23259" xr:uid="{00000000-0005-0000-0000-0000995A0000}"/>
    <cellStyle name="Nagłówek 3 2 2 2 5 2 2" xfId="23260" xr:uid="{00000000-0005-0000-0000-00009A5A0000}"/>
    <cellStyle name="Nagłówek 3 2 2 2 5 2 3" xfId="23261" xr:uid="{00000000-0005-0000-0000-00009B5A0000}"/>
    <cellStyle name="Nagłówek 3 2 2 2 5 2 4" xfId="23262" xr:uid="{00000000-0005-0000-0000-00009C5A0000}"/>
    <cellStyle name="Nagłówek 3 2 2 2 5 2 5" xfId="23263" xr:uid="{00000000-0005-0000-0000-00009D5A0000}"/>
    <cellStyle name="Nagłówek 3 2 2 2 5 2 6" xfId="23264" xr:uid="{00000000-0005-0000-0000-00009E5A0000}"/>
    <cellStyle name="Nagłówek 3 2 2 2 5 3" xfId="23265" xr:uid="{00000000-0005-0000-0000-00009F5A0000}"/>
    <cellStyle name="Nagłówek 3 2 2 2 5 4" xfId="23266" xr:uid="{00000000-0005-0000-0000-0000A05A0000}"/>
    <cellStyle name="Nagłówek 3 2 2 2 5 5" xfId="23267" xr:uid="{00000000-0005-0000-0000-0000A15A0000}"/>
    <cellStyle name="Nagłówek 3 2 2 2 5 6" xfId="23268" xr:uid="{00000000-0005-0000-0000-0000A25A0000}"/>
    <cellStyle name="Nagłówek 3 2 2 2 5 7" xfId="23269" xr:uid="{00000000-0005-0000-0000-0000A35A0000}"/>
    <cellStyle name="Nagłówek 3 2 2 2 6" xfId="23270" xr:uid="{00000000-0005-0000-0000-0000A45A0000}"/>
    <cellStyle name="Nagłówek 3 2 2 2 7" xfId="23271" xr:uid="{00000000-0005-0000-0000-0000A55A0000}"/>
    <cellStyle name="Nagłówek 3 2 2 2 8" xfId="23272" xr:uid="{00000000-0005-0000-0000-0000A65A0000}"/>
    <cellStyle name="Nagłówek 3 2 2 2 9" xfId="23273" xr:uid="{00000000-0005-0000-0000-0000A75A0000}"/>
    <cellStyle name="Nagłówek 3 2 2 2 9 2" xfId="23274" xr:uid="{00000000-0005-0000-0000-0000A85A0000}"/>
    <cellStyle name="Nagłówek 3 2 2 2 9 3" xfId="23275" xr:uid="{00000000-0005-0000-0000-0000A95A0000}"/>
    <cellStyle name="Nagłówek 3 2 2 2 9 4" xfId="23276" xr:uid="{00000000-0005-0000-0000-0000AA5A0000}"/>
    <cellStyle name="Nagłówek 3 2 2 2 9 5" xfId="23277" xr:uid="{00000000-0005-0000-0000-0000AB5A0000}"/>
    <cellStyle name="Nagłówek 3 2 2 2 9 6" xfId="23278" xr:uid="{00000000-0005-0000-0000-0000AC5A0000}"/>
    <cellStyle name="Nagłówek 3 2 2 20" xfId="23279" xr:uid="{00000000-0005-0000-0000-0000AD5A0000}"/>
    <cellStyle name="Nagłówek 3 2 2 3" xfId="23280" xr:uid="{00000000-0005-0000-0000-0000AE5A0000}"/>
    <cellStyle name="Nagłówek 3 2 2 4" xfId="23281" xr:uid="{00000000-0005-0000-0000-0000AF5A0000}"/>
    <cellStyle name="Nagłówek 3 2 2 5" xfId="23282" xr:uid="{00000000-0005-0000-0000-0000B05A0000}"/>
    <cellStyle name="Nagłówek 3 2 2 6" xfId="23283" xr:uid="{00000000-0005-0000-0000-0000B15A0000}"/>
    <cellStyle name="Nagłówek 3 2 2 7" xfId="23284" xr:uid="{00000000-0005-0000-0000-0000B25A0000}"/>
    <cellStyle name="Nagłówek 3 2 2 8" xfId="23285" xr:uid="{00000000-0005-0000-0000-0000B35A0000}"/>
    <cellStyle name="Nagłówek 3 2 2 9" xfId="23286" xr:uid="{00000000-0005-0000-0000-0000B45A0000}"/>
    <cellStyle name="Nagłówek 3 2 3" xfId="23287" xr:uid="{00000000-0005-0000-0000-0000B55A0000}"/>
    <cellStyle name="Nagłówek 3 2 4" xfId="23288" xr:uid="{00000000-0005-0000-0000-0000B65A0000}"/>
    <cellStyle name="Nagłówek 3 2 5" xfId="23289" xr:uid="{00000000-0005-0000-0000-0000B75A0000}"/>
    <cellStyle name="Nagłówek 3 2 6" xfId="23290" xr:uid="{00000000-0005-0000-0000-0000B85A0000}"/>
    <cellStyle name="Nagłówek 3 2 6 10" xfId="23291" xr:uid="{00000000-0005-0000-0000-0000B95A0000}"/>
    <cellStyle name="Nagłówek 3 2 6 11" xfId="23292" xr:uid="{00000000-0005-0000-0000-0000BA5A0000}"/>
    <cellStyle name="Nagłówek 3 2 6 12" xfId="23293" xr:uid="{00000000-0005-0000-0000-0000BB5A0000}"/>
    <cellStyle name="Nagłówek 3 2 6 13" xfId="23294" xr:uid="{00000000-0005-0000-0000-0000BC5A0000}"/>
    <cellStyle name="Nagłówek 3 2 6 2" xfId="23295" xr:uid="{00000000-0005-0000-0000-0000BD5A0000}"/>
    <cellStyle name="Nagłówek 3 2 6 2 10" xfId="23296" xr:uid="{00000000-0005-0000-0000-0000BE5A0000}"/>
    <cellStyle name="Nagłówek 3 2 6 2 11" xfId="23297" xr:uid="{00000000-0005-0000-0000-0000BF5A0000}"/>
    <cellStyle name="Nagłówek 3 2 6 2 12" xfId="23298" xr:uid="{00000000-0005-0000-0000-0000C05A0000}"/>
    <cellStyle name="Nagłówek 3 2 6 2 13" xfId="23299" xr:uid="{00000000-0005-0000-0000-0000C15A0000}"/>
    <cellStyle name="Nagłówek 3 2 6 2 2" xfId="23300" xr:uid="{00000000-0005-0000-0000-0000C25A0000}"/>
    <cellStyle name="Nagłówek 3 2 6 2 2 10" xfId="23301" xr:uid="{00000000-0005-0000-0000-0000C35A0000}"/>
    <cellStyle name="Nagłówek 3 2 6 2 2 11" xfId="23302" xr:uid="{00000000-0005-0000-0000-0000C45A0000}"/>
    <cellStyle name="Nagłówek 3 2 6 2 2 12" xfId="23303" xr:uid="{00000000-0005-0000-0000-0000C55A0000}"/>
    <cellStyle name="Nagłówek 3 2 6 2 2 2" xfId="23304" xr:uid="{00000000-0005-0000-0000-0000C65A0000}"/>
    <cellStyle name="Nagłówek 3 2 6 2 2 2 10" xfId="23305" xr:uid="{00000000-0005-0000-0000-0000C75A0000}"/>
    <cellStyle name="Nagłówek 3 2 6 2 2 2 11" xfId="23306" xr:uid="{00000000-0005-0000-0000-0000C85A0000}"/>
    <cellStyle name="Nagłówek 3 2 6 2 2 2 2" xfId="23307" xr:uid="{00000000-0005-0000-0000-0000C95A0000}"/>
    <cellStyle name="Nagłówek 3 2 6 2 2 2 2 10" xfId="23308" xr:uid="{00000000-0005-0000-0000-0000CA5A0000}"/>
    <cellStyle name="Nagłówek 3 2 6 2 2 2 2 11" xfId="23309" xr:uid="{00000000-0005-0000-0000-0000CB5A0000}"/>
    <cellStyle name="Nagłówek 3 2 6 2 2 2 2 2" xfId="23310" xr:uid="{00000000-0005-0000-0000-0000CC5A0000}"/>
    <cellStyle name="Nagłówek 3 2 6 2 2 2 2 2 2" xfId="23311" xr:uid="{00000000-0005-0000-0000-0000CD5A0000}"/>
    <cellStyle name="Nagłówek 3 2 6 2 2 2 2 2 2 2" xfId="23312" xr:uid="{00000000-0005-0000-0000-0000CE5A0000}"/>
    <cellStyle name="Nagłówek 3 2 6 2 2 2 2 2 2 3" xfId="23313" xr:uid="{00000000-0005-0000-0000-0000CF5A0000}"/>
    <cellStyle name="Nagłówek 3 2 6 2 2 2 2 2 2 4" xfId="23314" xr:uid="{00000000-0005-0000-0000-0000D05A0000}"/>
    <cellStyle name="Nagłówek 3 2 6 2 2 2 2 2 2 5" xfId="23315" xr:uid="{00000000-0005-0000-0000-0000D15A0000}"/>
    <cellStyle name="Nagłówek 3 2 6 2 2 2 2 2 2 6" xfId="23316" xr:uid="{00000000-0005-0000-0000-0000D25A0000}"/>
    <cellStyle name="Nagłówek 3 2 6 2 2 2 2 2 3" xfId="23317" xr:uid="{00000000-0005-0000-0000-0000D35A0000}"/>
    <cellStyle name="Nagłówek 3 2 6 2 2 2 2 2 4" xfId="23318" xr:uid="{00000000-0005-0000-0000-0000D45A0000}"/>
    <cellStyle name="Nagłówek 3 2 6 2 2 2 2 2 5" xfId="23319" xr:uid="{00000000-0005-0000-0000-0000D55A0000}"/>
    <cellStyle name="Nagłówek 3 2 6 2 2 2 2 2 6" xfId="23320" xr:uid="{00000000-0005-0000-0000-0000D65A0000}"/>
    <cellStyle name="Nagłówek 3 2 6 2 2 2 2 2 7" xfId="23321" xr:uid="{00000000-0005-0000-0000-0000D75A0000}"/>
    <cellStyle name="Nagłówek 3 2 6 2 2 2 2 3" xfId="23322" xr:uid="{00000000-0005-0000-0000-0000D85A0000}"/>
    <cellStyle name="Nagłówek 3 2 6 2 2 2 2 4" xfId="23323" xr:uid="{00000000-0005-0000-0000-0000D95A0000}"/>
    <cellStyle name="Nagłówek 3 2 6 2 2 2 2 5" xfId="23324" xr:uid="{00000000-0005-0000-0000-0000DA5A0000}"/>
    <cellStyle name="Nagłówek 3 2 6 2 2 2 2 6" xfId="23325" xr:uid="{00000000-0005-0000-0000-0000DB5A0000}"/>
    <cellStyle name="Nagłówek 3 2 6 2 2 2 2 7" xfId="23326" xr:uid="{00000000-0005-0000-0000-0000DC5A0000}"/>
    <cellStyle name="Nagłówek 3 2 6 2 2 2 2 7 2" xfId="23327" xr:uid="{00000000-0005-0000-0000-0000DD5A0000}"/>
    <cellStyle name="Nagłówek 3 2 6 2 2 2 2 7 3" xfId="23328" xr:uid="{00000000-0005-0000-0000-0000DE5A0000}"/>
    <cellStyle name="Nagłówek 3 2 6 2 2 2 2 7 4" xfId="23329" xr:uid="{00000000-0005-0000-0000-0000DF5A0000}"/>
    <cellStyle name="Nagłówek 3 2 6 2 2 2 2 7 5" xfId="23330" xr:uid="{00000000-0005-0000-0000-0000E05A0000}"/>
    <cellStyle name="Nagłówek 3 2 6 2 2 2 2 7 6" xfId="23331" xr:uid="{00000000-0005-0000-0000-0000E15A0000}"/>
    <cellStyle name="Nagłówek 3 2 6 2 2 2 2 8" xfId="23332" xr:uid="{00000000-0005-0000-0000-0000E25A0000}"/>
    <cellStyle name="Nagłówek 3 2 6 2 2 2 2 9" xfId="23333" xr:uid="{00000000-0005-0000-0000-0000E35A0000}"/>
    <cellStyle name="Nagłówek 3 2 6 2 2 2 3" xfId="23334" xr:uid="{00000000-0005-0000-0000-0000E45A0000}"/>
    <cellStyle name="Nagłówek 3 2 6 2 2 2 3 2" xfId="23335" xr:uid="{00000000-0005-0000-0000-0000E55A0000}"/>
    <cellStyle name="Nagłówek 3 2 6 2 2 2 3 2 2" xfId="23336" xr:uid="{00000000-0005-0000-0000-0000E65A0000}"/>
    <cellStyle name="Nagłówek 3 2 6 2 2 2 3 2 3" xfId="23337" xr:uid="{00000000-0005-0000-0000-0000E75A0000}"/>
    <cellStyle name="Nagłówek 3 2 6 2 2 2 3 2 4" xfId="23338" xr:uid="{00000000-0005-0000-0000-0000E85A0000}"/>
    <cellStyle name="Nagłówek 3 2 6 2 2 2 3 2 5" xfId="23339" xr:uid="{00000000-0005-0000-0000-0000E95A0000}"/>
    <cellStyle name="Nagłówek 3 2 6 2 2 2 3 2 6" xfId="23340" xr:uid="{00000000-0005-0000-0000-0000EA5A0000}"/>
    <cellStyle name="Nagłówek 3 2 6 2 2 2 3 3" xfId="23341" xr:uid="{00000000-0005-0000-0000-0000EB5A0000}"/>
    <cellStyle name="Nagłówek 3 2 6 2 2 2 3 4" xfId="23342" xr:uid="{00000000-0005-0000-0000-0000EC5A0000}"/>
    <cellStyle name="Nagłówek 3 2 6 2 2 2 3 5" xfId="23343" xr:uid="{00000000-0005-0000-0000-0000ED5A0000}"/>
    <cellStyle name="Nagłówek 3 2 6 2 2 2 3 6" xfId="23344" xr:uid="{00000000-0005-0000-0000-0000EE5A0000}"/>
    <cellStyle name="Nagłówek 3 2 6 2 2 2 3 7" xfId="23345" xr:uid="{00000000-0005-0000-0000-0000EF5A0000}"/>
    <cellStyle name="Nagłówek 3 2 6 2 2 2 4" xfId="23346" xr:uid="{00000000-0005-0000-0000-0000F05A0000}"/>
    <cellStyle name="Nagłówek 3 2 6 2 2 2 5" xfId="23347" xr:uid="{00000000-0005-0000-0000-0000F15A0000}"/>
    <cellStyle name="Nagłówek 3 2 6 2 2 2 6" xfId="23348" xr:uid="{00000000-0005-0000-0000-0000F25A0000}"/>
    <cellStyle name="Nagłówek 3 2 6 2 2 2 7" xfId="23349" xr:uid="{00000000-0005-0000-0000-0000F35A0000}"/>
    <cellStyle name="Nagłówek 3 2 6 2 2 2 7 2" xfId="23350" xr:uid="{00000000-0005-0000-0000-0000F45A0000}"/>
    <cellStyle name="Nagłówek 3 2 6 2 2 2 7 3" xfId="23351" xr:uid="{00000000-0005-0000-0000-0000F55A0000}"/>
    <cellStyle name="Nagłówek 3 2 6 2 2 2 7 4" xfId="23352" xr:uid="{00000000-0005-0000-0000-0000F65A0000}"/>
    <cellStyle name="Nagłówek 3 2 6 2 2 2 7 5" xfId="23353" xr:uid="{00000000-0005-0000-0000-0000F75A0000}"/>
    <cellStyle name="Nagłówek 3 2 6 2 2 2 7 6" xfId="23354" xr:uid="{00000000-0005-0000-0000-0000F85A0000}"/>
    <cellStyle name="Nagłówek 3 2 6 2 2 2 8" xfId="23355" xr:uid="{00000000-0005-0000-0000-0000F95A0000}"/>
    <cellStyle name="Nagłówek 3 2 6 2 2 2 9" xfId="23356" xr:uid="{00000000-0005-0000-0000-0000FA5A0000}"/>
    <cellStyle name="Nagłówek 3 2 6 2 2 3" xfId="23357" xr:uid="{00000000-0005-0000-0000-0000FB5A0000}"/>
    <cellStyle name="Nagłówek 3 2 6 2 2 3 2" xfId="23358" xr:uid="{00000000-0005-0000-0000-0000FC5A0000}"/>
    <cellStyle name="Nagłówek 3 2 6 2 2 3 2 2" xfId="23359" xr:uid="{00000000-0005-0000-0000-0000FD5A0000}"/>
    <cellStyle name="Nagłówek 3 2 6 2 2 3 2 3" xfId="23360" xr:uid="{00000000-0005-0000-0000-0000FE5A0000}"/>
    <cellStyle name="Nagłówek 3 2 6 2 2 3 2 4" xfId="23361" xr:uid="{00000000-0005-0000-0000-0000FF5A0000}"/>
    <cellStyle name="Nagłówek 3 2 6 2 2 3 2 5" xfId="23362" xr:uid="{00000000-0005-0000-0000-0000005B0000}"/>
    <cellStyle name="Nagłówek 3 2 6 2 2 3 2 6" xfId="23363" xr:uid="{00000000-0005-0000-0000-0000015B0000}"/>
    <cellStyle name="Nagłówek 3 2 6 2 2 3 3" xfId="23364" xr:uid="{00000000-0005-0000-0000-0000025B0000}"/>
    <cellStyle name="Nagłówek 3 2 6 2 2 3 4" xfId="23365" xr:uid="{00000000-0005-0000-0000-0000035B0000}"/>
    <cellStyle name="Nagłówek 3 2 6 2 2 3 5" xfId="23366" xr:uid="{00000000-0005-0000-0000-0000045B0000}"/>
    <cellStyle name="Nagłówek 3 2 6 2 2 3 6" xfId="23367" xr:uid="{00000000-0005-0000-0000-0000055B0000}"/>
    <cellStyle name="Nagłówek 3 2 6 2 2 3 7" xfId="23368" xr:uid="{00000000-0005-0000-0000-0000065B0000}"/>
    <cellStyle name="Nagłówek 3 2 6 2 2 4" xfId="23369" xr:uid="{00000000-0005-0000-0000-0000075B0000}"/>
    <cellStyle name="Nagłówek 3 2 6 2 2 5" xfId="23370" xr:uid="{00000000-0005-0000-0000-0000085B0000}"/>
    <cellStyle name="Nagłówek 3 2 6 2 2 6" xfId="23371" xr:uid="{00000000-0005-0000-0000-0000095B0000}"/>
    <cellStyle name="Nagłówek 3 2 6 2 2 7" xfId="23372" xr:uid="{00000000-0005-0000-0000-00000A5B0000}"/>
    <cellStyle name="Nagłówek 3 2 6 2 2 8" xfId="23373" xr:uid="{00000000-0005-0000-0000-00000B5B0000}"/>
    <cellStyle name="Nagłówek 3 2 6 2 2 8 2" xfId="23374" xr:uid="{00000000-0005-0000-0000-00000C5B0000}"/>
    <cellStyle name="Nagłówek 3 2 6 2 2 8 3" xfId="23375" xr:uid="{00000000-0005-0000-0000-00000D5B0000}"/>
    <cellStyle name="Nagłówek 3 2 6 2 2 8 4" xfId="23376" xr:uid="{00000000-0005-0000-0000-00000E5B0000}"/>
    <cellStyle name="Nagłówek 3 2 6 2 2 8 5" xfId="23377" xr:uid="{00000000-0005-0000-0000-00000F5B0000}"/>
    <cellStyle name="Nagłówek 3 2 6 2 2 8 6" xfId="23378" xr:uid="{00000000-0005-0000-0000-0000105B0000}"/>
    <cellStyle name="Nagłówek 3 2 6 2 2 9" xfId="23379" xr:uid="{00000000-0005-0000-0000-0000115B0000}"/>
    <cellStyle name="Nagłówek 3 2 6 2 3" xfId="23380" xr:uid="{00000000-0005-0000-0000-0000125B0000}"/>
    <cellStyle name="Nagłówek 3 2 6 2 4" xfId="23381" xr:uid="{00000000-0005-0000-0000-0000135B0000}"/>
    <cellStyle name="Nagłówek 3 2 6 2 4 10" xfId="23382" xr:uid="{00000000-0005-0000-0000-0000145B0000}"/>
    <cellStyle name="Nagłówek 3 2 6 2 4 11" xfId="23383" xr:uid="{00000000-0005-0000-0000-0000155B0000}"/>
    <cellStyle name="Nagłówek 3 2 6 2 4 2" xfId="23384" xr:uid="{00000000-0005-0000-0000-0000165B0000}"/>
    <cellStyle name="Nagłówek 3 2 6 2 4 2 2" xfId="23385" xr:uid="{00000000-0005-0000-0000-0000175B0000}"/>
    <cellStyle name="Nagłówek 3 2 6 2 4 2 2 2" xfId="23386" xr:uid="{00000000-0005-0000-0000-0000185B0000}"/>
    <cellStyle name="Nagłówek 3 2 6 2 4 2 2 3" xfId="23387" xr:uid="{00000000-0005-0000-0000-0000195B0000}"/>
    <cellStyle name="Nagłówek 3 2 6 2 4 2 2 4" xfId="23388" xr:uid="{00000000-0005-0000-0000-00001A5B0000}"/>
    <cellStyle name="Nagłówek 3 2 6 2 4 2 2 5" xfId="23389" xr:uid="{00000000-0005-0000-0000-00001B5B0000}"/>
    <cellStyle name="Nagłówek 3 2 6 2 4 2 2 6" xfId="23390" xr:uid="{00000000-0005-0000-0000-00001C5B0000}"/>
    <cellStyle name="Nagłówek 3 2 6 2 4 2 3" xfId="23391" xr:uid="{00000000-0005-0000-0000-00001D5B0000}"/>
    <cellStyle name="Nagłówek 3 2 6 2 4 2 4" xfId="23392" xr:uid="{00000000-0005-0000-0000-00001E5B0000}"/>
    <cellStyle name="Nagłówek 3 2 6 2 4 2 5" xfId="23393" xr:uid="{00000000-0005-0000-0000-00001F5B0000}"/>
    <cellStyle name="Nagłówek 3 2 6 2 4 2 6" xfId="23394" xr:uid="{00000000-0005-0000-0000-0000205B0000}"/>
    <cellStyle name="Nagłówek 3 2 6 2 4 2 7" xfId="23395" xr:uid="{00000000-0005-0000-0000-0000215B0000}"/>
    <cellStyle name="Nagłówek 3 2 6 2 4 3" xfId="23396" xr:uid="{00000000-0005-0000-0000-0000225B0000}"/>
    <cellStyle name="Nagłówek 3 2 6 2 4 4" xfId="23397" xr:uid="{00000000-0005-0000-0000-0000235B0000}"/>
    <cellStyle name="Nagłówek 3 2 6 2 4 5" xfId="23398" xr:uid="{00000000-0005-0000-0000-0000245B0000}"/>
    <cellStyle name="Nagłówek 3 2 6 2 4 6" xfId="23399" xr:uid="{00000000-0005-0000-0000-0000255B0000}"/>
    <cellStyle name="Nagłówek 3 2 6 2 4 7" xfId="23400" xr:uid="{00000000-0005-0000-0000-0000265B0000}"/>
    <cellStyle name="Nagłówek 3 2 6 2 4 7 2" xfId="23401" xr:uid="{00000000-0005-0000-0000-0000275B0000}"/>
    <cellStyle name="Nagłówek 3 2 6 2 4 7 3" xfId="23402" xr:uid="{00000000-0005-0000-0000-0000285B0000}"/>
    <cellStyle name="Nagłówek 3 2 6 2 4 7 4" xfId="23403" xr:uid="{00000000-0005-0000-0000-0000295B0000}"/>
    <cellStyle name="Nagłówek 3 2 6 2 4 7 5" xfId="23404" xr:uid="{00000000-0005-0000-0000-00002A5B0000}"/>
    <cellStyle name="Nagłówek 3 2 6 2 4 7 6" xfId="23405" xr:uid="{00000000-0005-0000-0000-00002B5B0000}"/>
    <cellStyle name="Nagłówek 3 2 6 2 4 8" xfId="23406" xr:uid="{00000000-0005-0000-0000-00002C5B0000}"/>
    <cellStyle name="Nagłówek 3 2 6 2 4 9" xfId="23407" xr:uid="{00000000-0005-0000-0000-00002D5B0000}"/>
    <cellStyle name="Nagłówek 3 2 6 2 5" xfId="23408" xr:uid="{00000000-0005-0000-0000-00002E5B0000}"/>
    <cellStyle name="Nagłówek 3 2 6 2 5 2" xfId="23409" xr:uid="{00000000-0005-0000-0000-00002F5B0000}"/>
    <cellStyle name="Nagłówek 3 2 6 2 5 2 2" xfId="23410" xr:uid="{00000000-0005-0000-0000-0000305B0000}"/>
    <cellStyle name="Nagłówek 3 2 6 2 5 2 3" xfId="23411" xr:uid="{00000000-0005-0000-0000-0000315B0000}"/>
    <cellStyle name="Nagłówek 3 2 6 2 5 2 4" xfId="23412" xr:uid="{00000000-0005-0000-0000-0000325B0000}"/>
    <cellStyle name="Nagłówek 3 2 6 2 5 2 5" xfId="23413" xr:uid="{00000000-0005-0000-0000-0000335B0000}"/>
    <cellStyle name="Nagłówek 3 2 6 2 5 2 6" xfId="23414" xr:uid="{00000000-0005-0000-0000-0000345B0000}"/>
    <cellStyle name="Nagłówek 3 2 6 2 5 3" xfId="23415" xr:uid="{00000000-0005-0000-0000-0000355B0000}"/>
    <cellStyle name="Nagłówek 3 2 6 2 5 4" xfId="23416" xr:uid="{00000000-0005-0000-0000-0000365B0000}"/>
    <cellStyle name="Nagłówek 3 2 6 2 5 5" xfId="23417" xr:uid="{00000000-0005-0000-0000-0000375B0000}"/>
    <cellStyle name="Nagłówek 3 2 6 2 5 6" xfId="23418" xr:uid="{00000000-0005-0000-0000-0000385B0000}"/>
    <cellStyle name="Nagłówek 3 2 6 2 5 7" xfId="23419" xr:uid="{00000000-0005-0000-0000-0000395B0000}"/>
    <cellStyle name="Nagłówek 3 2 6 2 6" xfId="23420" xr:uid="{00000000-0005-0000-0000-00003A5B0000}"/>
    <cellStyle name="Nagłówek 3 2 6 2 7" xfId="23421" xr:uid="{00000000-0005-0000-0000-00003B5B0000}"/>
    <cellStyle name="Nagłówek 3 2 6 2 8" xfId="23422" xr:uid="{00000000-0005-0000-0000-00003C5B0000}"/>
    <cellStyle name="Nagłówek 3 2 6 2 9" xfId="23423" xr:uid="{00000000-0005-0000-0000-00003D5B0000}"/>
    <cellStyle name="Nagłówek 3 2 6 2 9 2" xfId="23424" xr:uid="{00000000-0005-0000-0000-00003E5B0000}"/>
    <cellStyle name="Nagłówek 3 2 6 2 9 3" xfId="23425" xr:uid="{00000000-0005-0000-0000-00003F5B0000}"/>
    <cellStyle name="Nagłówek 3 2 6 2 9 4" xfId="23426" xr:uid="{00000000-0005-0000-0000-0000405B0000}"/>
    <cellStyle name="Nagłówek 3 2 6 2 9 5" xfId="23427" xr:uid="{00000000-0005-0000-0000-0000415B0000}"/>
    <cellStyle name="Nagłówek 3 2 6 2 9 6" xfId="23428" xr:uid="{00000000-0005-0000-0000-0000425B0000}"/>
    <cellStyle name="Nagłówek 3 2 6 3" xfId="23429" xr:uid="{00000000-0005-0000-0000-0000435B0000}"/>
    <cellStyle name="Nagłówek 3 2 6 3 10" xfId="23430" xr:uid="{00000000-0005-0000-0000-0000445B0000}"/>
    <cellStyle name="Nagłówek 3 2 6 3 11" xfId="23431" xr:uid="{00000000-0005-0000-0000-0000455B0000}"/>
    <cellStyle name="Nagłówek 3 2 6 3 12" xfId="23432" xr:uid="{00000000-0005-0000-0000-0000465B0000}"/>
    <cellStyle name="Nagłówek 3 2 6 3 2" xfId="23433" xr:uid="{00000000-0005-0000-0000-0000475B0000}"/>
    <cellStyle name="Nagłówek 3 2 6 3 2 10" xfId="23434" xr:uid="{00000000-0005-0000-0000-0000485B0000}"/>
    <cellStyle name="Nagłówek 3 2 6 3 2 11" xfId="23435" xr:uid="{00000000-0005-0000-0000-0000495B0000}"/>
    <cellStyle name="Nagłówek 3 2 6 3 2 2" xfId="23436" xr:uid="{00000000-0005-0000-0000-00004A5B0000}"/>
    <cellStyle name="Nagłówek 3 2 6 3 2 2 10" xfId="23437" xr:uid="{00000000-0005-0000-0000-00004B5B0000}"/>
    <cellStyle name="Nagłówek 3 2 6 3 2 2 11" xfId="23438" xr:uid="{00000000-0005-0000-0000-00004C5B0000}"/>
    <cellStyle name="Nagłówek 3 2 6 3 2 2 2" xfId="23439" xr:uid="{00000000-0005-0000-0000-00004D5B0000}"/>
    <cellStyle name="Nagłówek 3 2 6 3 2 2 2 2" xfId="23440" xr:uid="{00000000-0005-0000-0000-00004E5B0000}"/>
    <cellStyle name="Nagłówek 3 2 6 3 2 2 2 2 2" xfId="23441" xr:uid="{00000000-0005-0000-0000-00004F5B0000}"/>
    <cellStyle name="Nagłówek 3 2 6 3 2 2 2 2 3" xfId="23442" xr:uid="{00000000-0005-0000-0000-0000505B0000}"/>
    <cellStyle name="Nagłówek 3 2 6 3 2 2 2 2 4" xfId="23443" xr:uid="{00000000-0005-0000-0000-0000515B0000}"/>
    <cellStyle name="Nagłówek 3 2 6 3 2 2 2 2 5" xfId="23444" xr:uid="{00000000-0005-0000-0000-0000525B0000}"/>
    <cellStyle name="Nagłówek 3 2 6 3 2 2 2 2 6" xfId="23445" xr:uid="{00000000-0005-0000-0000-0000535B0000}"/>
    <cellStyle name="Nagłówek 3 2 6 3 2 2 2 3" xfId="23446" xr:uid="{00000000-0005-0000-0000-0000545B0000}"/>
    <cellStyle name="Nagłówek 3 2 6 3 2 2 2 4" xfId="23447" xr:uid="{00000000-0005-0000-0000-0000555B0000}"/>
    <cellStyle name="Nagłówek 3 2 6 3 2 2 2 5" xfId="23448" xr:uid="{00000000-0005-0000-0000-0000565B0000}"/>
    <cellStyle name="Nagłówek 3 2 6 3 2 2 2 6" xfId="23449" xr:uid="{00000000-0005-0000-0000-0000575B0000}"/>
    <cellStyle name="Nagłówek 3 2 6 3 2 2 2 7" xfId="23450" xr:uid="{00000000-0005-0000-0000-0000585B0000}"/>
    <cellStyle name="Nagłówek 3 2 6 3 2 2 3" xfId="23451" xr:uid="{00000000-0005-0000-0000-0000595B0000}"/>
    <cellStyle name="Nagłówek 3 2 6 3 2 2 4" xfId="23452" xr:uid="{00000000-0005-0000-0000-00005A5B0000}"/>
    <cellStyle name="Nagłówek 3 2 6 3 2 2 5" xfId="23453" xr:uid="{00000000-0005-0000-0000-00005B5B0000}"/>
    <cellStyle name="Nagłówek 3 2 6 3 2 2 6" xfId="23454" xr:uid="{00000000-0005-0000-0000-00005C5B0000}"/>
    <cellStyle name="Nagłówek 3 2 6 3 2 2 7" xfId="23455" xr:uid="{00000000-0005-0000-0000-00005D5B0000}"/>
    <cellStyle name="Nagłówek 3 2 6 3 2 2 7 2" xfId="23456" xr:uid="{00000000-0005-0000-0000-00005E5B0000}"/>
    <cellStyle name="Nagłówek 3 2 6 3 2 2 7 3" xfId="23457" xr:uid="{00000000-0005-0000-0000-00005F5B0000}"/>
    <cellStyle name="Nagłówek 3 2 6 3 2 2 7 4" xfId="23458" xr:uid="{00000000-0005-0000-0000-0000605B0000}"/>
    <cellStyle name="Nagłówek 3 2 6 3 2 2 7 5" xfId="23459" xr:uid="{00000000-0005-0000-0000-0000615B0000}"/>
    <cellStyle name="Nagłówek 3 2 6 3 2 2 7 6" xfId="23460" xr:uid="{00000000-0005-0000-0000-0000625B0000}"/>
    <cellStyle name="Nagłówek 3 2 6 3 2 2 8" xfId="23461" xr:uid="{00000000-0005-0000-0000-0000635B0000}"/>
    <cellStyle name="Nagłówek 3 2 6 3 2 2 9" xfId="23462" xr:uid="{00000000-0005-0000-0000-0000645B0000}"/>
    <cellStyle name="Nagłówek 3 2 6 3 2 3" xfId="23463" xr:uid="{00000000-0005-0000-0000-0000655B0000}"/>
    <cellStyle name="Nagłówek 3 2 6 3 2 3 2" xfId="23464" xr:uid="{00000000-0005-0000-0000-0000665B0000}"/>
    <cellStyle name="Nagłówek 3 2 6 3 2 3 2 2" xfId="23465" xr:uid="{00000000-0005-0000-0000-0000675B0000}"/>
    <cellStyle name="Nagłówek 3 2 6 3 2 3 2 3" xfId="23466" xr:uid="{00000000-0005-0000-0000-0000685B0000}"/>
    <cellStyle name="Nagłówek 3 2 6 3 2 3 2 4" xfId="23467" xr:uid="{00000000-0005-0000-0000-0000695B0000}"/>
    <cellStyle name="Nagłówek 3 2 6 3 2 3 2 5" xfId="23468" xr:uid="{00000000-0005-0000-0000-00006A5B0000}"/>
    <cellStyle name="Nagłówek 3 2 6 3 2 3 2 6" xfId="23469" xr:uid="{00000000-0005-0000-0000-00006B5B0000}"/>
    <cellStyle name="Nagłówek 3 2 6 3 2 3 3" xfId="23470" xr:uid="{00000000-0005-0000-0000-00006C5B0000}"/>
    <cellStyle name="Nagłówek 3 2 6 3 2 3 4" xfId="23471" xr:uid="{00000000-0005-0000-0000-00006D5B0000}"/>
    <cellStyle name="Nagłówek 3 2 6 3 2 3 5" xfId="23472" xr:uid="{00000000-0005-0000-0000-00006E5B0000}"/>
    <cellStyle name="Nagłówek 3 2 6 3 2 3 6" xfId="23473" xr:uid="{00000000-0005-0000-0000-00006F5B0000}"/>
    <cellStyle name="Nagłówek 3 2 6 3 2 3 7" xfId="23474" xr:uid="{00000000-0005-0000-0000-0000705B0000}"/>
    <cellStyle name="Nagłówek 3 2 6 3 2 4" xfId="23475" xr:uid="{00000000-0005-0000-0000-0000715B0000}"/>
    <cellStyle name="Nagłówek 3 2 6 3 2 5" xfId="23476" xr:uid="{00000000-0005-0000-0000-0000725B0000}"/>
    <cellStyle name="Nagłówek 3 2 6 3 2 6" xfId="23477" xr:uid="{00000000-0005-0000-0000-0000735B0000}"/>
    <cellStyle name="Nagłówek 3 2 6 3 2 7" xfId="23478" xr:uid="{00000000-0005-0000-0000-0000745B0000}"/>
    <cellStyle name="Nagłówek 3 2 6 3 2 7 2" xfId="23479" xr:uid="{00000000-0005-0000-0000-0000755B0000}"/>
    <cellStyle name="Nagłówek 3 2 6 3 2 7 3" xfId="23480" xr:uid="{00000000-0005-0000-0000-0000765B0000}"/>
    <cellStyle name="Nagłówek 3 2 6 3 2 7 4" xfId="23481" xr:uid="{00000000-0005-0000-0000-0000775B0000}"/>
    <cellStyle name="Nagłówek 3 2 6 3 2 7 5" xfId="23482" xr:uid="{00000000-0005-0000-0000-0000785B0000}"/>
    <cellStyle name="Nagłówek 3 2 6 3 2 7 6" xfId="23483" xr:uid="{00000000-0005-0000-0000-0000795B0000}"/>
    <cellStyle name="Nagłówek 3 2 6 3 2 8" xfId="23484" xr:uid="{00000000-0005-0000-0000-00007A5B0000}"/>
    <cellStyle name="Nagłówek 3 2 6 3 2 9" xfId="23485" xr:uid="{00000000-0005-0000-0000-00007B5B0000}"/>
    <cellStyle name="Nagłówek 3 2 6 3 3" xfId="23486" xr:uid="{00000000-0005-0000-0000-00007C5B0000}"/>
    <cellStyle name="Nagłówek 3 2 6 3 3 2" xfId="23487" xr:uid="{00000000-0005-0000-0000-00007D5B0000}"/>
    <cellStyle name="Nagłówek 3 2 6 3 3 2 2" xfId="23488" xr:uid="{00000000-0005-0000-0000-00007E5B0000}"/>
    <cellStyle name="Nagłówek 3 2 6 3 3 2 3" xfId="23489" xr:uid="{00000000-0005-0000-0000-00007F5B0000}"/>
    <cellStyle name="Nagłówek 3 2 6 3 3 2 4" xfId="23490" xr:uid="{00000000-0005-0000-0000-0000805B0000}"/>
    <cellStyle name="Nagłówek 3 2 6 3 3 2 5" xfId="23491" xr:uid="{00000000-0005-0000-0000-0000815B0000}"/>
    <cellStyle name="Nagłówek 3 2 6 3 3 2 6" xfId="23492" xr:uid="{00000000-0005-0000-0000-0000825B0000}"/>
    <cellStyle name="Nagłówek 3 2 6 3 3 3" xfId="23493" xr:uid="{00000000-0005-0000-0000-0000835B0000}"/>
    <cellStyle name="Nagłówek 3 2 6 3 3 4" xfId="23494" xr:uid="{00000000-0005-0000-0000-0000845B0000}"/>
    <cellStyle name="Nagłówek 3 2 6 3 3 5" xfId="23495" xr:uid="{00000000-0005-0000-0000-0000855B0000}"/>
    <cellStyle name="Nagłówek 3 2 6 3 3 6" xfId="23496" xr:uid="{00000000-0005-0000-0000-0000865B0000}"/>
    <cellStyle name="Nagłówek 3 2 6 3 3 7" xfId="23497" xr:uid="{00000000-0005-0000-0000-0000875B0000}"/>
    <cellStyle name="Nagłówek 3 2 6 3 4" xfId="23498" xr:uid="{00000000-0005-0000-0000-0000885B0000}"/>
    <cellStyle name="Nagłówek 3 2 6 3 5" xfId="23499" xr:uid="{00000000-0005-0000-0000-0000895B0000}"/>
    <cellStyle name="Nagłówek 3 2 6 3 6" xfId="23500" xr:uid="{00000000-0005-0000-0000-00008A5B0000}"/>
    <cellStyle name="Nagłówek 3 2 6 3 7" xfId="23501" xr:uid="{00000000-0005-0000-0000-00008B5B0000}"/>
    <cellStyle name="Nagłówek 3 2 6 3 8" xfId="23502" xr:uid="{00000000-0005-0000-0000-00008C5B0000}"/>
    <cellStyle name="Nagłówek 3 2 6 3 8 2" xfId="23503" xr:uid="{00000000-0005-0000-0000-00008D5B0000}"/>
    <cellStyle name="Nagłówek 3 2 6 3 8 3" xfId="23504" xr:uid="{00000000-0005-0000-0000-00008E5B0000}"/>
    <cellStyle name="Nagłówek 3 2 6 3 8 4" xfId="23505" xr:uid="{00000000-0005-0000-0000-00008F5B0000}"/>
    <cellStyle name="Nagłówek 3 2 6 3 8 5" xfId="23506" xr:uid="{00000000-0005-0000-0000-0000905B0000}"/>
    <cellStyle name="Nagłówek 3 2 6 3 8 6" xfId="23507" xr:uid="{00000000-0005-0000-0000-0000915B0000}"/>
    <cellStyle name="Nagłówek 3 2 6 3 9" xfId="23508" xr:uid="{00000000-0005-0000-0000-0000925B0000}"/>
    <cellStyle name="Nagłówek 3 2 6 4" xfId="23509" xr:uid="{00000000-0005-0000-0000-0000935B0000}"/>
    <cellStyle name="Nagłówek 3 2 6 4 10" xfId="23510" xr:uid="{00000000-0005-0000-0000-0000945B0000}"/>
    <cellStyle name="Nagłówek 3 2 6 4 11" xfId="23511" xr:uid="{00000000-0005-0000-0000-0000955B0000}"/>
    <cellStyle name="Nagłówek 3 2 6 4 2" xfId="23512" xr:uid="{00000000-0005-0000-0000-0000965B0000}"/>
    <cellStyle name="Nagłówek 3 2 6 4 2 2" xfId="23513" xr:uid="{00000000-0005-0000-0000-0000975B0000}"/>
    <cellStyle name="Nagłówek 3 2 6 4 2 2 2" xfId="23514" xr:uid="{00000000-0005-0000-0000-0000985B0000}"/>
    <cellStyle name="Nagłówek 3 2 6 4 2 2 3" xfId="23515" xr:uid="{00000000-0005-0000-0000-0000995B0000}"/>
    <cellStyle name="Nagłówek 3 2 6 4 2 2 4" xfId="23516" xr:uid="{00000000-0005-0000-0000-00009A5B0000}"/>
    <cellStyle name="Nagłówek 3 2 6 4 2 2 5" xfId="23517" xr:uid="{00000000-0005-0000-0000-00009B5B0000}"/>
    <cellStyle name="Nagłówek 3 2 6 4 2 2 6" xfId="23518" xr:uid="{00000000-0005-0000-0000-00009C5B0000}"/>
    <cellStyle name="Nagłówek 3 2 6 4 2 3" xfId="23519" xr:uid="{00000000-0005-0000-0000-00009D5B0000}"/>
    <cellStyle name="Nagłówek 3 2 6 4 2 4" xfId="23520" xr:uid="{00000000-0005-0000-0000-00009E5B0000}"/>
    <cellStyle name="Nagłówek 3 2 6 4 2 5" xfId="23521" xr:uid="{00000000-0005-0000-0000-00009F5B0000}"/>
    <cellStyle name="Nagłówek 3 2 6 4 2 6" xfId="23522" xr:uid="{00000000-0005-0000-0000-0000A05B0000}"/>
    <cellStyle name="Nagłówek 3 2 6 4 2 7" xfId="23523" xr:uid="{00000000-0005-0000-0000-0000A15B0000}"/>
    <cellStyle name="Nagłówek 3 2 6 4 3" xfId="23524" xr:uid="{00000000-0005-0000-0000-0000A25B0000}"/>
    <cellStyle name="Nagłówek 3 2 6 4 4" xfId="23525" xr:uid="{00000000-0005-0000-0000-0000A35B0000}"/>
    <cellStyle name="Nagłówek 3 2 6 4 5" xfId="23526" xr:uid="{00000000-0005-0000-0000-0000A45B0000}"/>
    <cellStyle name="Nagłówek 3 2 6 4 6" xfId="23527" xr:uid="{00000000-0005-0000-0000-0000A55B0000}"/>
    <cellStyle name="Nagłówek 3 2 6 4 7" xfId="23528" xr:uid="{00000000-0005-0000-0000-0000A65B0000}"/>
    <cellStyle name="Nagłówek 3 2 6 4 7 2" xfId="23529" xr:uid="{00000000-0005-0000-0000-0000A75B0000}"/>
    <cellStyle name="Nagłówek 3 2 6 4 7 3" xfId="23530" xr:uid="{00000000-0005-0000-0000-0000A85B0000}"/>
    <cellStyle name="Nagłówek 3 2 6 4 7 4" xfId="23531" xr:uid="{00000000-0005-0000-0000-0000A95B0000}"/>
    <cellStyle name="Nagłówek 3 2 6 4 7 5" xfId="23532" xr:uid="{00000000-0005-0000-0000-0000AA5B0000}"/>
    <cellStyle name="Nagłówek 3 2 6 4 7 6" xfId="23533" xr:uid="{00000000-0005-0000-0000-0000AB5B0000}"/>
    <cellStyle name="Nagłówek 3 2 6 4 8" xfId="23534" xr:uid="{00000000-0005-0000-0000-0000AC5B0000}"/>
    <cellStyle name="Nagłówek 3 2 6 4 9" xfId="23535" xr:uid="{00000000-0005-0000-0000-0000AD5B0000}"/>
    <cellStyle name="Nagłówek 3 2 6 5" xfId="23536" xr:uid="{00000000-0005-0000-0000-0000AE5B0000}"/>
    <cellStyle name="Nagłówek 3 2 6 5 2" xfId="23537" xr:uid="{00000000-0005-0000-0000-0000AF5B0000}"/>
    <cellStyle name="Nagłówek 3 2 6 5 2 2" xfId="23538" xr:uid="{00000000-0005-0000-0000-0000B05B0000}"/>
    <cellStyle name="Nagłówek 3 2 6 5 2 3" xfId="23539" xr:uid="{00000000-0005-0000-0000-0000B15B0000}"/>
    <cellStyle name="Nagłówek 3 2 6 5 2 4" xfId="23540" xr:uid="{00000000-0005-0000-0000-0000B25B0000}"/>
    <cellStyle name="Nagłówek 3 2 6 5 2 5" xfId="23541" xr:uid="{00000000-0005-0000-0000-0000B35B0000}"/>
    <cellStyle name="Nagłówek 3 2 6 5 2 6" xfId="23542" xr:uid="{00000000-0005-0000-0000-0000B45B0000}"/>
    <cellStyle name="Nagłówek 3 2 6 5 3" xfId="23543" xr:uid="{00000000-0005-0000-0000-0000B55B0000}"/>
    <cellStyle name="Nagłówek 3 2 6 5 4" xfId="23544" xr:uid="{00000000-0005-0000-0000-0000B65B0000}"/>
    <cellStyle name="Nagłówek 3 2 6 5 5" xfId="23545" xr:uid="{00000000-0005-0000-0000-0000B75B0000}"/>
    <cellStyle name="Nagłówek 3 2 6 5 6" xfId="23546" xr:uid="{00000000-0005-0000-0000-0000B85B0000}"/>
    <cellStyle name="Nagłówek 3 2 6 5 7" xfId="23547" xr:uid="{00000000-0005-0000-0000-0000B95B0000}"/>
    <cellStyle name="Nagłówek 3 2 6 6" xfId="23548" xr:uid="{00000000-0005-0000-0000-0000BA5B0000}"/>
    <cellStyle name="Nagłówek 3 2 6 7" xfId="23549" xr:uid="{00000000-0005-0000-0000-0000BB5B0000}"/>
    <cellStyle name="Nagłówek 3 2 6 8" xfId="23550" xr:uid="{00000000-0005-0000-0000-0000BC5B0000}"/>
    <cellStyle name="Nagłówek 3 2 6 9" xfId="23551" xr:uid="{00000000-0005-0000-0000-0000BD5B0000}"/>
    <cellStyle name="Nagłówek 3 2 6 9 2" xfId="23552" xr:uid="{00000000-0005-0000-0000-0000BE5B0000}"/>
    <cellStyle name="Nagłówek 3 2 6 9 3" xfId="23553" xr:uid="{00000000-0005-0000-0000-0000BF5B0000}"/>
    <cellStyle name="Nagłówek 3 2 6 9 4" xfId="23554" xr:uid="{00000000-0005-0000-0000-0000C05B0000}"/>
    <cellStyle name="Nagłówek 3 2 6 9 5" xfId="23555" xr:uid="{00000000-0005-0000-0000-0000C15B0000}"/>
    <cellStyle name="Nagłówek 3 2 6 9 6" xfId="23556" xr:uid="{00000000-0005-0000-0000-0000C25B0000}"/>
    <cellStyle name="Nagłówek 3 2 7" xfId="23557" xr:uid="{00000000-0005-0000-0000-0000C35B0000}"/>
    <cellStyle name="Nagłówek 3 2 8" xfId="23558" xr:uid="{00000000-0005-0000-0000-0000C45B0000}"/>
    <cellStyle name="Nagłówek 3 2 9" xfId="23559" xr:uid="{00000000-0005-0000-0000-0000C55B0000}"/>
    <cellStyle name="Nagłówek 3 20" xfId="23560" xr:uid="{00000000-0005-0000-0000-0000C65B0000}"/>
    <cellStyle name="Nagłówek 3 21" xfId="23561" xr:uid="{00000000-0005-0000-0000-0000C75B0000}"/>
    <cellStyle name="Nagłówek 3 22" xfId="23562" xr:uid="{00000000-0005-0000-0000-0000C85B0000}"/>
    <cellStyle name="Nagłówek 3 3" xfId="281" xr:uid="{00000000-0005-0000-0000-0000C95B0000}"/>
    <cellStyle name="Nagłówek 3 3 2" xfId="23564" xr:uid="{00000000-0005-0000-0000-0000CA5B0000}"/>
    <cellStyle name="Nagłówek 3 3 3" xfId="23563" xr:uid="{00000000-0005-0000-0000-0000CB5B0000}"/>
    <cellStyle name="Nagłówek 3 4" xfId="282" xr:uid="{00000000-0005-0000-0000-0000CC5B0000}"/>
    <cellStyle name="Nagłówek 3 4 2" xfId="23566" xr:uid="{00000000-0005-0000-0000-0000CD5B0000}"/>
    <cellStyle name="Nagłówek 3 4 3" xfId="23565" xr:uid="{00000000-0005-0000-0000-0000CE5B0000}"/>
    <cellStyle name="Nagłówek 3 5" xfId="283" xr:uid="{00000000-0005-0000-0000-0000CF5B0000}"/>
    <cellStyle name="Nagłówek 3 5 2" xfId="23568" xr:uid="{00000000-0005-0000-0000-0000D05B0000}"/>
    <cellStyle name="Nagłówek 3 5 3" xfId="23567" xr:uid="{00000000-0005-0000-0000-0000D15B0000}"/>
    <cellStyle name="Nagłówek 3 6" xfId="284" xr:uid="{00000000-0005-0000-0000-0000D25B0000}"/>
    <cellStyle name="Nagłówek 3 6 2" xfId="23570" xr:uid="{00000000-0005-0000-0000-0000D35B0000}"/>
    <cellStyle name="Nagłówek 3 6 3" xfId="23569" xr:uid="{00000000-0005-0000-0000-0000D45B0000}"/>
    <cellStyle name="Nagłówek 3 7" xfId="285" xr:uid="{00000000-0005-0000-0000-0000D55B0000}"/>
    <cellStyle name="Nagłówek 3 7 2" xfId="23572" xr:uid="{00000000-0005-0000-0000-0000D65B0000}"/>
    <cellStyle name="Nagłówek 3 7 3" xfId="23571" xr:uid="{00000000-0005-0000-0000-0000D75B0000}"/>
    <cellStyle name="Nagłówek 3 8" xfId="23573" xr:uid="{00000000-0005-0000-0000-0000D85B0000}"/>
    <cellStyle name="Nagłówek 3 9" xfId="23574" xr:uid="{00000000-0005-0000-0000-0000D95B0000}"/>
    <cellStyle name="Nagłówek 4 1" xfId="23575" xr:uid="{00000000-0005-0000-0000-0000DA5B0000}"/>
    <cellStyle name="Nagłówek 4 10" xfId="23576" xr:uid="{00000000-0005-0000-0000-0000DB5B0000}"/>
    <cellStyle name="Nagłówek 4 11" xfId="23577" xr:uid="{00000000-0005-0000-0000-0000DC5B0000}"/>
    <cellStyle name="Nagłówek 4 12" xfId="23578" xr:uid="{00000000-0005-0000-0000-0000DD5B0000}"/>
    <cellStyle name="Nagłówek 4 13" xfId="23579" xr:uid="{00000000-0005-0000-0000-0000DE5B0000}"/>
    <cellStyle name="Nagłówek 4 14" xfId="23580" xr:uid="{00000000-0005-0000-0000-0000DF5B0000}"/>
    <cellStyle name="Nagłówek 4 15" xfId="23581" xr:uid="{00000000-0005-0000-0000-0000E05B0000}"/>
    <cellStyle name="Nagłówek 4 16" xfId="23582" xr:uid="{00000000-0005-0000-0000-0000E15B0000}"/>
    <cellStyle name="Nagłówek 4 17" xfId="23583" xr:uid="{00000000-0005-0000-0000-0000E25B0000}"/>
    <cellStyle name="Nagłówek 4 18" xfId="23584" xr:uid="{00000000-0005-0000-0000-0000E35B0000}"/>
    <cellStyle name="Nagłówek 4 19" xfId="23585" xr:uid="{00000000-0005-0000-0000-0000E45B0000}"/>
    <cellStyle name="Nagłówek 4 2" xfId="286" xr:uid="{00000000-0005-0000-0000-0000E55B0000}"/>
    <cellStyle name="Nagłówek 4 2 10" xfId="23587" xr:uid="{00000000-0005-0000-0000-0000E65B0000}"/>
    <cellStyle name="Nagłówek 4 2 11" xfId="23588" xr:uid="{00000000-0005-0000-0000-0000E75B0000}"/>
    <cellStyle name="Nagłówek 4 2 12" xfId="23589" xr:uid="{00000000-0005-0000-0000-0000E85B0000}"/>
    <cellStyle name="Nagłówek 4 2 13" xfId="23590" xr:uid="{00000000-0005-0000-0000-0000E95B0000}"/>
    <cellStyle name="Nagłówek 4 2 14" xfId="23591" xr:uid="{00000000-0005-0000-0000-0000EA5B0000}"/>
    <cellStyle name="Nagłówek 4 2 15" xfId="23586" xr:uid="{00000000-0005-0000-0000-0000EB5B0000}"/>
    <cellStyle name="Nagłówek 4 2 16" xfId="37849" xr:uid="{00000000-0005-0000-0000-0000EC5B0000}"/>
    <cellStyle name="Nagłówek 4 2 2" xfId="23592" xr:uid="{00000000-0005-0000-0000-0000ED5B0000}"/>
    <cellStyle name="Nagłówek 4 2 2 10" xfId="23593" xr:uid="{00000000-0005-0000-0000-0000EE5B0000}"/>
    <cellStyle name="Nagłówek 4 2 2 10 10" xfId="23594" xr:uid="{00000000-0005-0000-0000-0000EF5B0000}"/>
    <cellStyle name="Nagłówek 4 2 2 10 11" xfId="23595" xr:uid="{00000000-0005-0000-0000-0000F05B0000}"/>
    <cellStyle name="Nagłówek 4 2 2 10 12" xfId="23596" xr:uid="{00000000-0005-0000-0000-0000F15B0000}"/>
    <cellStyle name="Nagłówek 4 2 2 10 2" xfId="23597" xr:uid="{00000000-0005-0000-0000-0000F25B0000}"/>
    <cellStyle name="Nagłówek 4 2 2 10 2 10" xfId="23598" xr:uid="{00000000-0005-0000-0000-0000F35B0000}"/>
    <cellStyle name="Nagłówek 4 2 2 10 2 11" xfId="23599" xr:uid="{00000000-0005-0000-0000-0000F45B0000}"/>
    <cellStyle name="Nagłówek 4 2 2 10 2 2" xfId="23600" xr:uid="{00000000-0005-0000-0000-0000F55B0000}"/>
    <cellStyle name="Nagłówek 4 2 2 10 2 2 10" xfId="23601" xr:uid="{00000000-0005-0000-0000-0000F65B0000}"/>
    <cellStyle name="Nagłówek 4 2 2 10 2 2 11" xfId="23602" xr:uid="{00000000-0005-0000-0000-0000F75B0000}"/>
    <cellStyle name="Nagłówek 4 2 2 10 2 2 2" xfId="23603" xr:uid="{00000000-0005-0000-0000-0000F85B0000}"/>
    <cellStyle name="Nagłówek 4 2 2 10 2 2 2 2" xfId="23604" xr:uid="{00000000-0005-0000-0000-0000F95B0000}"/>
    <cellStyle name="Nagłówek 4 2 2 10 2 2 2 2 2" xfId="23605" xr:uid="{00000000-0005-0000-0000-0000FA5B0000}"/>
    <cellStyle name="Nagłówek 4 2 2 10 2 2 2 2 3" xfId="23606" xr:uid="{00000000-0005-0000-0000-0000FB5B0000}"/>
    <cellStyle name="Nagłówek 4 2 2 10 2 2 2 2 4" xfId="23607" xr:uid="{00000000-0005-0000-0000-0000FC5B0000}"/>
    <cellStyle name="Nagłówek 4 2 2 10 2 2 2 2 5" xfId="23608" xr:uid="{00000000-0005-0000-0000-0000FD5B0000}"/>
    <cellStyle name="Nagłówek 4 2 2 10 2 2 2 2 6" xfId="23609" xr:uid="{00000000-0005-0000-0000-0000FE5B0000}"/>
    <cellStyle name="Nagłówek 4 2 2 10 2 2 2 3" xfId="23610" xr:uid="{00000000-0005-0000-0000-0000FF5B0000}"/>
    <cellStyle name="Nagłówek 4 2 2 10 2 2 2 4" xfId="23611" xr:uid="{00000000-0005-0000-0000-0000005C0000}"/>
    <cellStyle name="Nagłówek 4 2 2 10 2 2 2 5" xfId="23612" xr:uid="{00000000-0005-0000-0000-0000015C0000}"/>
    <cellStyle name="Nagłówek 4 2 2 10 2 2 2 6" xfId="23613" xr:uid="{00000000-0005-0000-0000-0000025C0000}"/>
    <cellStyle name="Nagłówek 4 2 2 10 2 2 2 7" xfId="23614" xr:uid="{00000000-0005-0000-0000-0000035C0000}"/>
    <cellStyle name="Nagłówek 4 2 2 10 2 2 3" xfId="23615" xr:uid="{00000000-0005-0000-0000-0000045C0000}"/>
    <cellStyle name="Nagłówek 4 2 2 10 2 2 4" xfId="23616" xr:uid="{00000000-0005-0000-0000-0000055C0000}"/>
    <cellStyle name="Nagłówek 4 2 2 10 2 2 5" xfId="23617" xr:uid="{00000000-0005-0000-0000-0000065C0000}"/>
    <cellStyle name="Nagłówek 4 2 2 10 2 2 6" xfId="23618" xr:uid="{00000000-0005-0000-0000-0000075C0000}"/>
    <cellStyle name="Nagłówek 4 2 2 10 2 2 7" xfId="23619" xr:uid="{00000000-0005-0000-0000-0000085C0000}"/>
    <cellStyle name="Nagłówek 4 2 2 10 2 2 7 2" xfId="23620" xr:uid="{00000000-0005-0000-0000-0000095C0000}"/>
    <cellStyle name="Nagłówek 4 2 2 10 2 2 7 3" xfId="23621" xr:uid="{00000000-0005-0000-0000-00000A5C0000}"/>
    <cellStyle name="Nagłówek 4 2 2 10 2 2 7 4" xfId="23622" xr:uid="{00000000-0005-0000-0000-00000B5C0000}"/>
    <cellStyle name="Nagłówek 4 2 2 10 2 2 7 5" xfId="23623" xr:uid="{00000000-0005-0000-0000-00000C5C0000}"/>
    <cellStyle name="Nagłówek 4 2 2 10 2 2 7 6" xfId="23624" xr:uid="{00000000-0005-0000-0000-00000D5C0000}"/>
    <cellStyle name="Nagłówek 4 2 2 10 2 2 8" xfId="23625" xr:uid="{00000000-0005-0000-0000-00000E5C0000}"/>
    <cellStyle name="Nagłówek 4 2 2 10 2 2 9" xfId="23626" xr:uid="{00000000-0005-0000-0000-00000F5C0000}"/>
    <cellStyle name="Nagłówek 4 2 2 10 2 3" xfId="23627" xr:uid="{00000000-0005-0000-0000-0000105C0000}"/>
    <cellStyle name="Nagłówek 4 2 2 10 2 3 2" xfId="23628" xr:uid="{00000000-0005-0000-0000-0000115C0000}"/>
    <cellStyle name="Nagłówek 4 2 2 10 2 3 2 2" xfId="23629" xr:uid="{00000000-0005-0000-0000-0000125C0000}"/>
    <cellStyle name="Nagłówek 4 2 2 10 2 3 2 3" xfId="23630" xr:uid="{00000000-0005-0000-0000-0000135C0000}"/>
    <cellStyle name="Nagłówek 4 2 2 10 2 3 2 4" xfId="23631" xr:uid="{00000000-0005-0000-0000-0000145C0000}"/>
    <cellStyle name="Nagłówek 4 2 2 10 2 3 2 5" xfId="23632" xr:uid="{00000000-0005-0000-0000-0000155C0000}"/>
    <cellStyle name="Nagłówek 4 2 2 10 2 3 2 6" xfId="23633" xr:uid="{00000000-0005-0000-0000-0000165C0000}"/>
    <cellStyle name="Nagłówek 4 2 2 10 2 3 3" xfId="23634" xr:uid="{00000000-0005-0000-0000-0000175C0000}"/>
    <cellStyle name="Nagłówek 4 2 2 10 2 3 4" xfId="23635" xr:uid="{00000000-0005-0000-0000-0000185C0000}"/>
    <cellStyle name="Nagłówek 4 2 2 10 2 3 5" xfId="23636" xr:uid="{00000000-0005-0000-0000-0000195C0000}"/>
    <cellStyle name="Nagłówek 4 2 2 10 2 3 6" xfId="23637" xr:uid="{00000000-0005-0000-0000-00001A5C0000}"/>
    <cellStyle name="Nagłówek 4 2 2 10 2 3 7" xfId="23638" xr:uid="{00000000-0005-0000-0000-00001B5C0000}"/>
    <cellStyle name="Nagłówek 4 2 2 10 2 4" xfId="23639" xr:uid="{00000000-0005-0000-0000-00001C5C0000}"/>
    <cellStyle name="Nagłówek 4 2 2 10 2 5" xfId="23640" xr:uid="{00000000-0005-0000-0000-00001D5C0000}"/>
    <cellStyle name="Nagłówek 4 2 2 10 2 6" xfId="23641" xr:uid="{00000000-0005-0000-0000-00001E5C0000}"/>
    <cellStyle name="Nagłówek 4 2 2 10 2 7" xfId="23642" xr:uid="{00000000-0005-0000-0000-00001F5C0000}"/>
    <cellStyle name="Nagłówek 4 2 2 10 2 7 2" xfId="23643" xr:uid="{00000000-0005-0000-0000-0000205C0000}"/>
    <cellStyle name="Nagłówek 4 2 2 10 2 7 3" xfId="23644" xr:uid="{00000000-0005-0000-0000-0000215C0000}"/>
    <cellStyle name="Nagłówek 4 2 2 10 2 7 4" xfId="23645" xr:uid="{00000000-0005-0000-0000-0000225C0000}"/>
    <cellStyle name="Nagłówek 4 2 2 10 2 7 5" xfId="23646" xr:uid="{00000000-0005-0000-0000-0000235C0000}"/>
    <cellStyle name="Nagłówek 4 2 2 10 2 7 6" xfId="23647" xr:uid="{00000000-0005-0000-0000-0000245C0000}"/>
    <cellStyle name="Nagłówek 4 2 2 10 2 8" xfId="23648" xr:uid="{00000000-0005-0000-0000-0000255C0000}"/>
    <cellStyle name="Nagłówek 4 2 2 10 2 9" xfId="23649" xr:uid="{00000000-0005-0000-0000-0000265C0000}"/>
    <cellStyle name="Nagłówek 4 2 2 10 3" xfId="23650" xr:uid="{00000000-0005-0000-0000-0000275C0000}"/>
    <cellStyle name="Nagłówek 4 2 2 10 3 2" xfId="23651" xr:uid="{00000000-0005-0000-0000-0000285C0000}"/>
    <cellStyle name="Nagłówek 4 2 2 10 3 2 2" xfId="23652" xr:uid="{00000000-0005-0000-0000-0000295C0000}"/>
    <cellStyle name="Nagłówek 4 2 2 10 3 2 3" xfId="23653" xr:uid="{00000000-0005-0000-0000-00002A5C0000}"/>
    <cellStyle name="Nagłówek 4 2 2 10 3 2 4" xfId="23654" xr:uid="{00000000-0005-0000-0000-00002B5C0000}"/>
    <cellStyle name="Nagłówek 4 2 2 10 3 2 5" xfId="23655" xr:uid="{00000000-0005-0000-0000-00002C5C0000}"/>
    <cellStyle name="Nagłówek 4 2 2 10 3 2 6" xfId="23656" xr:uid="{00000000-0005-0000-0000-00002D5C0000}"/>
    <cellStyle name="Nagłówek 4 2 2 10 3 3" xfId="23657" xr:uid="{00000000-0005-0000-0000-00002E5C0000}"/>
    <cellStyle name="Nagłówek 4 2 2 10 3 4" xfId="23658" xr:uid="{00000000-0005-0000-0000-00002F5C0000}"/>
    <cellStyle name="Nagłówek 4 2 2 10 3 5" xfId="23659" xr:uid="{00000000-0005-0000-0000-0000305C0000}"/>
    <cellStyle name="Nagłówek 4 2 2 10 3 6" xfId="23660" xr:uid="{00000000-0005-0000-0000-0000315C0000}"/>
    <cellStyle name="Nagłówek 4 2 2 10 3 7" xfId="23661" xr:uid="{00000000-0005-0000-0000-0000325C0000}"/>
    <cellStyle name="Nagłówek 4 2 2 10 4" xfId="23662" xr:uid="{00000000-0005-0000-0000-0000335C0000}"/>
    <cellStyle name="Nagłówek 4 2 2 10 5" xfId="23663" xr:uid="{00000000-0005-0000-0000-0000345C0000}"/>
    <cellStyle name="Nagłówek 4 2 2 10 6" xfId="23664" xr:uid="{00000000-0005-0000-0000-0000355C0000}"/>
    <cellStyle name="Nagłówek 4 2 2 10 7" xfId="23665" xr:uid="{00000000-0005-0000-0000-0000365C0000}"/>
    <cellStyle name="Nagłówek 4 2 2 10 8" xfId="23666" xr:uid="{00000000-0005-0000-0000-0000375C0000}"/>
    <cellStyle name="Nagłówek 4 2 2 10 8 2" xfId="23667" xr:uid="{00000000-0005-0000-0000-0000385C0000}"/>
    <cellStyle name="Nagłówek 4 2 2 10 8 3" xfId="23668" xr:uid="{00000000-0005-0000-0000-0000395C0000}"/>
    <cellStyle name="Nagłówek 4 2 2 10 8 4" xfId="23669" xr:uid="{00000000-0005-0000-0000-00003A5C0000}"/>
    <cellStyle name="Nagłówek 4 2 2 10 8 5" xfId="23670" xr:uid="{00000000-0005-0000-0000-00003B5C0000}"/>
    <cellStyle name="Nagłówek 4 2 2 10 8 6" xfId="23671" xr:uid="{00000000-0005-0000-0000-00003C5C0000}"/>
    <cellStyle name="Nagłówek 4 2 2 10 9" xfId="23672" xr:uid="{00000000-0005-0000-0000-00003D5C0000}"/>
    <cellStyle name="Nagłówek 4 2 2 11" xfId="23673" xr:uid="{00000000-0005-0000-0000-00003E5C0000}"/>
    <cellStyle name="Nagłówek 4 2 2 11 10" xfId="23674" xr:uid="{00000000-0005-0000-0000-00003F5C0000}"/>
    <cellStyle name="Nagłówek 4 2 2 11 11" xfId="23675" xr:uid="{00000000-0005-0000-0000-0000405C0000}"/>
    <cellStyle name="Nagłówek 4 2 2 11 2" xfId="23676" xr:uid="{00000000-0005-0000-0000-0000415C0000}"/>
    <cellStyle name="Nagłówek 4 2 2 11 2 2" xfId="23677" xr:uid="{00000000-0005-0000-0000-0000425C0000}"/>
    <cellStyle name="Nagłówek 4 2 2 11 2 2 2" xfId="23678" xr:uid="{00000000-0005-0000-0000-0000435C0000}"/>
    <cellStyle name="Nagłówek 4 2 2 11 2 2 3" xfId="23679" xr:uid="{00000000-0005-0000-0000-0000445C0000}"/>
    <cellStyle name="Nagłówek 4 2 2 11 2 2 4" xfId="23680" xr:uid="{00000000-0005-0000-0000-0000455C0000}"/>
    <cellStyle name="Nagłówek 4 2 2 11 2 2 5" xfId="23681" xr:uid="{00000000-0005-0000-0000-0000465C0000}"/>
    <cellStyle name="Nagłówek 4 2 2 11 2 2 6" xfId="23682" xr:uid="{00000000-0005-0000-0000-0000475C0000}"/>
    <cellStyle name="Nagłówek 4 2 2 11 2 3" xfId="23683" xr:uid="{00000000-0005-0000-0000-0000485C0000}"/>
    <cellStyle name="Nagłówek 4 2 2 11 2 4" xfId="23684" xr:uid="{00000000-0005-0000-0000-0000495C0000}"/>
    <cellStyle name="Nagłówek 4 2 2 11 2 5" xfId="23685" xr:uid="{00000000-0005-0000-0000-00004A5C0000}"/>
    <cellStyle name="Nagłówek 4 2 2 11 2 6" xfId="23686" xr:uid="{00000000-0005-0000-0000-00004B5C0000}"/>
    <cellStyle name="Nagłówek 4 2 2 11 2 7" xfId="23687" xr:uid="{00000000-0005-0000-0000-00004C5C0000}"/>
    <cellStyle name="Nagłówek 4 2 2 11 3" xfId="23688" xr:uid="{00000000-0005-0000-0000-00004D5C0000}"/>
    <cellStyle name="Nagłówek 4 2 2 11 4" xfId="23689" xr:uid="{00000000-0005-0000-0000-00004E5C0000}"/>
    <cellStyle name="Nagłówek 4 2 2 11 5" xfId="23690" xr:uid="{00000000-0005-0000-0000-00004F5C0000}"/>
    <cellStyle name="Nagłówek 4 2 2 11 6" xfId="23691" xr:uid="{00000000-0005-0000-0000-0000505C0000}"/>
    <cellStyle name="Nagłówek 4 2 2 11 7" xfId="23692" xr:uid="{00000000-0005-0000-0000-0000515C0000}"/>
    <cellStyle name="Nagłówek 4 2 2 11 7 2" xfId="23693" xr:uid="{00000000-0005-0000-0000-0000525C0000}"/>
    <cellStyle name="Nagłówek 4 2 2 11 7 3" xfId="23694" xr:uid="{00000000-0005-0000-0000-0000535C0000}"/>
    <cellStyle name="Nagłówek 4 2 2 11 7 4" xfId="23695" xr:uid="{00000000-0005-0000-0000-0000545C0000}"/>
    <cellStyle name="Nagłówek 4 2 2 11 7 5" xfId="23696" xr:uid="{00000000-0005-0000-0000-0000555C0000}"/>
    <cellStyle name="Nagłówek 4 2 2 11 7 6" xfId="23697" xr:uid="{00000000-0005-0000-0000-0000565C0000}"/>
    <cellStyle name="Nagłówek 4 2 2 11 8" xfId="23698" xr:uid="{00000000-0005-0000-0000-0000575C0000}"/>
    <cellStyle name="Nagłówek 4 2 2 11 9" xfId="23699" xr:uid="{00000000-0005-0000-0000-0000585C0000}"/>
    <cellStyle name="Nagłówek 4 2 2 12" xfId="23700" xr:uid="{00000000-0005-0000-0000-0000595C0000}"/>
    <cellStyle name="Nagłówek 4 2 2 12 2" xfId="23701" xr:uid="{00000000-0005-0000-0000-00005A5C0000}"/>
    <cellStyle name="Nagłówek 4 2 2 12 2 2" xfId="23702" xr:uid="{00000000-0005-0000-0000-00005B5C0000}"/>
    <cellStyle name="Nagłówek 4 2 2 12 2 3" xfId="23703" xr:uid="{00000000-0005-0000-0000-00005C5C0000}"/>
    <cellStyle name="Nagłówek 4 2 2 12 2 4" xfId="23704" xr:uid="{00000000-0005-0000-0000-00005D5C0000}"/>
    <cellStyle name="Nagłówek 4 2 2 12 2 5" xfId="23705" xr:uid="{00000000-0005-0000-0000-00005E5C0000}"/>
    <cellStyle name="Nagłówek 4 2 2 12 2 6" xfId="23706" xr:uid="{00000000-0005-0000-0000-00005F5C0000}"/>
    <cellStyle name="Nagłówek 4 2 2 12 3" xfId="23707" xr:uid="{00000000-0005-0000-0000-0000605C0000}"/>
    <cellStyle name="Nagłówek 4 2 2 12 4" xfId="23708" xr:uid="{00000000-0005-0000-0000-0000615C0000}"/>
    <cellStyle name="Nagłówek 4 2 2 12 5" xfId="23709" xr:uid="{00000000-0005-0000-0000-0000625C0000}"/>
    <cellStyle name="Nagłówek 4 2 2 12 6" xfId="23710" xr:uid="{00000000-0005-0000-0000-0000635C0000}"/>
    <cellStyle name="Nagłówek 4 2 2 12 7" xfId="23711" xr:uid="{00000000-0005-0000-0000-0000645C0000}"/>
    <cellStyle name="Nagłówek 4 2 2 13" xfId="23712" xr:uid="{00000000-0005-0000-0000-0000655C0000}"/>
    <cellStyle name="Nagłówek 4 2 2 14" xfId="23713" xr:uid="{00000000-0005-0000-0000-0000665C0000}"/>
    <cellStyle name="Nagłówek 4 2 2 15" xfId="23714" xr:uid="{00000000-0005-0000-0000-0000675C0000}"/>
    <cellStyle name="Nagłówek 4 2 2 16" xfId="23715" xr:uid="{00000000-0005-0000-0000-0000685C0000}"/>
    <cellStyle name="Nagłówek 4 2 2 17" xfId="23716" xr:uid="{00000000-0005-0000-0000-0000695C0000}"/>
    <cellStyle name="Nagłówek 4 2 2 18" xfId="23717" xr:uid="{00000000-0005-0000-0000-00006A5C0000}"/>
    <cellStyle name="Nagłówek 4 2 2 18 2" xfId="23718" xr:uid="{00000000-0005-0000-0000-00006B5C0000}"/>
    <cellStyle name="Nagłówek 4 2 2 18 3" xfId="23719" xr:uid="{00000000-0005-0000-0000-00006C5C0000}"/>
    <cellStyle name="Nagłówek 4 2 2 18 4" xfId="23720" xr:uid="{00000000-0005-0000-0000-00006D5C0000}"/>
    <cellStyle name="Nagłówek 4 2 2 18 5" xfId="23721" xr:uid="{00000000-0005-0000-0000-00006E5C0000}"/>
    <cellStyle name="Nagłówek 4 2 2 18 6" xfId="23722" xr:uid="{00000000-0005-0000-0000-00006F5C0000}"/>
    <cellStyle name="Nagłówek 4 2 2 19" xfId="23723" xr:uid="{00000000-0005-0000-0000-0000705C0000}"/>
    <cellStyle name="Nagłówek 4 2 2 2" xfId="23724" xr:uid="{00000000-0005-0000-0000-0000715C0000}"/>
    <cellStyle name="Nagłówek 4 2 2 2 10" xfId="23725" xr:uid="{00000000-0005-0000-0000-0000725C0000}"/>
    <cellStyle name="Nagłówek 4 2 2 2 11" xfId="23726" xr:uid="{00000000-0005-0000-0000-0000735C0000}"/>
    <cellStyle name="Nagłówek 4 2 2 2 2" xfId="23727" xr:uid="{00000000-0005-0000-0000-0000745C0000}"/>
    <cellStyle name="Nagłówek 4 2 2 2 2 10" xfId="23728" xr:uid="{00000000-0005-0000-0000-0000755C0000}"/>
    <cellStyle name="Nagłówek 4 2 2 2 2 2" xfId="23729" xr:uid="{00000000-0005-0000-0000-0000765C0000}"/>
    <cellStyle name="Nagłówek 4 2 2 2 2 2 2" xfId="23730" xr:uid="{00000000-0005-0000-0000-0000775C0000}"/>
    <cellStyle name="Nagłówek 4 2 2 2 2 2 2 2" xfId="23731" xr:uid="{00000000-0005-0000-0000-0000785C0000}"/>
    <cellStyle name="Nagłówek 4 2 2 2 2 2 2 2 2" xfId="23732" xr:uid="{00000000-0005-0000-0000-0000795C0000}"/>
    <cellStyle name="Nagłówek 4 2 2 2 2 2 2 2 2 2" xfId="23733" xr:uid="{00000000-0005-0000-0000-00007A5C0000}"/>
    <cellStyle name="Nagłówek 4 2 2 2 2 2 2 2 2 3" xfId="23734" xr:uid="{00000000-0005-0000-0000-00007B5C0000}"/>
    <cellStyle name="Nagłówek 4 2 2 2 2 2 2 2 2 4" xfId="23735" xr:uid="{00000000-0005-0000-0000-00007C5C0000}"/>
    <cellStyle name="Nagłówek 4 2 2 2 2 2 2 2 3" xfId="23736" xr:uid="{00000000-0005-0000-0000-00007D5C0000}"/>
    <cellStyle name="Nagłówek 4 2 2 2 2 2 2 2 4" xfId="23737" xr:uid="{00000000-0005-0000-0000-00007E5C0000}"/>
    <cellStyle name="Nagłówek 4 2 2 2 2 2 2 2 5" xfId="23738" xr:uid="{00000000-0005-0000-0000-00007F5C0000}"/>
    <cellStyle name="Nagłówek 4 2 2 2 2 2 2 3" xfId="23739" xr:uid="{00000000-0005-0000-0000-0000805C0000}"/>
    <cellStyle name="Nagłówek 4 2 2 2 2 2 2 4" xfId="23740" xr:uid="{00000000-0005-0000-0000-0000815C0000}"/>
    <cellStyle name="Nagłówek 4 2 2 2 2 2 2 5" xfId="23741" xr:uid="{00000000-0005-0000-0000-0000825C0000}"/>
    <cellStyle name="Nagłówek 4 2 2 2 2 2 2 6" xfId="23742" xr:uid="{00000000-0005-0000-0000-0000835C0000}"/>
    <cellStyle name="Nagłówek 4 2 2 2 2 2 2 7" xfId="23743" xr:uid="{00000000-0005-0000-0000-0000845C0000}"/>
    <cellStyle name="Nagłówek 4 2 2 2 2 2 2 7 2" xfId="23744" xr:uid="{00000000-0005-0000-0000-0000855C0000}"/>
    <cellStyle name="Nagłówek 4 2 2 2 2 2 2 7 3" xfId="23745" xr:uid="{00000000-0005-0000-0000-0000865C0000}"/>
    <cellStyle name="Nagłówek 4 2 2 2 2 2 2 7 4" xfId="23746" xr:uid="{00000000-0005-0000-0000-0000875C0000}"/>
    <cellStyle name="Nagłówek 4 2 2 2 2 2 2 7 5" xfId="23747" xr:uid="{00000000-0005-0000-0000-0000885C0000}"/>
    <cellStyle name="Nagłówek 4 2 2 2 2 2 2 7 6" xfId="23748" xr:uid="{00000000-0005-0000-0000-0000895C0000}"/>
    <cellStyle name="Nagłówek 4 2 2 2 2 2 2 8" xfId="23749" xr:uid="{00000000-0005-0000-0000-00008A5C0000}"/>
    <cellStyle name="Nagłówek 4 2 2 2 2 2 2 9" xfId="23750" xr:uid="{00000000-0005-0000-0000-00008B5C0000}"/>
    <cellStyle name="Nagłówek 4 2 2 2 2 2 3" xfId="23751" xr:uid="{00000000-0005-0000-0000-00008C5C0000}"/>
    <cellStyle name="Nagłówek 4 2 2 2 2 2 3 2" xfId="23752" xr:uid="{00000000-0005-0000-0000-00008D5C0000}"/>
    <cellStyle name="Nagłówek 4 2 2 2 2 2 3 2 2" xfId="23753" xr:uid="{00000000-0005-0000-0000-00008E5C0000}"/>
    <cellStyle name="Nagłówek 4 2 2 2 2 2 3 2 3" xfId="23754" xr:uid="{00000000-0005-0000-0000-00008F5C0000}"/>
    <cellStyle name="Nagłówek 4 2 2 2 2 2 3 2 4" xfId="23755" xr:uid="{00000000-0005-0000-0000-0000905C0000}"/>
    <cellStyle name="Nagłówek 4 2 2 2 2 2 3 2 5" xfId="23756" xr:uid="{00000000-0005-0000-0000-0000915C0000}"/>
    <cellStyle name="Nagłówek 4 2 2 2 2 2 3 2 6" xfId="23757" xr:uid="{00000000-0005-0000-0000-0000925C0000}"/>
    <cellStyle name="Nagłówek 4 2 2 2 2 2 3 3" xfId="23758" xr:uid="{00000000-0005-0000-0000-0000935C0000}"/>
    <cellStyle name="Nagłówek 4 2 2 2 2 2 3 4" xfId="23759" xr:uid="{00000000-0005-0000-0000-0000945C0000}"/>
    <cellStyle name="Nagłówek 4 2 2 2 2 2 3 5" xfId="23760" xr:uid="{00000000-0005-0000-0000-0000955C0000}"/>
    <cellStyle name="Nagłówek 4 2 2 2 2 2 3 6" xfId="23761" xr:uid="{00000000-0005-0000-0000-0000965C0000}"/>
    <cellStyle name="Nagłówek 4 2 2 2 2 2 3 7" xfId="23762" xr:uid="{00000000-0005-0000-0000-0000975C0000}"/>
    <cellStyle name="Nagłówek 4 2 2 2 2 2 4" xfId="23763" xr:uid="{00000000-0005-0000-0000-0000985C0000}"/>
    <cellStyle name="Nagłówek 4 2 2 2 2 2 5" xfId="23764" xr:uid="{00000000-0005-0000-0000-0000995C0000}"/>
    <cellStyle name="Nagłówek 4 2 2 2 2 2 6" xfId="23765" xr:uid="{00000000-0005-0000-0000-00009A5C0000}"/>
    <cellStyle name="Nagłówek 4 2 2 2 2 2 7" xfId="23766" xr:uid="{00000000-0005-0000-0000-00009B5C0000}"/>
    <cellStyle name="Nagłówek 4 2 2 2 2 2 7 2" xfId="23767" xr:uid="{00000000-0005-0000-0000-00009C5C0000}"/>
    <cellStyle name="Nagłówek 4 2 2 2 2 2 7 3" xfId="23768" xr:uid="{00000000-0005-0000-0000-00009D5C0000}"/>
    <cellStyle name="Nagłówek 4 2 2 2 2 2 7 4" xfId="23769" xr:uid="{00000000-0005-0000-0000-00009E5C0000}"/>
    <cellStyle name="Nagłówek 4 2 2 2 2 2 7 5" xfId="23770" xr:uid="{00000000-0005-0000-0000-00009F5C0000}"/>
    <cellStyle name="Nagłówek 4 2 2 2 2 2 7 6" xfId="23771" xr:uid="{00000000-0005-0000-0000-0000A05C0000}"/>
    <cellStyle name="Nagłówek 4 2 2 2 2 2 8" xfId="23772" xr:uid="{00000000-0005-0000-0000-0000A15C0000}"/>
    <cellStyle name="Nagłówek 4 2 2 2 2 2 9" xfId="23773" xr:uid="{00000000-0005-0000-0000-0000A25C0000}"/>
    <cellStyle name="Nagłówek 4 2 2 2 2 3" xfId="23774" xr:uid="{00000000-0005-0000-0000-0000A35C0000}"/>
    <cellStyle name="Nagłówek 4 2 2 2 2 3 2" xfId="23775" xr:uid="{00000000-0005-0000-0000-0000A45C0000}"/>
    <cellStyle name="Nagłówek 4 2 2 2 2 3 2 2" xfId="23776" xr:uid="{00000000-0005-0000-0000-0000A55C0000}"/>
    <cellStyle name="Nagłówek 4 2 2 2 2 3 2 3" xfId="23777" xr:uid="{00000000-0005-0000-0000-0000A65C0000}"/>
    <cellStyle name="Nagłówek 4 2 2 2 2 3 2 4" xfId="23778" xr:uid="{00000000-0005-0000-0000-0000A75C0000}"/>
    <cellStyle name="Nagłówek 4 2 2 2 2 3 2 5" xfId="23779" xr:uid="{00000000-0005-0000-0000-0000A85C0000}"/>
    <cellStyle name="Nagłówek 4 2 2 2 2 3 2 6" xfId="23780" xr:uid="{00000000-0005-0000-0000-0000A95C0000}"/>
    <cellStyle name="Nagłówek 4 2 2 2 2 3 3" xfId="23781" xr:uid="{00000000-0005-0000-0000-0000AA5C0000}"/>
    <cellStyle name="Nagłówek 4 2 2 2 2 3 4" xfId="23782" xr:uid="{00000000-0005-0000-0000-0000AB5C0000}"/>
    <cellStyle name="Nagłówek 4 2 2 2 2 3 5" xfId="23783" xr:uid="{00000000-0005-0000-0000-0000AC5C0000}"/>
    <cellStyle name="Nagłówek 4 2 2 2 2 3 6" xfId="23784" xr:uid="{00000000-0005-0000-0000-0000AD5C0000}"/>
    <cellStyle name="Nagłówek 4 2 2 2 2 3 7" xfId="23785" xr:uid="{00000000-0005-0000-0000-0000AE5C0000}"/>
    <cellStyle name="Nagłówek 4 2 2 2 2 4" xfId="23786" xr:uid="{00000000-0005-0000-0000-0000AF5C0000}"/>
    <cellStyle name="Nagłówek 4 2 2 2 2 5" xfId="23787" xr:uid="{00000000-0005-0000-0000-0000B05C0000}"/>
    <cellStyle name="Nagłówek 4 2 2 2 2 6" xfId="23788" xr:uid="{00000000-0005-0000-0000-0000B15C0000}"/>
    <cellStyle name="Nagłówek 4 2 2 2 2 7" xfId="23789" xr:uid="{00000000-0005-0000-0000-0000B25C0000}"/>
    <cellStyle name="Nagłówek 4 2 2 2 2 8" xfId="23790" xr:uid="{00000000-0005-0000-0000-0000B35C0000}"/>
    <cellStyle name="Nagłówek 4 2 2 2 2 8 2" xfId="23791" xr:uid="{00000000-0005-0000-0000-0000B45C0000}"/>
    <cellStyle name="Nagłówek 4 2 2 2 2 8 3" xfId="23792" xr:uid="{00000000-0005-0000-0000-0000B55C0000}"/>
    <cellStyle name="Nagłówek 4 2 2 2 2 8 4" xfId="23793" xr:uid="{00000000-0005-0000-0000-0000B65C0000}"/>
    <cellStyle name="Nagłówek 4 2 2 2 2 8 5" xfId="23794" xr:uid="{00000000-0005-0000-0000-0000B75C0000}"/>
    <cellStyle name="Nagłówek 4 2 2 2 2 8 6" xfId="23795" xr:uid="{00000000-0005-0000-0000-0000B85C0000}"/>
    <cellStyle name="Nagłówek 4 2 2 2 2 9" xfId="23796" xr:uid="{00000000-0005-0000-0000-0000B95C0000}"/>
    <cellStyle name="Nagłówek 4 2 2 2 3" xfId="23797" xr:uid="{00000000-0005-0000-0000-0000BA5C0000}"/>
    <cellStyle name="Nagłówek 4 2 2 2 4" xfId="23798" xr:uid="{00000000-0005-0000-0000-0000BB5C0000}"/>
    <cellStyle name="Nagłówek 4 2 2 2 4 10" xfId="23799" xr:uid="{00000000-0005-0000-0000-0000BC5C0000}"/>
    <cellStyle name="Nagłówek 4 2 2 2 4 11" xfId="23800" xr:uid="{00000000-0005-0000-0000-0000BD5C0000}"/>
    <cellStyle name="Nagłówek 4 2 2 2 4 2" xfId="23801" xr:uid="{00000000-0005-0000-0000-0000BE5C0000}"/>
    <cellStyle name="Nagłówek 4 2 2 2 4 2 2" xfId="23802" xr:uid="{00000000-0005-0000-0000-0000BF5C0000}"/>
    <cellStyle name="Nagłówek 4 2 2 2 4 2 2 2" xfId="23803" xr:uid="{00000000-0005-0000-0000-0000C05C0000}"/>
    <cellStyle name="Nagłówek 4 2 2 2 4 2 2 3" xfId="23804" xr:uid="{00000000-0005-0000-0000-0000C15C0000}"/>
    <cellStyle name="Nagłówek 4 2 2 2 4 2 2 4" xfId="23805" xr:uid="{00000000-0005-0000-0000-0000C25C0000}"/>
    <cellStyle name="Nagłówek 4 2 2 2 4 2 2 5" xfId="23806" xr:uid="{00000000-0005-0000-0000-0000C35C0000}"/>
    <cellStyle name="Nagłówek 4 2 2 2 4 2 2 6" xfId="23807" xr:uid="{00000000-0005-0000-0000-0000C45C0000}"/>
    <cellStyle name="Nagłówek 4 2 2 2 4 2 3" xfId="23808" xr:uid="{00000000-0005-0000-0000-0000C55C0000}"/>
    <cellStyle name="Nagłówek 4 2 2 2 4 2 4" xfId="23809" xr:uid="{00000000-0005-0000-0000-0000C65C0000}"/>
    <cellStyle name="Nagłówek 4 2 2 2 4 2 5" xfId="23810" xr:uid="{00000000-0005-0000-0000-0000C75C0000}"/>
    <cellStyle name="Nagłówek 4 2 2 2 4 2 6" xfId="23811" xr:uid="{00000000-0005-0000-0000-0000C85C0000}"/>
    <cellStyle name="Nagłówek 4 2 2 2 4 2 7" xfId="23812" xr:uid="{00000000-0005-0000-0000-0000C95C0000}"/>
    <cellStyle name="Nagłówek 4 2 2 2 4 3" xfId="23813" xr:uid="{00000000-0005-0000-0000-0000CA5C0000}"/>
    <cellStyle name="Nagłówek 4 2 2 2 4 4" xfId="23814" xr:uid="{00000000-0005-0000-0000-0000CB5C0000}"/>
    <cellStyle name="Nagłówek 4 2 2 2 4 5" xfId="23815" xr:uid="{00000000-0005-0000-0000-0000CC5C0000}"/>
    <cellStyle name="Nagłówek 4 2 2 2 4 6" xfId="23816" xr:uid="{00000000-0005-0000-0000-0000CD5C0000}"/>
    <cellStyle name="Nagłówek 4 2 2 2 4 7" xfId="23817" xr:uid="{00000000-0005-0000-0000-0000CE5C0000}"/>
    <cellStyle name="Nagłówek 4 2 2 2 4 7 2" xfId="23818" xr:uid="{00000000-0005-0000-0000-0000CF5C0000}"/>
    <cellStyle name="Nagłówek 4 2 2 2 4 7 3" xfId="23819" xr:uid="{00000000-0005-0000-0000-0000D05C0000}"/>
    <cellStyle name="Nagłówek 4 2 2 2 4 7 4" xfId="23820" xr:uid="{00000000-0005-0000-0000-0000D15C0000}"/>
    <cellStyle name="Nagłówek 4 2 2 2 4 7 5" xfId="23821" xr:uid="{00000000-0005-0000-0000-0000D25C0000}"/>
    <cellStyle name="Nagłówek 4 2 2 2 4 7 6" xfId="23822" xr:uid="{00000000-0005-0000-0000-0000D35C0000}"/>
    <cellStyle name="Nagłówek 4 2 2 2 4 8" xfId="23823" xr:uid="{00000000-0005-0000-0000-0000D45C0000}"/>
    <cellStyle name="Nagłówek 4 2 2 2 4 9" xfId="23824" xr:uid="{00000000-0005-0000-0000-0000D55C0000}"/>
    <cellStyle name="Nagłówek 4 2 2 2 5" xfId="23825" xr:uid="{00000000-0005-0000-0000-0000D65C0000}"/>
    <cellStyle name="Nagłówek 4 2 2 2 5 2" xfId="23826" xr:uid="{00000000-0005-0000-0000-0000D75C0000}"/>
    <cellStyle name="Nagłówek 4 2 2 2 5 2 2" xfId="23827" xr:uid="{00000000-0005-0000-0000-0000D85C0000}"/>
    <cellStyle name="Nagłówek 4 2 2 2 5 2 3" xfId="23828" xr:uid="{00000000-0005-0000-0000-0000D95C0000}"/>
    <cellStyle name="Nagłówek 4 2 2 2 5 2 4" xfId="23829" xr:uid="{00000000-0005-0000-0000-0000DA5C0000}"/>
    <cellStyle name="Nagłówek 4 2 2 2 5 2 5" xfId="23830" xr:uid="{00000000-0005-0000-0000-0000DB5C0000}"/>
    <cellStyle name="Nagłówek 4 2 2 2 5 2 6" xfId="23831" xr:uid="{00000000-0005-0000-0000-0000DC5C0000}"/>
    <cellStyle name="Nagłówek 4 2 2 2 5 3" xfId="23832" xr:uid="{00000000-0005-0000-0000-0000DD5C0000}"/>
    <cellStyle name="Nagłówek 4 2 2 2 5 4" xfId="23833" xr:uid="{00000000-0005-0000-0000-0000DE5C0000}"/>
    <cellStyle name="Nagłówek 4 2 2 2 5 5" xfId="23834" xr:uid="{00000000-0005-0000-0000-0000DF5C0000}"/>
    <cellStyle name="Nagłówek 4 2 2 2 5 6" xfId="23835" xr:uid="{00000000-0005-0000-0000-0000E05C0000}"/>
    <cellStyle name="Nagłówek 4 2 2 2 5 7" xfId="23836" xr:uid="{00000000-0005-0000-0000-0000E15C0000}"/>
    <cellStyle name="Nagłówek 4 2 2 2 6" xfId="23837" xr:uid="{00000000-0005-0000-0000-0000E25C0000}"/>
    <cellStyle name="Nagłówek 4 2 2 2 7" xfId="23838" xr:uid="{00000000-0005-0000-0000-0000E35C0000}"/>
    <cellStyle name="Nagłówek 4 2 2 2 8" xfId="23839" xr:uid="{00000000-0005-0000-0000-0000E45C0000}"/>
    <cellStyle name="Nagłówek 4 2 2 2 9" xfId="23840" xr:uid="{00000000-0005-0000-0000-0000E55C0000}"/>
    <cellStyle name="Nagłówek 4 2 2 2 9 2" xfId="23841" xr:uid="{00000000-0005-0000-0000-0000E65C0000}"/>
    <cellStyle name="Nagłówek 4 2 2 2 9 3" xfId="23842" xr:uid="{00000000-0005-0000-0000-0000E75C0000}"/>
    <cellStyle name="Nagłówek 4 2 2 2 9 4" xfId="23843" xr:uid="{00000000-0005-0000-0000-0000E85C0000}"/>
    <cellStyle name="Nagłówek 4 2 2 2 9 5" xfId="23844" xr:uid="{00000000-0005-0000-0000-0000E95C0000}"/>
    <cellStyle name="Nagłówek 4 2 2 2 9 6" xfId="23845" xr:uid="{00000000-0005-0000-0000-0000EA5C0000}"/>
    <cellStyle name="Nagłówek 4 2 2 20" xfId="23846" xr:uid="{00000000-0005-0000-0000-0000EB5C0000}"/>
    <cellStyle name="Nagłówek 4 2 2 3" xfId="23847" xr:uid="{00000000-0005-0000-0000-0000EC5C0000}"/>
    <cellStyle name="Nagłówek 4 2 2 4" xfId="23848" xr:uid="{00000000-0005-0000-0000-0000ED5C0000}"/>
    <cellStyle name="Nagłówek 4 2 2 5" xfId="23849" xr:uid="{00000000-0005-0000-0000-0000EE5C0000}"/>
    <cellStyle name="Nagłówek 4 2 2 6" xfId="23850" xr:uid="{00000000-0005-0000-0000-0000EF5C0000}"/>
    <cellStyle name="Nagłówek 4 2 2 7" xfId="23851" xr:uid="{00000000-0005-0000-0000-0000F05C0000}"/>
    <cellStyle name="Nagłówek 4 2 2 8" xfId="23852" xr:uid="{00000000-0005-0000-0000-0000F15C0000}"/>
    <cellStyle name="Nagłówek 4 2 2 9" xfId="23853" xr:uid="{00000000-0005-0000-0000-0000F25C0000}"/>
    <cellStyle name="Nagłówek 4 2 3" xfId="23854" xr:uid="{00000000-0005-0000-0000-0000F35C0000}"/>
    <cellStyle name="Nagłówek 4 2 4" xfId="23855" xr:uid="{00000000-0005-0000-0000-0000F45C0000}"/>
    <cellStyle name="Nagłówek 4 2 5" xfId="23856" xr:uid="{00000000-0005-0000-0000-0000F55C0000}"/>
    <cellStyle name="Nagłówek 4 2 6" xfId="23857" xr:uid="{00000000-0005-0000-0000-0000F65C0000}"/>
    <cellStyle name="Nagłówek 4 2 6 10" xfId="23858" xr:uid="{00000000-0005-0000-0000-0000F75C0000}"/>
    <cellStyle name="Nagłówek 4 2 6 11" xfId="23859" xr:uid="{00000000-0005-0000-0000-0000F85C0000}"/>
    <cellStyle name="Nagłówek 4 2 6 12" xfId="23860" xr:uid="{00000000-0005-0000-0000-0000F95C0000}"/>
    <cellStyle name="Nagłówek 4 2 6 13" xfId="23861" xr:uid="{00000000-0005-0000-0000-0000FA5C0000}"/>
    <cellStyle name="Nagłówek 4 2 6 2" xfId="23862" xr:uid="{00000000-0005-0000-0000-0000FB5C0000}"/>
    <cellStyle name="Nagłówek 4 2 6 2 10" xfId="23863" xr:uid="{00000000-0005-0000-0000-0000FC5C0000}"/>
    <cellStyle name="Nagłówek 4 2 6 2 11" xfId="23864" xr:uid="{00000000-0005-0000-0000-0000FD5C0000}"/>
    <cellStyle name="Nagłówek 4 2 6 2 12" xfId="23865" xr:uid="{00000000-0005-0000-0000-0000FE5C0000}"/>
    <cellStyle name="Nagłówek 4 2 6 2 13" xfId="23866" xr:uid="{00000000-0005-0000-0000-0000FF5C0000}"/>
    <cellStyle name="Nagłówek 4 2 6 2 2" xfId="23867" xr:uid="{00000000-0005-0000-0000-0000005D0000}"/>
    <cellStyle name="Nagłówek 4 2 6 2 2 10" xfId="23868" xr:uid="{00000000-0005-0000-0000-0000015D0000}"/>
    <cellStyle name="Nagłówek 4 2 6 2 2 11" xfId="23869" xr:uid="{00000000-0005-0000-0000-0000025D0000}"/>
    <cellStyle name="Nagłówek 4 2 6 2 2 12" xfId="23870" xr:uid="{00000000-0005-0000-0000-0000035D0000}"/>
    <cellStyle name="Nagłówek 4 2 6 2 2 2" xfId="23871" xr:uid="{00000000-0005-0000-0000-0000045D0000}"/>
    <cellStyle name="Nagłówek 4 2 6 2 2 2 10" xfId="23872" xr:uid="{00000000-0005-0000-0000-0000055D0000}"/>
    <cellStyle name="Nagłówek 4 2 6 2 2 2 11" xfId="23873" xr:uid="{00000000-0005-0000-0000-0000065D0000}"/>
    <cellStyle name="Nagłówek 4 2 6 2 2 2 2" xfId="23874" xr:uid="{00000000-0005-0000-0000-0000075D0000}"/>
    <cellStyle name="Nagłówek 4 2 6 2 2 2 2 10" xfId="23875" xr:uid="{00000000-0005-0000-0000-0000085D0000}"/>
    <cellStyle name="Nagłówek 4 2 6 2 2 2 2 11" xfId="23876" xr:uid="{00000000-0005-0000-0000-0000095D0000}"/>
    <cellStyle name="Nagłówek 4 2 6 2 2 2 2 2" xfId="23877" xr:uid="{00000000-0005-0000-0000-00000A5D0000}"/>
    <cellStyle name="Nagłówek 4 2 6 2 2 2 2 2 2" xfId="23878" xr:uid="{00000000-0005-0000-0000-00000B5D0000}"/>
    <cellStyle name="Nagłówek 4 2 6 2 2 2 2 2 2 2" xfId="23879" xr:uid="{00000000-0005-0000-0000-00000C5D0000}"/>
    <cellStyle name="Nagłówek 4 2 6 2 2 2 2 2 2 3" xfId="23880" xr:uid="{00000000-0005-0000-0000-00000D5D0000}"/>
    <cellStyle name="Nagłówek 4 2 6 2 2 2 2 2 2 4" xfId="23881" xr:uid="{00000000-0005-0000-0000-00000E5D0000}"/>
    <cellStyle name="Nagłówek 4 2 6 2 2 2 2 2 2 5" xfId="23882" xr:uid="{00000000-0005-0000-0000-00000F5D0000}"/>
    <cellStyle name="Nagłówek 4 2 6 2 2 2 2 2 2 6" xfId="23883" xr:uid="{00000000-0005-0000-0000-0000105D0000}"/>
    <cellStyle name="Nagłówek 4 2 6 2 2 2 2 2 3" xfId="23884" xr:uid="{00000000-0005-0000-0000-0000115D0000}"/>
    <cellStyle name="Nagłówek 4 2 6 2 2 2 2 2 4" xfId="23885" xr:uid="{00000000-0005-0000-0000-0000125D0000}"/>
    <cellStyle name="Nagłówek 4 2 6 2 2 2 2 2 5" xfId="23886" xr:uid="{00000000-0005-0000-0000-0000135D0000}"/>
    <cellStyle name="Nagłówek 4 2 6 2 2 2 2 2 6" xfId="23887" xr:uid="{00000000-0005-0000-0000-0000145D0000}"/>
    <cellStyle name="Nagłówek 4 2 6 2 2 2 2 2 7" xfId="23888" xr:uid="{00000000-0005-0000-0000-0000155D0000}"/>
    <cellStyle name="Nagłówek 4 2 6 2 2 2 2 3" xfId="23889" xr:uid="{00000000-0005-0000-0000-0000165D0000}"/>
    <cellStyle name="Nagłówek 4 2 6 2 2 2 2 4" xfId="23890" xr:uid="{00000000-0005-0000-0000-0000175D0000}"/>
    <cellStyle name="Nagłówek 4 2 6 2 2 2 2 5" xfId="23891" xr:uid="{00000000-0005-0000-0000-0000185D0000}"/>
    <cellStyle name="Nagłówek 4 2 6 2 2 2 2 6" xfId="23892" xr:uid="{00000000-0005-0000-0000-0000195D0000}"/>
    <cellStyle name="Nagłówek 4 2 6 2 2 2 2 7" xfId="23893" xr:uid="{00000000-0005-0000-0000-00001A5D0000}"/>
    <cellStyle name="Nagłówek 4 2 6 2 2 2 2 7 2" xfId="23894" xr:uid="{00000000-0005-0000-0000-00001B5D0000}"/>
    <cellStyle name="Nagłówek 4 2 6 2 2 2 2 7 3" xfId="23895" xr:uid="{00000000-0005-0000-0000-00001C5D0000}"/>
    <cellStyle name="Nagłówek 4 2 6 2 2 2 2 7 4" xfId="23896" xr:uid="{00000000-0005-0000-0000-00001D5D0000}"/>
    <cellStyle name="Nagłówek 4 2 6 2 2 2 2 7 5" xfId="23897" xr:uid="{00000000-0005-0000-0000-00001E5D0000}"/>
    <cellStyle name="Nagłówek 4 2 6 2 2 2 2 7 6" xfId="23898" xr:uid="{00000000-0005-0000-0000-00001F5D0000}"/>
    <cellStyle name="Nagłówek 4 2 6 2 2 2 2 8" xfId="23899" xr:uid="{00000000-0005-0000-0000-0000205D0000}"/>
    <cellStyle name="Nagłówek 4 2 6 2 2 2 2 9" xfId="23900" xr:uid="{00000000-0005-0000-0000-0000215D0000}"/>
    <cellStyle name="Nagłówek 4 2 6 2 2 2 3" xfId="23901" xr:uid="{00000000-0005-0000-0000-0000225D0000}"/>
    <cellStyle name="Nagłówek 4 2 6 2 2 2 3 2" xfId="23902" xr:uid="{00000000-0005-0000-0000-0000235D0000}"/>
    <cellStyle name="Nagłówek 4 2 6 2 2 2 3 2 2" xfId="23903" xr:uid="{00000000-0005-0000-0000-0000245D0000}"/>
    <cellStyle name="Nagłówek 4 2 6 2 2 2 3 2 3" xfId="23904" xr:uid="{00000000-0005-0000-0000-0000255D0000}"/>
    <cellStyle name="Nagłówek 4 2 6 2 2 2 3 2 4" xfId="23905" xr:uid="{00000000-0005-0000-0000-0000265D0000}"/>
    <cellStyle name="Nagłówek 4 2 6 2 2 2 3 2 5" xfId="23906" xr:uid="{00000000-0005-0000-0000-0000275D0000}"/>
    <cellStyle name="Nagłówek 4 2 6 2 2 2 3 2 6" xfId="23907" xr:uid="{00000000-0005-0000-0000-0000285D0000}"/>
    <cellStyle name="Nagłówek 4 2 6 2 2 2 3 3" xfId="23908" xr:uid="{00000000-0005-0000-0000-0000295D0000}"/>
    <cellStyle name="Nagłówek 4 2 6 2 2 2 3 4" xfId="23909" xr:uid="{00000000-0005-0000-0000-00002A5D0000}"/>
    <cellStyle name="Nagłówek 4 2 6 2 2 2 3 5" xfId="23910" xr:uid="{00000000-0005-0000-0000-00002B5D0000}"/>
    <cellStyle name="Nagłówek 4 2 6 2 2 2 3 6" xfId="23911" xr:uid="{00000000-0005-0000-0000-00002C5D0000}"/>
    <cellStyle name="Nagłówek 4 2 6 2 2 2 3 7" xfId="23912" xr:uid="{00000000-0005-0000-0000-00002D5D0000}"/>
    <cellStyle name="Nagłówek 4 2 6 2 2 2 4" xfId="23913" xr:uid="{00000000-0005-0000-0000-00002E5D0000}"/>
    <cellStyle name="Nagłówek 4 2 6 2 2 2 5" xfId="23914" xr:uid="{00000000-0005-0000-0000-00002F5D0000}"/>
    <cellStyle name="Nagłówek 4 2 6 2 2 2 6" xfId="23915" xr:uid="{00000000-0005-0000-0000-0000305D0000}"/>
    <cellStyle name="Nagłówek 4 2 6 2 2 2 7" xfId="23916" xr:uid="{00000000-0005-0000-0000-0000315D0000}"/>
    <cellStyle name="Nagłówek 4 2 6 2 2 2 7 2" xfId="23917" xr:uid="{00000000-0005-0000-0000-0000325D0000}"/>
    <cellStyle name="Nagłówek 4 2 6 2 2 2 7 3" xfId="23918" xr:uid="{00000000-0005-0000-0000-0000335D0000}"/>
    <cellStyle name="Nagłówek 4 2 6 2 2 2 7 4" xfId="23919" xr:uid="{00000000-0005-0000-0000-0000345D0000}"/>
    <cellStyle name="Nagłówek 4 2 6 2 2 2 7 5" xfId="23920" xr:uid="{00000000-0005-0000-0000-0000355D0000}"/>
    <cellStyle name="Nagłówek 4 2 6 2 2 2 7 6" xfId="23921" xr:uid="{00000000-0005-0000-0000-0000365D0000}"/>
    <cellStyle name="Nagłówek 4 2 6 2 2 2 8" xfId="23922" xr:uid="{00000000-0005-0000-0000-0000375D0000}"/>
    <cellStyle name="Nagłówek 4 2 6 2 2 2 9" xfId="23923" xr:uid="{00000000-0005-0000-0000-0000385D0000}"/>
    <cellStyle name="Nagłówek 4 2 6 2 2 3" xfId="23924" xr:uid="{00000000-0005-0000-0000-0000395D0000}"/>
    <cellStyle name="Nagłówek 4 2 6 2 2 3 2" xfId="23925" xr:uid="{00000000-0005-0000-0000-00003A5D0000}"/>
    <cellStyle name="Nagłówek 4 2 6 2 2 3 2 2" xfId="23926" xr:uid="{00000000-0005-0000-0000-00003B5D0000}"/>
    <cellStyle name="Nagłówek 4 2 6 2 2 3 2 3" xfId="23927" xr:uid="{00000000-0005-0000-0000-00003C5D0000}"/>
    <cellStyle name="Nagłówek 4 2 6 2 2 3 2 4" xfId="23928" xr:uid="{00000000-0005-0000-0000-00003D5D0000}"/>
    <cellStyle name="Nagłówek 4 2 6 2 2 3 2 5" xfId="23929" xr:uid="{00000000-0005-0000-0000-00003E5D0000}"/>
    <cellStyle name="Nagłówek 4 2 6 2 2 3 2 6" xfId="23930" xr:uid="{00000000-0005-0000-0000-00003F5D0000}"/>
    <cellStyle name="Nagłówek 4 2 6 2 2 3 3" xfId="23931" xr:uid="{00000000-0005-0000-0000-0000405D0000}"/>
    <cellStyle name="Nagłówek 4 2 6 2 2 3 4" xfId="23932" xr:uid="{00000000-0005-0000-0000-0000415D0000}"/>
    <cellStyle name="Nagłówek 4 2 6 2 2 3 5" xfId="23933" xr:uid="{00000000-0005-0000-0000-0000425D0000}"/>
    <cellStyle name="Nagłówek 4 2 6 2 2 3 6" xfId="23934" xr:uid="{00000000-0005-0000-0000-0000435D0000}"/>
    <cellStyle name="Nagłówek 4 2 6 2 2 3 7" xfId="23935" xr:uid="{00000000-0005-0000-0000-0000445D0000}"/>
    <cellStyle name="Nagłówek 4 2 6 2 2 4" xfId="23936" xr:uid="{00000000-0005-0000-0000-0000455D0000}"/>
    <cellStyle name="Nagłówek 4 2 6 2 2 5" xfId="23937" xr:uid="{00000000-0005-0000-0000-0000465D0000}"/>
    <cellStyle name="Nagłówek 4 2 6 2 2 6" xfId="23938" xr:uid="{00000000-0005-0000-0000-0000475D0000}"/>
    <cellStyle name="Nagłówek 4 2 6 2 2 7" xfId="23939" xr:uid="{00000000-0005-0000-0000-0000485D0000}"/>
    <cellStyle name="Nagłówek 4 2 6 2 2 8" xfId="23940" xr:uid="{00000000-0005-0000-0000-0000495D0000}"/>
    <cellStyle name="Nagłówek 4 2 6 2 2 8 2" xfId="23941" xr:uid="{00000000-0005-0000-0000-00004A5D0000}"/>
    <cellStyle name="Nagłówek 4 2 6 2 2 8 3" xfId="23942" xr:uid="{00000000-0005-0000-0000-00004B5D0000}"/>
    <cellStyle name="Nagłówek 4 2 6 2 2 8 4" xfId="23943" xr:uid="{00000000-0005-0000-0000-00004C5D0000}"/>
    <cellStyle name="Nagłówek 4 2 6 2 2 8 5" xfId="23944" xr:uid="{00000000-0005-0000-0000-00004D5D0000}"/>
    <cellStyle name="Nagłówek 4 2 6 2 2 8 6" xfId="23945" xr:uid="{00000000-0005-0000-0000-00004E5D0000}"/>
    <cellStyle name="Nagłówek 4 2 6 2 2 9" xfId="23946" xr:uid="{00000000-0005-0000-0000-00004F5D0000}"/>
    <cellStyle name="Nagłówek 4 2 6 2 3" xfId="23947" xr:uid="{00000000-0005-0000-0000-0000505D0000}"/>
    <cellStyle name="Nagłówek 4 2 6 2 4" xfId="23948" xr:uid="{00000000-0005-0000-0000-0000515D0000}"/>
    <cellStyle name="Nagłówek 4 2 6 2 4 10" xfId="23949" xr:uid="{00000000-0005-0000-0000-0000525D0000}"/>
    <cellStyle name="Nagłówek 4 2 6 2 4 11" xfId="23950" xr:uid="{00000000-0005-0000-0000-0000535D0000}"/>
    <cellStyle name="Nagłówek 4 2 6 2 4 2" xfId="23951" xr:uid="{00000000-0005-0000-0000-0000545D0000}"/>
    <cellStyle name="Nagłówek 4 2 6 2 4 2 2" xfId="23952" xr:uid="{00000000-0005-0000-0000-0000555D0000}"/>
    <cellStyle name="Nagłówek 4 2 6 2 4 2 2 2" xfId="23953" xr:uid="{00000000-0005-0000-0000-0000565D0000}"/>
    <cellStyle name="Nagłówek 4 2 6 2 4 2 2 3" xfId="23954" xr:uid="{00000000-0005-0000-0000-0000575D0000}"/>
    <cellStyle name="Nagłówek 4 2 6 2 4 2 2 4" xfId="23955" xr:uid="{00000000-0005-0000-0000-0000585D0000}"/>
    <cellStyle name="Nagłówek 4 2 6 2 4 2 2 5" xfId="23956" xr:uid="{00000000-0005-0000-0000-0000595D0000}"/>
    <cellStyle name="Nagłówek 4 2 6 2 4 2 2 6" xfId="23957" xr:uid="{00000000-0005-0000-0000-00005A5D0000}"/>
    <cellStyle name="Nagłówek 4 2 6 2 4 2 3" xfId="23958" xr:uid="{00000000-0005-0000-0000-00005B5D0000}"/>
    <cellStyle name="Nagłówek 4 2 6 2 4 2 4" xfId="23959" xr:uid="{00000000-0005-0000-0000-00005C5D0000}"/>
    <cellStyle name="Nagłówek 4 2 6 2 4 2 5" xfId="23960" xr:uid="{00000000-0005-0000-0000-00005D5D0000}"/>
    <cellStyle name="Nagłówek 4 2 6 2 4 2 6" xfId="23961" xr:uid="{00000000-0005-0000-0000-00005E5D0000}"/>
    <cellStyle name="Nagłówek 4 2 6 2 4 2 7" xfId="23962" xr:uid="{00000000-0005-0000-0000-00005F5D0000}"/>
    <cellStyle name="Nagłówek 4 2 6 2 4 3" xfId="23963" xr:uid="{00000000-0005-0000-0000-0000605D0000}"/>
    <cellStyle name="Nagłówek 4 2 6 2 4 4" xfId="23964" xr:uid="{00000000-0005-0000-0000-0000615D0000}"/>
    <cellStyle name="Nagłówek 4 2 6 2 4 5" xfId="23965" xr:uid="{00000000-0005-0000-0000-0000625D0000}"/>
    <cellStyle name="Nagłówek 4 2 6 2 4 6" xfId="23966" xr:uid="{00000000-0005-0000-0000-0000635D0000}"/>
    <cellStyle name="Nagłówek 4 2 6 2 4 7" xfId="23967" xr:uid="{00000000-0005-0000-0000-0000645D0000}"/>
    <cellStyle name="Nagłówek 4 2 6 2 4 7 2" xfId="23968" xr:uid="{00000000-0005-0000-0000-0000655D0000}"/>
    <cellStyle name="Nagłówek 4 2 6 2 4 7 3" xfId="23969" xr:uid="{00000000-0005-0000-0000-0000665D0000}"/>
    <cellStyle name="Nagłówek 4 2 6 2 4 7 4" xfId="23970" xr:uid="{00000000-0005-0000-0000-0000675D0000}"/>
    <cellStyle name="Nagłówek 4 2 6 2 4 7 5" xfId="23971" xr:uid="{00000000-0005-0000-0000-0000685D0000}"/>
    <cellStyle name="Nagłówek 4 2 6 2 4 7 6" xfId="23972" xr:uid="{00000000-0005-0000-0000-0000695D0000}"/>
    <cellStyle name="Nagłówek 4 2 6 2 4 8" xfId="23973" xr:uid="{00000000-0005-0000-0000-00006A5D0000}"/>
    <cellStyle name="Nagłówek 4 2 6 2 4 9" xfId="23974" xr:uid="{00000000-0005-0000-0000-00006B5D0000}"/>
    <cellStyle name="Nagłówek 4 2 6 2 5" xfId="23975" xr:uid="{00000000-0005-0000-0000-00006C5D0000}"/>
    <cellStyle name="Nagłówek 4 2 6 2 5 2" xfId="23976" xr:uid="{00000000-0005-0000-0000-00006D5D0000}"/>
    <cellStyle name="Nagłówek 4 2 6 2 5 2 2" xfId="23977" xr:uid="{00000000-0005-0000-0000-00006E5D0000}"/>
    <cellStyle name="Nagłówek 4 2 6 2 5 2 3" xfId="23978" xr:uid="{00000000-0005-0000-0000-00006F5D0000}"/>
    <cellStyle name="Nagłówek 4 2 6 2 5 2 4" xfId="23979" xr:uid="{00000000-0005-0000-0000-0000705D0000}"/>
    <cellStyle name="Nagłówek 4 2 6 2 5 2 5" xfId="23980" xr:uid="{00000000-0005-0000-0000-0000715D0000}"/>
    <cellStyle name="Nagłówek 4 2 6 2 5 2 6" xfId="23981" xr:uid="{00000000-0005-0000-0000-0000725D0000}"/>
    <cellStyle name="Nagłówek 4 2 6 2 5 3" xfId="23982" xr:uid="{00000000-0005-0000-0000-0000735D0000}"/>
    <cellStyle name="Nagłówek 4 2 6 2 5 4" xfId="23983" xr:uid="{00000000-0005-0000-0000-0000745D0000}"/>
    <cellStyle name="Nagłówek 4 2 6 2 5 5" xfId="23984" xr:uid="{00000000-0005-0000-0000-0000755D0000}"/>
    <cellStyle name="Nagłówek 4 2 6 2 5 6" xfId="23985" xr:uid="{00000000-0005-0000-0000-0000765D0000}"/>
    <cellStyle name="Nagłówek 4 2 6 2 5 7" xfId="23986" xr:uid="{00000000-0005-0000-0000-0000775D0000}"/>
    <cellStyle name="Nagłówek 4 2 6 2 6" xfId="23987" xr:uid="{00000000-0005-0000-0000-0000785D0000}"/>
    <cellStyle name="Nagłówek 4 2 6 2 7" xfId="23988" xr:uid="{00000000-0005-0000-0000-0000795D0000}"/>
    <cellStyle name="Nagłówek 4 2 6 2 8" xfId="23989" xr:uid="{00000000-0005-0000-0000-00007A5D0000}"/>
    <cellStyle name="Nagłówek 4 2 6 2 9" xfId="23990" xr:uid="{00000000-0005-0000-0000-00007B5D0000}"/>
    <cellStyle name="Nagłówek 4 2 6 2 9 2" xfId="23991" xr:uid="{00000000-0005-0000-0000-00007C5D0000}"/>
    <cellStyle name="Nagłówek 4 2 6 2 9 3" xfId="23992" xr:uid="{00000000-0005-0000-0000-00007D5D0000}"/>
    <cellStyle name="Nagłówek 4 2 6 2 9 4" xfId="23993" xr:uid="{00000000-0005-0000-0000-00007E5D0000}"/>
    <cellStyle name="Nagłówek 4 2 6 2 9 5" xfId="23994" xr:uid="{00000000-0005-0000-0000-00007F5D0000}"/>
    <cellStyle name="Nagłówek 4 2 6 2 9 6" xfId="23995" xr:uid="{00000000-0005-0000-0000-0000805D0000}"/>
    <cellStyle name="Nagłówek 4 2 6 3" xfId="23996" xr:uid="{00000000-0005-0000-0000-0000815D0000}"/>
    <cellStyle name="Nagłówek 4 2 6 3 10" xfId="23997" xr:uid="{00000000-0005-0000-0000-0000825D0000}"/>
    <cellStyle name="Nagłówek 4 2 6 3 11" xfId="23998" xr:uid="{00000000-0005-0000-0000-0000835D0000}"/>
    <cellStyle name="Nagłówek 4 2 6 3 12" xfId="23999" xr:uid="{00000000-0005-0000-0000-0000845D0000}"/>
    <cellStyle name="Nagłówek 4 2 6 3 2" xfId="24000" xr:uid="{00000000-0005-0000-0000-0000855D0000}"/>
    <cellStyle name="Nagłówek 4 2 6 3 2 10" xfId="24001" xr:uid="{00000000-0005-0000-0000-0000865D0000}"/>
    <cellStyle name="Nagłówek 4 2 6 3 2 11" xfId="24002" xr:uid="{00000000-0005-0000-0000-0000875D0000}"/>
    <cellStyle name="Nagłówek 4 2 6 3 2 2" xfId="24003" xr:uid="{00000000-0005-0000-0000-0000885D0000}"/>
    <cellStyle name="Nagłówek 4 2 6 3 2 2 10" xfId="24004" xr:uid="{00000000-0005-0000-0000-0000895D0000}"/>
    <cellStyle name="Nagłówek 4 2 6 3 2 2 11" xfId="24005" xr:uid="{00000000-0005-0000-0000-00008A5D0000}"/>
    <cellStyle name="Nagłówek 4 2 6 3 2 2 2" xfId="24006" xr:uid="{00000000-0005-0000-0000-00008B5D0000}"/>
    <cellStyle name="Nagłówek 4 2 6 3 2 2 2 2" xfId="24007" xr:uid="{00000000-0005-0000-0000-00008C5D0000}"/>
    <cellStyle name="Nagłówek 4 2 6 3 2 2 2 2 2" xfId="24008" xr:uid="{00000000-0005-0000-0000-00008D5D0000}"/>
    <cellStyle name="Nagłówek 4 2 6 3 2 2 2 2 3" xfId="24009" xr:uid="{00000000-0005-0000-0000-00008E5D0000}"/>
    <cellStyle name="Nagłówek 4 2 6 3 2 2 2 2 4" xfId="24010" xr:uid="{00000000-0005-0000-0000-00008F5D0000}"/>
    <cellStyle name="Nagłówek 4 2 6 3 2 2 2 2 5" xfId="24011" xr:uid="{00000000-0005-0000-0000-0000905D0000}"/>
    <cellStyle name="Nagłówek 4 2 6 3 2 2 2 2 6" xfId="24012" xr:uid="{00000000-0005-0000-0000-0000915D0000}"/>
    <cellStyle name="Nagłówek 4 2 6 3 2 2 2 3" xfId="24013" xr:uid="{00000000-0005-0000-0000-0000925D0000}"/>
    <cellStyle name="Nagłówek 4 2 6 3 2 2 2 4" xfId="24014" xr:uid="{00000000-0005-0000-0000-0000935D0000}"/>
    <cellStyle name="Nagłówek 4 2 6 3 2 2 2 5" xfId="24015" xr:uid="{00000000-0005-0000-0000-0000945D0000}"/>
    <cellStyle name="Nagłówek 4 2 6 3 2 2 2 6" xfId="24016" xr:uid="{00000000-0005-0000-0000-0000955D0000}"/>
    <cellStyle name="Nagłówek 4 2 6 3 2 2 2 7" xfId="24017" xr:uid="{00000000-0005-0000-0000-0000965D0000}"/>
    <cellStyle name="Nagłówek 4 2 6 3 2 2 3" xfId="24018" xr:uid="{00000000-0005-0000-0000-0000975D0000}"/>
    <cellStyle name="Nagłówek 4 2 6 3 2 2 4" xfId="24019" xr:uid="{00000000-0005-0000-0000-0000985D0000}"/>
    <cellStyle name="Nagłówek 4 2 6 3 2 2 5" xfId="24020" xr:uid="{00000000-0005-0000-0000-0000995D0000}"/>
    <cellStyle name="Nagłówek 4 2 6 3 2 2 6" xfId="24021" xr:uid="{00000000-0005-0000-0000-00009A5D0000}"/>
    <cellStyle name="Nagłówek 4 2 6 3 2 2 7" xfId="24022" xr:uid="{00000000-0005-0000-0000-00009B5D0000}"/>
    <cellStyle name="Nagłówek 4 2 6 3 2 2 7 2" xfId="24023" xr:uid="{00000000-0005-0000-0000-00009C5D0000}"/>
    <cellStyle name="Nagłówek 4 2 6 3 2 2 7 3" xfId="24024" xr:uid="{00000000-0005-0000-0000-00009D5D0000}"/>
    <cellStyle name="Nagłówek 4 2 6 3 2 2 7 4" xfId="24025" xr:uid="{00000000-0005-0000-0000-00009E5D0000}"/>
    <cellStyle name="Nagłówek 4 2 6 3 2 2 7 5" xfId="24026" xr:uid="{00000000-0005-0000-0000-00009F5D0000}"/>
    <cellStyle name="Nagłówek 4 2 6 3 2 2 7 6" xfId="24027" xr:uid="{00000000-0005-0000-0000-0000A05D0000}"/>
    <cellStyle name="Nagłówek 4 2 6 3 2 2 8" xfId="24028" xr:uid="{00000000-0005-0000-0000-0000A15D0000}"/>
    <cellStyle name="Nagłówek 4 2 6 3 2 2 9" xfId="24029" xr:uid="{00000000-0005-0000-0000-0000A25D0000}"/>
    <cellStyle name="Nagłówek 4 2 6 3 2 3" xfId="24030" xr:uid="{00000000-0005-0000-0000-0000A35D0000}"/>
    <cellStyle name="Nagłówek 4 2 6 3 2 3 2" xfId="24031" xr:uid="{00000000-0005-0000-0000-0000A45D0000}"/>
    <cellStyle name="Nagłówek 4 2 6 3 2 3 2 2" xfId="24032" xr:uid="{00000000-0005-0000-0000-0000A55D0000}"/>
    <cellStyle name="Nagłówek 4 2 6 3 2 3 2 3" xfId="24033" xr:uid="{00000000-0005-0000-0000-0000A65D0000}"/>
    <cellStyle name="Nagłówek 4 2 6 3 2 3 2 4" xfId="24034" xr:uid="{00000000-0005-0000-0000-0000A75D0000}"/>
    <cellStyle name="Nagłówek 4 2 6 3 2 3 2 5" xfId="24035" xr:uid="{00000000-0005-0000-0000-0000A85D0000}"/>
    <cellStyle name="Nagłówek 4 2 6 3 2 3 2 6" xfId="24036" xr:uid="{00000000-0005-0000-0000-0000A95D0000}"/>
    <cellStyle name="Nagłówek 4 2 6 3 2 3 3" xfId="24037" xr:uid="{00000000-0005-0000-0000-0000AA5D0000}"/>
    <cellStyle name="Nagłówek 4 2 6 3 2 3 4" xfId="24038" xr:uid="{00000000-0005-0000-0000-0000AB5D0000}"/>
    <cellStyle name="Nagłówek 4 2 6 3 2 3 5" xfId="24039" xr:uid="{00000000-0005-0000-0000-0000AC5D0000}"/>
    <cellStyle name="Nagłówek 4 2 6 3 2 3 6" xfId="24040" xr:uid="{00000000-0005-0000-0000-0000AD5D0000}"/>
    <cellStyle name="Nagłówek 4 2 6 3 2 3 7" xfId="24041" xr:uid="{00000000-0005-0000-0000-0000AE5D0000}"/>
    <cellStyle name="Nagłówek 4 2 6 3 2 4" xfId="24042" xr:uid="{00000000-0005-0000-0000-0000AF5D0000}"/>
    <cellStyle name="Nagłówek 4 2 6 3 2 5" xfId="24043" xr:uid="{00000000-0005-0000-0000-0000B05D0000}"/>
    <cellStyle name="Nagłówek 4 2 6 3 2 6" xfId="24044" xr:uid="{00000000-0005-0000-0000-0000B15D0000}"/>
    <cellStyle name="Nagłówek 4 2 6 3 2 7" xfId="24045" xr:uid="{00000000-0005-0000-0000-0000B25D0000}"/>
    <cellStyle name="Nagłówek 4 2 6 3 2 7 2" xfId="24046" xr:uid="{00000000-0005-0000-0000-0000B35D0000}"/>
    <cellStyle name="Nagłówek 4 2 6 3 2 7 3" xfId="24047" xr:uid="{00000000-0005-0000-0000-0000B45D0000}"/>
    <cellStyle name="Nagłówek 4 2 6 3 2 7 4" xfId="24048" xr:uid="{00000000-0005-0000-0000-0000B55D0000}"/>
    <cellStyle name="Nagłówek 4 2 6 3 2 7 5" xfId="24049" xr:uid="{00000000-0005-0000-0000-0000B65D0000}"/>
    <cellStyle name="Nagłówek 4 2 6 3 2 7 6" xfId="24050" xr:uid="{00000000-0005-0000-0000-0000B75D0000}"/>
    <cellStyle name="Nagłówek 4 2 6 3 2 8" xfId="24051" xr:uid="{00000000-0005-0000-0000-0000B85D0000}"/>
    <cellStyle name="Nagłówek 4 2 6 3 2 9" xfId="24052" xr:uid="{00000000-0005-0000-0000-0000B95D0000}"/>
    <cellStyle name="Nagłówek 4 2 6 3 3" xfId="24053" xr:uid="{00000000-0005-0000-0000-0000BA5D0000}"/>
    <cellStyle name="Nagłówek 4 2 6 3 3 2" xfId="24054" xr:uid="{00000000-0005-0000-0000-0000BB5D0000}"/>
    <cellStyle name="Nagłówek 4 2 6 3 3 2 2" xfId="24055" xr:uid="{00000000-0005-0000-0000-0000BC5D0000}"/>
    <cellStyle name="Nagłówek 4 2 6 3 3 2 3" xfId="24056" xr:uid="{00000000-0005-0000-0000-0000BD5D0000}"/>
    <cellStyle name="Nagłówek 4 2 6 3 3 2 4" xfId="24057" xr:uid="{00000000-0005-0000-0000-0000BE5D0000}"/>
    <cellStyle name="Nagłówek 4 2 6 3 3 2 5" xfId="24058" xr:uid="{00000000-0005-0000-0000-0000BF5D0000}"/>
    <cellStyle name="Nagłówek 4 2 6 3 3 2 6" xfId="24059" xr:uid="{00000000-0005-0000-0000-0000C05D0000}"/>
    <cellStyle name="Nagłówek 4 2 6 3 3 3" xfId="24060" xr:uid="{00000000-0005-0000-0000-0000C15D0000}"/>
    <cellStyle name="Nagłówek 4 2 6 3 3 4" xfId="24061" xr:uid="{00000000-0005-0000-0000-0000C25D0000}"/>
    <cellStyle name="Nagłówek 4 2 6 3 3 5" xfId="24062" xr:uid="{00000000-0005-0000-0000-0000C35D0000}"/>
    <cellStyle name="Nagłówek 4 2 6 3 3 6" xfId="24063" xr:uid="{00000000-0005-0000-0000-0000C45D0000}"/>
    <cellStyle name="Nagłówek 4 2 6 3 3 7" xfId="24064" xr:uid="{00000000-0005-0000-0000-0000C55D0000}"/>
    <cellStyle name="Nagłówek 4 2 6 3 4" xfId="24065" xr:uid="{00000000-0005-0000-0000-0000C65D0000}"/>
    <cellStyle name="Nagłówek 4 2 6 3 5" xfId="24066" xr:uid="{00000000-0005-0000-0000-0000C75D0000}"/>
    <cellStyle name="Nagłówek 4 2 6 3 6" xfId="24067" xr:uid="{00000000-0005-0000-0000-0000C85D0000}"/>
    <cellStyle name="Nagłówek 4 2 6 3 7" xfId="24068" xr:uid="{00000000-0005-0000-0000-0000C95D0000}"/>
    <cellStyle name="Nagłówek 4 2 6 3 8" xfId="24069" xr:uid="{00000000-0005-0000-0000-0000CA5D0000}"/>
    <cellStyle name="Nagłówek 4 2 6 3 8 2" xfId="24070" xr:uid="{00000000-0005-0000-0000-0000CB5D0000}"/>
    <cellStyle name="Nagłówek 4 2 6 3 8 3" xfId="24071" xr:uid="{00000000-0005-0000-0000-0000CC5D0000}"/>
    <cellStyle name="Nagłówek 4 2 6 3 8 4" xfId="24072" xr:uid="{00000000-0005-0000-0000-0000CD5D0000}"/>
    <cellStyle name="Nagłówek 4 2 6 3 8 5" xfId="24073" xr:uid="{00000000-0005-0000-0000-0000CE5D0000}"/>
    <cellStyle name="Nagłówek 4 2 6 3 8 6" xfId="24074" xr:uid="{00000000-0005-0000-0000-0000CF5D0000}"/>
    <cellStyle name="Nagłówek 4 2 6 3 9" xfId="24075" xr:uid="{00000000-0005-0000-0000-0000D05D0000}"/>
    <cellStyle name="Nagłówek 4 2 6 4" xfId="24076" xr:uid="{00000000-0005-0000-0000-0000D15D0000}"/>
    <cellStyle name="Nagłówek 4 2 6 4 10" xfId="24077" xr:uid="{00000000-0005-0000-0000-0000D25D0000}"/>
    <cellStyle name="Nagłówek 4 2 6 4 11" xfId="24078" xr:uid="{00000000-0005-0000-0000-0000D35D0000}"/>
    <cellStyle name="Nagłówek 4 2 6 4 2" xfId="24079" xr:uid="{00000000-0005-0000-0000-0000D45D0000}"/>
    <cellStyle name="Nagłówek 4 2 6 4 2 2" xfId="24080" xr:uid="{00000000-0005-0000-0000-0000D55D0000}"/>
    <cellStyle name="Nagłówek 4 2 6 4 2 2 2" xfId="24081" xr:uid="{00000000-0005-0000-0000-0000D65D0000}"/>
    <cellStyle name="Nagłówek 4 2 6 4 2 2 3" xfId="24082" xr:uid="{00000000-0005-0000-0000-0000D75D0000}"/>
    <cellStyle name="Nagłówek 4 2 6 4 2 2 4" xfId="24083" xr:uid="{00000000-0005-0000-0000-0000D85D0000}"/>
    <cellStyle name="Nagłówek 4 2 6 4 2 2 5" xfId="24084" xr:uid="{00000000-0005-0000-0000-0000D95D0000}"/>
    <cellStyle name="Nagłówek 4 2 6 4 2 2 6" xfId="24085" xr:uid="{00000000-0005-0000-0000-0000DA5D0000}"/>
    <cellStyle name="Nagłówek 4 2 6 4 2 3" xfId="24086" xr:uid="{00000000-0005-0000-0000-0000DB5D0000}"/>
    <cellStyle name="Nagłówek 4 2 6 4 2 4" xfId="24087" xr:uid="{00000000-0005-0000-0000-0000DC5D0000}"/>
    <cellStyle name="Nagłówek 4 2 6 4 2 5" xfId="24088" xr:uid="{00000000-0005-0000-0000-0000DD5D0000}"/>
    <cellStyle name="Nagłówek 4 2 6 4 2 6" xfId="24089" xr:uid="{00000000-0005-0000-0000-0000DE5D0000}"/>
    <cellStyle name="Nagłówek 4 2 6 4 2 7" xfId="24090" xr:uid="{00000000-0005-0000-0000-0000DF5D0000}"/>
    <cellStyle name="Nagłówek 4 2 6 4 3" xfId="24091" xr:uid="{00000000-0005-0000-0000-0000E05D0000}"/>
    <cellStyle name="Nagłówek 4 2 6 4 4" xfId="24092" xr:uid="{00000000-0005-0000-0000-0000E15D0000}"/>
    <cellStyle name="Nagłówek 4 2 6 4 5" xfId="24093" xr:uid="{00000000-0005-0000-0000-0000E25D0000}"/>
    <cellStyle name="Nagłówek 4 2 6 4 6" xfId="24094" xr:uid="{00000000-0005-0000-0000-0000E35D0000}"/>
    <cellStyle name="Nagłówek 4 2 6 4 7" xfId="24095" xr:uid="{00000000-0005-0000-0000-0000E45D0000}"/>
    <cellStyle name="Nagłówek 4 2 6 4 7 2" xfId="24096" xr:uid="{00000000-0005-0000-0000-0000E55D0000}"/>
    <cellStyle name="Nagłówek 4 2 6 4 7 3" xfId="24097" xr:uid="{00000000-0005-0000-0000-0000E65D0000}"/>
    <cellStyle name="Nagłówek 4 2 6 4 7 4" xfId="24098" xr:uid="{00000000-0005-0000-0000-0000E75D0000}"/>
    <cellStyle name="Nagłówek 4 2 6 4 7 5" xfId="24099" xr:uid="{00000000-0005-0000-0000-0000E85D0000}"/>
    <cellStyle name="Nagłówek 4 2 6 4 7 6" xfId="24100" xr:uid="{00000000-0005-0000-0000-0000E95D0000}"/>
    <cellStyle name="Nagłówek 4 2 6 4 8" xfId="24101" xr:uid="{00000000-0005-0000-0000-0000EA5D0000}"/>
    <cellStyle name="Nagłówek 4 2 6 4 9" xfId="24102" xr:uid="{00000000-0005-0000-0000-0000EB5D0000}"/>
    <cellStyle name="Nagłówek 4 2 6 5" xfId="24103" xr:uid="{00000000-0005-0000-0000-0000EC5D0000}"/>
    <cellStyle name="Nagłówek 4 2 6 5 2" xfId="24104" xr:uid="{00000000-0005-0000-0000-0000ED5D0000}"/>
    <cellStyle name="Nagłówek 4 2 6 5 2 2" xfId="24105" xr:uid="{00000000-0005-0000-0000-0000EE5D0000}"/>
    <cellStyle name="Nagłówek 4 2 6 5 2 3" xfId="24106" xr:uid="{00000000-0005-0000-0000-0000EF5D0000}"/>
    <cellStyle name="Nagłówek 4 2 6 5 2 4" xfId="24107" xr:uid="{00000000-0005-0000-0000-0000F05D0000}"/>
    <cellStyle name="Nagłówek 4 2 6 5 2 5" xfId="24108" xr:uid="{00000000-0005-0000-0000-0000F15D0000}"/>
    <cellStyle name="Nagłówek 4 2 6 5 2 6" xfId="24109" xr:uid="{00000000-0005-0000-0000-0000F25D0000}"/>
    <cellStyle name="Nagłówek 4 2 6 5 3" xfId="24110" xr:uid="{00000000-0005-0000-0000-0000F35D0000}"/>
    <cellStyle name="Nagłówek 4 2 6 5 4" xfId="24111" xr:uid="{00000000-0005-0000-0000-0000F45D0000}"/>
    <cellStyle name="Nagłówek 4 2 6 5 5" xfId="24112" xr:uid="{00000000-0005-0000-0000-0000F55D0000}"/>
    <cellStyle name="Nagłówek 4 2 6 5 6" xfId="24113" xr:uid="{00000000-0005-0000-0000-0000F65D0000}"/>
    <cellStyle name="Nagłówek 4 2 6 5 7" xfId="24114" xr:uid="{00000000-0005-0000-0000-0000F75D0000}"/>
    <cellStyle name="Nagłówek 4 2 6 6" xfId="24115" xr:uid="{00000000-0005-0000-0000-0000F85D0000}"/>
    <cellStyle name="Nagłówek 4 2 6 7" xfId="24116" xr:uid="{00000000-0005-0000-0000-0000F95D0000}"/>
    <cellStyle name="Nagłówek 4 2 6 8" xfId="24117" xr:uid="{00000000-0005-0000-0000-0000FA5D0000}"/>
    <cellStyle name="Nagłówek 4 2 6 9" xfId="24118" xr:uid="{00000000-0005-0000-0000-0000FB5D0000}"/>
    <cellStyle name="Nagłówek 4 2 6 9 2" xfId="24119" xr:uid="{00000000-0005-0000-0000-0000FC5D0000}"/>
    <cellStyle name="Nagłówek 4 2 6 9 3" xfId="24120" xr:uid="{00000000-0005-0000-0000-0000FD5D0000}"/>
    <cellStyle name="Nagłówek 4 2 6 9 4" xfId="24121" xr:uid="{00000000-0005-0000-0000-0000FE5D0000}"/>
    <cellStyle name="Nagłówek 4 2 6 9 5" xfId="24122" xr:uid="{00000000-0005-0000-0000-0000FF5D0000}"/>
    <cellStyle name="Nagłówek 4 2 6 9 6" xfId="24123" xr:uid="{00000000-0005-0000-0000-0000005E0000}"/>
    <cellStyle name="Nagłówek 4 2 7" xfId="24124" xr:uid="{00000000-0005-0000-0000-0000015E0000}"/>
    <cellStyle name="Nagłówek 4 2 8" xfId="24125" xr:uid="{00000000-0005-0000-0000-0000025E0000}"/>
    <cellStyle name="Nagłówek 4 2 9" xfId="24126" xr:uid="{00000000-0005-0000-0000-0000035E0000}"/>
    <cellStyle name="Nagłówek 4 20" xfId="24127" xr:uid="{00000000-0005-0000-0000-0000045E0000}"/>
    <cellStyle name="Nagłówek 4 21" xfId="24128" xr:uid="{00000000-0005-0000-0000-0000055E0000}"/>
    <cellStyle name="Nagłówek 4 22" xfId="24129" xr:uid="{00000000-0005-0000-0000-0000065E0000}"/>
    <cellStyle name="Nagłówek 4 3" xfId="287" xr:uid="{00000000-0005-0000-0000-0000075E0000}"/>
    <cellStyle name="Nagłówek 4 3 2" xfId="24131" xr:uid="{00000000-0005-0000-0000-0000085E0000}"/>
    <cellStyle name="Nagłówek 4 3 3" xfId="24130" xr:uid="{00000000-0005-0000-0000-0000095E0000}"/>
    <cellStyle name="Nagłówek 4 4" xfId="288" xr:uid="{00000000-0005-0000-0000-00000A5E0000}"/>
    <cellStyle name="Nagłówek 4 4 2" xfId="24133" xr:uid="{00000000-0005-0000-0000-00000B5E0000}"/>
    <cellStyle name="Nagłówek 4 4 3" xfId="24132" xr:uid="{00000000-0005-0000-0000-00000C5E0000}"/>
    <cellStyle name="Nagłówek 4 5" xfId="289" xr:uid="{00000000-0005-0000-0000-00000D5E0000}"/>
    <cellStyle name="Nagłówek 4 5 2" xfId="24135" xr:uid="{00000000-0005-0000-0000-00000E5E0000}"/>
    <cellStyle name="Nagłówek 4 5 3" xfId="24134" xr:uid="{00000000-0005-0000-0000-00000F5E0000}"/>
    <cellStyle name="Nagłówek 4 6" xfId="290" xr:uid="{00000000-0005-0000-0000-0000105E0000}"/>
    <cellStyle name="Nagłówek 4 6 2" xfId="24137" xr:uid="{00000000-0005-0000-0000-0000115E0000}"/>
    <cellStyle name="Nagłówek 4 6 3" xfId="24136" xr:uid="{00000000-0005-0000-0000-0000125E0000}"/>
    <cellStyle name="Nagłówek 4 7" xfId="291" xr:uid="{00000000-0005-0000-0000-0000135E0000}"/>
    <cellStyle name="Nagłówek 4 7 2" xfId="24139" xr:uid="{00000000-0005-0000-0000-0000145E0000}"/>
    <cellStyle name="Nagłówek 4 7 3" xfId="24138" xr:uid="{00000000-0005-0000-0000-0000155E0000}"/>
    <cellStyle name="Nagłówek 4 8" xfId="24140" xr:uid="{00000000-0005-0000-0000-0000165E0000}"/>
    <cellStyle name="Nagłówek 4 9" xfId="24141" xr:uid="{00000000-0005-0000-0000-0000175E0000}"/>
    <cellStyle name="NAGŁÓWEK D" xfId="38634" xr:uid="{00000000-0005-0000-0000-0000185E0000}"/>
    <cellStyle name="Neutral" xfId="24142" xr:uid="{00000000-0005-0000-0000-0000195E0000}"/>
    <cellStyle name="Neutral 10" xfId="24143" xr:uid="{00000000-0005-0000-0000-00001A5E0000}"/>
    <cellStyle name="Neutral 11" xfId="24144" xr:uid="{00000000-0005-0000-0000-00001B5E0000}"/>
    <cellStyle name="Neutral 12" xfId="24145" xr:uid="{00000000-0005-0000-0000-00001C5E0000}"/>
    <cellStyle name="Neutral 2" xfId="24146" xr:uid="{00000000-0005-0000-0000-00001D5E0000}"/>
    <cellStyle name="Neutral 3" xfId="24147" xr:uid="{00000000-0005-0000-0000-00001E5E0000}"/>
    <cellStyle name="Neutral 4" xfId="24148" xr:uid="{00000000-0005-0000-0000-00001F5E0000}"/>
    <cellStyle name="Neutral 5" xfId="24149" xr:uid="{00000000-0005-0000-0000-0000205E0000}"/>
    <cellStyle name="Neutral 6" xfId="24150" xr:uid="{00000000-0005-0000-0000-0000215E0000}"/>
    <cellStyle name="Neutral 7" xfId="24151" xr:uid="{00000000-0005-0000-0000-0000225E0000}"/>
    <cellStyle name="Neutral 8" xfId="24152" xr:uid="{00000000-0005-0000-0000-0000235E0000}"/>
    <cellStyle name="Neutral 9" xfId="24153" xr:uid="{00000000-0005-0000-0000-0000245E0000}"/>
    <cellStyle name="Neutral_PGE Rzeszów Budget" xfId="38675" xr:uid="{3AD01160-0754-4444-A0F9-B1549CE7377E}"/>
    <cellStyle name="Neutralne 1" xfId="24154" xr:uid="{00000000-0005-0000-0000-0000255E0000}"/>
    <cellStyle name="Neutralne 10" xfId="24155" xr:uid="{00000000-0005-0000-0000-0000265E0000}"/>
    <cellStyle name="Neutralne 11" xfId="24156" xr:uid="{00000000-0005-0000-0000-0000275E0000}"/>
    <cellStyle name="Neutralne 12" xfId="24157" xr:uid="{00000000-0005-0000-0000-0000285E0000}"/>
    <cellStyle name="Neutralne 13" xfId="24158" xr:uid="{00000000-0005-0000-0000-0000295E0000}"/>
    <cellStyle name="Neutralne 14" xfId="24159" xr:uid="{00000000-0005-0000-0000-00002A5E0000}"/>
    <cellStyle name="Neutralne 15" xfId="24160" xr:uid="{00000000-0005-0000-0000-00002B5E0000}"/>
    <cellStyle name="Neutralne 16" xfId="24161" xr:uid="{00000000-0005-0000-0000-00002C5E0000}"/>
    <cellStyle name="Neutralne 17" xfId="24162" xr:uid="{00000000-0005-0000-0000-00002D5E0000}"/>
    <cellStyle name="Neutralne 18" xfId="24163" xr:uid="{00000000-0005-0000-0000-00002E5E0000}"/>
    <cellStyle name="Neutralne 19" xfId="24164" xr:uid="{00000000-0005-0000-0000-00002F5E0000}"/>
    <cellStyle name="Neutralne 2" xfId="292" xr:uid="{00000000-0005-0000-0000-0000305E0000}"/>
    <cellStyle name="Neutralne 2 10" xfId="24166" xr:uid="{00000000-0005-0000-0000-0000315E0000}"/>
    <cellStyle name="Neutralne 2 11" xfId="24167" xr:uid="{00000000-0005-0000-0000-0000325E0000}"/>
    <cellStyle name="Neutralne 2 12" xfId="24168" xr:uid="{00000000-0005-0000-0000-0000335E0000}"/>
    <cellStyle name="Neutralne 2 13" xfId="24169" xr:uid="{00000000-0005-0000-0000-0000345E0000}"/>
    <cellStyle name="Neutralne 2 13 10" xfId="24170" xr:uid="{00000000-0005-0000-0000-0000355E0000}"/>
    <cellStyle name="Neutralne 2 13 11" xfId="24171" xr:uid="{00000000-0005-0000-0000-0000365E0000}"/>
    <cellStyle name="Neutralne 2 13 12" xfId="24172" xr:uid="{00000000-0005-0000-0000-0000375E0000}"/>
    <cellStyle name="Neutralne 2 13 2" xfId="24173" xr:uid="{00000000-0005-0000-0000-0000385E0000}"/>
    <cellStyle name="Neutralne 2 13 2 10" xfId="24174" xr:uid="{00000000-0005-0000-0000-0000395E0000}"/>
    <cellStyle name="Neutralne 2 13 2 11" xfId="24175" xr:uid="{00000000-0005-0000-0000-00003A5E0000}"/>
    <cellStyle name="Neutralne 2 13 2 2" xfId="24176" xr:uid="{00000000-0005-0000-0000-00003B5E0000}"/>
    <cellStyle name="Neutralne 2 13 2 2 10" xfId="24177" xr:uid="{00000000-0005-0000-0000-00003C5E0000}"/>
    <cellStyle name="Neutralne 2 13 2 2 11" xfId="24178" xr:uid="{00000000-0005-0000-0000-00003D5E0000}"/>
    <cellStyle name="Neutralne 2 13 2 2 2" xfId="24179" xr:uid="{00000000-0005-0000-0000-00003E5E0000}"/>
    <cellStyle name="Neutralne 2 13 2 2 2 2" xfId="24180" xr:uid="{00000000-0005-0000-0000-00003F5E0000}"/>
    <cellStyle name="Neutralne 2 13 2 2 2 2 2" xfId="24181" xr:uid="{00000000-0005-0000-0000-0000405E0000}"/>
    <cellStyle name="Neutralne 2 13 2 2 2 2 3" xfId="24182" xr:uid="{00000000-0005-0000-0000-0000415E0000}"/>
    <cellStyle name="Neutralne 2 13 2 2 2 2 4" xfId="24183" xr:uid="{00000000-0005-0000-0000-0000425E0000}"/>
    <cellStyle name="Neutralne 2 13 2 2 2 2 5" xfId="24184" xr:uid="{00000000-0005-0000-0000-0000435E0000}"/>
    <cellStyle name="Neutralne 2 13 2 2 2 2 6" xfId="24185" xr:uid="{00000000-0005-0000-0000-0000445E0000}"/>
    <cellStyle name="Neutralne 2 13 2 2 2 3" xfId="24186" xr:uid="{00000000-0005-0000-0000-0000455E0000}"/>
    <cellStyle name="Neutralne 2 13 2 2 2 4" xfId="24187" xr:uid="{00000000-0005-0000-0000-0000465E0000}"/>
    <cellStyle name="Neutralne 2 13 2 2 2 5" xfId="24188" xr:uid="{00000000-0005-0000-0000-0000475E0000}"/>
    <cellStyle name="Neutralne 2 13 2 2 2 6" xfId="24189" xr:uid="{00000000-0005-0000-0000-0000485E0000}"/>
    <cellStyle name="Neutralne 2 13 2 2 2 7" xfId="24190" xr:uid="{00000000-0005-0000-0000-0000495E0000}"/>
    <cellStyle name="Neutralne 2 13 2 2 3" xfId="24191" xr:uid="{00000000-0005-0000-0000-00004A5E0000}"/>
    <cellStyle name="Neutralne 2 13 2 2 4" xfId="24192" xr:uid="{00000000-0005-0000-0000-00004B5E0000}"/>
    <cellStyle name="Neutralne 2 13 2 2 5" xfId="24193" xr:uid="{00000000-0005-0000-0000-00004C5E0000}"/>
    <cellStyle name="Neutralne 2 13 2 2 6" xfId="24194" xr:uid="{00000000-0005-0000-0000-00004D5E0000}"/>
    <cellStyle name="Neutralne 2 13 2 2 7" xfId="24195" xr:uid="{00000000-0005-0000-0000-00004E5E0000}"/>
    <cellStyle name="Neutralne 2 13 2 2 7 2" xfId="24196" xr:uid="{00000000-0005-0000-0000-00004F5E0000}"/>
    <cellStyle name="Neutralne 2 13 2 2 7 3" xfId="24197" xr:uid="{00000000-0005-0000-0000-0000505E0000}"/>
    <cellStyle name="Neutralne 2 13 2 2 7 4" xfId="24198" xr:uid="{00000000-0005-0000-0000-0000515E0000}"/>
    <cellStyle name="Neutralne 2 13 2 2 7 5" xfId="24199" xr:uid="{00000000-0005-0000-0000-0000525E0000}"/>
    <cellStyle name="Neutralne 2 13 2 2 7 6" xfId="24200" xr:uid="{00000000-0005-0000-0000-0000535E0000}"/>
    <cellStyle name="Neutralne 2 13 2 2 8" xfId="24201" xr:uid="{00000000-0005-0000-0000-0000545E0000}"/>
    <cellStyle name="Neutralne 2 13 2 2 9" xfId="24202" xr:uid="{00000000-0005-0000-0000-0000555E0000}"/>
    <cellStyle name="Neutralne 2 13 2 3" xfId="24203" xr:uid="{00000000-0005-0000-0000-0000565E0000}"/>
    <cellStyle name="Neutralne 2 13 2 3 2" xfId="24204" xr:uid="{00000000-0005-0000-0000-0000575E0000}"/>
    <cellStyle name="Neutralne 2 13 2 3 2 2" xfId="24205" xr:uid="{00000000-0005-0000-0000-0000585E0000}"/>
    <cellStyle name="Neutralne 2 13 2 3 2 3" xfId="24206" xr:uid="{00000000-0005-0000-0000-0000595E0000}"/>
    <cellStyle name="Neutralne 2 13 2 3 2 4" xfId="24207" xr:uid="{00000000-0005-0000-0000-00005A5E0000}"/>
    <cellStyle name="Neutralne 2 13 2 3 2 5" xfId="24208" xr:uid="{00000000-0005-0000-0000-00005B5E0000}"/>
    <cellStyle name="Neutralne 2 13 2 3 2 6" xfId="24209" xr:uid="{00000000-0005-0000-0000-00005C5E0000}"/>
    <cellStyle name="Neutralne 2 13 2 3 3" xfId="24210" xr:uid="{00000000-0005-0000-0000-00005D5E0000}"/>
    <cellStyle name="Neutralne 2 13 2 3 4" xfId="24211" xr:uid="{00000000-0005-0000-0000-00005E5E0000}"/>
    <cellStyle name="Neutralne 2 13 2 3 5" xfId="24212" xr:uid="{00000000-0005-0000-0000-00005F5E0000}"/>
    <cellStyle name="Neutralne 2 13 2 3 6" xfId="24213" xr:uid="{00000000-0005-0000-0000-0000605E0000}"/>
    <cellStyle name="Neutralne 2 13 2 3 7" xfId="24214" xr:uid="{00000000-0005-0000-0000-0000615E0000}"/>
    <cellStyle name="Neutralne 2 13 2 4" xfId="24215" xr:uid="{00000000-0005-0000-0000-0000625E0000}"/>
    <cellStyle name="Neutralne 2 13 2 5" xfId="24216" xr:uid="{00000000-0005-0000-0000-0000635E0000}"/>
    <cellStyle name="Neutralne 2 13 2 6" xfId="24217" xr:uid="{00000000-0005-0000-0000-0000645E0000}"/>
    <cellStyle name="Neutralne 2 13 2 7" xfId="24218" xr:uid="{00000000-0005-0000-0000-0000655E0000}"/>
    <cellStyle name="Neutralne 2 13 2 7 2" xfId="24219" xr:uid="{00000000-0005-0000-0000-0000665E0000}"/>
    <cellStyle name="Neutralne 2 13 2 7 3" xfId="24220" xr:uid="{00000000-0005-0000-0000-0000675E0000}"/>
    <cellStyle name="Neutralne 2 13 2 7 4" xfId="24221" xr:uid="{00000000-0005-0000-0000-0000685E0000}"/>
    <cellStyle name="Neutralne 2 13 2 7 5" xfId="24222" xr:uid="{00000000-0005-0000-0000-0000695E0000}"/>
    <cellStyle name="Neutralne 2 13 2 7 6" xfId="24223" xr:uid="{00000000-0005-0000-0000-00006A5E0000}"/>
    <cellStyle name="Neutralne 2 13 2 8" xfId="24224" xr:uid="{00000000-0005-0000-0000-00006B5E0000}"/>
    <cellStyle name="Neutralne 2 13 2 9" xfId="24225" xr:uid="{00000000-0005-0000-0000-00006C5E0000}"/>
    <cellStyle name="Neutralne 2 13 3" xfId="24226" xr:uid="{00000000-0005-0000-0000-00006D5E0000}"/>
    <cellStyle name="Neutralne 2 13 3 2" xfId="24227" xr:uid="{00000000-0005-0000-0000-00006E5E0000}"/>
    <cellStyle name="Neutralne 2 13 3 2 2" xfId="24228" xr:uid="{00000000-0005-0000-0000-00006F5E0000}"/>
    <cellStyle name="Neutralne 2 13 3 2 3" xfId="24229" xr:uid="{00000000-0005-0000-0000-0000705E0000}"/>
    <cellStyle name="Neutralne 2 13 3 2 4" xfId="24230" xr:uid="{00000000-0005-0000-0000-0000715E0000}"/>
    <cellStyle name="Neutralne 2 13 3 2 5" xfId="24231" xr:uid="{00000000-0005-0000-0000-0000725E0000}"/>
    <cellStyle name="Neutralne 2 13 3 2 6" xfId="24232" xr:uid="{00000000-0005-0000-0000-0000735E0000}"/>
    <cellStyle name="Neutralne 2 13 3 3" xfId="24233" xr:uid="{00000000-0005-0000-0000-0000745E0000}"/>
    <cellStyle name="Neutralne 2 13 3 4" xfId="24234" xr:uid="{00000000-0005-0000-0000-0000755E0000}"/>
    <cellStyle name="Neutralne 2 13 3 5" xfId="24235" xr:uid="{00000000-0005-0000-0000-0000765E0000}"/>
    <cellStyle name="Neutralne 2 13 3 6" xfId="24236" xr:uid="{00000000-0005-0000-0000-0000775E0000}"/>
    <cellStyle name="Neutralne 2 13 3 7" xfId="24237" xr:uid="{00000000-0005-0000-0000-0000785E0000}"/>
    <cellStyle name="Neutralne 2 13 4" xfId="24238" xr:uid="{00000000-0005-0000-0000-0000795E0000}"/>
    <cellStyle name="Neutralne 2 13 5" xfId="24239" xr:uid="{00000000-0005-0000-0000-00007A5E0000}"/>
    <cellStyle name="Neutralne 2 13 6" xfId="24240" xr:uid="{00000000-0005-0000-0000-00007B5E0000}"/>
    <cellStyle name="Neutralne 2 13 7" xfId="24241" xr:uid="{00000000-0005-0000-0000-00007C5E0000}"/>
    <cellStyle name="Neutralne 2 13 8" xfId="24242" xr:uid="{00000000-0005-0000-0000-00007D5E0000}"/>
    <cellStyle name="Neutralne 2 13 8 2" xfId="24243" xr:uid="{00000000-0005-0000-0000-00007E5E0000}"/>
    <cellStyle name="Neutralne 2 13 8 3" xfId="24244" xr:uid="{00000000-0005-0000-0000-00007F5E0000}"/>
    <cellStyle name="Neutralne 2 13 8 4" xfId="24245" xr:uid="{00000000-0005-0000-0000-0000805E0000}"/>
    <cellStyle name="Neutralne 2 13 8 5" xfId="24246" xr:uid="{00000000-0005-0000-0000-0000815E0000}"/>
    <cellStyle name="Neutralne 2 13 8 6" xfId="24247" xr:uid="{00000000-0005-0000-0000-0000825E0000}"/>
    <cellStyle name="Neutralne 2 13 9" xfId="24248" xr:uid="{00000000-0005-0000-0000-0000835E0000}"/>
    <cellStyle name="Neutralne 2 14" xfId="24249" xr:uid="{00000000-0005-0000-0000-0000845E0000}"/>
    <cellStyle name="Neutralne 2 14 10" xfId="24250" xr:uid="{00000000-0005-0000-0000-0000855E0000}"/>
    <cellStyle name="Neutralne 2 14 11" xfId="24251" xr:uid="{00000000-0005-0000-0000-0000865E0000}"/>
    <cellStyle name="Neutralne 2 14 2" xfId="24252" xr:uid="{00000000-0005-0000-0000-0000875E0000}"/>
    <cellStyle name="Neutralne 2 14 2 2" xfId="24253" xr:uid="{00000000-0005-0000-0000-0000885E0000}"/>
    <cellStyle name="Neutralne 2 14 2 2 2" xfId="24254" xr:uid="{00000000-0005-0000-0000-0000895E0000}"/>
    <cellStyle name="Neutralne 2 14 2 2 3" xfId="24255" xr:uid="{00000000-0005-0000-0000-00008A5E0000}"/>
    <cellStyle name="Neutralne 2 14 2 2 4" xfId="24256" xr:uid="{00000000-0005-0000-0000-00008B5E0000}"/>
    <cellStyle name="Neutralne 2 14 2 2 5" xfId="24257" xr:uid="{00000000-0005-0000-0000-00008C5E0000}"/>
    <cellStyle name="Neutralne 2 14 2 2 6" xfId="24258" xr:uid="{00000000-0005-0000-0000-00008D5E0000}"/>
    <cellStyle name="Neutralne 2 14 2 3" xfId="24259" xr:uid="{00000000-0005-0000-0000-00008E5E0000}"/>
    <cellStyle name="Neutralne 2 14 2 4" xfId="24260" xr:uid="{00000000-0005-0000-0000-00008F5E0000}"/>
    <cellStyle name="Neutralne 2 14 2 5" xfId="24261" xr:uid="{00000000-0005-0000-0000-0000905E0000}"/>
    <cellStyle name="Neutralne 2 14 2 6" xfId="24262" xr:uid="{00000000-0005-0000-0000-0000915E0000}"/>
    <cellStyle name="Neutralne 2 14 2 7" xfId="24263" xr:uid="{00000000-0005-0000-0000-0000925E0000}"/>
    <cellStyle name="Neutralne 2 14 3" xfId="24264" xr:uid="{00000000-0005-0000-0000-0000935E0000}"/>
    <cellStyle name="Neutralne 2 14 4" xfId="24265" xr:uid="{00000000-0005-0000-0000-0000945E0000}"/>
    <cellStyle name="Neutralne 2 14 5" xfId="24266" xr:uid="{00000000-0005-0000-0000-0000955E0000}"/>
    <cellStyle name="Neutralne 2 14 6" xfId="24267" xr:uid="{00000000-0005-0000-0000-0000965E0000}"/>
    <cellStyle name="Neutralne 2 14 7" xfId="24268" xr:uid="{00000000-0005-0000-0000-0000975E0000}"/>
    <cellStyle name="Neutralne 2 14 7 2" xfId="24269" xr:uid="{00000000-0005-0000-0000-0000985E0000}"/>
    <cellStyle name="Neutralne 2 14 7 3" xfId="24270" xr:uid="{00000000-0005-0000-0000-0000995E0000}"/>
    <cellStyle name="Neutralne 2 14 7 4" xfId="24271" xr:uid="{00000000-0005-0000-0000-00009A5E0000}"/>
    <cellStyle name="Neutralne 2 14 7 5" xfId="24272" xr:uid="{00000000-0005-0000-0000-00009B5E0000}"/>
    <cellStyle name="Neutralne 2 14 7 6" xfId="24273" xr:uid="{00000000-0005-0000-0000-00009C5E0000}"/>
    <cellStyle name="Neutralne 2 14 8" xfId="24274" xr:uid="{00000000-0005-0000-0000-00009D5E0000}"/>
    <cellStyle name="Neutralne 2 14 9" xfId="24275" xr:uid="{00000000-0005-0000-0000-00009E5E0000}"/>
    <cellStyle name="Neutralne 2 15" xfId="24276" xr:uid="{00000000-0005-0000-0000-00009F5E0000}"/>
    <cellStyle name="Neutralne 2 15 2" xfId="24277" xr:uid="{00000000-0005-0000-0000-0000A05E0000}"/>
    <cellStyle name="Neutralne 2 15 2 2" xfId="24278" xr:uid="{00000000-0005-0000-0000-0000A15E0000}"/>
    <cellStyle name="Neutralne 2 15 2 3" xfId="24279" xr:uid="{00000000-0005-0000-0000-0000A25E0000}"/>
    <cellStyle name="Neutralne 2 15 2 4" xfId="24280" xr:uid="{00000000-0005-0000-0000-0000A35E0000}"/>
    <cellStyle name="Neutralne 2 15 2 5" xfId="24281" xr:uid="{00000000-0005-0000-0000-0000A45E0000}"/>
    <cellStyle name="Neutralne 2 15 2 6" xfId="24282" xr:uid="{00000000-0005-0000-0000-0000A55E0000}"/>
    <cellStyle name="Neutralne 2 15 3" xfId="24283" xr:uid="{00000000-0005-0000-0000-0000A65E0000}"/>
    <cellStyle name="Neutralne 2 15 4" xfId="24284" xr:uid="{00000000-0005-0000-0000-0000A75E0000}"/>
    <cellStyle name="Neutralne 2 15 5" xfId="24285" xr:uid="{00000000-0005-0000-0000-0000A85E0000}"/>
    <cellStyle name="Neutralne 2 15 6" xfId="24286" xr:uid="{00000000-0005-0000-0000-0000A95E0000}"/>
    <cellStyle name="Neutralne 2 15 7" xfId="24287" xr:uid="{00000000-0005-0000-0000-0000AA5E0000}"/>
    <cellStyle name="Neutralne 2 16" xfId="24288" xr:uid="{00000000-0005-0000-0000-0000AB5E0000}"/>
    <cellStyle name="Neutralne 2 17" xfId="24289" xr:uid="{00000000-0005-0000-0000-0000AC5E0000}"/>
    <cellStyle name="Neutralne 2 18" xfId="24290" xr:uid="{00000000-0005-0000-0000-0000AD5E0000}"/>
    <cellStyle name="Neutralne 2 19" xfId="24291" xr:uid="{00000000-0005-0000-0000-0000AE5E0000}"/>
    <cellStyle name="Neutralne 2 2" xfId="24292" xr:uid="{00000000-0005-0000-0000-0000AF5E0000}"/>
    <cellStyle name="Neutralne 2 20" xfId="24293" xr:uid="{00000000-0005-0000-0000-0000B05E0000}"/>
    <cellStyle name="Neutralne 2 21" xfId="24294" xr:uid="{00000000-0005-0000-0000-0000B15E0000}"/>
    <cellStyle name="Neutralne 2 21 2" xfId="24295" xr:uid="{00000000-0005-0000-0000-0000B25E0000}"/>
    <cellStyle name="Neutralne 2 21 3" xfId="24296" xr:uid="{00000000-0005-0000-0000-0000B35E0000}"/>
    <cellStyle name="Neutralne 2 21 4" xfId="24297" xr:uid="{00000000-0005-0000-0000-0000B45E0000}"/>
    <cellStyle name="Neutralne 2 21 5" xfId="24298" xr:uid="{00000000-0005-0000-0000-0000B55E0000}"/>
    <cellStyle name="Neutralne 2 21 6" xfId="24299" xr:uid="{00000000-0005-0000-0000-0000B65E0000}"/>
    <cellStyle name="Neutralne 2 22" xfId="24300" xr:uid="{00000000-0005-0000-0000-0000B75E0000}"/>
    <cellStyle name="Neutralne 2 23" xfId="24301" xr:uid="{00000000-0005-0000-0000-0000B85E0000}"/>
    <cellStyle name="Neutralne 2 24" xfId="24302" xr:uid="{00000000-0005-0000-0000-0000B95E0000}"/>
    <cellStyle name="Neutralne 2 25" xfId="24303" xr:uid="{00000000-0005-0000-0000-0000BA5E0000}"/>
    <cellStyle name="Neutralne 2 26" xfId="24304" xr:uid="{00000000-0005-0000-0000-0000BB5E0000}"/>
    <cellStyle name="Neutralne 2 27" xfId="24305" xr:uid="{00000000-0005-0000-0000-0000BC5E0000}"/>
    <cellStyle name="Neutralne 2 28" xfId="24306" xr:uid="{00000000-0005-0000-0000-0000BD5E0000}"/>
    <cellStyle name="Neutralne 2 29" xfId="24307" xr:uid="{00000000-0005-0000-0000-0000BE5E0000}"/>
    <cellStyle name="Neutralne 2 3" xfId="24308" xr:uid="{00000000-0005-0000-0000-0000BF5E0000}"/>
    <cellStyle name="Neutralne 2 30" xfId="24309" xr:uid="{00000000-0005-0000-0000-0000C05E0000}"/>
    <cellStyle name="Neutralne 2 31" xfId="24310" xr:uid="{00000000-0005-0000-0000-0000C15E0000}"/>
    <cellStyle name="Neutralne 2 32" xfId="24165" xr:uid="{00000000-0005-0000-0000-0000C25E0000}"/>
    <cellStyle name="Neutralne 2 33" xfId="37850" xr:uid="{00000000-0005-0000-0000-0000C35E0000}"/>
    <cellStyle name="Neutralne 2 4" xfId="24311" xr:uid="{00000000-0005-0000-0000-0000C45E0000}"/>
    <cellStyle name="Neutralne 2 5" xfId="24312" xr:uid="{00000000-0005-0000-0000-0000C55E0000}"/>
    <cellStyle name="Neutralne 2 6" xfId="24313" xr:uid="{00000000-0005-0000-0000-0000C65E0000}"/>
    <cellStyle name="Neutralne 2 6 10" xfId="24314" xr:uid="{00000000-0005-0000-0000-0000C75E0000}"/>
    <cellStyle name="Neutralne 2 6 11" xfId="24315" xr:uid="{00000000-0005-0000-0000-0000C85E0000}"/>
    <cellStyle name="Neutralne 2 6 12" xfId="24316" xr:uid="{00000000-0005-0000-0000-0000C95E0000}"/>
    <cellStyle name="Neutralne 2 6 13" xfId="24317" xr:uid="{00000000-0005-0000-0000-0000CA5E0000}"/>
    <cellStyle name="Neutralne 2 6 2" xfId="24318" xr:uid="{00000000-0005-0000-0000-0000CB5E0000}"/>
    <cellStyle name="Neutralne 2 6 2 10" xfId="24319" xr:uid="{00000000-0005-0000-0000-0000CC5E0000}"/>
    <cellStyle name="Neutralne 2 6 2 11" xfId="24320" xr:uid="{00000000-0005-0000-0000-0000CD5E0000}"/>
    <cellStyle name="Neutralne 2 6 2 12" xfId="24321" xr:uid="{00000000-0005-0000-0000-0000CE5E0000}"/>
    <cellStyle name="Neutralne 2 6 2 2" xfId="24322" xr:uid="{00000000-0005-0000-0000-0000CF5E0000}"/>
    <cellStyle name="Neutralne 2 6 2 2 10" xfId="24323" xr:uid="{00000000-0005-0000-0000-0000D05E0000}"/>
    <cellStyle name="Neutralne 2 6 2 2 11" xfId="24324" xr:uid="{00000000-0005-0000-0000-0000D15E0000}"/>
    <cellStyle name="Neutralne 2 6 2 2 2" xfId="24325" xr:uid="{00000000-0005-0000-0000-0000D25E0000}"/>
    <cellStyle name="Neutralne 2 6 2 2 2 10" xfId="24326" xr:uid="{00000000-0005-0000-0000-0000D35E0000}"/>
    <cellStyle name="Neutralne 2 6 2 2 2 11" xfId="24327" xr:uid="{00000000-0005-0000-0000-0000D45E0000}"/>
    <cellStyle name="Neutralne 2 6 2 2 2 2" xfId="24328" xr:uid="{00000000-0005-0000-0000-0000D55E0000}"/>
    <cellStyle name="Neutralne 2 6 2 2 2 2 2" xfId="24329" xr:uid="{00000000-0005-0000-0000-0000D65E0000}"/>
    <cellStyle name="Neutralne 2 6 2 2 2 2 2 2" xfId="24330" xr:uid="{00000000-0005-0000-0000-0000D75E0000}"/>
    <cellStyle name="Neutralne 2 6 2 2 2 2 2 3" xfId="24331" xr:uid="{00000000-0005-0000-0000-0000D85E0000}"/>
    <cellStyle name="Neutralne 2 6 2 2 2 2 2 4" xfId="24332" xr:uid="{00000000-0005-0000-0000-0000D95E0000}"/>
    <cellStyle name="Neutralne 2 6 2 2 2 2 2 5" xfId="24333" xr:uid="{00000000-0005-0000-0000-0000DA5E0000}"/>
    <cellStyle name="Neutralne 2 6 2 2 2 2 2 6" xfId="24334" xr:uid="{00000000-0005-0000-0000-0000DB5E0000}"/>
    <cellStyle name="Neutralne 2 6 2 2 2 2 3" xfId="24335" xr:uid="{00000000-0005-0000-0000-0000DC5E0000}"/>
    <cellStyle name="Neutralne 2 6 2 2 2 2 4" xfId="24336" xr:uid="{00000000-0005-0000-0000-0000DD5E0000}"/>
    <cellStyle name="Neutralne 2 6 2 2 2 2 5" xfId="24337" xr:uid="{00000000-0005-0000-0000-0000DE5E0000}"/>
    <cellStyle name="Neutralne 2 6 2 2 2 2 6" xfId="24338" xr:uid="{00000000-0005-0000-0000-0000DF5E0000}"/>
    <cellStyle name="Neutralne 2 6 2 2 2 2 7" xfId="24339" xr:uid="{00000000-0005-0000-0000-0000E05E0000}"/>
    <cellStyle name="Neutralne 2 6 2 2 2 3" xfId="24340" xr:uid="{00000000-0005-0000-0000-0000E15E0000}"/>
    <cellStyle name="Neutralne 2 6 2 2 2 4" xfId="24341" xr:uid="{00000000-0005-0000-0000-0000E25E0000}"/>
    <cellStyle name="Neutralne 2 6 2 2 2 5" xfId="24342" xr:uid="{00000000-0005-0000-0000-0000E35E0000}"/>
    <cellStyle name="Neutralne 2 6 2 2 2 6" xfId="24343" xr:uid="{00000000-0005-0000-0000-0000E45E0000}"/>
    <cellStyle name="Neutralne 2 6 2 2 2 7" xfId="24344" xr:uid="{00000000-0005-0000-0000-0000E55E0000}"/>
    <cellStyle name="Neutralne 2 6 2 2 2 7 2" xfId="24345" xr:uid="{00000000-0005-0000-0000-0000E65E0000}"/>
    <cellStyle name="Neutralne 2 6 2 2 2 7 3" xfId="24346" xr:uid="{00000000-0005-0000-0000-0000E75E0000}"/>
    <cellStyle name="Neutralne 2 6 2 2 2 7 4" xfId="24347" xr:uid="{00000000-0005-0000-0000-0000E85E0000}"/>
    <cellStyle name="Neutralne 2 6 2 2 2 7 5" xfId="24348" xr:uid="{00000000-0005-0000-0000-0000E95E0000}"/>
    <cellStyle name="Neutralne 2 6 2 2 2 7 6" xfId="24349" xr:uid="{00000000-0005-0000-0000-0000EA5E0000}"/>
    <cellStyle name="Neutralne 2 6 2 2 2 8" xfId="24350" xr:uid="{00000000-0005-0000-0000-0000EB5E0000}"/>
    <cellStyle name="Neutralne 2 6 2 2 2 9" xfId="24351" xr:uid="{00000000-0005-0000-0000-0000EC5E0000}"/>
    <cellStyle name="Neutralne 2 6 2 2 3" xfId="24352" xr:uid="{00000000-0005-0000-0000-0000ED5E0000}"/>
    <cellStyle name="Neutralne 2 6 2 2 3 2" xfId="24353" xr:uid="{00000000-0005-0000-0000-0000EE5E0000}"/>
    <cellStyle name="Neutralne 2 6 2 2 3 2 2" xfId="24354" xr:uid="{00000000-0005-0000-0000-0000EF5E0000}"/>
    <cellStyle name="Neutralne 2 6 2 2 3 2 3" xfId="24355" xr:uid="{00000000-0005-0000-0000-0000F05E0000}"/>
    <cellStyle name="Neutralne 2 6 2 2 3 2 4" xfId="24356" xr:uid="{00000000-0005-0000-0000-0000F15E0000}"/>
    <cellStyle name="Neutralne 2 6 2 2 3 2 5" xfId="24357" xr:uid="{00000000-0005-0000-0000-0000F25E0000}"/>
    <cellStyle name="Neutralne 2 6 2 2 3 2 6" xfId="24358" xr:uid="{00000000-0005-0000-0000-0000F35E0000}"/>
    <cellStyle name="Neutralne 2 6 2 2 3 3" xfId="24359" xr:uid="{00000000-0005-0000-0000-0000F45E0000}"/>
    <cellStyle name="Neutralne 2 6 2 2 3 4" xfId="24360" xr:uid="{00000000-0005-0000-0000-0000F55E0000}"/>
    <cellStyle name="Neutralne 2 6 2 2 3 5" xfId="24361" xr:uid="{00000000-0005-0000-0000-0000F65E0000}"/>
    <cellStyle name="Neutralne 2 6 2 2 3 6" xfId="24362" xr:uid="{00000000-0005-0000-0000-0000F75E0000}"/>
    <cellStyle name="Neutralne 2 6 2 2 3 7" xfId="24363" xr:uid="{00000000-0005-0000-0000-0000F85E0000}"/>
    <cellStyle name="Neutralne 2 6 2 2 4" xfId="24364" xr:uid="{00000000-0005-0000-0000-0000F95E0000}"/>
    <cellStyle name="Neutralne 2 6 2 2 5" xfId="24365" xr:uid="{00000000-0005-0000-0000-0000FA5E0000}"/>
    <cellStyle name="Neutralne 2 6 2 2 6" xfId="24366" xr:uid="{00000000-0005-0000-0000-0000FB5E0000}"/>
    <cellStyle name="Neutralne 2 6 2 2 7" xfId="24367" xr:uid="{00000000-0005-0000-0000-0000FC5E0000}"/>
    <cellStyle name="Neutralne 2 6 2 2 7 2" xfId="24368" xr:uid="{00000000-0005-0000-0000-0000FD5E0000}"/>
    <cellStyle name="Neutralne 2 6 2 2 7 3" xfId="24369" xr:uid="{00000000-0005-0000-0000-0000FE5E0000}"/>
    <cellStyle name="Neutralne 2 6 2 2 7 4" xfId="24370" xr:uid="{00000000-0005-0000-0000-0000FF5E0000}"/>
    <cellStyle name="Neutralne 2 6 2 2 7 5" xfId="24371" xr:uid="{00000000-0005-0000-0000-0000005F0000}"/>
    <cellStyle name="Neutralne 2 6 2 2 7 6" xfId="24372" xr:uid="{00000000-0005-0000-0000-0000015F0000}"/>
    <cellStyle name="Neutralne 2 6 2 2 8" xfId="24373" xr:uid="{00000000-0005-0000-0000-0000025F0000}"/>
    <cellStyle name="Neutralne 2 6 2 2 9" xfId="24374" xr:uid="{00000000-0005-0000-0000-0000035F0000}"/>
    <cellStyle name="Neutralne 2 6 2 3" xfId="24375" xr:uid="{00000000-0005-0000-0000-0000045F0000}"/>
    <cellStyle name="Neutralne 2 6 2 3 2" xfId="24376" xr:uid="{00000000-0005-0000-0000-0000055F0000}"/>
    <cellStyle name="Neutralne 2 6 2 3 2 2" xfId="24377" xr:uid="{00000000-0005-0000-0000-0000065F0000}"/>
    <cellStyle name="Neutralne 2 6 2 3 2 3" xfId="24378" xr:uid="{00000000-0005-0000-0000-0000075F0000}"/>
    <cellStyle name="Neutralne 2 6 2 3 2 4" xfId="24379" xr:uid="{00000000-0005-0000-0000-0000085F0000}"/>
    <cellStyle name="Neutralne 2 6 2 3 2 5" xfId="24380" xr:uid="{00000000-0005-0000-0000-0000095F0000}"/>
    <cellStyle name="Neutralne 2 6 2 3 2 6" xfId="24381" xr:uid="{00000000-0005-0000-0000-00000A5F0000}"/>
    <cellStyle name="Neutralne 2 6 2 3 3" xfId="24382" xr:uid="{00000000-0005-0000-0000-00000B5F0000}"/>
    <cellStyle name="Neutralne 2 6 2 3 4" xfId="24383" xr:uid="{00000000-0005-0000-0000-00000C5F0000}"/>
    <cellStyle name="Neutralne 2 6 2 3 5" xfId="24384" xr:uid="{00000000-0005-0000-0000-00000D5F0000}"/>
    <cellStyle name="Neutralne 2 6 2 3 6" xfId="24385" xr:uid="{00000000-0005-0000-0000-00000E5F0000}"/>
    <cellStyle name="Neutralne 2 6 2 3 7" xfId="24386" xr:uid="{00000000-0005-0000-0000-00000F5F0000}"/>
    <cellStyle name="Neutralne 2 6 2 4" xfId="24387" xr:uid="{00000000-0005-0000-0000-0000105F0000}"/>
    <cellStyle name="Neutralne 2 6 2 5" xfId="24388" xr:uid="{00000000-0005-0000-0000-0000115F0000}"/>
    <cellStyle name="Neutralne 2 6 2 6" xfId="24389" xr:uid="{00000000-0005-0000-0000-0000125F0000}"/>
    <cellStyle name="Neutralne 2 6 2 7" xfId="24390" xr:uid="{00000000-0005-0000-0000-0000135F0000}"/>
    <cellStyle name="Neutralne 2 6 2 8" xfId="24391" xr:uid="{00000000-0005-0000-0000-0000145F0000}"/>
    <cellStyle name="Neutralne 2 6 2 8 2" xfId="24392" xr:uid="{00000000-0005-0000-0000-0000155F0000}"/>
    <cellStyle name="Neutralne 2 6 2 8 3" xfId="24393" xr:uid="{00000000-0005-0000-0000-0000165F0000}"/>
    <cellStyle name="Neutralne 2 6 2 8 4" xfId="24394" xr:uid="{00000000-0005-0000-0000-0000175F0000}"/>
    <cellStyle name="Neutralne 2 6 2 8 5" xfId="24395" xr:uid="{00000000-0005-0000-0000-0000185F0000}"/>
    <cellStyle name="Neutralne 2 6 2 8 6" xfId="24396" xr:uid="{00000000-0005-0000-0000-0000195F0000}"/>
    <cellStyle name="Neutralne 2 6 2 9" xfId="24397" xr:uid="{00000000-0005-0000-0000-00001A5F0000}"/>
    <cellStyle name="Neutralne 2 6 3" xfId="24398" xr:uid="{00000000-0005-0000-0000-00001B5F0000}"/>
    <cellStyle name="Neutralne 2 6 4" xfId="24399" xr:uid="{00000000-0005-0000-0000-00001C5F0000}"/>
    <cellStyle name="Neutralne 2 6 4 10" xfId="24400" xr:uid="{00000000-0005-0000-0000-00001D5F0000}"/>
    <cellStyle name="Neutralne 2 6 4 11" xfId="24401" xr:uid="{00000000-0005-0000-0000-00001E5F0000}"/>
    <cellStyle name="Neutralne 2 6 4 2" xfId="24402" xr:uid="{00000000-0005-0000-0000-00001F5F0000}"/>
    <cellStyle name="Neutralne 2 6 4 2 2" xfId="24403" xr:uid="{00000000-0005-0000-0000-0000205F0000}"/>
    <cellStyle name="Neutralne 2 6 4 2 2 2" xfId="24404" xr:uid="{00000000-0005-0000-0000-0000215F0000}"/>
    <cellStyle name="Neutralne 2 6 4 2 2 3" xfId="24405" xr:uid="{00000000-0005-0000-0000-0000225F0000}"/>
    <cellStyle name="Neutralne 2 6 4 2 2 4" xfId="24406" xr:uid="{00000000-0005-0000-0000-0000235F0000}"/>
    <cellStyle name="Neutralne 2 6 4 2 2 5" xfId="24407" xr:uid="{00000000-0005-0000-0000-0000245F0000}"/>
    <cellStyle name="Neutralne 2 6 4 2 2 6" xfId="24408" xr:uid="{00000000-0005-0000-0000-0000255F0000}"/>
    <cellStyle name="Neutralne 2 6 4 2 3" xfId="24409" xr:uid="{00000000-0005-0000-0000-0000265F0000}"/>
    <cellStyle name="Neutralne 2 6 4 2 4" xfId="24410" xr:uid="{00000000-0005-0000-0000-0000275F0000}"/>
    <cellStyle name="Neutralne 2 6 4 2 5" xfId="24411" xr:uid="{00000000-0005-0000-0000-0000285F0000}"/>
    <cellStyle name="Neutralne 2 6 4 2 6" xfId="24412" xr:uid="{00000000-0005-0000-0000-0000295F0000}"/>
    <cellStyle name="Neutralne 2 6 4 2 7" xfId="24413" xr:uid="{00000000-0005-0000-0000-00002A5F0000}"/>
    <cellStyle name="Neutralne 2 6 4 3" xfId="24414" xr:uid="{00000000-0005-0000-0000-00002B5F0000}"/>
    <cellStyle name="Neutralne 2 6 4 4" xfId="24415" xr:uid="{00000000-0005-0000-0000-00002C5F0000}"/>
    <cellStyle name="Neutralne 2 6 4 5" xfId="24416" xr:uid="{00000000-0005-0000-0000-00002D5F0000}"/>
    <cellStyle name="Neutralne 2 6 4 6" xfId="24417" xr:uid="{00000000-0005-0000-0000-00002E5F0000}"/>
    <cellStyle name="Neutralne 2 6 4 7" xfId="24418" xr:uid="{00000000-0005-0000-0000-00002F5F0000}"/>
    <cellStyle name="Neutralne 2 6 4 7 2" xfId="24419" xr:uid="{00000000-0005-0000-0000-0000305F0000}"/>
    <cellStyle name="Neutralne 2 6 4 7 3" xfId="24420" xr:uid="{00000000-0005-0000-0000-0000315F0000}"/>
    <cellStyle name="Neutralne 2 6 4 7 4" xfId="24421" xr:uid="{00000000-0005-0000-0000-0000325F0000}"/>
    <cellStyle name="Neutralne 2 6 4 7 5" xfId="24422" xr:uid="{00000000-0005-0000-0000-0000335F0000}"/>
    <cellStyle name="Neutralne 2 6 4 7 6" xfId="24423" xr:uid="{00000000-0005-0000-0000-0000345F0000}"/>
    <cellStyle name="Neutralne 2 6 4 8" xfId="24424" xr:uid="{00000000-0005-0000-0000-0000355F0000}"/>
    <cellStyle name="Neutralne 2 6 4 9" xfId="24425" xr:uid="{00000000-0005-0000-0000-0000365F0000}"/>
    <cellStyle name="Neutralne 2 6 5" xfId="24426" xr:uid="{00000000-0005-0000-0000-0000375F0000}"/>
    <cellStyle name="Neutralne 2 6 5 2" xfId="24427" xr:uid="{00000000-0005-0000-0000-0000385F0000}"/>
    <cellStyle name="Neutralne 2 6 5 2 2" xfId="24428" xr:uid="{00000000-0005-0000-0000-0000395F0000}"/>
    <cellStyle name="Neutralne 2 6 5 2 3" xfId="24429" xr:uid="{00000000-0005-0000-0000-00003A5F0000}"/>
    <cellStyle name="Neutralne 2 6 5 2 4" xfId="24430" xr:uid="{00000000-0005-0000-0000-00003B5F0000}"/>
    <cellStyle name="Neutralne 2 6 5 2 5" xfId="24431" xr:uid="{00000000-0005-0000-0000-00003C5F0000}"/>
    <cellStyle name="Neutralne 2 6 5 2 6" xfId="24432" xr:uid="{00000000-0005-0000-0000-00003D5F0000}"/>
    <cellStyle name="Neutralne 2 6 5 3" xfId="24433" xr:uid="{00000000-0005-0000-0000-00003E5F0000}"/>
    <cellStyle name="Neutralne 2 6 5 4" xfId="24434" xr:uid="{00000000-0005-0000-0000-00003F5F0000}"/>
    <cellStyle name="Neutralne 2 6 5 5" xfId="24435" xr:uid="{00000000-0005-0000-0000-0000405F0000}"/>
    <cellStyle name="Neutralne 2 6 5 6" xfId="24436" xr:uid="{00000000-0005-0000-0000-0000415F0000}"/>
    <cellStyle name="Neutralne 2 6 5 7" xfId="24437" xr:uid="{00000000-0005-0000-0000-0000425F0000}"/>
    <cellStyle name="Neutralne 2 6 6" xfId="24438" xr:uid="{00000000-0005-0000-0000-0000435F0000}"/>
    <cellStyle name="Neutralne 2 6 7" xfId="24439" xr:uid="{00000000-0005-0000-0000-0000445F0000}"/>
    <cellStyle name="Neutralne 2 6 8" xfId="24440" xr:uid="{00000000-0005-0000-0000-0000455F0000}"/>
    <cellStyle name="Neutralne 2 6 9" xfId="24441" xr:uid="{00000000-0005-0000-0000-0000465F0000}"/>
    <cellStyle name="Neutralne 2 6 9 2" xfId="24442" xr:uid="{00000000-0005-0000-0000-0000475F0000}"/>
    <cellStyle name="Neutralne 2 6 9 3" xfId="24443" xr:uid="{00000000-0005-0000-0000-0000485F0000}"/>
    <cellStyle name="Neutralne 2 6 9 4" xfId="24444" xr:uid="{00000000-0005-0000-0000-0000495F0000}"/>
    <cellStyle name="Neutralne 2 6 9 5" xfId="24445" xr:uid="{00000000-0005-0000-0000-00004A5F0000}"/>
    <cellStyle name="Neutralne 2 6 9 6" xfId="24446" xr:uid="{00000000-0005-0000-0000-00004B5F0000}"/>
    <cellStyle name="Neutralne 2 7" xfId="24447" xr:uid="{00000000-0005-0000-0000-00004C5F0000}"/>
    <cellStyle name="Neutralne 2 8" xfId="24448" xr:uid="{00000000-0005-0000-0000-00004D5F0000}"/>
    <cellStyle name="Neutralne 2 9" xfId="24449" xr:uid="{00000000-0005-0000-0000-00004E5F0000}"/>
    <cellStyle name="Neutralne 3" xfId="293" xr:uid="{00000000-0005-0000-0000-00004F5F0000}"/>
    <cellStyle name="Neutralne 3 2" xfId="24450" xr:uid="{00000000-0005-0000-0000-0000505F0000}"/>
    <cellStyle name="Neutralne 4" xfId="294" xr:uid="{00000000-0005-0000-0000-0000515F0000}"/>
    <cellStyle name="Neutralne 4 2" xfId="24451" xr:uid="{00000000-0005-0000-0000-0000525F0000}"/>
    <cellStyle name="Neutralne 5" xfId="295" xr:uid="{00000000-0005-0000-0000-0000535F0000}"/>
    <cellStyle name="Neutralne 5 2" xfId="24452" xr:uid="{00000000-0005-0000-0000-0000545F0000}"/>
    <cellStyle name="Neutralne 6" xfId="296" xr:uid="{00000000-0005-0000-0000-0000555F0000}"/>
    <cellStyle name="Neutralne 6 2" xfId="24453" xr:uid="{00000000-0005-0000-0000-0000565F0000}"/>
    <cellStyle name="Neutralne 7" xfId="297" xr:uid="{00000000-0005-0000-0000-0000575F0000}"/>
    <cellStyle name="Neutralne 7 2" xfId="24454" xr:uid="{00000000-0005-0000-0000-0000585F0000}"/>
    <cellStyle name="Neutralne 8" xfId="24455" xr:uid="{00000000-0005-0000-0000-0000595F0000}"/>
    <cellStyle name="Neutralne 9" xfId="24456" xr:uid="{00000000-0005-0000-0000-00005A5F0000}"/>
    <cellStyle name="None" xfId="298" xr:uid="{00000000-0005-0000-0000-00005B5F0000}"/>
    <cellStyle name="None 2" xfId="24457" xr:uid="{00000000-0005-0000-0000-00005C5F0000}"/>
    <cellStyle name="None 2 2" xfId="24458" xr:uid="{00000000-0005-0000-0000-00005D5F0000}"/>
    <cellStyle name="None 2 3" xfId="24459" xr:uid="{00000000-0005-0000-0000-00005E5F0000}"/>
    <cellStyle name="None 3" xfId="24460" xr:uid="{00000000-0005-0000-0000-00005F5F0000}"/>
    <cellStyle name="Normal" xfId="0" builtinId="0"/>
    <cellStyle name="Normal - Style1" xfId="24461" xr:uid="{00000000-0005-0000-0000-0000605F0000}"/>
    <cellStyle name="Normale 2" xfId="38689" xr:uid="{49768D17-B41D-4E43-9ACB-45109F57DEA8}"/>
    <cellStyle name="Normale 3" xfId="38691" xr:uid="{54B5CDFB-D858-40C1-B53B-1FCC3CDD4947}"/>
    <cellStyle name="Normale 3 2" xfId="38695" xr:uid="{9B31011B-B095-4DCE-B247-47FD423D6965}"/>
    <cellStyle name="normální_laroux" xfId="299" xr:uid="{00000000-0005-0000-0000-0000625F0000}"/>
    <cellStyle name="Normalny 10" xfId="24462" xr:uid="{00000000-0005-0000-0000-0000645F0000}"/>
    <cellStyle name="Normalny 10 2" xfId="24463" xr:uid="{00000000-0005-0000-0000-0000655F0000}"/>
    <cellStyle name="Normalny 10 2 2" xfId="37851" xr:uid="{00000000-0005-0000-0000-0000665F0000}"/>
    <cellStyle name="Normalny 10 2 2 2" xfId="37852" xr:uid="{00000000-0005-0000-0000-0000675F0000}"/>
    <cellStyle name="Normalny 10 2 2 2 2" xfId="37853" xr:uid="{00000000-0005-0000-0000-0000685F0000}"/>
    <cellStyle name="Normalny 10 2 2 3" xfId="37854" xr:uid="{00000000-0005-0000-0000-0000695F0000}"/>
    <cellStyle name="Normalny 10 2 3" xfId="37855" xr:uid="{00000000-0005-0000-0000-00006A5F0000}"/>
    <cellStyle name="Normalny 10 2 3 2" xfId="37856" xr:uid="{00000000-0005-0000-0000-00006B5F0000}"/>
    <cellStyle name="Normalny 10 2 4" xfId="37857" xr:uid="{00000000-0005-0000-0000-00006C5F0000}"/>
    <cellStyle name="Normalny 10 2 5" xfId="37858" xr:uid="{00000000-0005-0000-0000-00006D5F0000}"/>
    <cellStyle name="Normalny 10 3" xfId="24464" xr:uid="{00000000-0005-0000-0000-00006E5F0000}"/>
    <cellStyle name="Normalny 10 3 2" xfId="37859" xr:uid="{00000000-0005-0000-0000-00006F5F0000}"/>
    <cellStyle name="Normalny 10 3 2 2" xfId="37860" xr:uid="{00000000-0005-0000-0000-0000705F0000}"/>
    <cellStyle name="Normalny 10 3 3" xfId="37861" xr:uid="{00000000-0005-0000-0000-0000715F0000}"/>
    <cellStyle name="Normalny 10 3 4" xfId="37862" xr:uid="{00000000-0005-0000-0000-0000725F0000}"/>
    <cellStyle name="Normalny 10 4" xfId="24465" xr:uid="{00000000-0005-0000-0000-0000735F0000}"/>
    <cellStyle name="Normalny 10 4 2" xfId="37863" xr:uid="{00000000-0005-0000-0000-0000745F0000}"/>
    <cellStyle name="Normalny 10 4 3" xfId="37864" xr:uid="{00000000-0005-0000-0000-0000755F0000}"/>
    <cellStyle name="Normalny 10 5" xfId="24466" xr:uid="{00000000-0005-0000-0000-0000765F0000}"/>
    <cellStyle name="Normalny 10 5 2" xfId="37865" xr:uid="{00000000-0005-0000-0000-0000775F0000}"/>
    <cellStyle name="Normalny 10 6" xfId="37866" xr:uid="{00000000-0005-0000-0000-0000785F0000}"/>
    <cellStyle name="Normalny 100" xfId="24467" xr:uid="{00000000-0005-0000-0000-0000795F0000}"/>
    <cellStyle name="Normalny 101" xfId="24468" xr:uid="{00000000-0005-0000-0000-00007A5F0000}"/>
    <cellStyle name="Normalny 102" xfId="24469" xr:uid="{00000000-0005-0000-0000-00007B5F0000}"/>
    <cellStyle name="Normalny 103" xfId="24470" xr:uid="{00000000-0005-0000-0000-00007C5F0000}"/>
    <cellStyle name="Normalny 104" xfId="24471" xr:uid="{00000000-0005-0000-0000-00007D5F0000}"/>
    <cellStyle name="Normalny 105" xfId="24472" xr:uid="{00000000-0005-0000-0000-00007E5F0000}"/>
    <cellStyle name="Normalny 106" xfId="24473" xr:uid="{00000000-0005-0000-0000-00007F5F0000}"/>
    <cellStyle name="Normalny 107" xfId="24474" xr:uid="{00000000-0005-0000-0000-0000805F0000}"/>
    <cellStyle name="Normalny 108" xfId="24475" xr:uid="{00000000-0005-0000-0000-0000815F0000}"/>
    <cellStyle name="Normalny 109" xfId="24476" xr:uid="{00000000-0005-0000-0000-0000825F0000}"/>
    <cellStyle name="Normalny 11" xfId="24477" xr:uid="{00000000-0005-0000-0000-0000835F0000}"/>
    <cellStyle name="Normalny 11 2" xfId="24478" xr:uid="{00000000-0005-0000-0000-0000845F0000}"/>
    <cellStyle name="Normalny 11 2 2" xfId="37867" xr:uid="{00000000-0005-0000-0000-0000855F0000}"/>
    <cellStyle name="Normalny 11 2 2 2" xfId="37868" xr:uid="{00000000-0005-0000-0000-0000865F0000}"/>
    <cellStyle name="Normalny 11 2 2 2 2" xfId="37869" xr:uid="{00000000-0005-0000-0000-0000875F0000}"/>
    <cellStyle name="Normalny 11 2 2 3" xfId="37870" xr:uid="{00000000-0005-0000-0000-0000885F0000}"/>
    <cellStyle name="Normalny 11 2 3" xfId="37871" xr:uid="{00000000-0005-0000-0000-0000895F0000}"/>
    <cellStyle name="Normalny 11 2 3 2" xfId="37872" xr:uid="{00000000-0005-0000-0000-00008A5F0000}"/>
    <cellStyle name="Normalny 11 2 4" xfId="37873" xr:uid="{00000000-0005-0000-0000-00008B5F0000}"/>
    <cellStyle name="Normalny 11 2 5" xfId="37874" xr:uid="{00000000-0005-0000-0000-00008C5F0000}"/>
    <cellStyle name="Normalny 11 3" xfId="24479" xr:uid="{00000000-0005-0000-0000-00008D5F0000}"/>
    <cellStyle name="Normalny 11 3 2" xfId="37875" xr:uid="{00000000-0005-0000-0000-00008E5F0000}"/>
    <cellStyle name="Normalny 11 3 2 2" xfId="37876" xr:uid="{00000000-0005-0000-0000-00008F5F0000}"/>
    <cellStyle name="Normalny 11 3 3" xfId="37877" xr:uid="{00000000-0005-0000-0000-0000905F0000}"/>
    <cellStyle name="Normalny 11 3 4" xfId="37878" xr:uid="{00000000-0005-0000-0000-0000915F0000}"/>
    <cellStyle name="Normalny 11 4" xfId="24480" xr:uid="{00000000-0005-0000-0000-0000925F0000}"/>
    <cellStyle name="Normalny 11 4 2" xfId="37879" xr:uid="{00000000-0005-0000-0000-0000935F0000}"/>
    <cellStyle name="Normalny 11 4 3" xfId="37880" xr:uid="{00000000-0005-0000-0000-0000945F0000}"/>
    <cellStyle name="Normalny 11 5" xfId="37881" xr:uid="{00000000-0005-0000-0000-0000955F0000}"/>
    <cellStyle name="Normalny 11 6" xfId="37882" xr:uid="{00000000-0005-0000-0000-0000965F0000}"/>
    <cellStyle name="Normalny 110" xfId="24481" xr:uid="{00000000-0005-0000-0000-0000975F0000}"/>
    <cellStyle name="Normalny 111" xfId="24482" xr:uid="{00000000-0005-0000-0000-0000985F0000}"/>
    <cellStyle name="Normalny 112" xfId="24483" xr:uid="{00000000-0005-0000-0000-0000995F0000}"/>
    <cellStyle name="Normalny 113" xfId="24484" xr:uid="{00000000-0005-0000-0000-00009A5F0000}"/>
    <cellStyle name="Normalny 114" xfId="24485" xr:uid="{00000000-0005-0000-0000-00009B5F0000}"/>
    <cellStyle name="Normalny 115" xfId="24486" xr:uid="{00000000-0005-0000-0000-00009C5F0000}"/>
    <cellStyle name="Normalny 116" xfId="24487" xr:uid="{00000000-0005-0000-0000-00009D5F0000}"/>
    <cellStyle name="Normalny 117" xfId="24488" xr:uid="{00000000-0005-0000-0000-00009E5F0000}"/>
    <cellStyle name="Normalny 118" xfId="24489" xr:uid="{00000000-0005-0000-0000-00009F5F0000}"/>
    <cellStyle name="Normalny 119" xfId="24490" xr:uid="{00000000-0005-0000-0000-0000A05F0000}"/>
    <cellStyle name="Normalny 12" xfId="24491" xr:uid="{00000000-0005-0000-0000-0000A15F0000}"/>
    <cellStyle name="Normalny 12 2" xfId="37883" xr:uid="{00000000-0005-0000-0000-0000A25F0000}"/>
    <cellStyle name="Normalny 12 2 2" xfId="37884" xr:uid="{00000000-0005-0000-0000-0000A35F0000}"/>
    <cellStyle name="Normalny 12 2 2 2" xfId="37885" xr:uid="{00000000-0005-0000-0000-0000A45F0000}"/>
    <cellStyle name="Normalny 12 2 2 2 2" xfId="37886" xr:uid="{00000000-0005-0000-0000-0000A55F0000}"/>
    <cellStyle name="Normalny 12 2 2 3" xfId="37887" xr:uid="{00000000-0005-0000-0000-0000A65F0000}"/>
    <cellStyle name="Normalny 12 2 3" xfId="37888" xr:uid="{00000000-0005-0000-0000-0000A75F0000}"/>
    <cellStyle name="Normalny 12 2 3 2" xfId="37889" xr:uid="{00000000-0005-0000-0000-0000A85F0000}"/>
    <cellStyle name="Normalny 12 2 4" xfId="37890" xr:uid="{00000000-0005-0000-0000-0000A95F0000}"/>
    <cellStyle name="Normalny 12 3" xfId="37891" xr:uid="{00000000-0005-0000-0000-0000AA5F0000}"/>
    <cellStyle name="Normalny 12 3 2" xfId="37892" xr:uid="{00000000-0005-0000-0000-0000AB5F0000}"/>
    <cellStyle name="Normalny 12 3 2 2" xfId="37893" xr:uid="{00000000-0005-0000-0000-0000AC5F0000}"/>
    <cellStyle name="Normalny 12 3 3" xfId="37894" xr:uid="{00000000-0005-0000-0000-0000AD5F0000}"/>
    <cellStyle name="Normalny 12 4" xfId="37895" xr:uid="{00000000-0005-0000-0000-0000AE5F0000}"/>
    <cellStyle name="Normalny 12 4 2" xfId="37896" xr:uid="{00000000-0005-0000-0000-0000AF5F0000}"/>
    <cellStyle name="Normalny 12 5" xfId="37897" xr:uid="{00000000-0005-0000-0000-0000B05F0000}"/>
    <cellStyle name="Normalny 12 6" xfId="37898" xr:uid="{00000000-0005-0000-0000-0000B15F0000}"/>
    <cellStyle name="Normalny 120" xfId="24492" xr:uid="{00000000-0005-0000-0000-0000B25F0000}"/>
    <cellStyle name="Normalny 121" xfId="24493" xr:uid="{00000000-0005-0000-0000-0000B35F0000}"/>
    <cellStyle name="Normalny 122" xfId="24494" xr:uid="{00000000-0005-0000-0000-0000B45F0000}"/>
    <cellStyle name="Normalny 123" xfId="24495" xr:uid="{00000000-0005-0000-0000-0000B55F0000}"/>
    <cellStyle name="Normalny 124" xfId="24496" xr:uid="{00000000-0005-0000-0000-0000B65F0000}"/>
    <cellStyle name="Normalny 125" xfId="24497" xr:uid="{00000000-0005-0000-0000-0000B75F0000}"/>
    <cellStyle name="Normalny 126" xfId="24498" xr:uid="{00000000-0005-0000-0000-0000B85F0000}"/>
    <cellStyle name="Normalny 128" xfId="24499" xr:uid="{00000000-0005-0000-0000-0000B95F0000}"/>
    <cellStyle name="Normalny 129" xfId="24500" xr:uid="{00000000-0005-0000-0000-0000BA5F0000}"/>
    <cellStyle name="Normalny 13" xfId="24501" xr:uid="{00000000-0005-0000-0000-0000BB5F0000}"/>
    <cellStyle name="Normalny 13 10" xfId="24502" xr:uid="{00000000-0005-0000-0000-0000BC5F0000}"/>
    <cellStyle name="Normalny 13 11" xfId="24503" xr:uid="{00000000-0005-0000-0000-0000BD5F0000}"/>
    <cellStyle name="Normalny 13 12" xfId="24504" xr:uid="{00000000-0005-0000-0000-0000BE5F0000}"/>
    <cellStyle name="Normalny 13 13" xfId="24505" xr:uid="{00000000-0005-0000-0000-0000BF5F0000}"/>
    <cellStyle name="Normalny 13 14" xfId="24506" xr:uid="{00000000-0005-0000-0000-0000C05F0000}"/>
    <cellStyle name="Normalny 13 15" xfId="37899" xr:uid="{00000000-0005-0000-0000-0000C15F0000}"/>
    <cellStyle name="Normalny 13 2" xfId="24507" xr:uid="{00000000-0005-0000-0000-0000C25F0000}"/>
    <cellStyle name="Normalny 13 2 10" xfId="24508" xr:uid="{00000000-0005-0000-0000-0000C35F0000}"/>
    <cellStyle name="Normalny 13 2 11" xfId="24509" xr:uid="{00000000-0005-0000-0000-0000C45F0000}"/>
    <cellStyle name="Normalny 13 2 12" xfId="24510" xr:uid="{00000000-0005-0000-0000-0000C55F0000}"/>
    <cellStyle name="Normalny 13 2 13" xfId="37900" xr:uid="{00000000-0005-0000-0000-0000C65F0000}"/>
    <cellStyle name="Normalny 13 2 2" xfId="24511" xr:uid="{00000000-0005-0000-0000-0000C75F0000}"/>
    <cellStyle name="Normalny 13 2 2 10" xfId="24512" xr:uid="{00000000-0005-0000-0000-0000C85F0000}"/>
    <cellStyle name="Normalny 13 2 2 11" xfId="24513" xr:uid="{00000000-0005-0000-0000-0000C95F0000}"/>
    <cellStyle name="Normalny 13 2 2 12" xfId="37901" xr:uid="{00000000-0005-0000-0000-0000CA5F0000}"/>
    <cellStyle name="Normalny 13 2 2 2" xfId="24514" xr:uid="{00000000-0005-0000-0000-0000CB5F0000}"/>
    <cellStyle name="Normalny 13 2 2 2 10" xfId="24515" xr:uid="{00000000-0005-0000-0000-0000CC5F0000}"/>
    <cellStyle name="Normalny 13 2 2 2 11" xfId="24516" xr:uid="{00000000-0005-0000-0000-0000CD5F0000}"/>
    <cellStyle name="Normalny 13 2 2 2 12" xfId="37902" xr:uid="{00000000-0005-0000-0000-0000CE5F0000}"/>
    <cellStyle name="Normalny 13 2 2 2 2" xfId="24517" xr:uid="{00000000-0005-0000-0000-0000CF5F0000}"/>
    <cellStyle name="Normalny 13 2 2 2 2 2" xfId="24518" xr:uid="{00000000-0005-0000-0000-0000D05F0000}"/>
    <cellStyle name="Normalny 13 2 2 2 2 2 2" xfId="24519" xr:uid="{00000000-0005-0000-0000-0000D15F0000}"/>
    <cellStyle name="Normalny 13 2 2 2 2 2 3" xfId="24520" xr:uid="{00000000-0005-0000-0000-0000D25F0000}"/>
    <cellStyle name="Normalny 13 2 2 2 2 2 4" xfId="24521" xr:uid="{00000000-0005-0000-0000-0000D35F0000}"/>
    <cellStyle name="Normalny 13 2 2 2 2 2 5" xfId="24522" xr:uid="{00000000-0005-0000-0000-0000D45F0000}"/>
    <cellStyle name="Normalny 13 2 2 2 2 2 6" xfId="24523" xr:uid="{00000000-0005-0000-0000-0000D55F0000}"/>
    <cellStyle name="Normalny 13 2 2 2 2 3" xfId="24524" xr:uid="{00000000-0005-0000-0000-0000D65F0000}"/>
    <cellStyle name="Normalny 13 2 2 2 2 4" xfId="24525" xr:uid="{00000000-0005-0000-0000-0000D75F0000}"/>
    <cellStyle name="Normalny 13 2 2 2 2 5" xfId="24526" xr:uid="{00000000-0005-0000-0000-0000D85F0000}"/>
    <cellStyle name="Normalny 13 2 2 2 2 6" xfId="24527" xr:uid="{00000000-0005-0000-0000-0000D95F0000}"/>
    <cellStyle name="Normalny 13 2 2 2 2 7" xfId="24528" xr:uid="{00000000-0005-0000-0000-0000DA5F0000}"/>
    <cellStyle name="Normalny 13 2 2 2 2 8" xfId="37903" xr:uid="{00000000-0005-0000-0000-0000DB5F0000}"/>
    <cellStyle name="Normalny 13 2 2 2 3" xfId="24529" xr:uid="{00000000-0005-0000-0000-0000DC5F0000}"/>
    <cellStyle name="Normalny 13 2 2 2 4" xfId="24530" xr:uid="{00000000-0005-0000-0000-0000DD5F0000}"/>
    <cellStyle name="Normalny 13 2 2 2 5" xfId="24531" xr:uid="{00000000-0005-0000-0000-0000DE5F0000}"/>
    <cellStyle name="Normalny 13 2 2 2 6" xfId="24532" xr:uid="{00000000-0005-0000-0000-0000DF5F0000}"/>
    <cellStyle name="Normalny 13 2 2 2 7" xfId="24533" xr:uid="{00000000-0005-0000-0000-0000E05F0000}"/>
    <cellStyle name="Normalny 13 2 2 2 7 2" xfId="24534" xr:uid="{00000000-0005-0000-0000-0000E15F0000}"/>
    <cellStyle name="Normalny 13 2 2 2 7 3" xfId="24535" xr:uid="{00000000-0005-0000-0000-0000E25F0000}"/>
    <cellStyle name="Normalny 13 2 2 2 7 4" xfId="24536" xr:uid="{00000000-0005-0000-0000-0000E35F0000}"/>
    <cellStyle name="Normalny 13 2 2 2 7 5" xfId="24537" xr:uid="{00000000-0005-0000-0000-0000E45F0000}"/>
    <cellStyle name="Normalny 13 2 2 2 7 6" xfId="24538" xr:uid="{00000000-0005-0000-0000-0000E55F0000}"/>
    <cellStyle name="Normalny 13 2 2 2 8" xfId="24539" xr:uid="{00000000-0005-0000-0000-0000E65F0000}"/>
    <cellStyle name="Normalny 13 2 2 2 9" xfId="24540" xr:uid="{00000000-0005-0000-0000-0000E75F0000}"/>
    <cellStyle name="Normalny 13 2 2 3" xfId="24541" xr:uid="{00000000-0005-0000-0000-0000E85F0000}"/>
    <cellStyle name="Normalny 13 2 2 3 2" xfId="24542" xr:uid="{00000000-0005-0000-0000-0000E95F0000}"/>
    <cellStyle name="Normalny 13 2 2 3 2 2" xfId="24543" xr:uid="{00000000-0005-0000-0000-0000EA5F0000}"/>
    <cellStyle name="Normalny 13 2 2 3 2 3" xfId="24544" xr:uid="{00000000-0005-0000-0000-0000EB5F0000}"/>
    <cellStyle name="Normalny 13 2 2 3 2 4" xfId="24545" xr:uid="{00000000-0005-0000-0000-0000EC5F0000}"/>
    <cellStyle name="Normalny 13 2 2 3 2 5" xfId="24546" xr:uid="{00000000-0005-0000-0000-0000ED5F0000}"/>
    <cellStyle name="Normalny 13 2 2 3 2 6" xfId="24547" xr:uid="{00000000-0005-0000-0000-0000EE5F0000}"/>
    <cellStyle name="Normalny 13 2 2 3 3" xfId="24548" xr:uid="{00000000-0005-0000-0000-0000EF5F0000}"/>
    <cellStyle name="Normalny 13 2 2 3 4" xfId="24549" xr:uid="{00000000-0005-0000-0000-0000F05F0000}"/>
    <cellStyle name="Normalny 13 2 2 3 5" xfId="24550" xr:uid="{00000000-0005-0000-0000-0000F15F0000}"/>
    <cellStyle name="Normalny 13 2 2 3 6" xfId="24551" xr:uid="{00000000-0005-0000-0000-0000F25F0000}"/>
    <cellStyle name="Normalny 13 2 2 3 7" xfId="24552" xr:uid="{00000000-0005-0000-0000-0000F35F0000}"/>
    <cellStyle name="Normalny 13 2 2 3 8" xfId="37904" xr:uid="{00000000-0005-0000-0000-0000F45F0000}"/>
    <cellStyle name="Normalny 13 2 2 4" xfId="24553" xr:uid="{00000000-0005-0000-0000-0000F55F0000}"/>
    <cellStyle name="Normalny 13 2 2 5" xfId="24554" xr:uid="{00000000-0005-0000-0000-0000F65F0000}"/>
    <cellStyle name="Normalny 13 2 2 6" xfId="24555" xr:uid="{00000000-0005-0000-0000-0000F75F0000}"/>
    <cellStyle name="Normalny 13 2 2 7" xfId="24556" xr:uid="{00000000-0005-0000-0000-0000F85F0000}"/>
    <cellStyle name="Normalny 13 2 2 7 2" xfId="24557" xr:uid="{00000000-0005-0000-0000-0000F95F0000}"/>
    <cellStyle name="Normalny 13 2 2 7 3" xfId="24558" xr:uid="{00000000-0005-0000-0000-0000FA5F0000}"/>
    <cellStyle name="Normalny 13 2 2 7 4" xfId="24559" xr:uid="{00000000-0005-0000-0000-0000FB5F0000}"/>
    <cellStyle name="Normalny 13 2 2 7 5" xfId="24560" xr:uid="{00000000-0005-0000-0000-0000FC5F0000}"/>
    <cellStyle name="Normalny 13 2 2 7 6" xfId="24561" xr:uid="{00000000-0005-0000-0000-0000FD5F0000}"/>
    <cellStyle name="Normalny 13 2 2 8" xfId="24562" xr:uid="{00000000-0005-0000-0000-0000FE5F0000}"/>
    <cellStyle name="Normalny 13 2 2 9" xfId="24563" xr:uid="{00000000-0005-0000-0000-0000FF5F0000}"/>
    <cellStyle name="Normalny 13 2 3" xfId="24564" xr:uid="{00000000-0005-0000-0000-000000600000}"/>
    <cellStyle name="Normalny 13 2 3 2" xfId="24565" xr:uid="{00000000-0005-0000-0000-000001600000}"/>
    <cellStyle name="Normalny 13 2 3 2 2" xfId="24566" xr:uid="{00000000-0005-0000-0000-000002600000}"/>
    <cellStyle name="Normalny 13 2 3 2 3" xfId="24567" xr:uid="{00000000-0005-0000-0000-000003600000}"/>
    <cellStyle name="Normalny 13 2 3 2 4" xfId="24568" xr:uid="{00000000-0005-0000-0000-000004600000}"/>
    <cellStyle name="Normalny 13 2 3 2 5" xfId="24569" xr:uid="{00000000-0005-0000-0000-000005600000}"/>
    <cellStyle name="Normalny 13 2 3 2 6" xfId="24570" xr:uid="{00000000-0005-0000-0000-000006600000}"/>
    <cellStyle name="Normalny 13 2 3 2 7" xfId="37905" xr:uid="{00000000-0005-0000-0000-000007600000}"/>
    <cellStyle name="Normalny 13 2 3 3" xfId="24571" xr:uid="{00000000-0005-0000-0000-000008600000}"/>
    <cellStyle name="Normalny 13 2 3 4" xfId="24572" xr:uid="{00000000-0005-0000-0000-000009600000}"/>
    <cellStyle name="Normalny 13 2 3 5" xfId="24573" xr:uid="{00000000-0005-0000-0000-00000A600000}"/>
    <cellStyle name="Normalny 13 2 3 6" xfId="24574" xr:uid="{00000000-0005-0000-0000-00000B600000}"/>
    <cellStyle name="Normalny 13 2 3 7" xfId="24575" xr:uid="{00000000-0005-0000-0000-00000C600000}"/>
    <cellStyle name="Normalny 13 2 3 8" xfId="37906" xr:uid="{00000000-0005-0000-0000-00000D600000}"/>
    <cellStyle name="Normalny 13 2 4" xfId="24576" xr:uid="{00000000-0005-0000-0000-00000E600000}"/>
    <cellStyle name="Normalny 13 2 4 2" xfId="37907" xr:uid="{00000000-0005-0000-0000-00000F600000}"/>
    <cellStyle name="Normalny 13 2 5" xfId="24577" xr:uid="{00000000-0005-0000-0000-000010600000}"/>
    <cellStyle name="Normalny 13 2 6" xfId="24578" xr:uid="{00000000-0005-0000-0000-000011600000}"/>
    <cellStyle name="Normalny 13 2 7" xfId="24579" xr:uid="{00000000-0005-0000-0000-000012600000}"/>
    <cellStyle name="Normalny 13 2 8" xfId="24580" xr:uid="{00000000-0005-0000-0000-000013600000}"/>
    <cellStyle name="Normalny 13 2 8 2" xfId="24581" xr:uid="{00000000-0005-0000-0000-000014600000}"/>
    <cellStyle name="Normalny 13 2 8 3" xfId="24582" xr:uid="{00000000-0005-0000-0000-000015600000}"/>
    <cellStyle name="Normalny 13 2 8 4" xfId="24583" xr:uid="{00000000-0005-0000-0000-000016600000}"/>
    <cellStyle name="Normalny 13 2 8 5" xfId="24584" xr:uid="{00000000-0005-0000-0000-000017600000}"/>
    <cellStyle name="Normalny 13 2 8 6" xfId="24585" xr:uid="{00000000-0005-0000-0000-000018600000}"/>
    <cellStyle name="Normalny 13 2 9" xfId="24586" xr:uid="{00000000-0005-0000-0000-000019600000}"/>
    <cellStyle name="Normalny 13 3" xfId="24587" xr:uid="{00000000-0005-0000-0000-00001A600000}"/>
    <cellStyle name="Normalny 13 3 2" xfId="37908" xr:uid="{00000000-0005-0000-0000-00001B600000}"/>
    <cellStyle name="Normalny 13 3 2 2" xfId="37909" xr:uid="{00000000-0005-0000-0000-00001C600000}"/>
    <cellStyle name="Normalny 13 3 3" xfId="37910" xr:uid="{00000000-0005-0000-0000-00001D600000}"/>
    <cellStyle name="Normalny 13 3 4" xfId="37911" xr:uid="{00000000-0005-0000-0000-00001E600000}"/>
    <cellStyle name="Normalny 13 4" xfId="24588" xr:uid="{00000000-0005-0000-0000-00001F600000}"/>
    <cellStyle name="Normalny 13 4 10" xfId="24589" xr:uid="{00000000-0005-0000-0000-000020600000}"/>
    <cellStyle name="Normalny 13 4 11" xfId="24590" xr:uid="{00000000-0005-0000-0000-000021600000}"/>
    <cellStyle name="Normalny 13 4 12" xfId="37912" xr:uid="{00000000-0005-0000-0000-000022600000}"/>
    <cellStyle name="Normalny 13 4 2" xfId="24591" xr:uid="{00000000-0005-0000-0000-000023600000}"/>
    <cellStyle name="Normalny 13 4 2 2" xfId="24592" xr:uid="{00000000-0005-0000-0000-000024600000}"/>
    <cellStyle name="Normalny 13 4 2 2 2" xfId="24593" xr:uid="{00000000-0005-0000-0000-000025600000}"/>
    <cellStyle name="Normalny 13 4 2 2 3" xfId="24594" xr:uid="{00000000-0005-0000-0000-000026600000}"/>
    <cellStyle name="Normalny 13 4 2 2 4" xfId="24595" xr:uid="{00000000-0005-0000-0000-000027600000}"/>
    <cellStyle name="Normalny 13 4 2 2 5" xfId="24596" xr:uid="{00000000-0005-0000-0000-000028600000}"/>
    <cellStyle name="Normalny 13 4 2 2 6" xfId="24597" xr:uid="{00000000-0005-0000-0000-000029600000}"/>
    <cellStyle name="Normalny 13 4 2 3" xfId="24598" xr:uid="{00000000-0005-0000-0000-00002A600000}"/>
    <cellStyle name="Normalny 13 4 2 4" xfId="24599" xr:uid="{00000000-0005-0000-0000-00002B600000}"/>
    <cellStyle name="Normalny 13 4 2 5" xfId="24600" xr:uid="{00000000-0005-0000-0000-00002C600000}"/>
    <cellStyle name="Normalny 13 4 2 6" xfId="24601" xr:uid="{00000000-0005-0000-0000-00002D600000}"/>
    <cellStyle name="Normalny 13 4 2 7" xfId="24602" xr:uid="{00000000-0005-0000-0000-00002E600000}"/>
    <cellStyle name="Normalny 13 4 2 8" xfId="37913" xr:uid="{00000000-0005-0000-0000-00002F600000}"/>
    <cellStyle name="Normalny 13 4 3" xfId="24603" xr:uid="{00000000-0005-0000-0000-000030600000}"/>
    <cellStyle name="Normalny 13 4 4" xfId="24604" xr:uid="{00000000-0005-0000-0000-000031600000}"/>
    <cellStyle name="Normalny 13 4 5" xfId="24605" xr:uid="{00000000-0005-0000-0000-000032600000}"/>
    <cellStyle name="Normalny 13 4 6" xfId="24606" xr:uid="{00000000-0005-0000-0000-000033600000}"/>
    <cellStyle name="Normalny 13 4 7" xfId="24607" xr:uid="{00000000-0005-0000-0000-000034600000}"/>
    <cellStyle name="Normalny 13 4 7 2" xfId="24608" xr:uid="{00000000-0005-0000-0000-000035600000}"/>
    <cellStyle name="Normalny 13 4 7 3" xfId="24609" xr:uid="{00000000-0005-0000-0000-000036600000}"/>
    <cellStyle name="Normalny 13 4 7 4" xfId="24610" xr:uid="{00000000-0005-0000-0000-000037600000}"/>
    <cellStyle name="Normalny 13 4 7 5" xfId="24611" xr:uid="{00000000-0005-0000-0000-000038600000}"/>
    <cellStyle name="Normalny 13 4 7 6" xfId="24612" xr:uid="{00000000-0005-0000-0000-000039600000}"/>
    <cellStyle name="Normalny 13 4 8" xfId="24613" xr:uid="{00000000-0005-0000-0000-00003A600000}"/>
    <cellStyle name="Normalny 13 4 9" xfId="24614" xr:uid="{00000000-0005-0000-0000-00003B600000}"/>
    <cellStyle name="Normalny 13 5" xfId="24615" xr:uid="{00000000-0005-0000-0000-00003C600000}"/>
    <cellStyle name="Normalny 13 5 2" xfId="24616" xr:uid="{00000000-0005-0000-0000-00003D600000}"/>
    <cellStyle name="Normalny 13 5 2 2" xfId="24617" xr:uid="{00000000-0005-0000-0000-00003E600000}"/>
    <cellStyle name="Normalny 13 5 2 3" xfId="24618" xr:uid="{00000000-0005-0000-0000-00003F600000}"/>
    <cellStyle name="Normalny 13 5 2 4" xfId="24619" xr:uid="{00000000-0005-0000-0000-000040600000}"/>
    <cellStyle name="Normalny 13 5 2 5" xfId="24620" xr:uid="{00000000-0005-0000-0000-000041600000}"/>
    <cellStyle name="Normalny 13 5 2 6" xfId="24621" xr:uid="{00000000-0005-0000-0000-000042600000}"/>
    <cellStyle name="Normalny 13 5 3" xfId="24622" xr:uid="{00000000-0005-0000-0000-000043600000}"/>
    <cellStyle name="Normalny 13 5 4" xfId="24623" xr:uid="{00000000-0005-0000-0000-000044600000}"/>
    <cellStyle name="Normalny 13 5 5" xfId="24624" xr:uid="{00000000-0005-0000-0000-000045600000}"/>
    <cellStyle name="Normalny 13 5 6" xfId="24625" xr:uid="{00000000-0005-0000-0000-000046600000}"/>
    <cellStyle name="Normalny 13 5 7" xfId="24626" xr:uid="{00000000-0005-0000-0000-000047600000}"/>
    <cellStyle name="Normalny 13 5 8" xfId="37914" xr:uid="{00000000-0005-0000-0000-000048600000}"/>
    <cellStyle name="Normalny 13 6" xfId="24627" xr:uid="{00000000-0005-0000-0000-000049600000}"/>
    <cellStyle name="Normalny 13 7" xfId="24628" xr:uid="{00000000-0005-0000-0000-00004A600000}"/>
    <cellStyle name="Normalny 13 8" xfId="24629" xr:uid="{00000000-0005-0000-0000-00004B600000}"/>
    <cellStyle name="Normalny 13 9" xfId="24630" xr:uid="{00000000-0005-0000-0000-00004C600000}"/>
    <cellStyle name="Normalny 13 9 2" xfId="24631" xr:uid="{00000000-0005-0000-0000-00004D600000}"/>
    <cellStyle name="Normalny 13 9 3" xfId="24632" xr:uid="{00000000-0005-0000-0000-00004E600000}"/>
    <cellStyle name="Normalny 13 9 4" xfId="24633" xr:uid="{00000000-0005-0000-0000-00004F600000}"/>
    <cellStyle name="Normalny 13 9 5" xfId="24634" xr:uid="{00000000-0005-0000-0000-000050600000}"/>
    <cellStyle name="Normalny 13 9 6" xfId="24635" xr:uid="{00000000-0005-0000-0000-000051600000}"/>
    <cellStyle name="Normalny 130" xfId="24636" xr:uid="{00000000-0005-0000-0000-000052600000}"/>
    <cellStyle name="Normalny 131" xfId="24637" xr:uid="{00000000-0005-0000-0000-000053600000}"/>
    <cellStyle name="Normalny 132" xfId="24638" xr:uid="{00000000-0005-0000-0000-000054600000}"/>
    <cellStyle name="Normalny 133" xfId="24639" xr:uid="{00000000-0005-0000-0000-000055600000}"/>
    <cellStyle name="Normalny 134" xfId="24640" xr:uid="{00000000-0005-0000-0000-000056600000}"/>
    <cellStyle name="Normalny 135" xfId="24641" xr:uid="{00000000-0005-0000-0000-000057600000}"/>
    <cellStyle name="Normalny 136" xfId="24642" xr:uid="{00000000-0005-0000-0000-000058600000}"/>
    <cellStyle name="Normalny 137" xfId="24643" xr:uid="{00000000-0005-0000-0000-000059600000}"/>
    <cellStyle name="Normalny 138" xfId="24644" xr:uid="{00000000-0005-0000-0000-00005A600000}"/>
    <cellStyle name="Normalny 139" xfId="24645" xr:uid="{00000000-0005-0000-0000-00005B600000}"/>
    <cellStyle name="Normalny 14" xfId="24646" xr:uid="{00000000-0005-0000-0000-00005C600000}"/>
    <cellStyle name="Normalny 14 2" xfId="37915" xr:uid="{00000000-0005-0000-0000-00005D600000}"/>
    <cellStyle name="Normalny 14 2 2" xfId="37916" xr:uid="{00000000-0005-0000-0000-00005E600000}"/>
    <cellStyle name="Normalny 14 2 2 2" xfId="37917" xr:uid="{00000000-0005-0000-0000-00005F600000}"/>
    <cellStyle name="Normalny 14 2 2 2 2" xfId="37918" xr:uid="{00000000-0005-0000-0000-000060600000}"/>
    <cellStyle name="Normalny 14 2 2 2 2 2" xfId="37919" xr:uid="{00000000-0005-0000-0000-000061600000}"/>
    <cellStyle name="Normalny 14 2 2 2 3" xfId="37920" xr:uid="{00000000-0005-0000-0000-000062600000}"/>
    <cellStyle name="Normalny 14 2 2 3" xfId="37921" xr:uid="{00000000-0005-0000-0000-000063600000}"/>
    <cellStyle name="Normalny 14 2 2 3 2" xfId="37922" xr:uid="{00000000-0005-0000-0000-000064600000}"/>
    <cellStyle name="Normalny 14 2 2 4" xfId="37923" xr:uid="{00000000-0005-0000-0000-000065600000}"/>
    <cellStyle name="Normalny 14 2 3" xfId="37924" xr:uid="{00000000-0005-0000-0000-000066600000}"/>
    <cellStyle name="Normalny 14 2 3 2" xfId="37925" xr:uid="{00000000-0005-0000-0000-000067600000}"/>
    <cellStyle name="Normalny 14 2 3 2 2" xfId="37926" xr:uid="{00000000-0005-0000-0000-000068600000}"/>
    <cellStyle name="Normalny 14 2 3 3" xfId="37927" xr:uid="{00000000-0005-0000-0000-000069600000}"/>
    <cellStyle name="Normalny 14 2 4" xfId="37928" xr:uid="{00000000-0005-0000-0000-00006A600000}"/>
    <cellStyle name="Normalny 14 2 4 2" xfId="37929" xr:uid="{00000000-0005-0000-0000-00006B600000}"/>
    <cellStyle name="Normalny 14 2 5" xfId="37930" xr:uid="{00000000-0005-0000-0000-00006C600000}"/>
    <cellStyle name="Normalny 14 3" xfId="37931" xr:uid="{00000000-0005-0000-0000-00006D600000}"/>
    <cellStyle name="Normalny 14 3 2" xfId="37932" xr:uid="{00000000-0005-0000-0000-00006E600000}"/>
    <cellStyle name="Normalny 14 3 2 2" xfId="37933" xr:uid="{00000000-0005-0000-0000-00006F600000}"/>
    <cellStyle name="Normalny 14 3 2 2 2" xfId="37934" xr:uid="{00000000-0005-0000-0000-000070600000}"/>
    <cellStyle name="Normalny 14 3 2 3" xfId="37935" xr:uid="{00000000-0005-0000-0000-000071600000}"/>
    <cellStyle name="Normalny 14 3 3" xfId="37936" xr:uid="{00000000-0005-0000-0000-000072600000}"/>
    <cellStyle name="Normalny 14 3 3 2" xfId="37937" xr:uid="{00000000-0005-0000-0000-000073600000}"/>
    <cellStyle name="Normalny 14 3 4" xfId="37938" xr:uid="{00000000-0005-0000-0000-000074600000}"/>
    <cellStyle name="Normalny 14 4" xfId="37939" xr:uid="{00000000-0005-0000-0000-000075600000}"/>
    <cellStyle name="Normalny 14 4 2" xfId="37940" xr:uid="{00000000-0005-0000-0000-000076600000}"/>
    <cellStyle name="Normalny 14 4 2 2" xfId="37941" xr:uid="{00000000-0005-0000-0000-000077600000}"/>
    <cellStyle name="Normalny 14 4 3" xfId="37942" xr:uid="{00000000-0005-0000-0000-000078600000}"/>
    <cellStyle name="Normalny 14 5" xfId="37943" xr:uid="{00000000-0005-0000-0000-000079600000}"/>
    <cellStyle name="Normalny 14 5 2" xfId="37944" xr:uid="{00000000-0005-0000-0000-00007A600000}"/>
    <cellStyle name="Normalny 14 6" xfId="37945" xr:uid="{00000000-0005-0000-0000-00007B600000}"/>
    <cellStyle name="Normalny 14 7" xfId="37946" xr:uid="{00000000-0005-0000-0000-00007C600000}"/>
    <cellStyle name="Normalny 140" xfId="24647" xr:uid="{00000000-0005-0000-0000-00007D600000}"/>
    <cellStyle name="Normalny 141" xfId="24648" xr:uid="{00000000-0005-0000-0000-00007E600000}"/>
    <cellStyle name="Normalny 142" xfId="24649" xr:uid="{00000000-0005-0000-0000-00007F600000}"/>
    <cellStyle name="Normalny 143" xfId="24650" xr:uid="{00000000-0005-0000-0000-000080600000}"/>
    <cellStyle name="Normalny 144" xfId="24651" xr:uid="{00000000-0005-0000-0000-000081600000}"/>
    <cellStyle name="Normalny 145" xfId="24652" xr:uid="{00000000-0005-0000-0000-000082600000}"/>
    <cellStyle name="Normalny 146" xfId="24653" xr:uid="{00000000-0005-0000-0000-000083600000}"/>
    <cellStyle name="Normalny 147" xfId="24654" xr:uid="{00000000-0005-0000-0000-000084600000}"/>
    <cellStyle name="Normalny 148" xfId="24655" xr:uid="{00000000-0005-0000-0000-000085600000}"/>
    <cellStyle name="Normalny 149" xfId="24656" xr:uid="{00000000-0005-0000-0000-000086600000}"/>
    <cellStyle name="Normalny 15" xfId="24657" xr:uid="{00000000-0005-0000-0000-000087600000}"/>
    <cellStyle name="Normalny 15 2" xfId="24658" xr:uid="{00000000-0005-0000-0000-000088600000}"/>
    <cellStyle name="Normalny 15 2 2" xfId="37947" xr:uid="{00000000-0005-0000-0000-000089600000}"/>
    <cellStyle name="Normalny 15 2 2 2" xfId="37948" xr:uid="{00000000-0005-0000-0000-00008A600000}"/>
    <cellStyle name="Normalny 15 2 2 2 2" xfId="37949" xr:uid="{00000000-0005-0000-0000-00008B600000}"/>
    <cellStyle name="Normalny 15 2 2 3" xfId="37950" xr:uid="{00000000-0005-0000-0000-00008C600000}"/>
    <cellStyle name="Normalny 15 2 3" xfId="37951" xr:uid="{00000000-0005-0000-0000-00008D600000}"/>
    <cellStyle name="Normalny 15 2 3 2" xfId="37952" xr:uid="{00000000-0005-0000-0000-00008E600000}"/>
    <cellStyle name="Normalny 15 2 4" xfId="37953" xr:uid="{00000000-0005-0000-0000-00008F600000}"/>
    <cellStyle name="Normalny 15 2 5" xfId="37954" xr:uid="{00000000-0005-0000-0000-000090600000}"/>
    <cellStyle name="Normalny 15 3" xfId="24659" xr:uid="{00000000-0005-0000-0000-000091600000}"/>
    <cellStyle name="Normalny 15 3 2" xfId="37955" xr:uid="{00000000-0005-0000-0000-000092600000}"/>
    <cellStyle name="Normalny 15 3 2 2" xfId="37956" xr:uid="{00000000-0005-0000-0000-000093600000}"/>
    <cellStyle name="Normalny 15 3 3" xfId="37957" xr:uid="{00000000-0005-0000-0000-000094600000}"/>
    <cellStyle name="Normalny 15 3 4" xfId="37958" xr:uid="{00000000-0005-0000-0000-000095600000}"/>
    <cellStyle name="Normalny 15 4" xfId="24660" xr:uid="{00000000-0005-0000-0000-000096600000}"/>
    <cellStyle name="Normalny 15 4 2" xfId="37959" xr:uid="{00000000-0005-0000-0000-000097600000}"/>
    <cellStyle name="Normalny 15 4 3" xfId="37960" xr:uid="{00000000-0005-0000-0000-000098600000}"/>
    <cellStyle name="Normalny 15 5" xfId="37961" xr:uid="{00000000-0005-0000-0000-000099600000}"/>
    <cellStyle name="Normalny 15 6" xfId="37962" xr:uid="{00000000-0005-0000-0000-00009A600000}"/>
    <cellStyle name="Normalny 150" xfId="24661" xr:uid="{00000000-0005-0000-0000-00009B600000}"/>
    <cellStyle name="Normalny 151" xfId="24662" xr:uid="{00000000-0005-0000-0000-00009C600000}"/>
    <cellStyle name="Normalny 152" xfId="24663" xr:uid="{00000000-0005-0000-0000-00009D600000}"/>
    <cellStyle name="Normalny 153" xfId="24664" xr:uid="{00000000-0005-0000-0000-00009E600000}"/>
    <cellStyle name="Normalny 154" xfId="24665" xr:uid="{00000000-0005-0000-0000-00009F600000}"/>
    <cellStyle name="Normalny 155" xfId="24666" xr:uid="{00000000-0005-0000-0000-0000A0600000}"/>
    <cellStyle name="Normalny 158" xfId="24667" xr:uid="{00000000-0005-0000-0000-0000A1600000}"/>
    <cellStyle name="Normalny 159" xfId="24668" xr:uid="{00000000-0005-0000-0000-0000A2600000}"/>
    <cellStyle name="Normalny 16" xfId="24669" xr:uid="{00000000-0005-0000-0000-0000A3600000}"/>
    <cellStyle name="Normalny 16 10" xfId="24670" xr:uid="{00000000-0005-0000-0000-0000A4600000}"/>
    <cellStyle name="Normalny 16 10 2" xfId="24671" xr:uid="{00000000-0005-0000-0000-0000A5600000}"/>
    <cellStyle name="Normalny 16 10 3" xfId="24672" xr:uid="{00000000-0005-0000-0000-0000A6600000}"/>
    <cellStyle name="Normalny 16 11" xfId="24673" xr:uid="{00000000-0005-0000-0000-0000A7600000}"/>
    <cellStyle name="Normalny 16 12" xfId="24674" xr:uid="{00000000-0005-0000-0000-0000A8600000}"/>
    <cellStyle name="Normalny 16 2" xfId="24675" xr:uid="{00000000-0005-0000-0000-0000A9600000}"/>
    <cellStyle name="Normalny 16 2 2" xfId="24676" xr:uid="{00000000-0005-0000-0000-0000AA600000}"/>
    <cellStyle name="Normalny 16 2 2 2" xfId="24677" xr:uid="{00000000-0005-0000-0000-0000AB600000}"/>
    <cellStyle name="Normalny 16 2 2 2 2" xfId="37963" xr:uid="{00000000-0005-0000-0000-0000AC600000}"/>
    <cellStyle name="Normalny 16 2 2 3" xfId="24678" xr:uid="{00000000-0005-0000-0000-0000AD600000}"/>
    <cellStyle name="Normalny 16 2 3" xfId="24679" xr:uid="{00000000-0005-0000-0000-0000AE600000}"/>
    <cellStyle name="Normalny 16 2 3 2" xfId="24680" xr:uid="{00000000-0005-0000-0000-0000AF600000}"/>
    <cellStyle name="Normalny 16 2 3 3" xfId="24681" xr:uid="{00000000-0005-0000-0000-0000B0600000}"/>
    <cellStyle name="Normalny 16 2 4" xfId="24682" xr:uid="{00000000-0005-0000-0000-0000B1600000}"/>
    <cellStyle name="Normalny 16 2 5" xfId="24683" xr:uid="{00000000-0005-0000-0000-0000B2600000}"/>
    <cellStyle name="Normalny 16 3" xfId="24684" xr:uid="{00000000-0005-0000-0000-0000B3600000}"/>
    <cellStyle name="Normalny 16 3 2" xfId="24685" xr:uid="{00000000-0005-0000-0000-0000B4600000}"/>
    <cellStyle name="Normalny 16 3 2 2" xfId="24686" xr:uid="{00000000-0005-0000-0000-0000B5600000}"/>
    <cellStyle name="Normalny 16 3 2 2 2" xfId="24687" xr:uid="{00000000-0005-0000-0000-0000B6600000}"/>
    <cellStyle name="Normalny 16 3 2 2 3" xfId="24688" xr:uid="{00000000-0005-0000-0000-0000B7600000}"/>
    <cellStyle name="Normalny 16 3 2 3" xfId="24689" xr:uid="{00000000-0005-0000-0000-0000B8600000}"/>
    <cellStyle name="Normalny 16 3 2 3 2" xfId="24690" xr:uid="{00000000-0005-0000-0000-0000B9600000}"/>
    <cellStyle name="Normalny 16 3 2 3 3" xfId="24691" xr:uid="{00000000-0005-0000-0000-0000BA600000}"/>
    <cellStyle name="Normalny 16 3 2 4" xfId="24692" xr:uid="{00000000-0005-0000-0000-0000BB600000}"/>
    <cellStyle name="Normalny 16 3 2 4 2" xfId="24693" xr:uid="{00000000-0005-0000-0000-0000BC600000}"/>
    <cellStyle name="Normalny 16 3 2 4 3" xfId="24694" xr:uid="{00000000-0005-0000-0000-0000BD600000}"/>
    <cellStyle name="Normalny 16 3 2 5" xfId="24695" xr:uid="{00000000-0005-0000-0000-0000BE600000}"/>
    <cellStyle name="Normalny 16 3 2 6" xfId="24696" xr:uid="{00000000-0005-0000-0000-0000BF600000}"/>
    <cellStyle name="Normalny 16 3 2 7" xfId="37964" xr:uid="{00000000-0005-0000-0000-0000C0600000}"/>
    <cellStyle name="Normalny 16 3 3" xfId="24697" xr:uid="{00000000-0005-0000-0000-0000C1600000}"/>
    <cellStyle name="Normalny 16 3 3 2" xfId="24698" xr:uid="{00000000-0005-0000-0000-0000C2600000}"/>
    <cellStyle name="Normalny 16 3 3 3" xfId="24699" xr:uid="{00000000-0005-0000-0000-0000C3600000}"/>
    <cellStyle name="Normalny 16 3 4" xfId="24700" xr:uid="{00000000-0005-0000-0000-0000C4600000}"/>
    <cellStyle name="Normalny 16 3 5" xfId="24701" xr:uid="{00000000-0005-0000-0000-0000C5600000}"/>
    <cellStyle name="Normalny 16 3 6" xfId="24702" xr:uid="{00000000-0005-0000-0000-0000C6600000}"/>
    <cellStyle name="Normalny 16 3 7" xfId="24703" xr:uid="{00000000-0005-0000-0000-0000C7600000}"/>
    <cellStyle name="Normalny 16 4" xfId="24704" xr:uid="{00000000-0005-0000-0000-0000C8600000}"/>
    <cellStyle name="Normalny 16 4 2" xfId="24705" xr:uid="{00000000-0005-0000-0000-0000C9600000}"/>
    <cellStyle name="Normalny 16 4 3" xfId="24706" xr:uid="{00000000-0005-0000-0000-0000CA600000}"/>
    <cellStyle name="Normalny 16 5" xfId="24707" xr:uid="{00000000-0005-0000-0000-0000CB600000}"/>
    <cellStyle name="Normalny 16 5 2" xfId="24708" xr:uid="{00000000-0005-0000-0000-0000CC600000}"/>
    <cellStyle name="Normalny 16 5 3" xfId="24709" xr:uid="{00000000-0005-0000-0000-0000CD600000}"/>
    <cellStyle name="Normalny 16 6" xfId="24710" xr:uid="{00000000-0005-0000-0000-0000CE600000}"/>
    <cellStyle name="Normalny 16 6 2" xfId="24711" xr:uid="{00000000-0005-0000-0000-0000CF600000}"/>
    <cellStyle name="Normalny 16 6 3" xfId="24712" xr:uid="{00000000-0005-0000-0000-0000D0600000}"/>
    <cellStyle name="Normalny 16 7" xfId="24713" xr:uid="{00000000-0005-0000-0000-0000D1600000}"/>
    <cellStyle name="Normalny 16 7 2" xfId="24714" xr:uid="{00000000-0005-0000-0000-0000D2600000}"/>
    <cellStyle name="Normalny 16 7 3" xfId="24715" xr:uid="{00000000-0005-0000-0000-0000D3600000}"/>
    <cellStyle name="Normalny 16 8" xfId="24716" xr:uid="{00000000-0005-0000-0000-0000D4600000}"/>
    <cellStyle name="Normalny 16 8 2" xfId="24717" xr:uid="{00000000-0005-0000-0000-0000D5600000}"/>
    <cellStyle name="Normalny 16 8 3" xfId="24718" xr:uid="{00000000-0005-0000-0000-0000D6600000}"/>
    <cellStyle name="Normalny 16 8 4" xfId="24719" xr:uid="{00000000-0005-0000-0000-0000D7600000}"/>
    <cellStyle name="Normalny 16 8 5" xfId="24720" xr:uid="{00000000-0005-0000-0000-0000D8600000}"/>
    <cellStyle name="Normalny 16 8 6" xfId="24721" xr:uid="{00000000-0005-0000-0000-0000D9600000}"/>
    <cellStyle name="Normalny 16 9" xfId="24722" xr:uid="{00000000-0005-0000-0000-0000DA600000}"/>
    <cellStyle name="Normalny 16 9 2" xfId="24723" xr:uid="{00000000-0005-0000-0000-0000DB600000}"/>
    <cellStyle name="Normalny 16 9 3" xfId="24724" xr:uid="{00000000-0005-0000-0000-0000DC600000}"/>
    <cellStyle name="Normalny 160" xfId="24725" xr:uid="{00000000-0005-0000-0000-0000DD600000}"/>
    <cellStyle name="Normalny 161" xfId="24726" xr:uid="{00000000-0005-0000-0000-0000DE600000}"/>
    <cellStyle name="Normalny 162" xfId="24727" xr:uid="{00000000-0005-0000-0000-0000DF600000}"/>
    <cellStyle name="Normalny 163" xfId="24728" xr:uid="{00000000-0005-0000-0000-0000E0600000}"/>
    <cellStyle name="Normalny 164" xfId="24729" xr:uid="{00000000-0005-0000-0000-0000E1600000}"/>
    <cellStyle name="Normalny 165" xfId="24730" xr:uid="{00000000-0005-0000-0000-0000E2600000}"/>
    <cellStyle name="Normalny 166" xfId="24731" xr:uid="{00000000-0005-0000-0000-0000E3600000}"/>
    <cellStyle name="Normalny 167" xfId="24732" xr:uid="{00000000-0005-0000-0000-0000E4600000}"/>
    <cellStyle name="Normalny 168" xfId="24733" xr:uid="{00000000-0005-0000-0000-0000E5600000}"/>
    <cellStyle name="Normalny 169" xfId="24734" xr:uid="{00000000-0005-0000-0000-0000E6600000}"/>
    <cellStyle name="Normalny 17" xfId="24735" xr:uid="{00000000-0005-0000-0000-0000E7600000}"/>
    <cellStyle name="Normalny 17 2" xfId="37965" xr:uid="{00000000-0005-0000-0000-0000E8600000}"/>
    <cellStyle name="Normalny 17 2 2" xfId="37966" xr:uid="{00000000-0005-0000-0000-0000E9600000}"/>
    <cellStyle name="Normalny 17 2 2 2" xfId="37967" xr:uid="{00000000-0005-0000-0000-0000EA600000}"/>
    <cellStyle name="Normalny 17 2 2 2 2" xfId="37968" xr:uid="{00000000-0005-0000-0000-0000EB600000}"/>
    <cellStyle name="Normalny 17 2 2 3" xfId="37969" xr:uid="{00000000-0005-0000-0000-0000EC600000}"/>
    <cellStyle name="Normalny 17 2 3" xfId="37970" xr:uid="{00000000-0005-0000-0000-0000ED600000}"/>
    <cellStyle name="Normalny 17 2 3 2" xfId="37971" xr:uid="{00000000-0005-0000-0000-0000EE600000}"/>
    <cellStyle name="Normalny 17 2 4" xfId="37972" xr:uid="{00000000-0005-0000-0000-0000EF600000}"/>
    <cellStyle name="Normalny 17 3" xfId="37973" xr:uid="{00000000-0005-0000-0000-0000F0600000}"/>
    <cellStyle name="Normalny 17 3 2" xfId="37974" xr:uid="{00000000-0005-0000-0000-0000F1600000}"/>
    <cellStyle name="Normalny 17 3 2 2" xfId="37975" xr:uid="{00000000-0005-0000-0000-0000F2600000}"/>
    <cellStyle name="Normalny 17 3 3" xfId="37976" xr:uid="{00000000-0005-0000-0000-0000F3600000}"/>
    <cellStyle name="Normalny 17 4" xfId="37977" xr:uid="{00000000-0005-0000-0000-0000F4600000}"/>
    <cellStyle name="Normalny 17 4 2" xfId="37978" xr:uid="{00000000-0005-0000-0000-0000F5600000}"/>
    <cellStyle name="Normalny 17 5" xfId="37979" xr:uid="{00000000-0005-0000-0000-0000F6600000}"/>
    <cellStyle name="Normalny 17 6" xfId="37980" xr:uid="{00000000-0005-0000-0000-0000F7600000}"/>
    <cellStyle name="Normalny 170" xfId="24736" xr:uid="{00000000-0005-0000-0000-0000F8600000}"/>
    <cellStyle name="Normalny 171" xfId="24737" xr:uid="{00000000-0005-0000-0000-0000F9600000}"/>
    <cellStyle name="Normalny 172" xfId="24738" xr:uid="{00000000-0005-0000-0000-0000FA600000}"/>
    <cellStyle name="Normalny 176 4" xfId="38639" xr:uid="{2E7270C3-770D-47A4-BD1C-FB24A66AD91B}"/>
    <cellStyle name="Normalny 177" xfId="24739" xr:uid="{00000000-0005-0000-0000-0000FB600000}"/>
    <cellStyle name="Normalny 178" xfId="24740" xr:uid="{00000000-0005-0000-0000-0000FC600000}"/>
    <cellStyle name="Normalny 18" xfId="24741" xr:uid="{00000000-0005-0000-0000-0000FD600000}"/>
    <cellStyle name="Normalny 18 10" xfId="24742" xr:uid="{00000000-0005-0000-0000-0000FE600000}"/>
    <cellStyle name="Normalny 18 11" xfId="24743" xr:uid="{00000000-0005-0000-0000-0000FF600000}"/>
    <cellStyle name="Normalny 18 12" xfId="37981" xr:uid="{00000000-0005-0000-0000-000000610000}"/>
    <cellStyle name="Normalny 18 2" xfId="24744" xr:uid="{00000000-0005-0000-0000-000001610000}"/>
    <cellStyle name="Normalny 18 2 2" xfId="24745" xr:uid="{00000000-0005-0000-0000-000002610000}"/>
    <cellStyle name="Normalny 18 2 2 2" xfId="37982" xr:uid="{00000000-0005-0000-0000-000003610000}"/>
    <cellStyle name="Normalny 18 2 2 2 2" xfId="37983" xr:uid="{00000000-0005-0000-0000-000004610000}"/>
    <cellStyle name="Normalny 18 2 2 3" xfId="37984" xr:uid="{00000000-0005-0000-0000-000005610000}"/>
    <cellStyle name="Normalny 18 2 3" xfId="24746" xr:uid="{00000000-0005-0000-0000-000006610000}"/>
    <cellStyle name="Normalny 18 2 3 2" xfId="37985" xr:uid="{00000000-0005-0000-0000-000007610000}"/>
    <cellStyle name="Normalny 18 2 4" xfId="37986" xr:uid="{00000000-0005-0000-0000-000008610000}"/>
    <cellStyle name="Normalny 18 3" xfId="24747" xr:uid="{00000000-0005-0000-0000-000009610000}"/>
    <cellStyle name="Normalny 18 3 2" xfId="24748" xr:uid="{00000000-0005-0000-0000-00000A610000}"/>
    <cellStyle name="Normalny 18 3 2 2" xfId="37987" xr:uid="{00000000-0005-0000-0000-00000B610000}"/>
    <cellStyle name="Normalny 18 3 3" xfId="24749" xr:uid="{00000000-0005-0000-0000-00000C610000}"/>
    <cellStyle name="Normalny 18 4" xfId="24750" xr:uid="{00000000-0005-0000-0000-00000D610000}"/>
    <cellStyle name="Normalny 18 4 2" xfId="24751" xr:uid="{00000000-0005-0000-0000-00000E610000}"/>
    <cellStyle name="Normalny 18 4 3" xfId="24752" xr:uid="{00000000-0005-0000-0000-00000F610000}"/>
    <cellStyle name="Normalny 18 5" xfId="24753" xr:uid="{00000000-0005-0000-0000-000010610000}"/>
    <cellStyle name="Normalny 18 5 2" xfId="24754" xr:uid="{00000000-0005-0000-0000-000011610000}"/>
    <cellStyle name="Normalny 18 5 3" xfId="24755" xr:uid="{00000000-0005-0000-0000-000012610000}"/>
    <cellStyle name="Normalny 18 6" xfId="24756" xr:uid="{00000000-0005-0000-0000-000013610000}"/>
    <cellStyle name="Normalny 18 6 2" xfId="24757" xr:uid="{00000000-0005-0000-0000-000014610000}"/>
    <cellStyle name="Normalny 18 6 3" xfId="24758" xr:uid="{00000000-0005-0000-0000-000015610000}"/>
    <cellStyle name="Normalny 18 7" xfId="24759" xr:uid="{00000000-0005-0000-0000-000016610000}"/>
    <cellStyle name="Normalny 18 7 2" xfId="24760" xr:uid="{00000000-0005-0000-0000-000017610000}"/>
    <cellStyle name="Normalny 18 7 3" xfId="24761" xr:uid="{00000000-0005-0000-0000-000018610000}"/>
    <cellStyle name="Normalny 18 8" xfId="24762" xr:uid="{00000000-0005-0000-0000-000019610000}"/>
    <cellStyle name="Normalny 18 8 2" xfId="24763" xr:uid="{00000000-0005-0000-0000-00001A610000}"/>
    <cellStyle name="Normalny 18 8 3" xfId="24764" xr:uid="{00000000-0005-0000-0000-00001B610000}"/>
    <cellStyle name="Normalny 18 9" xfId="24765" xr:uid="{00000000-0005-0000-0000-00001C610000}"/>
    <cellStyle name="Normalny 18 9 2" xfId="24766" xr:uid="{00000000-0005-0000-0000-00001D610000}"/>
    <cellStyle name="Normalny 18 9 3" xfId="24767" xr:uid="{00000000-0005-0000-0000-00001E610000}"/>
    <cellStyle name="Normalny 180" xfId="24768" xr:uid="{00000000-0005-0000-0000-00001F610000}"/>
    <cellStyle name="Normalny 181" xfId="24769" xr:uid="{00000000-0005-0000-0000-000020610000}"/>
    <cellStyle name="Normalny 182" xfId="24770" xr:uid="{00000000-0005-0000-0000-000021610000}"/>
    <cellStyle name="Normalny 183" xfId="24771" xr:uid="{00000000-0005-0000-0000-000022610000}"/>
    <cellStyle name="Normalny 184" xfId="24772" xr:uid="{00000000-0005-0000-0000-000023610000}"/>
    <cellStyle name="Normalny 185" xfId="24773" xr:uid="{00000000-0005-0000-0000-000024610000}"/>
    <cellStyle name="Normalny 186" xfId="24774" xr:uid="{00000000-0005-0000-0000-000025610000}"/>
    <cellStyle name="Normalny 187" xfId="24775" xr:uid="{00000000-0005-0000-0000-000026610000}"/>
    <cellStyle name="Normalny 189" xfId="24776" xr:uid="{00000000-0005-0000-0000-000027610000}"/>
    <cellStyle name="Normalny 19" xfId="24777" xr:uid="{00000000-0005-0000-0000-000028610000}"/>
    <cellStyle name="Normalny 19 2" xfId="24778" xr:uid="{00000000-0005-0000-0000-000029610000}"/>
    <cellStyle name="Normalny 19 2 2" xfId="37988" xr:uid="{00000000-0005-0000-0000-00002A610000}"/>
    <cellStyle name="Normalny 19 2 2 2" xfId="37989" xr:uid="{00000000-0005-0000-0000-00002B610000}"/>
    <cellStyle name="Normalny 19 2 2 2 2" xfId="37990" xr:uid="{00000000-0005-0000-0000-00002C610000}"/>
    <cellStyle name="Normalny 19 2 2 3" xfId="37991" xr:uid="{00000000-0005-0000-0000-00002D610000}"/>
    <cellStyle name="Normalny 19 2 3" xfId="37992" xr:uid="{00000000-0005-0000-0000-00002E610000}"/>
    <cellStyle name="Normalny 19 2 3 2" xfId="37993" xr:uid="{00000000-0005-0000-0000-00002F610000}"/>
    <cellStyle name="Normalny 19 2 4" xfId="37994" xr:uid="{00000000-0005-0000-0000-000030610000}"/>
    <cellStyle name="Normalny 19 3" xfId="24779" xr:uid="{00000000-0005-0000-0000-000031610000}"/>
    <cellStyle name="Normalny 19 3 2" xfId="37995" xr:uid="{00000000-0005-0000-0000-000032610000}"/>
    <cellStyle name="Normalny 19 3 2 2" xfId="37996" xr:uid="{00000000-0005-0000-0000-000033610000}"/>
    <cellStyle name="Normalny 19 3 3" xfId="37997" xr:uid="{00000000-0005-0000-0000-000034610000}"/>
    <cellStyle name="Normalny 19 4" xfId="37998" xr:uid="{00000000-0005-0000-0000-000035610000}"/>
    <cellStyle name="Normalny 19 4 2" xfId="37999" xr:uid="{00000000-0005-0000-0000-000036610000}"/>
    <cellStyle name="Normalny 19 5" xfId="38000" xr:uid="{00000000-0005-0000-0000-000037610000}"/>
    <cellStyle name="Normalny 19 6" xfId="38001" xr:uid="{00000000-0005-0000-0000-000038610000}"/>
    <cellStyle name="Normalny 190" xfId="24780" xr:uid="{00000000-0005-0000-0000-000039610000}"/>
    <cellStyle name="Normalny 2" xfId="300" xr:uid="{00000000-0005-0000-0000-00003A610000}"/>
    <cellStyle name="Normalny 2 10" xfId="24781" xr:uid="{00000000-0005-0000-0000-00003B610000}"/>
    <cellStyle name="Normalny 2 10 2" xfId="24782" xr:uid="{00000000-0005-0000-0000-00003C610000}"/>
    <cellStyle name="Normalny 2 10 2 2" xfId="38002" xr:uid="{00000000-0005-0000-0000-00003D610000}"/>
    <cellStyle name="Normalny 2 10 3" xfId="24783" xr:uid="{00000000-0005-0000-0000-00003E610000}"/>
    <cellStyle name="Normalny 2 10 4" xfId="24784" xr:uid="{00000000-0005-0000-0000-00003F610000}"/>
    <cellStyle name="Normalny 2 10 5" xfId="38003" xr:uid="{00000000-0005-0000-0000-000040610000}"/>
    <cellStyle name="Normalny 2 11" xfId="24785" xr:uid="{00000000-0005-0000-0000-000041610000}"/>
    <cellStyle name="Normalny 2 12" xfId="24786" xr:uid="{00000000-0005-0000-0000-000042610000}"/>
    <cellStyle name="Normalny 2 12 2" xfId="24787" xr:uid="{00000000-0005-0000-0000-000043610000}"/>
    <cellStyle name="Normalny 2 12 3" xfId="24788" xr:uid="{00000000-0005-0000-0000-000044610000}"/>
    <cellStyle name="Normalny 2 12 4" xfId="24789" xr:uid="{00000000-0005-0000-0000-000045610000}"/>
    <cellStyle name="Normalny 2 13" xfId="24790" xr:uid="{00000000-0005-0000-0000-000046610000}"/>
    <cellStyle name="Normalny 2 13 10" xfId="24791" xr:uid="{00000000-0005-0000-0000-000047610000}"/>
    <cellStyle name="Normalny 2 13 11" xfId="24792" xr:uid="{00000000-0005-0000-0000-000048610000}"/>
    <cellStyle name="Normalny 2 13 12" xfId="24793" xr:uid="{00000000-0005-0000-0000-000049610000}"/>
    <cellStyle name="Normalny 2 13 2" xfId="24794" xr:uid="{00000000-0005-0000-0000-00004A610000}"/>
    <cellStyle name="Normalny 2 13 2 10" xfId="24795" xr:uid="{00000000-0005-0000-0000-00004B610000}"/>
    <cellStyle name="Normalny 2 13 2 11" xfId="24796" xr:uid="{00000000-0005-0000-0000-00004C610000}"/>
    <cellStyle name="Normalny 2 13 2 2" xfId="24797" xr:uid="{00000000-0005-0000-0000-00004D610000}"/>
    <cellStyle name="Normalny 2 13 2 2 10" xfId="24798" xr:uid="{00000000-0005-0000-0000-00004E610000}"/>
    <cellStyle name="Normalny 2 13 2 2 11" xfId="24799" xr:uid="{00000000-0005-0000-0000-00004F610000}"/>
    <cellStyle name="Normalny 2 13 2 2 2" xfId="24800" xr:uid="{00000000-0005-0000-0000-000050610000}"/>
    <cellStyle name="Normalny 2 13 2 2 2 2" xfId="24801" xr:uid="{00000000-0005-0000-0000-000051610000}"/>
    <cellStyle name="Normalny 2 13 2 2 2 2 2" xfId="24802" xr:uid="{00000000-0005-0000-0000-000052610000}"/>
    <cellStyle name="Normalny 2 13 2 2 2 2 3" xfId="24803" xr:uid="{00000000-0005-0000-0000-000053610000}"/>
    <cellStyle name="Normalny 2 13 2 2 2 2 4" xfId="24804" xr:uid="{00000000-0005-0000-0000-000054610000}"/>
    <cellStyle name="Normalny 2 13 2 2 2 2 5" xfId="24805" xr:uid="{00000000-0005-0000-0000-000055610000}"/>
    <cellStyle name="Normalny 2 13 2 2 2 2 6" xfId="24806" xr:uid="{00000000-0005-0000-0000-000056610000}"/>
    <cellStyle name="Normalny 2 13 2 2 2 3" xfId="24807" xr:uid="{00000000-0005-0000-0000-000057610000}"/>
    <cellStyle name="Normalny 2 13 2 2 2 4" xfId="24808" xr:uid="{00000000-0005-0000-0000-000058610000}"/>
    <cellStyle name="Normalny 2 13 2 2 2 5" xfId="24809" xr:uid="{00000000-0005-0000-0000-000059610000}"/>
    <cellStyle name="Normalny 2 13 2 2 2 6" xfId="24810" xr:uid="{00000000-0005-0000-0000-00005A610000}"/>
    <cellStyle name="Normalny 2 13 2 2 2 7" xfId="24811" xr:uid="{00000000-0005-0000-0000-00005B610000}"/>
    <cellStyle name="Normalny 2 13 2 2 3" xfId="24812" xr:uid="{00000000-0005-0000-0000-00005C610000}"/>
    <cellStyle name="Normalny 2 13 2 2 4" xfId="24813" xr:uid="{00000000-0005-0000-0000-00005D610000}"/>
    <cellStyle name="Normalny 2 13 2 2 5" xfId="24814" xr:uid="{00000000-0005-0000-0000-00005E610000}"/>
    <cellStyle name="Normalny 2 13 2 2 6" xfId="24815" xr:uid="{00000000-0005-0000-0000-00005F610000}"/>
    <cellStyle name="Normalny 2 13 2 2 7" xfId="24816" xr:uid="{00000000-0005-0000-0000-000060610000}"/>
    <cellStyle name="Normalny 2 13 2 2 7 2" xfId="24817" xr:uid="{00000000-0005-0000-0000-000061610000}"/>
    <cellStyle name="Normalny 2 13 2 2 7 3" xfId="24818" xr:uid="{00000000-0005-0000-0000-000062610000}"/>
    <cellStyle name="Normalny 2 13 2 2 7 4" xfId="24819" xr:uid="{00000000-0005-0000-0000-000063610000}"/>
    <cellStyle name="Normalny 2 13 2 2 7 5" xfId="24820" xr:uid="{00000000-0005-0000-0000-000064610000}"/>
    <cellStyle name="Normalny 2 13 2 2 7 6" xfId="24821" xr:uid="{00000000-0005-0000-0000-000065610000}"/>
    <cellStyle name="Normalny 2 13 2 2 8" xfId="24822" xr:uid="{00000000-0005-0000-0000-000066610000}"/>
    <cellStyle name="Normalny 2 13 2 2 9" xfId="24823" xr:uid="{00000000-0005-0000-0000-000067610000}"/>
    <cellStyle name="Normalny 2 13 2 3" xfId="24824" xr:uid="{00000000-0005-0000-0000-000068610000}"/>
    <cellStyle name="Normalny 2 13 2 3 2" xfId="24825" xr:uid="{00000000-0005-0000-0000-000069610000}"/>
    <cellStyle name="Normalny 2 13 2 3 2 2" xfId="24826" xr:uid="{00000000-0005-0000-0000-00006A610000}"/>
    <cellStyle name="Normalny 2 13 2 3 2 3" xfId="24827" xr:uid="{00000000-0005-0000-0000-00006B610000}"/>
    <cellStyle name="Normalny 2 13 2 3 2 4" xfId="24828" xr:uid="{00000000-0005-0000-0000-00006C610000}"/>
    <cellStyle name="Normalny 2 13 2 3 2 5" xfId="24829" xr:uid="{00000000-0005-0000-0000-00006D610000}"/>
    <cellStyle name="Normalny 2 13 2 3 2 6" xfId="24830" xr:uid="{00000000-0005-0000-0000-00006E610000}"/>
    <cellStyle name="Normalny 2 13 2 3 3" xfId="24831" xr:uid="{00000000-0005-0000-0000-00006F610000}"/>
    <cellStyle name="Normalny 2 13 2 3 4" xfId="24832" xr:uid="{00000000-0005-0000-0000-000070610000}"/>
    <cellStyle name="Normalny 2 13 2 3 5" xfId="24833" xr:uid="{00000000-0005-0000-0000-000071610000}"/>
    <cellStyle name="Normalny 2 13 2 3 6" xfId="24834" xr:uid="{00000000-0005-0000-0000-000072610000}"/>
    <cellStyle name="Normalny 2 13 2 3 7" xfId="24835" xr:uid="{00000000-0005-0000-0000-000073610000}"/>
    <cellStyle name="Normalny 2 13 2 4" xfId="24836" xr:uid="{00000000-0005-0000-0000-000074610000}"/>
    <cellStyle name="Normalny 2 13 2 5" xfId="24837" xr:uid="{00000000-0005-0000-0000-000075610000}"/>
    <cellStyle name="Normalny 2 13 2 6" xfId="24838" xr:uid="{00000000-0005-0000-0000-000076610000}"/>
    <cellStyle name="Normalny 2 13 2 7" xfId="24839" xr:uid="{00000000-0005-0000-0000-000077610000}"/>
    <cellStyle name="Normalny 2 13 2 7 2" xfId="24840" xr:uid="{00000000-0005-0000-0000-000078610000}"/>
    <cellStyle name="Normalny 2 13 2 7 3" xfId="24841" xr:uid="{00000000-0005-0000-0000-000079610000}"/>
    <cellStyle name="Normalny 2 13 2 7 4" xfId="24842" xr:uid="{00000000-0005-0000-0000-00007A610000}"/>
    <cellStyle name="Normalny 2 13 2 7 5" xfId="24843" xr:uid="{00000000-0005-0000-0000-00007B610000}"/>
    <cellStyle name="Normalny 2 13 2 7 6" xfId="24844" xr:uid="{00000000-0005-0000-0000-00007C610000}"/>
    <cellStyle name="Normalny 2 13 2 8" xfId="24845" xr:uid="{00000000-0005-0000-0000-00007D610000}"/>
    <cellStyle name="Normalny 2 13 2 9" xfId="24846" xr:uid="{00000000-0005-0000-0000-00007E610000}"/>
    <cellStyle name="Normalny 2 13 3" xfId="24847" xr:uid="{00000000-0005-0000-0000-00007F610000}"/>
    <cellStyle name="Normalny 2 13 3 2" xfId="24848" xr:uid="{00000000-0005-0000-0000-000080610000}"/>
    <cellStyle name="Normalny 2 13 3 2 2" xfId="24849" xr:uid="{00000000-0005-0000-0000-000081610000}"/>
    <cellStyle name="Normalny 2 13 3 2 3" xfId="24850" xr:uid="{00000000-0005-0000-0000-000082610000}"/>
    <cellStyle name="Normalny 2 13 3 2 4" xfId="24851" xr:uid="{00000000-0005-0000-0000-000083610000}"/>
    <cellStyle name="Normalny 2 13 3 2 5" xfId="24852" xr:uid="{00000000-0005-0000-0000-000084610000}"/>
    <cellStyle name="Normalny 2 13 3 2 6" xfId="24853" xr:uid="{00000000-0005-0000-0000-000085610000}"/>
    <cellStyle name="Normalny 2 13 3 3" xfId="24854" xr:uid="{00000000-0005-0000-0000-000086610000}"/>
    <cellStyle name="Normalny 2 13 3 4" xfId="24855" xr:uid="{00000000-0005-0000-0000-000087610000}"/>
    <cellStyle name="Normalny 2 13 3 5" xfId="24856" xr:uid="{00000000-0005-0000-0000-000088610000}"/>
    <cellStyle name="Normalny 2 13 3 6" xfId="24857" xr:uid="{00000000-0005-0000-0000-000089610000}"/>
    <cellStyle name="Normalny 2 13 3 7" xfId="24858" xr:uid="{00000000-0005-0000-0000-00008A610000}"/>
    <cellStyle name="Normalny 2 13 4" xfId="24859" xr:uid="{00000000-0005-0000-0000-00008B610000}"/>
    <cellStyle name="Normalny 2 13 5" xfId="24860" xr:uid="{00000000-0005-0000-0000-00008C610000}"/>
    <cellStyle name="Normalny 2 13 6" xfId="24861" xr:uid="{00000000-0005-0000-0000-00008D610000}"/>
    <cellStyle name="Normalny 2 13 7" xfId="24862" xr:uid="{00000000-0005-0000-0000-00008E610000}"/>
    <cellStyle name="Normalny 2 13 8" xfId="24863" xr:uid="{00000000-0005-0000-0000-00008F610000}"/>
    <cellStyle name="Normalny 2 13 8 2" xfId="24864" xr:uid="{00000000-0005-0000-0000-000090610000}"/>
    <cellStyle name="Normalny 2 13 8 3" xfId="24865" xr:uid="{00000000-0005-0000-0000-000091610000}"/>
    <cellStyle name="Normalny 2 13 8 4" xfId="24866" xr:uid="{00000000-0005-0000-0000-000092610000}"/>
    <cellStyle name="Normalny 2 13 8 5" xfId="24867" xr:uid="{00000000-0005-0000-0000-000093610000}"/>
    <cellStyle name="Normalny 2 13 8 6" xfId="24868" xr:uid="{00000000-0005-0000-0000-000094610000}"/>
    <cellStyle name="Normalny 2 13 9" xfId="24869" xr:uid="{00000000-0005-0000-0000-000095610000}"/>
    <cellStyle name="Normalny 2 14" xfId="24870" xr:uid="{00000000-0005-0000-0000-000096610000}"/>
    <cellStyle name="Normalny 2 15" xfId="24871" xr:uid="{00000000-0005-0000-0000-000097610000}"/>
    <cellStyle name="Normalny 2 16" xfId="24872" xr:uid="{00000000-0005-0000-0000-000098610000}"/>
    <cellStyle name="Normalny 2 16 10" xfId="24873" xr:uid="{00000000-0005-0000-0000-000099610000}"/>
    <cellStyle name="Normalny 2 16 11" xfId="24874" xr:uid="{00000000-0005-0000-0000-00009A610000}"/>
    <cellStyle name="Normalny 2 16 12" xfId="24875" xr:uid="{00000000-0005-0000-0000-00009B610000}"/>
    <cellStyle name="Normalny 2 16 13" xfId="24876" xr:uid="{00000000-0005-0000-0000-00009C610000}"/>
    <cellStyle name="Normalny 2 16 14" xfId="24877" xr:uid="{00000000-0005-0000-0000-00009D610000}"/>
    <cellStyle name="Normalny 2 16 2" xfId="24878" xr:uid="{00000000-0005-0000-0000-00009E610000}"/>
    <cellStyle name="Normalny 2 16 2 2" xfId="24879" xr:uid="{00000000-0005-0000-0000-00009F610000}"/>
    <cellStyle name="Normalny 2 16 2 2 2" xfId="24880" xr:uid="{00000000-0005-0000-0000-0000A0610000}"/>
    <cellStyle name="Normalny 2 16 2 2 3" xfId="24881" xr:uid="{00000000-0005-0000-0000-0000A1610000}"/>
    <cellStyle name="Normalny 2 16 2 2 4" xfId="24882" xr:uid="{00000000-0005-0000-0000-0000A2610000}"/>
    <cellStyle name="Normalny 2 16 2 2 5" xfId="24883" xr:uid="{00000000-0005-0000-0000-0000A3610000}"/>
    <cellStyle name="Normalny 2 16 2 2 6" xfId="24884" xr:uid="{00000000-0005-0000-0000-0000A4610000}"/>
    <cellStyle name="Normalny 2 16 2 3" xfId="24885" xr:uid="{00000000-0005-0000-0000-0000A5610000}"/>
    <cellStyle name="Normalny 2 16 2 4" xfId="24886" xr:uid="{00000000-0005-0000-0000-0000A6610000}"/>
    <cellStyle name="Normalny 2 16 2 5" xfId="24887" xr:uid="{00000000-0005-0000-0000-0000A7610000}"/>
    <cellStyle name="Normalny 2 16 2 6" xfId="24888" xr:uid="{00000000-0005-0000-0000-0000A8610000}"/>
    <cellStyle name="Normalny 2 16 2 7" xfId="24889" xr:uid="{00000000-0005-0000-0000-0000A9610000}"/>
    <cellStyle name="Normalny 2 16 3" xfId="24890" xr:uid="{00000000-0005-0000-0000-0000AA610000}"/>
    <cellStyle name="Normalny 2 16 4" xfId="24891" xr:uid="{00000000-0005-0000-0000-0000AB610000}"/>
    <cellStyle name="Normalny 2 16 5" xfId="24892" xr:uid="{00000000-0005-0000-0000-0000AC610000}"/>
    <cellStyle name="Normalny 2 16 6" xfId="24893" xr:uid="{00000000-0005-0000-0000-0000AD610000}"/>
    <cellStyle name="Normalny 2 16 7" xfId="24894" xr:uid="{00000000-0005-0000-0000-0000AE610000}"/>
    <cellStyle name="Normalny 2 16 7 2" xfId="24895" xr:uid="{00000000-0005-0000-0000-0000AF610000}"/>
    <cellStyle name="Normalny 2 16 7 3" xfId="24896" xr:uid="{00000000-0005-0000-0000-0000B0610000}"/>
    <cellStyle name="Normalny 2 16 7 4" xfId="24897" xr:uid="{00000000-0005-0000-0000-0000B1610000}"/>
    <cellStyle name="Normalny 2 16 7 5" xfId="24898" xr:uid="{00000000-0005-0000-0000-0000B2610000}"/>
    <cellStyle name="Normalny 2 16 7 6" xfId="24899" xr:uid="{00000000-0005-0000-0000-0000B3610000}"/>
    <cellStyle name="Normalny 2 16 8" xfId="24900" xr:uid="{00000000-0005-0000-0000-0000B4610000}"/>
    <cellStyle name="Normalny 2 16 9" xfId="24901" xr:uid="{00000000-0005-0000-0000-0000B5610000}"/>
    <cellStyle name="Normalny 2 17" xfId="24902" xr:uid="{00000000-0005-0000-0000-0000B6610000}"/>
    <cellStyle name="Normalny 2 17 2" xfId="24903" xr:uid="{00000000-0005-0000-0000-0000B7610000}"/>
    <cellStyle name="Normalny 2 17 2 2" xfId="24904" xr:uid="{00000000-0005-0000-0000-0000B8610000}"/>
    <cellStyle name="Normalny 2 17 2 3" xfId="24905" xr:uid="{00000000-0005-0000-0000-0000B9610000}"/>
    <cellStyle name="Normalny 2 17 2 4" xfId="24906" xr:uid="{00000000-0005-0000-0000-0000BA610000}"/>
    <cellStyle name="Normalny 2 17 2 5" xfId="24907" xr:uid="{00000000-0005-0000-0000-0000BB610000}"/>
    <cellStyle name="Normalny 2 17 2 6" xfId="24908" xr:uid="{00000000-0005-0000-0000-0000BC610000}"/>
    <cellStyle name="Normalny 2 17 3" xfId="24909" xr:uid="{00000000-0005-0000-0000-0000BD610000}"/>
    <cellStyle name="Normalny 2 17 4" xfId="24910" xr:uid="{00000000-0005-0000-0000-0000BE610000}"/>
    <cellStyle name="Normalny 2 17 5" xfId="24911" xr:uid="{00000000-0005-0000-0000-0000BF610000}"/>
    <cellStyle name="Normalny 2 17 6" xfId="24912" xr:uid="{00000000-0005-0000-0000-0000C0610000}"/>
    <cellStyle name="Normalny 2 17 7" xfId="24913" xr:uid="{00000000-0005-0000-0000-0000C1610000}"/>
    <cellStyle name="Normalny 2 18" xfId="24914" xr:uid="{00000000-0005-0000-0000-0000C2610000}"/>
    <cellStyle name="Normalny 2 19" xfId="24915" xr:uid="{00000000-0005-0000-0000-0000C3610000}"/>
    <cellStyle name="Normalny 2 2" xfId="301" xr:uid="{00000000-0005-0000-0000-0000C4610000}"/>
    <cellStyle name="Normalny 2 2 10" xfId="38697" xr:uid="{1AA61B7F-5BB8-4F84-999C-A5564B7046AA}"/>
    <cellStyle name="Normalny 2 2 2" xfId="24917" xr:uid="{00000000-0005-0000-0000-0000C5610000}"/>
    <cellStyle name="Normalny 2 2 2 2" xfId="24918" xr:uid="{00000000-0005-0000-0000-0000C6610000}"/>
    <cellStyle name="Normalny 2 2 2 2 2" xfId="24919" xr:uid="{00000000-0005-0000-0000-0000C7610000}"/>
    <cellStyle name="Normalny 2 2 2 2 2 2" xfId="38004" xr:uid="{00000000-0005-0000-0000-0000C8610000}"/>
    <cellStyle name="Normalny 2 2 2 2 2 2 2" xfId="38005" xr:uid="{00000000-0005-0000-0000-0000C9610000}"/>
    <cellStyle name="Normalny 2 2 2 2 2 3" xfId="38006" xr:uid="{00000000-0005-0000-0000-0000CA610000}"/>
    <cellStyle name="Normalny 2 2 2 2 2 4" xfId="38007" xr:uid="{00000000-0005-0000-0000-0000CB610000}"/>
    <cellStyle name="Normalny 2 2 2 2 3" xfId="24920" xr:uid="{00000000-0005-0000-0000-0000CC610000}"/>
    <cellStyle name="Normalny 2 2 2 2 3 2" xfId="38008" xr:uid="{00000000-0005-0000-0000-0000CD610000}"/>
    <cellStyle name="Normalny 2 2 2 2 3 3" xfId="38009" xr:uid="{00000000-0005-0000-0000-0000CE610000}"/>
    <cellStyle name="Normalny 2 2 2 2 4" xfId="38010" xr:uid="{00000000-0005-0000-0000-0000CF610000}"/>
    <cellStyle name="Normalny 2 2 2 2 5" xfId="38011" xr:uid="{00000000-0005-0000-0000-0000D0610000}"/>
    <cellStyle name="Normalny 2 2 2 3" xfId="24921" xr:uid="{00000000-0005-0000-0000-0000D1610000}"/>
    <cellStyle name="Normalny 2 2 2 3 2" xfId="38012" xr:uid="{00000000-0005-0000-0000-0000D2610000}"/>
    <cellStyle name="Normalny 2 2 2 3 2 2" xfId="38013" xr:uid="{00000000-0005-0000-0000-0000D3610000}"/>
    <cellStyle name="Normalny 2 2 2 3 3" xfId="38014" xr:uid="{00000000-0005-0000-0000-0000D4610000}"/>
    <cellStyle name="Normalny 2 2 2 3 4" xfId="38015" xr:uid="{00000000-0005-0000-0000-0000D5610000}"/>
    <cellStyle name="Normalny 2 2 2 4" xfId="24922" xr:uid="{00000000-0005-0000-0000-0000D6610000}"/>
    <cellStyle name="Normalny 2 2 2 4 2" xfId="38016" xr:uid="{00000000-0005-0000-0000-0000D7610000}"/>
    <cellStyle name="Normalny 2 2 2 4 3" xfId="38017" xr:uid="{00000000-0005-0000-0000-0000D8610000}"/>
    <cellStyle name="Normalny 2 2 2 5" xfId="38018" xr:uid="{00000000-0005-0000-0000-0000D9610000}"/>
    <cellStyle name="Normalny 2 2 2 6" xfId="38019" xr:uid="{00000000-0005-0000-0000-0000DA610000}"/>
    <cellStyle name="Normalny 2 2 3" xfId="24923" xr:uid="{00000000-0005-0000-0000-0000DB610000}"/>
    <cellStyle name="Normalny 2 2 3 2" xfId="24924" xr:uid="{00000000-0005-0000-0000-0000DC610000}"/>
    <cellStyle name="Normalny 2 2 3 2 2" xfId="38020" xr:uid="{00000000-0005-0000-0000-0000DD610000}"/>
    <cellStyle name="Normalny 2 2 3 2 2 2" xfId="38021" xr:uid="{00000000-0005-0000-0000-0000DE610000}"/>
    <cellStyle name="Normalny 2 2 3 2 3" xfId="38022" xr:uid="{00000000-0005-0000-0000-0000DF610000}"/>
    <cellStyle name="Normalny 2 2 3 2 4" xfId="38023" xr:uid="{00000000-0005-0000-0000-0000E0610000}"/>
    <cellStyle name="Normalny 2 2 3 3" xfId="24925" xr:uid="{00000000-0005-0000-0000-0000E1610000}"/>
    <cellStyle name="Normalny 2 2 3 3 2" xfId="38024" xr:uid="{00000000-0005-0000-0000-0000E2610000}"/>
    <cellStyle name="Normalny 2 2 3 3 3" xfId="38025" xr:uid="{00000000-0005-0000-0000-0000E3610000}"/>
    <cellStyle name="Normalny 2 2 3 4" xfId="38026" xr:uid="{00000000-0005-0000-0000-0000E4610000}"/>
    <cellStyle name="Normalny 2 2 4" xfId="24926" xr:uid="{00000000-0005-0000-0000-0000E5610000}"/>
    <cellStyle name="Normalny 2 2 4 2" xfId="24927" xr:uid="{00000000-0005-0000-0000-0000E6610000}"/>
    <cellStyle name="Normalny 2 2 4 2 2" xfId="38027" xr:uid="{00000000-0005-0000-0000-0000E7610000}"/>
    <cellStyle name="Normalny 2 2 4 2 3" xfId="38028" xr:uid="{00000000-0005-0000-0000-0000E8610000}"/>
    <cellStyle name="Normalny 2 2 4 3" xfId="24928" xr:uid="{00000000-0005-0000-0000-0000E9610000}"/>
    <cellStyle name="Normalny 2 2 4 3 2" xfId="38029" xr:uid="{00000000-0005-0000-0000-0000EA610000}"/>
    <cellStyle name="Normalny 2 2 5" xfId="24929" xr:uid="{00000000-0005-0000-0000-0000EB610000}"/>
    <cellStyle name="Normalny 2 2 5 2" xfId="38030" xr:uid="{00000000-0005-0000-0000-0000EC610000}"/>
    <cellStyle name="Normalny 2 2 6" xfId="24930" xr:uid="{00000000-0005-0000-0000-0000ED610000}"/>
    <cellStyle name="Normalny 2 2 7" xfId="24931" xr:uid="{00000000-0005-0000-0000-0000EE610000}"/>
    <cellStyle name="Normalny 2 2 8" xfId="24916" xr:uid="{00000000-0005-0000-0000-0000EF610000}"/>
    <cellStyle name="Normalny 2 2 9" xfId="38031" xr:uid="{00000000-0005-0000-0000-0000F0610000}"/>
    <cellStyle name="Normalny 2 20" xfId="24932" xr:uid="{00000000-0005-0000-0000-0000F1610000}"/>
    <cellStyle name="Normalny 2 21" xfId="24933" xr:uid="{00000000-0005-0000-0000-0000F2610000}"/>
    <cellStyle name="Normalny 2 22" xfId="24934" xr:uid="{00000000-0005-0000-0000-0000F3610000}"/>
    <cellStyle name="Normalny 2 23" xfId="24935" xr:uid="{00000000-0005-0000-0000-0000F4610000}"/>
    <cellStyle name="Normalny 2 23 2" xfId="24936" xr:uid="{00000000-0005-0000-0000-0000F5610000}"/>
    <cellStyle name="Normalny 2 23 3" xfId="24937" xr:uid="{00000000-0005-0000-0000-0000F6610000}"/>
    <cellStyle name="Normalny 2 23 4" xfId="24938" xr:uid="{00000000-0005-0000-0000-0000F7610000}"/>
    <cellStyle name="Normalny 2 23 5" xfId="24939" xr:uid="{00000000-0005-0000-0000-0000F8610000}"/>
    <cellStyle name="Normalny 2 23 6" xfId="24940" xr:uid="{00000000-0005-0000-0000-0000F9610000}"/>
    <cellStyle name="Normalny 2 24" xfId="24941" xr:uid="{00000000-0005-0000-0000-0000FA610000}"/>
    <cellStyle name="Normalny 2 25" xfId="24942" xr:uid="{00000000-0005-0000-0000-0000FB610000}"/>
    <cellStyle name="Normalny 2 26" xfId="24943" xr:uid="{00000000-0005-0000-0000-0000FC610000}"/>
    <cellStyle name="Normalny 2 27" xfId="24944" xr:uid="{00000000-0005-0000-0000-0000FD610000}"/>
    <cellStyle name="Normalny 2 28" xfId="24945" xr:uid="{00000000-0005-0000-0000-0000FE610000}"/>
    <cellStyle name="Normalny 2 29" xfId="24946" xr:uid="{00000000-0005-0000-0000-0000FF610000}"/>
    <cellStyle name="Normalny 2 3" xfId="302" xr:uid="{00000000-0005-0000-0000-000000620000}"/>
    <cellStyle name="Normalny 2 3 10" xfId="24948" xr:uid="{00000000-0005-0000-0000-000001620000}"/>
    <cellStyle name="Normalny 2 3 11" xfId="24949" xr:uid="{00000000-0005-0000-0000-000002620000}"/>
    <cellStyle name="Normalny 2 3 12" xfId="24950" xr:uid="{00000000-0005-0000-0000-000003620000}"/>
    <cellStyle name="Normalny 2 3 13" xfId="24947" xr:uid="{00000000-0005-0000-0000-000004620000}"/>
    <cellStyle name="Normalny 2 3 14" xfId="38032" xr:uid="{00000000-0005-0000-0000-000005620000}"/>
    <cellStyle name="Normalny 2 3 2" xfId="24951" xr:uid="{00000000-0005-0000-0000-000006620000}"/>
    <cellStyle name="Normalny 2 3 2 2" xfId="38033" xr:uid="{00000000-0005-0000-0000-000007620000}"/>
    <cellStyle name="Normalny 2 3 2 2 2" xfId="38034" xr:uid="{00000000-0005-0000-0000-000008620000}"/>
    <cellStyle name="Normalny 2 3 2 2 2 2" xfId="38035" xr:uid="{00000000-0005-0000-0000-000009620000}"/>
    <cellStyle name="Normalny 2 3 2 2 2 2 2" xfId="38036" xr:uid="{00000000-0005-0000-0000-00000A620000}"/>
    <cellStyle name="Normalny 2 3 2 2 2 3" xfId="38037" xr:uid="{00000000-0005-0000-0000-00000B620000}"/>
    <cellStyle name="Normalny 2 3 2 2 3" xfId="38038" xr:uid="{00000000-0005-0000-0000-00000C620000}"/>
    <cellStyle name="Normalny 2 3 2 2 3 2" xfId="38039" xr:uid="{00000000-0005-0000-0000-00000D620000}"/>
    <cellStyle name="Normalny 2 3 2 2 4" xfId="38040" xr:uid="{00000000-0005-0000-0000-00000E620000}"/>
    <cellStyle name="Normalny 2 3 2 3" xfId="38041" xr:uid="{00000000-0005-0000-0000-00000F620000}"/>
    <cellStyle name="Normalny 2 3 2 3 2" xfId="38042" xr:uid="{00000000-0005-0000-0000-000010620000}"/>
    <cellStyle name="Normalny 2 3 2 3 2 2" xfId="38043" xr:uid="{00000000-0005-0000-0000-000011620000}"/>
    <cellStyle name="Normalny 2 3 2 3 3" xfId="38044" xr:uid="{00000000-0005-0000-0000-000012620000}"/>
    <cellStyle name="Normalny 2 3 2 4" xfId="38045" xr:uid="{00000000-0005-0000-0000-000013620000}"/>
    <cellStyle name="Normalny 2 3 2 4 2" xfId="38046" xr:uid="{00000000-0005-0000-0000-000014620000}"/>
    <cellStyle name="Normalny 2 3 2 5" xfId="38047" xr:uid="{00000000-0005-0000-0000-000015620000}"/>
    <cellStyle name="Normalny 2 3 2 6" xfId="38048" xr:uid="{00000000-0005-0000-0000-000016620000}"/>
    <cellStyle name="Normalny 2 3 3" xfId="24952" xr:uid="{00000000-0005-0000-0000-000017620000}"/>
    <cellStyle name="Normalny 2 3 3 2" xfId="38049" xr:uid="{00000000-0005-0000-0000-000018620000}"/>
    <cellStyle name="Normalny 2 3 3 2 2" xfId="38050" xr:uid="{00000000-0005-0000-0000-000019620000}"/>
    <cellStyle name="Normalny 2 3 3 2 2 2" xfId="38051" xr:uid="{00000000-0005-0000-0000-00001A620000}"/>
    <cellStyle name="Normalny 2 3 3 2 3" xfId="38052" xr:uid="{00000000-0005-0000-0000-00001B620000}"/>
    <cellStyle name="Normalny 2 3 3 3" xfId="38053" xr:uid="{00000000-0005-0000-0000-00001C620000}"/>
    <cellStyle name="Normalny 2 3 3 3 2" xfId="38054" xr:uid="{00000000-0005-0000-0000-00001D620000}"/>
    <cellStyle name="Normalny 2 3 3 4" xfId="38055" xr:uid="{00000000-0005-0000-0000-00001E620000}"/>
    <cellStyle name="Normalny 2 3 3 5" xfId="38056" xr:uid="{00000000-0005-0000-0000-00001F620000}"/>
    <cellStyle name="Normalny 2 3 4" xfId="24953" xr:uid="{00000000-0005-0000-0000-000020620000}"/>
    <cellStyle name="Normalny 2 3 4 2" xfId="38057" xr:uid="{00000000-0005-0000-0000-000021620000}"/>
    <cellStyle name="Normalny 2 3 4 2 2" xfId="38058" xr:uid="{00000000-0005-0000-0000-000022620000}"/>
    <cellStyle name="Normalny 2 3 4 3" xfId="38059" xr:uid="{00000000-0005-0000-0000-000023620000}"/>
    <cellStyle name="Normalny 2 3 4 4" xfId="38060" xr:uid="{00000000-0005-0000-0000-000024620000}"/>
    <cellStyle name="Normalny 2 3 5" xfId="24954" xr:uid="{00000000-0005-0000-0000-000025620000}"/>
    <cellStyle name="Normalny 2 3 5 2" xfId="38061" xr:uid="{00000000-0005-0000-0000-000026620000}"/>
    <cellStyle name="Normalny 2 3 5 3" xfId="38062" xr:uid="{00000000-0005-0000-0000-000027620000}"/>
    <cellStyle name="Normalny 2 3 6" xfId="24955" xr:uid="{00000000-0005-0000-0000-000028620000}"/>
    <cellStyle name="Normalny 2 3 6 2" xfId="38063" xr:uid="{00000000-0005-0000-0000-000029620000}"/>
    <cellStyle name="Normalny 2 3 7" xfId="24956" xr:uid="{00000000-0005-0000-0000-00002A620000}"/>
    <cellStyle name="Normalny 2 3 8" xfId="24957" xr:uid="{00000000-0005-0000-0000-00002B620000}"/>
    <cellStyle name="Normalny 2 3 9" xfId="24958" xr:uid="{00000000-0005-0000-0000-00002C620000}"/>
    <cellStyle name="Normalny 2 30" xfId="24959" xr:uid="{00000000-0005-0000-0000-00002D620000}"/>
    <cellStyle name="Normalny 2 31" xfId="24960" xr:uid="{00000000-0005-0000-0000-00002E620000}"/>
    <cellStyle name="Normalny 2 32" xfId="24961" xr:uid="{00000000-0005-0000-0000-00002F620000}"/>
    <cellStyle name="Normalny 2 33" xfId="24962" xr:uid="{00000000-0005-0000-0000-000030620000}"/>
    <cellStyle name="Normalny 2 34" xfId="24963" xr:uid="{00000000-0005-0000-0000-000031620000}"/>
    <cellStyle name="Normalny 2 35" xfId="24964" xr:uid="{00000000-0005-0000-0000-000032620000}"/>
    <cellStyle name="Normalny 2 36" xfId="24965" xr:uid="{00000000-0005-0000-0000-000033620000}"/>
    <cellStyle name="Normalny 2 37" xfId="24966" xr:uid="{00000000-0005-0000-0000-000034620000}"/>
    <cellStyle name="Normalny 2 38" xfId="24967" xr:uid="{00000000-0005-0000-0000-000035620000}"/>
    <cellStyle name="Normalny 2 39" xfId="24968" xr:uid="{00000000-0005-0000-0000-000036620000}"/>
    <cellStyle name="Normalny 2 4" xfId="303" xr:uid="{00000000-0005-0000-0000-000037620000}"/>
    <cellStyle name="Normalny 2 4 10" xfId="24970" xr:uid="{00000000-0005-0000-0000-000038620000}"/>
    <cellStyle name="Normalny 2 4 11" xfId="24971" xr:uid="{00000000-0005-0000-0000-000039620000}"/>
    <cellStyle name="Normalny 2 4 12" xfId="24972" xr:uid="{00000000-0005-0000-0000-00003A620000}"/>
    <cellStyle name="Normalny 2 4 13" xfId="24969" xr:uid="{00000000-0005-0000-0000-00003B620000}"/>
    <cellStyle name="Normalny 2 4 14" xfId="38064" xr:uid="{00000000-0005-0000-0000-00003C620000}"/>
    <cellStyle name="Normalny 2 4 2" xfId="24973" xr:uid="{00000000-0005-0000-0000-00003D620000}"/>
    <cellStyle name="Normalny 2 4 2 2" xfId="38065" xr:uid="{00000000-0005-0000-0000-00003E620000}"/>
    <cellStyle name="Normalny 2 4 2 2 2" xfId="38066" xr:uid="{00000000-0005-0000-0000-00003F620000}"/>
    <cellStyle name="Normalny 2 4 2 2 2 2" xfId="38067" xr:uid="{00000000-0005-0000-0000-000040620000}"/>
    <cellStyle name="Normalny 2 4 2 2 2 2 2" xfId="38068" xr:uid="{00000000-0005-0000-0000-000041620000}"/>
    <cellStyle name="Normalny 2 4 2 2 2 3" xfId="38069" xr:uid="{00000000-0005-0000-0000-000042620000}"/>
    <cellStyle name="Normalny 2 4 2 2 3" xfId="38070" xr:uid="{00000000-0005-0000-0000-000043620000}"/>
    <cellStyle name="Normalny 2 4 2 2 3 2" xfId="38071" xr:uid="{00000000-0005-0000-0000-000044620000}"/>
    <cellStyle name="Normalny 2 4 2 2 4" xfId="38072" xr:uid="{00000000-0005-0000-0000-000045620000}"/>
    <cellStyle name="Normalny 2 4 2 3" xfId="38073" xr:uid="{00000000-0005-0000-0000-000046620000}"/>
    <cellStyle name="Normalny 2 4 2 3 2" xfId="38074" xr:uid="{00000000-0005-0000-0000-000047620000}"/>
    <cellStyle name="Normalny 2 4 2 3 2 2" xfId="38075" xr:uid="{00000000-0005-0000-0000-000048620000}"/>
    <cellStyle name="Normalny 2 4 2 3 3" xfId="38076" xr:uid="{00000000-0005-0000-0000-000049620000}"/>
    <cellStyle name="Normalny 2 4 2 4" xfId="38077" xr:uid="{00000000-0005-0000-0000-00004A620000}"/>
    <cellStyle name="Normalny 2 4 2 4 2" xfId="38078" xr:uid="{00000000-0005-0000-0000-00004B620000}"/>
    <cellStyle name="Normalny 2 4 2 5" xfId="38079" xr:uid="{00000000-0005-0000-0000-00004C620000}"/>
    <cellStyle name="Normalny 2 4 2 6" xfId="38080" xr:uid="{00000000-0005-0000-0000-00004D620000}"/>
    <cellStyle name="Normalny 2 4 3" xfId="24974" xr:uid="{00000000-0005-0000-0000-00004E620000}"/>
    <cellStyle name="Normalny 2 4 3 2" xfId="38081" xr:uid="{00000000-0005-0000-0000-00004F620000}"/>
    <cellStyle name="Normalny 2 4 3 2 2" xfId="38082" xr:uid="{00000000-0005-0000-0000-000050620000}"/>
    <cellStyle name="Normalny 2 4 3 2 2 2" xfId="38083" xr:uid="{00000000-0005-0000-0000-000051620000}"/>
    <cellStyle name="Normalny 2 4 3 2 3" xfId="38084" xr:uid="{00000000-0005-0000-0000-000052620000}"/>
    <cellStyle name="Normalny 2 4 3 3" xfId="38085" xr:uid="{00000000-0005-0000-0000-000053620000}"/>
    <cellStyle name="Normalny 2 4 3 3 2" xfId="38086" xr:uid="{00000000-0005-0000-0000-000054620000}"/>
    <cellStyle name="Normalny 2 4 3 4" xfId="38087" xr:uid="{00000000-0005-0000-0000-000055620000}"/>
    <cellStyle name="Normalny 2 4 3 5" xfId="38088" xr:uid="{00000000-0005-0000-0000-000056620000}"/>
    <cellStyle name="Normalny 2 4 4" xfId="24975" xr:uid="{00000000-0005-0000-0000-000057620000}"/>
    <cellStyle name="Normalny 2 4 4 2" xfId="38089" xr:uid="{00000000-0005-0000-0000-000058620000}"/>
    <cellStyle name="Normalny 2 4 4 2 2" xfId="38090" xr:uid="{00000000-0005-0000-0000-000059620000}"/>
    <cellStyle name="Normalny 2 4 4 3" xfId="38091" xr:uid="{00000000-0005-0000-0000-00005A620000}"/>
    <cellStyle name="Normalny 2 4 4 4" xfId="38092" xr:uid="{00000000-0005-0000-0000-00005B620000}"/>
    <cellStyle name="Normalny 2 4 5" xfId="24976" xr:uid="{00000000-0005-0000-0000-00005C620000}"/>
    <cellStyle name="Normalny 2 4 5 2" xfId="38093" xr:uid="{00000000-0005-0000-0000-00005D620000}"/>
    <cellStyle name="Normalny 2 4 5 3" xfId="38094" xr:uid="{00000000-0005-0000-0000-00005E620000}"/>
    <cellStyle name="Normalny 2 4 6" xfId="24977" xr:uid="{00000000-0005-0000-0000-00005F620000}"/>
    <cellStyle name="Normalny 2 4 6 2" xfId="38095" xr:uid="{00000000-0005-0000-0000-000060620000}"/>
    <cellStyle name="Normalny 2 4 7" xfId="24978" xr:uid="{00000000-0005-0000-0000-000061620000}"/>
    <cellStyle name="Normalny 2 4 8" xfId="24979" xr:uid="{00000000-0005-0000-0000-000062620000}"/>
    <cellStyle name="Normalny 2 4 9" xfId="24980" xr:uid="{00000000-0005-0000-0000-000063620000}"/>
    <cellStyle name="Normalny 2 40" xfId="24981" xr:uid="{00000000-0005-0000-0000-000064620000}"/>
    <cellStyle name="Normalny 2 41" xfId="24982" xr:uid="{00000000-0005-0000-0000-000065620000}"/>
    <cellStyle name="Normalny 2 42" xfId="24983" xr:uid="{00000000-0005-0000-0000-000066620000}"/>
    <cellStyle name="Normalny 2 43" xfId="24984" xr:uid="{00000000-0005-0000-0000-000067620000}"/>
    <cellStyle name="Normalny 2 44" xfId="24985" xr:uid="{00000000-0005-0000-0000-000068620000}"/>
    <cellStyle name="Normalny 2 45" xfId="24986" xr:uid="{00000000-0005-0000-0000-000069620000}"/>
    <cellStyle name="Normalny 2 46" xfId="24987" xr:uid="{00000000-0005-0000-0000-00006A620000}"/>
    <cellStyle name="Normalny 2 47" xfId="24988" xr:uid="{00000000-0005-0000-0000-00006B620000}"/>
    <cellStyle name="Normalny 2 48" xfId="24989" xr:uid="{00000000-0005-0000-0000-00006C620000}"/>
    <cellStyle name="Normalny 2 49" xfId="24990" xr:uid="{00000000-0005-0000-0000-00006D620000}"/>
    <cellStyle name="Normalny 2 5" xfId="304" xr:uid="{00000000-0005-0000-0000-00006E620000}"/>
    <cellStyle name="Normalny 2 5 2" xfId="24992" xr:uid="{00000000-0005-0000-0000-00006F620000}"/>
    <cellStyle name="Normalny 2 5 2 2" xfId="38096" xr:uid="{00000000-0005-0000-0000-000070620000}"/>
    <cellStyle name="Normalny 2 5 2 2 2" xfId="38097" xr:uid="{00000000-0005-0000-0000-000071620000}"/>
    <cellStyle name="Normalny 2 5 2 2 2 2" xfId="38098" xr:uid="{00000000-0005-0000-0000-000072620000}"/>
    <cellStyle name="Normalny 2 5 2 2 2 2 2" xfId="38099" xr:uid="{00000000-0005-0000-0000-000073620000}"/>
    <cellStyle name="Normalny 2 5 2 2 2 3" xfId="38100" xr:uid="{00000000-0005-0000-0000-000074620000}"/>
    <cellStyle name="Normalny 2 5 2 2 3" xfId="38101" xr:uid="{00000000-0005-0000-0000-000075620000}"/>
    <cellStyle name="Normalny 2 5 2 2 3 2" xfId="38102" xr:uid="{00000000-0005-0000-0000-000076620000}"/>
    <cellStyle name="Normalny 2 5 2 2 4" xfId="38103" xr:uid="{00000000-0005-0000-0000-000077620000}"/>
    <cellStyle name="Normalny 2 5 2 3" xfId="38104" xr:uid="{00000000-0005-0000-0000-000078620000}"/>
    <cellStyle name="Normalny 2 5 2 3 2" xfId="38105" xr:uid="{00000000-0005-0000-0000-000079620000}"/>
    <cellStyle name="Normalny 2 5 2 3 2 2" xfId="38106" xr:uid="{00000000-0005-0000-0000-00007A620000}"/>
    <cellStyle name="Normalny 2 5 2 3 3" xfId="38107" xr:uid="{00000000-0005-0000-0000-00007B620000}"/>
    <cellStyle name="Normalny 2 5 2 4" xfId="38108" xr:uid="{00000000-0005-0000-0000-00007C620000}"/>
    <cellStyle name="Normalny 2 5 2 4 2" xfId="38109" xr:uid="{00000000-0005-0000-0000-00007D620000}"/>
    <cellStyle name="Normalny 2 5 2 5" xfId="38110" xr:uid="{00000000-0005-0000-0000-00007E620000}"/>
    <cellStyle name="Normalny 2 5 2 6" xfId="38111" xr:uid="{00000000-0005-0000-0000-00007F620000}"/>
    <cellStyle name="Normalny 2 5 3" xfId="24993" xr:uid="{00000000-0005-0000-0000-000080620000}"/>
    <cellStyle name="Normalny 2 5 3 2" xfId="38112" xr:uid="{00000000-0005-0000-0000-000081620000}"/>
    <cellStyle name="Normalny 2 5 3 2 2" xfId="38113" xr:uid="{00000000-0005-0000-0000-000082620000}"/>
    <cellStyle name="Normalny 2 5 3 2 2 2" xfId="38114" xr:uid="{00000000-0005-0000-0000-000083620000}"/>
    <cellStyle name="Normalny 2 5 3 2 3" xfId="38115" xr:uid="{00000000-0005-0000-0000-000084620000}"/>
    <cellStyle name="Normalny 2 5 3 3" xfId="38116" xr:uid="{00000000-0005-0000-0000-000085620000}"/>
    <cellStyle name="Normalny 2 5 3 3 2" xfId="38117" xr:uid="{00000000-0005-0000-0000-000086620000}"/>
    <cellStyle name="Normalny 2 5 3 4" xfId="38118" xr:uid="{00000000-0005-0000-0000-000087620000}"/>
    <cellStyle name="Normalny 2 5 3 5" xfId="38119" xr:uid="{00000000-0005-0000-0000-000088620000}"/>
    <cellStyle name="Normalny 2 5 4" xfId="24994" xr:uid="{00000000-0005-0000-0000-000089620000}"/>
    <cellStyle name="Normalny 2 5 4 2" xfId="38120" xr:uid="{00000000-0005-0000-0000-00008A620000}"/>
    <cellStyle name="Normalny 2 5 4 2 2" xfId="38121" xr:uid="{00000000-0005-0000-0000-00008B620000}"/>
    <cellStyle name="Normalny 2 5 4 3" xfId="38122" xr:uid="{00000000-0005-0000-0000-00008C620000}"/>
    <cellStyle name="Normalny 2 5 4 4" xfId="38123" xr:uid="{00000000-0005-0000-0000-00008D620000}"/>
    <cellStyle name="Normalny 2 5 5" xfId="24991" xr:uid="{00000000-0005-0000-0000-00008E620000}"/>
    <cellStyle name="Normalny 2 5 5 2" xfId="38124" xr:uid="{00000000-0005-0000-0000-00008F620000}"/>
    <cellStyle name="Normalny 2 5 5 3" xfId="38125" xr:uid="{00000000-0005-0000-0000-000090620000}"/>
    <cellStyle name="Normalny 2 5 6" xfId="38126" xr:uid="{00000000-0005-0000-0000-000091620000}"/>
    <cellStyle name="Normalny 2 5 7" xfId="38127" xr:uid="{00000000-0005-0000-0000-000092620000}"/>
    <cellStyle name="Normalny 2 50" xfId="24995" xr:uid="{00000000-0005-0000-0000-000093620000}"/>
    <cellStyle name="Normalny 2 51" xfId="24996" xr:uid="{00000000-0005-0000-0000-000094620000}"/>
    <cellStyle name="Normalny 2 52" xfId="24997" xr:uid="{00000000-0005-0000-0000-000095620000}"/>
    <cellStyle name="Normalny 2 53" xfId="24998" xr:uid="{00000000-0005-0000-0000-000096620000}"/>
    <cellStyle name="Normalny 2 54" xfId="24999" xr:uid="{00000000-0005-0000-0000-000097620000}"/>
    <cellStyle name="Normalny 2 55" xfId="25000" xr:uid="{00000000-0005-0000-0000-000098620000}"/>
    <cellStyle name="Normalny 2 56" xfId="25001" xr:uid="{00000000-0005-0000-0000-000099620000}"/>
    <cellStyle name="Normalny 2 57" xfId="25002" xr:uid="{00000000-0005-0000-0000-00009A620000}"/>
    <cellStyle name="Normalny 2 58" xfId="25003" xr:uid="{00000000-0005-0000-0000-00009B620000}"/>
    <cellStyle name="Normalny 2 59" xfId="25004" xr:uid="{00000000-0005-0000-0000-00009C620000}"/>
    <cellStyle name="Normalny 2 6" xfId="305" xr:uid="{00000000-0005-0000-0000-00009D620000}"/>
    <cellStyle name="Normalny 2 6 2" xfId="25006" xr:uid="{00000000-0005-0000-0000-00009E620000}"/>
    <cellStyle name="Normalny 2 6 2 2" xfId="38128" xr:uid="{00000000-0005-0000-0000-00009F620000}"/>
    <cellStyle name="Normalny 2 6 2 2 2" xfId="38129" xr:uid="{00000000-0005-0000-0000-0000A0620000}"/>
    <cellStyle name="Normalny 2 6 2 2 2 2" xfId="38130" xr:uid="{00000000-0005-0000-0000-0000A1620000}"/>
    <cellStyle name="Normalny 2 6 2 2 3" xfId="38131" xr:uid="{00000000-0005-0000-0000-0000A2620000}"/>
    <cellStyle name="Normalny 2 6 2 3" xfId="38132" xr:uid="{00000000-0005-0000-0000-0000A3620000}"/>
    <cellStyle name="Normalny 2 6 2 3 2" xfId="38133" xr:uid="{00000000-0005-0000-0000-0000A4620000}"/>
    <cellStyle name="Normalny 2 6 2 4" xfId="38134" xr:uid="{00000000-0005-0000-0000-0000A5620000}"/>
    <cellStyle name="Normalny 2 6 2 5" xfId="38135" xr:uid="{00000000-0005-0000-0000-0000A6620000}"/>
    <cellStyle name="Normalny 2 6 3" xfId="25007" xr:uid="{00000000-0005-0000-0000-0000A7620000}"/>
    <cellStyle name="Normalny 2 6 3 2" xfId="38136" xr:uid="{00000000-0005-0000-0000-0000A8620000}"/>
    <cellStyle name="Normalny 2 6 3 2 2" xfId="38137" xr:uid="{00000000-0005-0000-0000-0000A9620000}"/>
    <cellStyle name="Normalny 2 6 3 3" xfId="38138" xr:uid="{00000000-0005-0000-0000-0000AA620000}"/>
    <cellStyle name="Normalny 2 6 3 4" xfId="38139" xr:uid="{00000000-0005-0000-0000-0000AB620000}"/>
    <cellStyle name="Normalny 2 6 4" xfId="25008" xr:uid="{00000000-0005-0000-0000-0000AC620000}"/>
    <cellStyle name="Normalny 2 6 4 2" xfId="38140" xr:uid="{00000000-0005-0000-0000-0000AD620000}"/>
    <cellStyle name="Normalny 2 6 4 3" xfId="38141" xr:uid="{00000000-0005-0000-0000-0000AE620000}"/>
    <cellStyle name="Normalny 2 6 5" xfId="25005" xr:uid="{00000000-0005-0000-0000-0000AF620000}"/>
    <cellStyle name="Normalny 2 6 5 2" xfId="38142" xr:uid="{00000000-0005-0000-0000-0000B0620000}"/>
    <cellStyle name="Normalny 2 6 6" xfId="38143" xr:uid="{00000000-0005-0000-0000-0000B1620000}"/>
    <cellStyle name="Normalny 2 60" xfId="25009" xr:uid="{00000000-0005-0000-0000-0000B2620000}"/>
    <cellStyle name="Normalny 2 61" xfId="384" xr:uid="{00000000-0005-0000-0000-0000B3620000}"/>
    <cellStyle name="Normalny 2 62" xfId="38144" xr:uid="{00000000-0005-0000-0000-0000B4620000}"/>
    <cellStyle name="Normalny 2 63" xfId="38682" xr:uid="{5C06710A-B152-4045-AA2C-ADDB576ADA7D}"/>
    <cellStyle name="Normalny 2 64" xfId="38705" xr:uid="{3F36DB0D-56A7-4158-AB47-C84A05EA2324}"/>
    <cellStyle name="Normalny 2 7" xfId="306" xr:uid="{00000000-0005-0000-0000-0000B5620000}"/>
    <cellStyle name="Normalny 2 7 10" xfId="25011" xr:uid="{00000000-0005-0000-0000-0000B6620000}"/>
    <cellStyle name="Normalny 2 7 11" xfId="25012" xr:uid="{00000000-0005-0000-0000-0000B7620000}"/>
    <cellStyle name="Normalny 2 7 12" xfId="25013" xr:uid="{00000000-0005-0000-0000-0000B8620000}"/>
    <cellStyle name="Normalny 2 7 13" xfId="25014" xr:uid="{00000000-0005-0000-0000-0000B9620000}"/>
    <cellStyle name="Normalny 2 7 14" xfId="25010" xr:uid="{00000000-0005-0000-0000-0000BA620000}"/>
    <cellStyle name="Normalny 2 7 15" xfId="38145" xr:uid="{00000000-0005-0000-0000-0000BB620000}"/>
    <cellStyle name="Normalny 2 7 2" xfId="25015" xr:uid="{00000000-0005-0000-0000-0000BC620000}"/>
    <cellStyle name="Normalny 2 7 2 10" xfId="25016" xr:uid="{00000000-0005-0000-0000-0000BD620000}"/>
    <cellStyle name="Normalny 2 7 2 11" xfId="25017" xr:uid="{00000000-0005-0000-0000-0000BE620000}"/>
    <cellStyle name="Normalny 2 7 2 12" xfId="25018" xr:uid="{00000000-0005-0000-0000-0000BF620000}"/>
    <cellStyle name="Normalny 2 7 2 13" xfId="25019" xr:uid="{00000000-0005-0000-0000-0000C0620000}"/>
    <cellStyle name="Normalny 2 7 2 2" xfId="25020" xr:uid="{00000000-0005-0000-0000-0000C1620000}"/>
    <cellStyle name="Normalny 2 7 2 2 10" xfId="25021" xr:uid="{00000000-0005-0000-0000-0000C2620000}"/>
    <cellStyle name="Normalny 2 7 2 2 11" xfId="25022" xr:uid="{00000000-0005-0000-0000-0000C3620000}"/>
    <cellStyle name="Normalny 2 7 2 2 12" xfId="25023" xr:uid="{00000000-0005-0000-0000-0000C4620000}"/>
    <cellStyle name="Normalny 2 7 2 2 2" xfId="25024" xr:uid="{00000000-0005-0000-0000-0000C5620000}"/>
    <cellStyle name="Normalny 2 7 2 2 2 10" xfId="25025" xr:uid="{00000000-0005-0000-0000-0000C6620000}"/>
    <cellStyle name="Normalny 2 7 2 2 2 11" xfId="25026" xr:uid="{00000000-0005-0000-0000-0000C7620000}"/>
    <cellStyle name="Normalny 2 7 2 2 2 12" xfId="38146" xr:uid="{00000000-0005-0000-0000-0000C8620000}"/>
    <cellStyle name="Normalny 2 7 2 2 2 2" xfId="25027" xr:uid="{00000000-0005-0000-0000-0000C9620000}"/>
    <cellStyle name="Normalny 2 7 2 2 2 2 10" xfId="25028" xr:uid="{00000000-0005-0000-0000-0000CA620000}"/>
    <cellStyle name="Normalny 2 7 2 2 2 2 11" xfId="25029" xr:uid="{00000000-0005-0000-0000-0000CB620000}"/>
    <cellStyle name="Normalny 2 7 2 2 2 2 2" xfId="25030" xr:uid="{00000000-0005-0000-0000-0000CC620000}"/>
    <cellStyle name="Normalny 2 7 2 2 2 2 2 2" xfId="25031" xr:uid="{00000000-0005-0000-0000-0000CD620000}"/>
    <cellStyle name="Normalny 2 7 2 2 2 2 2 2 2" xfId="25032" xr:uid="{00000000-0005-0000-0000-0000CE620000}"/>
    <cellStyle name="Normalny 2 7 2 2 2 2 2 2 3" xfId="25033" xr:uid="{00000000-0005-0000-0000-0000CF620000}"/>
    <cellStyle name="Normalny 2 7 2 2 2 2 2 2 4" xfId="25034" xr:uid="{00000000-0005-0000-0000-0000D0620000}"/>
    <cellStyle name="Normalny 2 7 2 2 2 2 2 2 5" xfId="25035" xr:uid="{00000000-0005-0000-0000-0000D1620000}"/>
    <cellStyle name="Normalny 2 7 2 2 2 2 2 2 6" xfId="25036" xr:uid="{00000000-0005-0000-0000-0000D2620000}"/>
    <cellStyle name="Normalny 2 7 2 2 2 2 2 3" xfId="25037" xr:uid="{00000000-0005-0000-0000-0000D3620000}"/>
    <cellStyle name="Normalny 2 7 2 2 2 2 2 4" xfId="25038" xr:uid="{00000000-0005-0000-0000-0000D4620000}"/>
    <cellStyle name="Normalny 2 7 2 2 2 2 2 5" xfId="25039" xr:uid="{00000000-0005-0000-0000-0000D5620000}"/>
    <cellStyle name="Normalny 2 7 2 2 2 2 2 6" xfId="25040" xr:uid="{00000000-0005-0000-0000-0000D6620000}"/>
    <cellStyle name="Normalny 2 7 2 2 2 2 2 7" xfId="25041" xr:uid="{00000000-0005-0000-0000-0000D7620000}"/>
    <cellStyle name="Normalny 2 7 2 2 2 2 3" xfId="25042" xr:uid="{00000000-0005-0000-0000-0000D8620000}"/>
    <cellStyle name="Normalny 2 7 2 2 2 2 4" xfId="25043" xr:uid="{00000000-0005-0000-0000-0000D9620000}"/>
    <cellStyle name="Normalny 2 7 2 2 2 2 5" xfId="25044" xr:uid="{00000000-0005-0000-0000-0000DA620000}"/>
    <cellStyle name="Normalny 2 7 2 2 2 2 6" xfId="25045" xr:uid="{00000000-0005-0000-0000-0000DB620000}"/>
    <cellStyle name="Normalny 2 7 2 2 2 2 7" xfId="25046" xr:uid="{00000000-0005-0000-0000-0000DC620000}"/>
    <cellStyle name="Normalny 2 7 2 2 2 2 7 2" xfId="25047" xr:uid="{00000000-0005-0000-0000-0000DD620000}"/>
    <cellStyle name="Normalny 2 7 2 2 2 2 7 3" xfId="25048" xr:uid="{00000000-0005-0000-0000-0000DE620000}"/>
    <cellStyle name="Normalny 2 7 2 2 2 2 7 4" xfId="25049" xr:uid="{00000000-0005-0000-0000-0000DF620000}"/>
    <cellStyle name="Normalny 2 7 2 2 2 2 7 5" xfId="25050" xr:uid="{00000000-0005-0000-0000-0000E0620000}"/>
    <cellStyle name="Normalny 2 7 2 2 2 2 7 6" xfId="25051" xr:uid="{00000000-0005-0000-0000-0000E1620000}"/>
    <cellStyle name="Normalny 2 7 2 2 2 2 8" xfId="25052" xr:uid="{00000000-0005-0000-0000-0000E2620000}"/>
    <cellStyle name="Normalny 2 7 2 2 2 2 9" xfId="25053" xr:uid="{00000000-0005-0000-0000-0000E3620000}"/>
    <cellStyle name="Normalny 2 7 2 2 2 3" xfId="25054" xr:uid="{00000000-0005-0000-0000-0000E4620000}"/>
    <cellStyle name="Normalny 2 7 2 2 2 3 2" xfId="25055" xr:uid="{00000000-0005-0000-0000-0000E5620000}"/>
    <cellStyle name="Normalny 2 7 2 2 2 3 2 2" xfId="25056" xr:uid="{00000000-0005-0000-0000-0000E6620000}"/>
    <cellStyle name="Normalny 2 7 2 2 2 3 2 3" xfId="25057" xr:uid="{00000000-0005-0000-0000-0000E7620000}"/>
    <cellStyle name="Normalny 2 7 2 2 2 3 2 4" xfId="25058" xr:uid="{00000000-0005-0000-0000-0000E8620000}"/>
    <cellStyle name="Normalny 2 7 2 2 2 3 2 5" xfId="25059" xr:uid="{00000000-0005-0000-0000-0000E9620000}"/>
    <cellStyle name="Normalny 2 7 2 2 2 3 2 6" xfId="25060" xr:uid="{00000000-0005-0000-0000-0000EA620000}"/>
    <cellStyle name="Normalny 2 7 2 2 2 3 3" xfId="25061" xr:uid="{00000000-0005-0000-0000-0000EB620000}"/>
    <cellStyle name="Normalny 2 7 2 2 2 3 4" xfId="25062" xr:uid="{00000000-0005-0000-0000-0000EC620000}"/>
    <cellStyle name="Normalny 2 7 2 2 2 3 5" xfId="25063" xr:uid="{00000000-0005-0000-0000-0000ED620000}"/>
    <cellStyle name="Normalny 2 7 2 2 2 3 6" xfId="25064" xr:uid="{00000000-0005-0000-0000-0000EE620000}"/>
    <cellStyle name="Normalny 2 7 2 2 2 3 7" xfId="25065" xr:uid="{00000000-0005-0000-0000-0000EF620000}"/>
    <cellStyle name="Normalny 2 7 2 2 2 4" xfId="25066" xr:uid="{00000000-0005-0000-0000-0000F0620000}"/>
    <cellStyle name="Normalny 2 7 2 2 2 5" xfId="25067" xr:uid="{00000000-0005-0000-0000-0000F1620000}"/>
    <cellStyle name="Normalny 2 7 2 2 2 6" xfId="25068" xr:uid="{00000000-0005-0000-0000-0000F2620000}"/>
    <cellStyle name="Normalny 2 7 2 2 2 7" xfId="25069" xr:uid="{00000000-0005-0000-0000-0000F3620000}"/>
    <cellStyle name="Normalny 2 7 2 2 2 7 2" xfId="25070" xr:uid="{00000000-0005-0000-0000-0000F4620000}"/>
    <cellStyle name="Normalny 2 7 2 2 2 7 3" xfId="25071" xr:uid="{00000000-0005-0000-0000-0000F5620000}"/>
    <cellStyle name="Normalny 2 7 2 2 2 7 4" xfId="25072" xr:uid="{00000000-0005-0000-0000-0000F6620000}"/>
    <cellStyle name="Normalny 2 7 2 2 2 7 5" xfId="25073" xr:uid="{00000000-0005-0000-0000-0000F7620000}"/>
    <cellStyle name="Normalny 2 7 2 2 2 7 6" xfId="25074" xr:uid="{00000000-0005-0000-0000-0000F8620000}"/>
    <cellStyle name="Normalny 2 7 2 2 2 8" xfId="25075" xr:uid="{00000000-0005-0000-0000-0000F9620000}"/>
    <cellStyle name="Normalny 2 7 2 2 2 9" xfId="25076" xr:uid="{00000000-0005-0000-0000-0000FA620000}"/>
    <cellStyle name="Normalny 2 7 2 2 3" xfId="25077" xr:uid="{00000000-0005-0000-0000-0000FB620000}"/>
    <cellStyle name="Normalny 2 7 2 2 3 2" xfId="25078" xr:uid="{00000000-0005-0000-0000-0000FC620000}"/>
    <cellStyle name="Normalny 2 7 2 2 3 2 2" xfId="25079" xr:uid="{00000000-0005-0000-0000-0000FD620000}"/>
    <cellStyle name="Normalny 2 7 2 2 3 2 3" xfId="25080" xr:uid="{00000000-0005-0000-0000-0000FE620000}"/>
    <cellStyle name="Normalny 2 7 2 2 3 2 4" xfId="25081" xr:uid="{00000000-0005-0000-0000-0000FF620000}"/>
    <cellStyle name="Normalny 2 7 2 2 3 2 5" xfId="25082" xr:uid="{00000000-0005-0000-0000-000000630000}"/>
    <cellStyle name="Normalny 2 7 2 2 3 2 6" xfId="25083" xr:uid="{00000000-0005-0000-0000-000001630000}"/>
    <cellStyle name="Normalny 2 7 2 2 3 3" xfId="25084" xr:uid="{00000000-0005-0000-0000-000002630000}"/>
    <cellStyle name="Normalny 2 7 2 2 3 4" xfId="25085" xr:uid="{00000000-0005-0000-0000-000003630000}"/>
    <cellStyle name="Normalny 2 7 2 2 3 5" xfId="25086" xr:uid="{00000000-0005-0000-0000-000004630000}"/>
    <cellStyle name="Normalny 2 7 2 2 3 6" xfId="25087" xr:uid="{00000000-0005-0000-0000-000005630000}"/>
    <cellStyle name="Normalny 2 7 2 2 3 7" xfId="25088" xr:uid="{00000000-0005-0000-0000-000006630000}"/>
    <cellStyle name="Normalny 2 7 2 2 4" xfId="25089" xr:uid="{00000000-0005-0000-0000-000007630000}"/>
    <cellStyle name="Normalny 2 7 2 2 5" xfId="25090" xr:uid="{00000000-0005-0000-0000-000008630000}"/>
    <cellStyle name="Normalny 2 7 2 2 6" xfId="25091" xr:uid="{00000000-0005-0000-0000-000009630000}"/>
    <cellStyle name="Normalny 2 7 2 2 7" xfId="25092" xr:uid="{00000000-0005-0000-0000-00000A630000}"/>
    <cellStyle name="Normalny 2 7 2 2 8" xfId="25093" xr:uid="{00000000-0005-0000-0000-00000B630000}"/>
    <cellStyle name="Normalny 2 7 2 2 8 2" xfId="25094" xr:uid="{00000000-0005-0000-0000-00000C630000}"/>
    <cellStyle name="Normalny 2 7 2 2 8 3" xfId="25095" xr:uid="{00000000-0005-0000-0000-00000D630000}"/>
    <cellStyle name="Normalny 2 7 2 2 8 4" xfId="25096" xr:uid="{00000000-0005-0000-0000-00000E630000}"/>
    <cellStyle name="Normalny 2 7 2 2 8 5" xfId="25097" xr:uid="{00000000-0005-0000-0000-00000F630000}"/>
    <cellStyle name="Normalny 2 7 2 2 8 6" xfId="25098" xr:uid="{00000000-0005-0000-0000-000010630000}"/>
    <cellStyle name="Normalny 2 7 2 2 9" xfId="25099" xr:uid="{00000000-0005-0000-0000-000011630000}"/>
    <cellStyle name="Normalny 2 7 2 3" xfId="25100" xr:uid="{00000000-0005-0000-0000-000012630000}"/>
    <cellStyle name="Normalny 2 7 2 4" xfId="25101" xr:uid="{00000000-0005-0000-0000-000013630000}"/>
    <cellStyle name="Normalny 2 7 2 4 10" xfId="25102" xr:uid="{00000000-0005-0000-0000-000014630000}"/>
    <cellStyle name="Normalny 2 7 2 4 11" xfId="25103" xr:uid="{00000000-0005-0000-0000-000015630000}"/>
    <cellStyle name="Normalny 2 7 2 4 2" xfId="25104" xr:uid="{00000000-0005-0000-0000-000016630000}"/>
    <cellStyle name="Normalny 2 7 2 4 2 2" xfId="25105" xr:uid="{00000000-0005-0000-0000-000017630000}"/>
    <cellStyle name="Normalny 2 7 2 4 2 2 2" xfId="25106" xr:uid="{00000000-0005-0000-0000-000018630000}"/>
    <cellStyle name="Normalny 2 7 2 4 2 2 3" xfId="25107" xr:uid="{00000000-0005-0000-0000-000019630000}"/>
    <cellStyle name="Normalny 2 7 2 4 2 2 4" xfId="25108" xr:uid="{00000000-0005-0000-0000-00001A630000}"/>
    <cellStyle name="Normalny 2 7 2 4 2 2 5" xfId="25109" xr:uid="{00000000-0005-0000-0000-00001B630000}"/>
    <cellStyle name="Normalny 2 7 2 4 2 2 6" xfId="25110" xr:uid="{00000000-0005-0000-0000-00001C630000}"/>
    <cellStyle name="Normalny 2 7 2 4 2 3" xfId="25111" xr:uid="{00000000-0005-0000-0000-00001D630000}"/>
    <cellStyle name="Normalny 2 7 2 4 2 4" xfId="25112" xr:uid="{00000000-0005-0000-0000-00001E630000}"/>
    <cellStyle name="Normalny 2 7 2 4 2 5" xfId="25113" xr:uid="{00000000-0005-0000-0000-00001F630000}"/>
    <cellStyle name="Normalny 2 7 2 4 2 6" xfId="25114" xr:uid="{00000000-0005-0000-0000-000020630000}"/>
    <cellStyle name="Normalny 2 7 2 4 2 7" xfId="25115" xr:uid="{00000000-0005-0000-0000-000021630000}"/>
    <cellStyle name="Normalny 2 7 2 4 3" xfId="25116" xr:uid="{00000000-0005-0000-0000-000022630000}"/>
    <cellStyle name="Normalny 2 7 2 4 4" xfId="25117" xr:uid="{00000000-0005-0000-0000-000023630000}"/>
    <cellStyle name="Normalny 2 7 2 4 5" xfId="25118" xr:uid="{00000000-0005-0000-0000-000024630000}"/>
    <cellStyle name="Normalny 2 7 2 4 6" xfId="25119" xr:uid="{00000000-0005-0000-0000-000025630000}"/>
    <cellStyle name="Normalny 2 7 2 4 7" xfId="25120" xr:uid="{00000000-0005-0000-0000-000026630000}"/>
    <cellStyle name="Normalny 2 7 2 4 7 2" xfId="25121" xr:uid="{00000000-0005-0000-0000-000027630000}"/>
    <cellStyle name="Normalny 2 7 2 4 7 3" xfId="25122" xr:uid="{00000000-0005-0000-0000-000028630000}"/>
    <cellStyle name="Normalny 2 7 2 4 7 4" xfId="25123" xr:uid="{00000000-0005-0000-0000-000029630000}"/>
    <cellStyle name="Normalny 2 7 2 4 7 5" xfId="25124" xr:uid="{00000000-0005-0000-0000-00002A630000}"/>
    <cellStyle name="Normalny 2 7 2 4 7 6" xfId="25125" xr:uid="{00000000-0005-0000-0000-00002B630000}"/>
    <cellStyle name="Normalny 2 7 2 4 8" xfId="25126" xr:uid="{00000000-0005-0000-0000-00002C630000}"/>
    <cellStyle name="Normalny 2 7 2 4 9" xfId="25127" xr:uid="{00000000-0005-0000-0000-00002D630000}"/>
    <cellStyle name="Normalny 2 7 2 5" xfId="25128" xr:uid="{00000000-0005-0000-0000-00002E630000}"/>
    <cellStyle name="Normalny 2 7 2 5 2" xfId="25129" xr:uid="{00000000-0005-0000-0000-00002F630000}"/>
    <cellStyle name="Normalny 2 7 2 5 2 2" xfId="25130" xr:uid="{00000000-0005-0000-0000-000030630000}"/>
    <cellStyle name="Normalny 2 7 2 5 2 3" xfId="25131" xr:uid="{00000000-0005-0000-0000-000031630000}"/>
    <cellStyle name="Normalny 2 7 2 5 2 4" xfId="25132" xr:uid="{00000000-0005-0000-0000-000032630000}"/>
    <cellStyle name="Normalny 2 7 2 5 2 5" xfId="25133" xr:uid="{00000000-0005-0000-0000-000033630000}"/>
    <cellStyle name="Normalny 2 7 2 5 2 6" xfId="25134" xr:uid="{00000000-0005-0000-0000-000034630000}"/>
    <cellStyle name="Normalny 2 7 2 5 3" xfId="25135" xr:uid="{00000000-0005-0000-0000-000035630000}"/>
    <cellStyle name="Normalny 2 7 2 5 4" xfId="25136" xr:uid="{00000000-0005-0000-0000-000036630000}"/>
    <cellStyle name="Normalny 2 7 2 5 5" xfId="25137" xr:uid="{00000000-0005-0000-0000-000037630000}"/>
    <cellStyle name="Normalny 2 7 2 5 6" xfId="25138" xr:uid="{00000000-0005-0000-0000-000038630000}"/>
    <cellStyle name="Normalny 2 7 2 5 7" xfId="25139" xr:uid="{00000000-0005-0000-0000-000039630000}"/>
    <cellStyle name="Normalny 2 7 2 6" xfId="25140" xr:uid="{00000000-0005-0000-0000-00003A630000}"/>
    <cellStyle name="Normalny 2 7 2 7" xfId="25141" xr:uid="{00000000-0005-0000-0000-00003B630000}"/>
    <cellStyle name="Normalny 2 7 2 8" xfId="25142" xr:uid="{00000000-0005-0000-0000-00003C630000}"/>
    <cellStyle name="Normalny 2 7 2 9" xfId="25143" xr:uid="{00000000-0005-0000-0000-00003D630000}"/>
    <cellStyle name="Normalny 2 7 2 9 2" xfId="25144" xr:uid="{00000000-0005-0000-0000-00003E630000}"/>
    <cellStyle name="Normalny 2 7 2 9 3" xfId="25145" xr:uid="{00000000-0005-0000-0000-00003F630000}"/>
    <cellStyle name="Normalny 2 7 2 9 4" xfId="25146" xr:uid="{00000000-0005-0000-0000-000040630000}"/>
    <cellStyle name="Normalny 2 7 2 9 5" xfId="25147" xr:uid="{00000000-0005-0000-0000-000041630000}"/>
    <cellStyle name="Normalny 2 7 2 9 6" xfId="25148" xr:uid="{00000000-0005-0000-0000-000042630000}"/>
    <cellStyle name="Normalny 2 7 3" xfId="25149" xr:uid="{00000000-0005-0000-0000-000043630000}"/>
    <cellStyle name="Normalny 2 7 3 10" xfId="25150" xr:uid="{00000000-0005-0000-0000-000044630000}"/>
    <cellStyle name="Normalny 2 7 3 11" xfId="25151" xr:uid="{00000000-0005-0000-0000-000045630000}"/>
    <cellStyle name="Normalny 2 7 3 12" xfId="25152" xr:uid="{00000000-0005-0000-0000-000046630000}"/>
    <cellStyle name="Normalny 2 7 3 2" xfId="25153" xr:uid="{00000000-0005-0000-0000-000047630000}"/>
    <cellStyle name="Normalny 2 7 3 2 10" xfId="25154" xr:uid="{00000000-0005-0000-0000-000048630000}"/>
    <cellStyle name="Normalny 2 7 3 2 11" xfId="25155" xr:uid="{00000000-0005-0000-0000-000049630000}"/>
    <cellStyle name="Normalny 2 7 3 2 12" xfId="38147" xr:uid="{00000000-0005-0000-0000-00004A630000}"/>
    <cellStyle name="Normalny 2 7 3 2 2" xfId="25156" xr:uid="{00000000-0005-0000-0000-00004B630000}"/>
    <cellStyle name="Normalny 2 7 3 2 2 10" xfId="25157" xr:uid="{00000000-0005-0000-0000-00004C630000}"/>
    <cellStyle name="Normalny 2 7 3 2 2 11" xfId="25158" xr:uid="{00000000-0005-0000-0000-00004D630000}"/>
    <cellStyle name="Normalny 2 7 3 2 2 2" xfId="25159" xr:uid="{00000000-0005-0000-0000-00004E630000}"/>
    <cellStyle name="Normalny 2 7 3 2 2 2 2" xfId="25160" xr:uid="{00000000-0005-0000-0000-00004F630000}"/>
    <cellStyle name="Normalny 2 7 3 2 2 2 2 2" xfId="25161" xr:uid="{00000000-0005-0000-0000-000050630000}"/>
    <cellStyle name="Normalny 2 7 3 2 2 2 2 3" xfId="25162" xr:uid="{00000000-0005-0000-0000-000051630000}"/>
    <cellStyle name="Normalny 2 7 3 2 2 2 2 4" xfId="25163" xr:uid="{00000000-0005-0000-0000-000052630000}"/>
    <cellStyle name="Normalny 2 7 3 2 2 2 2 5" xfId="25164" xr:uid="{00000000-0005-0000-0000-000053630000}"/>
    <cellStyle name="Normalny 2 7 3 2 2 2 2 6" xfId="25165" xr:uid="{00000000-0005-0000-0000-000054630000}"/>
    <cellStyle name="Normalny 2 7 3 2 2 2 3" xfId="25166" xr:uid="{00000000-0005-0000-0000-000055630000}"/>
    <cellStyle name="Normalny 2 7 3 2 2 2 4" xfId="25167" xr:uid="{00000000-0005-0000-0000-000056630000}"/>
    <cellStyle name="Normalny 2 7 3 2 2 2 5" xfId="25168" xr:uid="{00000000-0005-0000-0000-000057630000}"/>
    <cellStyle name="Normalny 2 7 3 2 2 2 6" xfId="25169" xr:uid="{00000000-0005-0000-0000-000058630000}"/>
    <cellStyle name="Normalny 2 7 3 2 2 2 7" xfId="25170" xr:uid="{00000000-0005-0000-0000-000059630000}"/>
    <cellStyle name="Normalny 2 7 3 2 2 3" xfId="25171" xr:uid="{00000000-0005-0000-0000-00005A630000}"/>
    <cellStyle name="Normalny 2 7 3 2 2 4" xfId="25172" xr:uid="{00000000-0005-0000-0000-00005B630000}"/>
    <cellStyle name="Normalny 2 7 3 2 2 5" xfId="25173" xr:uid="{00000000-0005-0000-0000-00005C630000}"/>
    <cellStyle name="Normalny 2 7 3 2 2 6" xfId="25174" xr:uid="{00000000-0005-0000-0000-00005D630000}"/>
    <cellStyle name="Normalny 2 7 3 2 2 7" xfId="25175" xr:uid="{00000000-0005-0000-0000-00005E630000}"/>
    <cellStyle name="Normalny 2 7 3 2 2 7 2" xfId="25176" xr:uid="{00000000-0005-0000-0000-00005F630000}"/>
    <cellStyle name="Normalny 2 7 3 2 2 7 3" xfId="25177" xr:uid="{00000000-0005-0000-0000-000060630000}"/>
    <cellStyle name="Normalny 2 7 3 2 2 7 4" xfId="25178" xr:uid="{00000000-0005-0000-0000-000061630000}"/>
    <cellStyle name="Normalny 2 7 3 2 2 7 5" xfId="25179" xr:uid="{00000000-0005-0000-0000-000062630000}"/>
    <cellStyle name="Normalny 2 7 3 2 2 7 6" xfId="25180" xr:uid="{00000000-0005-0000-0000-000063630000}"/>
    <cellStyle name="Normalny 2 7 3 2 2 8" xfId="25181" xr:uid="{00000000-0005-0000-0000-000064630000}"/>
    <cellStyle name="Normalny 2 7 3 2 2 9" xfId="25182" xr:uid="{00000000-0005-0000-0000-000065630000}"/>
    <cellStyle name="Normalny 2 7 3 2 3" xfId="25183" xr:uid="{00000000-0005-0000-0000-000066630000}"/>
    <cellStyle name="Normalny 2 7 3 2 3 2" xfId="25184" xr:uid="{00000000-0005-0000-0000-000067630000}"/>
    <cellStyle name="Normalny 2 7 3 2 3 2 2" xfId="25185" xr:uid="{00000000-0005-0000-0000-000068630000}"/>
    <cellStyle name="Normalny 2 7 3 2 3 2 3" xfId="25186" xr:uid="{00000000-0005-0000-0000-000069630000}"/>
    <cellStyle name="Normalny 2 7 3 2 3 2 4" xfId="25187" xr:uid="{00000000-0005-0000-0000-00006A630000}"/>
    <cellStyle name="Normalny 2 7 3 2 3 2 5" xfId="25188" xr:uid="{00000000-0005-0000-0000-00006B630000}"/>
    <cellStyle name="Normalny 2 7 3 2 3 2 6" xfId="25189" xr:uid="{00000000-0005-0000-0000-00006C630000}"/>
    <cellStyle name="Normalny 2 7 3 2 3 3" xfId="25190" xr:uid="{00000000-0005-0000-0000-00006D630000}"/>
    <cellStyle name="Normalny 2 7 3 2 3 4" xfId="25191" xr:uid="{00000000-0005-0000-0000-00006E630000}"/>
    <cellStyle name="Normalny 2 7 3 2 3 5" xfId="25192" xr:uid="{00000000-0005-0000-0000-00006F630000}"/>
    <cellStyle name="Normalny 2 7 3 2 3 6" xfId="25193" xr:uid="{00000000-0005-0000-0000-000070630000}"/>
    <cellStyle name="Normalny 2 7 3 2 3 7" xfId="25194" xr:uid="{00000000-0005-0000-0000-000071630000}"/>
    <cellStyle name="Normalny 2 7 3 2 4" xfId="25195" xr:uid="{00000000-0005-0000-0000-000072630000}"/>
    <cellStyle name="Normalny 2 7 3 2 5" xfId="25196" xr:uid="{00000000-0005-0000-0000-000073630000}"/>
    <cellStyle name="Normalny 2 7 3 2 6" xfId="25197" xr:uid="{00000000-0005-0000-0000-000074630000}"/>
    <cellStyle name="Normalny 2 7 3 2 7" xfId="25198" xr:uid="{00000000-0005-0000-0000-000075630000}"/>
    <cellStyle name="Normalny 2 7 3 2 7 2" xfId="25199" xr:uid="{00000000-0005-0000-0000-000076630000}"/>
    <cellStyle name="Normalny 2 7 3 2 7 3" xfId="25200" xr:uid="{00000000-0005-0000-0000-000077630000}"/>
    <cellStyle name="Normalny 2 7 3 2 7 4" xfId="25201" xr:uid="{00000000-0005-0000-0000-000078630000}"/>
    <cellStyle name="Normalny 2 7 3 2 7 5" xfId="25202" xr:uid="{00000000-0005-0000-0000-000079630000}"/>
    <cellStyle name="Normalny 2 7 3 2 7 6" xfId="25203" xr:uid="{00000000-0005-0000-0000-00007A630000}"/>
    <cellStyle name="Normalny 2 7 3 2 8" xfId="25204" xr:uid="{00000000-0005-0000-0000-00007B630000}"/>
    <cellStyle name="Normalny 2 7 3 2 9" xfId="25205" xr:uid="{00000000-0005-0000-0000-00007C630000}"/>
    <cellStyle name="Normalny 2 7 3 3" xfId="25206" xr:uid="{00000000-0005-0000-0000-00007D630000}"/>
    <cellStyle name="Normalny 2 7 3 3 2" xfId="25207" xr:uid="{00000000-0005-0000-0000-00007E630000}"/>
    <cellStyle name="Normalny 2 7 3 3 2 2" xfId="25208" xr:uid="{00000000-0005-0000-0000-00007F630000}"/>
    <cellStyle name="Normalny 2 7 3 3 2 3" xfId="25209" xr:uid="{00000000-0005-0000-0000-000080630000}"/>
    <cellStyle name="Normalny 2 7 3 3 2 4" xfId="25210" xr:uid="{00000000-0005-0000-0000-000081630000}"/>
    <cellStyle name="Normalny 2 7 3 3 2 5" xfId="25211" xr:uid="{00000000-0005-0000-0000-000082630000}"/>
    <cellStyle name="Normalny 2 7 3 3 2 6" xfId="25212" xr:uid="{00000000-0005-0000-0000-000083630000}"/>
    <cellStyle name="Normalny 2 7 3 3 3" xfId="25213" xr:uid="{00000000-0005-0000-0000-000084630000}"/>
    <cellStyle name="Normalny 2 7 3 3 4" xfId="25214" xr:uid="{00000000-0005-0000-0000-000085630000}"/>
    <cellStyle name="Normalny 2 7 3 3 5" xfId="25215" xr:uid="{00000000-0005-0000-0000-000086630000}"/>
    <cellStyle name="Normalny 2 7 3 3 6" xfId="25216" xr:uid="{00000000-0005-0000-0000-000087630000}"/>
    <cellStyle name="Normalny 2 7 3 3 7" xfId="25217" xr:uid="{00000000-0005-0000-0000-000088630000}"/>
    <cellStyle name="Normalny 2 7 3 4" xfId="25218" xr:uid="{00000000-0005-0000-0000-000089630000}"/>
    <cellStyle name="Normalny 2 7 3 5" xfId="25219" xr:uid="{00000000-0005-0000-0000-00008A630000}"/>
    <cellStyle name="Normalny 2 7 3 6" xfId="25220" xr:uid="{00000000-0005-0000-0000-00008B630000}"/>
    <cellStyle name="Normalny 2 7 3 7" xfId="25221" xr:uid="{00000000-0005-0000-0000-00008C630000}"/>
    <cellStyle name="Normalny 2 7 3 8" xfId="25222" xr:uid="{00000000-0005-0000-0000-00008D630000}"/>
    <cellStyle name="Normalny 2 7 3 8 2" xfId="25223" xr:uid="{00000000-0005-0000-0000-00008E630000}"/>
    <cellStyle name="Normalny 2 7 3 8 3" xfId="25224" xr:uid="{00000000-0005-0000-0000-00008F630000}"/>
    <cellStyle name="Normalny 2 7 3 8 4" xfId="25225" xr:uid="{00000000-0005-0000-0000-000090630000}"/>
    <cellStyle name="Normalny 2 7 3 8 5" xfId="25226" xr:uid="{00000000-0005-0000-0000-000091630000}"/>
    <cellStyle name="Normalny 2 7 3 8 6" xfId="25227" xr:uid="{00000000-0005-0000-0000-000092630000}"/>
    <cellStyle name="Normalny 2 7 3 9" xfId="25228" xr:uid="{00000000-0005-0000-0000-000093630000}"/>
    <cellStyle name="Normalny 2 7 4" xfId="25229" xr:uid="{00000000-0005-0000-0000-000094630000}"/>
    <cellStyle name="Normalny 2 7 4 10" xfId="25230" xr:uid="{00000000-0005-0000-0000-000095630000}"/>
    <cellStyle name="Normalny 2 7 4 11" xfId="25231" xr:uid="{00000000-0005-0000-0000-000096630000}"/>
    <cellStyle name="Normalny 2 7 4 2" xfId="25232" xr:uid="{00000000-0005-0000-0000-000097630000}"/>
    <cellStyle name="Normalny 2 7 4 2 2" xfId="25233" xr:uid="{00000000-0005-0000-0000-000098630000}"/>
    <cellStyle name="Normalny 2 7 4 2 2 2" xfId="25234" xr:uid="{00000000-0005-0000-0000-000099630000}"/>
    <cellStyle name="Normalny 2 7 4 2 2 3" xfId="25235" xr:uid="{00000000-0005-0000-0000-00009A630000}"/>
    <cellStyle name="Normalny 2 7 4 2 2 4" xfId="25236" xr:uid="{00000000-0005-0000-0000-00009B630000}"/>
    <cellStyle name="Normalny 2 7 4 2 2 5" xfId="25237" xr:uid="{00000000-0005-0000-0000-00009C630000}"/>
    <cellStyle name="Normalny 2 7 4 2 2 6" xfId="25238" xr:uid="{00000000-0005-0000-0000-00009D630000}"/>
    <cellStyle name="Normalny 2 7 4 2 3" xfId="25239" xr:uid="{00000000-0005-0000-0000-00009E630000}"/>
    <cellStyle name="Normalny 2 7 4 2 4" xfId="25240" xr:uid="{00000000-0005-0000-0000-00009F630000}"/>
    <cellStyle name="Normalny 2 7 4 2 5" xfId="25241" xr:uid="{00000000-0005-0000-0000-0000A0630000}"/>
    <cellStyle name="Normalny 2 7 4 2 6" xfId="25242" xr:uid="{00000000-0005-0000-0000-0000A1630000}"/>
    <cellStyle name="Normalny 2 7 4 2 7" xfId="25243" xr:uid="{00000000-0005-0000-0000-0000A2630000}"/>
    <cellStyle name="Normalny 2 7 4 3" xfId="25244" xr:uid="{00000000-0005-0000-0000-0000A3630000}"/>
    <cellStyle name="Normalny 2 7 4 4" xfId="25245" xr:uid="{00000000-0005-0000-0000-0000A4630000}"/>
    <cellStyle name="Normalny 2 7 4 5" xfId="25246" xr:uid="{00000000-0005-0000-0000-0000A5630000}"/>
    <cellStyle name="Normalny 2 7 4 6" xfId="25247" xr:uid="{00000000-0005-0000-0000-0000A6630000}"/>
    <cellStyle name="Normalny 2 7 4 7" xfId="25248" xr:uid="{00000000-0005-0000-0000-0000A7630000}"/>
    <cellStyle name="Normalny 2 7 4 7 2" xfId="25249" xr:uid="{00000000-0005-0000-0000-0000A8630000}"/>
    <cellStyle name="Normalny 2 7 4 7 3" xfId="25250" xr:uid="{00000000-0005-0000-0000-0000A9630000}"/>
    <cellStyle name="Normalny 2 7 4 7 4" xfId="25251" xr:uid="{00000000-0005-0000-0000-0000AA630000}"/>
    <cellStyle name="Normalny 2 7 4 7 5" xfId="25252" xr:uid="{00000000-0005-0000-0000-0000AB630000}"/>
    <cellStyle name="Normalny 2 7 4 7 6" xfId="25253" xr:uid="{00000000-0005-0000-0000-0000AC630000}"/>
    <cellStyle name="Normalny 2 7 4 8" xfId="25254" xr:uid="{00000000-0005-0000-0000-0000AD630000}"/>
    <cellStyle name="Normalny 2 7 4 9" xfId="25255" xr:uid="{00000000-0005-0000-0000-0000AE630000}"/>
    <cellStyle name="Normalny 2 7 5" xfId="25256" xr:uid="{00000000-0005-0000-0000-0000AF630000}"/>
    <cellStyle name="Normalny 2 7 5 2" xfId="25257" xr:uid="{00000000-0005-0000-0000-0000B0630000}"/>
    <cellStyle name="Normalny 2 7 5 2 2" xfId="25258" xr:uid="{00000000-0005-0000-0000-0000B1630000}"/>
    <cellStyle name="Normalny 2 7 5 2 3" xfId="25259" xr:uid="{00000000-0005-0000-0000-0000B2630000}"/>
    <cellStyle name="Normalny 2 7 5 2 4" xfId="25260" xr:uid="{00000000-0005-0000-0000-0000B3630000}"/>
    <cellStyle name="Normalny 2 7 5 2 5" xfId="25261" xr:uid="{00000000-0005-0000-0000-0000B4630000}"/>
    <cellStyle name="Normalny 2 7 5 2 6" xfId="25262" xr:uid="{00000000-0005-0000-0000-0000B5630000}"/>
    <cellStyle name="Normalny 2 7 5 3" xfId="25263" xr:uid="{00000000-0005-0000-0000-0000B6630000}"/>
    <cellStyle name="Normalny 2 7 5 4" xfId="25264" xr:uid="{00000000-0005-0000-0000-0000B7630000}"/>
    <cellStyle name="Normalny 2 7 5 5" xfId="25265" xr:uid="{00000000-0005-0000-0000-0000B8630000}"/>
    <cellStyle name="Normalny 2 7 5 6" xfId="25266" xr:uid="{00000000-0005-0000-0000-0000B9630000}"/>
    <cellStyle name="Normalny 2 7 5 7" xfId="25267" xr:uid="{00000000-0005-0000-0000-0000BA630000}"/>
    <cellStyle name="Normalny 2 7 6" xfId="25268" xr:uid="{00000000-0005-0000-0000-0000BB630000}"/>
    <cellStyle name="Normalny 2 7 7" xfId="25269" xr:uid="{00000000-0005-0000-0000-0000BC630000}"/>
    <cellStyle name="Normalny 2 7 8" xfId="25270" xr:uid="{00000000-0005-0000-0000-0000BD630000}"/>
    <cellStyle name="Normalny 2 7 9" xfId="25271" xr:uid="{00000000-0005-0000-0000-0000BE630000}"/>
    <cellStyle name="Normalny 2 7 9 2" xfId="25272" xr:uid="{00000000-0005-0000-0000-0000BF630000}"/>
    <cellStyle name="Normalny 2 7 9 3" xfId="25273" xr:uid="{00000000-0005-0000-0000-0000C0630000}"/>
    <cellStyle name="Normalny 2 7 9 4" xfId="25274" xr:uid="{00000000-0005-0000-0000-0000C1630000}"/>
    <cellStyle name="Normalny 2 7 9 5" xfId="25275" xr:uid="{00000000-0005-0000-0000-0000C2630000}"/>
    <cellStyle name="Normalny 2 7 9 6" xfId="25276" xr:uid="{00000000-0005-0000-0000-0000C3630000}"/>
    <cellStyle name="Normalny 2 8" xfId="307" xr:uid="{00000000-0005-0000-0000-0000C4630000}"/>
    <cellStyle name="Normalny 2 8 10" xfId="25278" xr:uid="{00000000-0005-0000-0000-0000C5630000}"/>
    <cellStyle name="Normalny 2 8 11" xfId="25279" xr:uid="{00000000-0005-0000-0000-0000C6630000}"/>
    <cellStyle name="Normalny 2 8 12" xfId="25280" xr:uid="{00000000-0005-0000-0000-0000C7630000}"/>
    <cellStyle name="Normalny 2 8 13" xfId="25281" xr:uid="{00000000-0005-0000-0000-0000C8630000}"/>
    <cellStyle name="Normalny 2 8 14" xfId="25277" xr:uid="{00000000-0005-0000-0000-0000C9630000}"/>
    <cellStyle name="Normalny 2 8 2" xfId="25282" xr:uid="{00000000-0005-0000-0000-0000CA630000}"/>
    <cellStyle name="Normalny 2 8 2 10" xfId="25283" xr:uid="{00000000-0005-0000-0000-0000CB630000}"/>
    <cellStyle name="Normalny 2 8 2 11" xfId="25284" xr:uid="{00000000-0005-0000-0000-0000CC630000}"/>
    <cellStyle name="Normalny 2 8 2 12" xfId="25285" xr:uid="{00000000-0005-0000-0000-0000CD630000}"/>
    <cellStyle name="Normalny 2 8 2 13" xfId="25286" xr:uid="{00000000-0005-0000-0000-0000CE630000}"/>
    <cellStyle name="Normalny 2 8 2 14" xfId="38148" xr:uid="{00000000-0005-0000-0000-0000CF630000}"/>
    <cellStyle name="Normalny 2 8 2 2" xfId="25287" xr:uid="{00000000-0005-0000-0000-0000D0630000}"/>
    <cellStyle name="Normalny 2 8 2 2 10" xfId="25288" xr:uid="{00000000-0005-0000-0000-0000D1630000}"/>
    <cellStyle name="Normalny 2 8 2 2 11" xfId="25289" xr:uid="{00000000-0005-0000-0000-0000D2630000}"/>
    <cellStyle name="Normalny 2 8 2 2 12" xfId="25290" xr:uid="{00000000-0005-0000-0000-0000D3630000}"/>
    <cellStyle name="Normalny 2 8 2 2 13" xfId="38149" xr:uid="{00000000-0005-0000-0000-0000D4630000}"/>
    <cellStyle name="Normalny 2 8 2 2 2" xfId="25291" xr:uid="{00000000-0005-0000-0000-0000D5630000}"/>
    <cellStyle name="Normalny 2 8 2 2 2 10" xfId="25292" xr:uid="{00000000-0005-0000-0000-0000D6630000}"/>
    <cellStyle name="Normalny 2 8 2 2 2 11" xfId="25293" xr:uid="{00000000-0005-0000-0000-0000D7630000}"/>
    <cellStyle name="Normalny 2 8 2 2 2 2" xfId="25294" xr:uid="{00000000-0005-0000-0000-0000D8630000}"/>
    <cellStyle name="Normalny 2 8 2 2 2 2 10" xfId="25295" xr:uid="{00000000-0005-0000-0000-0000D9630000}"/>
    <cellStyle name="Normalny 2 8 2 2 2 2 11" xfId="25296" xr:uid="{00000000-0005-0000-0000-0000DA630000}"/>
    <cellStyle name="Normalny 2 8 2 2 2 2 2" xfId="25297" xr:uid="{00000000-0005-0000-0000-0000DB630000}"/>
    <cellStyle name="Normalny 2 8 2 2 2 2 2 2" xfId="25298" xr:uid="{00000000-0005-0000-0000-0000DC630000}"/>
    <cellStyle name="Normalny 2 8 2 2 2 2 2 2 2" xfId="25299" xr:uid="{00000000-0005-0000-0000-0000DD630000}"/>
    <cellStyle name="Normalny 2 8 2 2 2 2 2 2 3" xfId="25300" xr:uid="{00000000-0005-0000-0000-0000DE630000}"/>
    <cellStyle name="Normalny 2 8 2 2 2 2 2 2 4" xfId="25301" xr:uid="{00000000-0005-0000-0000-0000DF630000}"/>
    <cellStyle name="Normalny 2 8 2 2 2 2 2 2 5" xfId="25302" xr:uid="{00000000-0005-0000-0000-0000E0630000}"/>
    <cellStyle name="Normalny 2 8 2 2 2 2 2 2 6" xfId="25303" xr:uid="{00000000-0005-0000-0000-0000E1630000}"/>
    <cellStyle name="Normalny 2 8 2 2 2 2 2 3" xfId="25304" xr:uid="{00000000-0005-0000-0000-0000E2630000}"/>
    <cellStyle name="Normalny 2 8 2 2 2 2 2 4" xfId="25305" xr:uid="{00000000-0005-0000-0000-0000E3630000}"/>
    <cellStyle name="Normalny 2 8 2 2 2 2 2 5" xfId="25306" xr:uid="{00000000-0005-0000-0000-0000E4630000}"/>
    <cellStyle name="Normalny 2 8 2 2 2 2 2 6" xfId="25307" xr:uid="{00000000-0005-0000-0000-0000E5630000}"/>
    <cellStyle name="Normalny 2 8 2 2 2 2 2 7" xfId="25308" xr:uid="{00000000-0005-0000-0000-0000E6630000}"/>
    <cellStyle name="Normalny 2 8 2 2 2 2 3" xfId="25309" xr:uid="{00000000-0005-0000-0000-0000E7630000}"/>
    <cellStyle name="Normalny 2 8 2 2 2 2 4" xfId="25310" xr:uid="{00000000-0005-0000-0000-0000E8630000}"/>
    <cellStyle name="Normalny 2 8 2 2 2 2 5" xfId="25311" xr:uid="{00000000-0005-0000-0000-0000E9630000}"/>
    <cellStyle name="Normalny 2 8 2 2 2 2 6" xfId="25312" xr:uid="{00000000-0005-0000-0000-0000EA630000}"/>
    <cellStyle name="Normalny 2 8 2 2 2 2 7" xfId="25313" xr:uid="{00000000-0005-0000-0000-0000EB630000}"/>
    <cellStyle name="Normalny 2 8 2 2 2 2 7 2" xfId="25314" xr:uid="{00000000-0005-0000-0000-0000EC630000}"/>
    <cellStyle name="Normalny 2 8 2 2 2 2 7 3" xfId="25315" xr:uid="{00000000-0005-0000-0000-0000ED630000}"/>
    <cellStyle name="Normalny 2 8 2 2 2 2 7 4" xfId="25316" xr:uid="{00000000-0005-0000-0000-0000EE630000}"/>
    <cellStyle name="Normalny 2 8 2 2 2 2 7 5" xfId="25317" xr:uid="{00000000-0005-0000-0000-0000EF630000}"/>
    <cellStyle name="Normalny 2 8 2 2 2 2 7 6" xfId="25318" xr:uid="{00000000-0005-0000-0000-0000F0630000}"/>
    <cellStyle name="Normalny 2 8 2 2 2 2 8" xfId="25319" xr:uid="{00000000-0005-0000-0000-0000F1630000}"/>
    <cellStyle name="Normalny 2 8 2 2 2 2 9" xfId="25320" xr:uid="{00000000-0005-0000-0000-0000F2630000}"/>
    <cellStyle name="Normalny 2 8 2 2 2 3" xfId="25321" xr:uid="{00000000-0005-0000-0000-0000F3630000}"/>
    <cellStyle name="Normalny 2 8 2 2 2 3 2" xfId="25322" xr:uid="{00000000-0005-0000-0000-0000F4630000}"/>
    <cellStyle name="Normalny 2 8 2 2 2 3 2 2" xfId="25323" xr:uid="{00000000-0005-0000-0000-0000F5630000}"/>
    <cellStyle name="Normalny 2 8 2 2 2 3 2 3" xfId="25324" xr:uid="{00000000-0005-0000-0000-0000F6630000}"/>
    <cellStyle name="Normalny 2 8 2 2 2 3 2 4" xfId="25325" xr:uid="{00000000-0005-0000-0000-0000F7630000}"/>
    <cellStyle name="Normalny 2 8 2 2 2 3 2 5" xfId="25326" xr:uid="{00000000-0005-0000-0000-0000F8630000}"/>
    <cellStyle name="Normalny 2 8 2 2 2 3 2 6" xfId="25327" xr:uid="{00000000-0005-0000-0000-0000F9630000}"/>
    <cellStyle name="Normalny 2 8 2 2 2 3 3" xfId="25328" xr:uid="{00000000-0005-0000-0000-0000FA630000}"/>
    <cellStyle name="Normalny 2 8 2 2 2 3 4" xfId="25329" xr:uid="{00000000-0005-0000-0000-0000FB630000}"/>
    <cellStyle name="Normalny 2 8 2 2 2 3 5" xfId="25330" xr:uid="{00000000-0005-0000-0000-0000FC630000}"/>
    <cellStyle name="Normalny 2 8 2 2 2 3 6" xfId="25331" xr:uid="{00000000-0005-0000-0000-0000FD630000}"/>
    <cellStyle name="Normalny 2 8 2 2 2 3 7" xfId="25332" xr:uid="{00000000-0005-0000-0000-0000FE630000}"/>
    <cellStyle name="Normalny 2 8 2 2 2 4" xfId="25333" xr:uid="{00000000-0005-0000-0000-0000FF630000}"/>
    <cellStyle name="Normalny 2 8 2 2 2 5" xfId="25334" xr:uid="{00000000-0005-0000-0000-000000640000}"/>
    <cellStyle name="Normalny 2 8 2 2 2 6" xfId="25335" xr:uid="{00000000-0005-0000-0000-000001640000}"/>
    <cellStyle name="Normalny 2 8 2 2 2 7" xfId="25336" xr:uid="{00000000-0005-0000-0000-000002640000}"/>
    <cellStyle name="Normalny 2 8 2 2 2 7 2" xfId="25337" xr:uid="{00000000-0005-0000-0000-000003640000}"/>
    <cellStyle name="Normalny 2 8 2 2 2 7 3" xfId="25338" xr:uid="{00000000-0005-0000-0000-000004640000}"/>
    <cellStyle name="Normalny 2 8 2 2 2 7 4" xfId="25339" xr:uid="{00000000-0005-0000-0000-000005640000}"/>
    <cellStyle name="Normalny 2 8 2 2 2 7 5" xfId="25340" xr:uid="{00000000-0005-0000-0000-000006640000}"/>
    <cellStyle name="Normalny 2 8 2 2 2 7 6" xfId="25341" xr:uid="{00000000-0005-0000-0000-000007640000}"/>
    <cellStyle name="Normalny 2 8 2 2 2 8" xfId="25342" xr:uid="{00000000-0005-0000-0000-000008640000}"/>
    <cellStyle name="Normalny 2 8 2 2 2 9" xfId="25343" xr:uid="{00000000-0005-0000-0000-000009640000}"/>
    <cellStyle name="Normalny 2 8 2 2 3" xfId="25344" xr:uid="{00000000-0005-0000-0000-00000A640000}"/>
    <cellStyle name="Normalny 2 8 2 2 3 2" xfId="25345" xr:uid="{00000000-0005-0000-0000-00000B640000}"/>
    <cellStyle name="Normalny 2 8 2 2 3 2 2" xfId="25346" xr:uid="{00000000-0005-0000-0000-00000C640000}"/>
    <cellStyle name="Normalny 2 8 2 2 3 2 3" xfId="25347" xr:uid="{00000000-0005-0000-0000-00000D640000}"/>
    <cellStyle name="Normalny 2 8 2 2 3 2 4" xfId="25348" xr:uid="{00000000-0005-0000-0000-00000E640000}"/>
    <cellStyle name="Normalny 2 8 2 2 3 2 5" xfId="25349" xr:uid="{00000000-0005-0000-0000-00000F640000}"/>
    <cellStyle name="Normalny 2 8 2 2 3 2 6" xfId="25350" xr:uid="{00000000-0005-0000-0000-000010640000}"/>
    <cellStyle name="Normalny 2 8 2 2 3 3" xfId="25351" xr:uid="{00000000-0005-0000-0000-000011640000}"/>
    <cellStyle name="Normalny 2 8 2 2 3 4" xfId="25352" xr:uid="{00000000-0005-0000-0000-000012640000}"/>
    <cellStyle name="Normalny 2 8 2 2 3 5" xfId="25353" xr:uid="{00000000-0005-0000-0000-000013640000}"/>
    <cellStyle name="Normalny 2 8 2 2 3 6" xfId="25354" xr:uid="{00000000-0005-0000-0000-000014640000}"/>
    <cellStyle name="Normalny 2 8 2 2 3 7" xfId="25355" xr:uid="{00000000-0005-0000-0000-000015640000}"/>
    <cellStyle name="Normalny 2 8 2 2 4" xfId="25356" xr:uid="{00000000-0005-0000-0000-000016640000}"/>
    <cellStyle name="Normalny 2 8 2 2 5" xfId="25357" xr:uid="{00000000-0005-0000-0000-000017640000}"/>
    <cellStyle name="Normalny 2 8 2 2 6" xfId="25358" xr:uid="{00000000-0005-0000-0000-000018640000}"/>
    <cellStyle name="Normalny 2 8 2 2 7" xfId="25359" xr:uid="{00000000-0005-0000-0000-000019640000}"/>
    <cellStyle name="Normalny 2 8 2 2 8" xfId="25360" xr:uid="{00000000-0005-0000-0000-00001A640000}"/>
    <cellStyle name="Normalny 2 8 2 2 8 2" xfId="25361" xr:uid="{00000000-0005-0000-0000-00001B640000}"/>
    <cellStyle name="Normalny 2 8 2 2 8 3" xfId="25362" xr:uid="{00000000-0005-0000-0000-00001C640000}"/>
    <cellStyle name="Normalny 2 8 2 2 8 4" xfId="25363" xr:uid="{00000000-0005-0000-0000-00001D640000}"/>
    <cellStyle name="Normalny 2 8 2 2 8 5" xfId="25364" xr:uid="{00000000-0005-0000-0000-00001E640000}"/>
    <cellStyle name="Normalny 2 8 2 2 8 6" xfId="25365" xr:uid="{00000000-0005-0000-0000-00001F640000}"/>
    <cellStyle name="Normalny 2 8 2 2 9" xfId="25366" xr:uid="{00000000-0005-0000-0000-000020640000}"/>
    <cellStyle name="Normalny 2 8 2 3" xfId="25367" xr:uid="{00000000-0005-0000-0000-000021640000}"/>
    <cellStyle name="Normalny 2 8 2 4" xfId="25368" xr:uid="{00000000-0005-0000-0000-000022640000}"/>
    <cellStyle name="Normalny 2 8 2 4 10" xfId="25369" xr:uid="{00000000-0005-0000-0000-000023640000}"/>
    <cellStyle name="Normalny 2 8 2 4 11" xfId="25370" xr:uid="{00000000-0005-0000-0000-000024640000}"/>
    <cellStyle name="Normalny 2 8 2 4 2" xfId="25371" xr:uid="{00000000-0005-0000-0000-000025640000}"/>
    <cellStyle name="Normalny 2 8 2 4 2 2" xfId="25372" xr:uid="{00000000-0005-0000-0000-000026640000}"/>
    <cellStyle name="Normalny 2 8 2 4 2 2 2" xfId="25373" xr:uid="{00000000-0005-0000-0000-000027640000}"/>
    <cellStyle name="Normalny 2 8 2 4 2 2 3" xfId="25374" xr:uid="{00000000-0005-0000-0000-000028640000}"/>
    <cellStyle name="Normalny 2 8 2 4 2 2 4" xfId="25375" xr:uid="{00000000-0005-0000-0000-000029640000}"/>
    <cellStyle name="Normalny 2 8 2 4 2 2 5" xfId="25376" xr:uid="{00000000-0005-0000-0000-00002A640000}"/>
    <cellStyle name="Normalny 2 8 2 4 2 2 6" xfId="25377" xr:uid="{00000000-0005-0000-0000-00002B640000}"/>
    <cellStyle name="Normalny 2 8 2 4 2 3" xfId="25378" xr:uid="{00000000-0005-0000-0000-00002C640000}"/>
    <cellStyle name="Normalny 2 8 2 4 2 4" xfId="25379" xr:uid="{00000000-0005-0000-0000-00002D640000}"/>
    <cellStyle name="Normalny 2 8 2 4 2 5" xfId="25380" xr:uid="{00000000-0005-0000-0000-00002E640000}"/>
    <cellStyle name="Normalny 2 8 2 4 2 6" xfId="25381" xr:uid="{00000000-0005-0000-0000-00002F640000}"/>
    <cellStyle name="Normalny 2 8 2 4 2 7" xfId="25382" xr:uid="{00000000-0005-0000-0000-000030640000}"/>
    <cellStyle name="Normalny 2 8 2 4 3" xfId="25383" xr:uid="{00000000-0005-0000-0000-000031640000}"/>
    <cellStyle name="Normalny 2 8 2 4 4" xfId="25384" xr:uid="{00000000-0005-0000-0000-000032640000}"/>
    <cellStyle name="Normalny 2 8 2 4 5" xfId="25385" xr:uid="{00000000-0005-0000-0000-000033640000}"/>
    <cellStyle name="Normalny 2 8 2 4 6" xfId="25386" xr:uid="{00000000-0005-0000-0000-000034640000}"/>
    <cellStyle name="Normalny 2 8 2 4 7" xfId="25387" xr:uid="{00000000-0005-0000-0000-000035640000}"/>
    <cellStyle name="Normalny 2 8 2 4 7 2" xfId="25388" xr:uid="{00000000-0005-0000-0000-000036640000}"/>
    <cellStyle name="Normalny 2 8 2 4 7 3" xfId="25389" xr:uid="{00000000-0005-0000-0000-000037640000}"/>
    <cellStyle name="Normalny 2 8 2 4 7 4" xfId="25390" xr:uid="{00000000-0005-0000-0000-000038640000}"/>
    <cellStyle name="Normalny 2 8 2 4 7 5" xfId="25391" xr:uid="{00000000-0005-0000-0000-000039640000}"/>
    <cellStyle name="Normalny 2 8 2 4 7 6" xfId="25392" xr:uid="{00000000-0005-0000-0000-00003A640000}"/>
    <cellStyle name="Normalny 2 8 2 4 8" xfId="25393" xr:uid="{00000000-0005-0000-0000-00003B640000}"/>
    <cellStyle name="Normalny 2 8 2 4 9" xfId="25394" xr:uid="{00000000-0005-0000-0000-00003C640000}"/>
    <cellStyle name="Normalny 2 8 2 5" xfId="25395" xr:uid="{00000000-0005-0000-0000-00003D640000}"/>
    <cellStyle name="Normalny 2 8 2 5 2" xfId="25396" xr:uid="{00000000-0005-0000-0000-00003E640000}"/>
    <cellStyle name="Normalny 2 8 2 5 2 2" xfId="25397" xr:uid="{00000000-0005-0000-0000-00003F640000}"/>
    <cellStyle name="Normalny 2 8 2 5 2 3" xfId="25398" xr:uid="{00000000-0005-0000-0000-000040640000}"/>
    <cellStyle name="Normalny 2 8 2 5 2 4" xfId="25399" xr:uid="{00000000-0005-0000-0000-000041640000}"/>
    <cellStyle name="Normalny 2 8 2 5 2 5" xfId="25400" xr:uid="{00000000-0005-0000-0000-000042640000}"/>
    <cellStyle name="Normalny 2 8 2 5 2 6" xfId="25401" xr:uid="{00000000-0005-0000-0000-000043640000}"/>
    <cellStyle name="Normalny 2 8 2 5 3" xfId="25402" xr:uid="{00000000-0005-0000-0000-000044640000}"/>
    <cellStyle name="Normalny 2 8 2 5 4" xfId="25403" xr:uid="{00000000-0005-0000-0000-000045640000}"/>
    <cellStyle name="Normalny 2 8 2 5 5" xfId="25404" xr:uid="{00000000-0005-0000-0000-000046640000}"/>
    <cellStyle name="Normalny 2 8 2 5 6" xfId="25405" xr:uid="{00000000-0005-0000-0000-000047640000}"/>
    <cellStyle name="Normalny 2 8 2 5 7" xfId="25406" xr:uid="{00000000-0005-0000-0000-000048640000}"/>
    <cellStyle name="Normalny 2 8 2 6" xfId="25407" xr:uid="{00000000-0005-0000-0000-000049640000}"/>
    <cellStyle name="Normalny 2 8 2 7" xfId="25408" xr:uid="{00000000-0005-0000-0000-00004A640000}"/>
    <cellStyle name="Normalny 2 8 2 8" xfId="25409" xr:uid="{00000000-0005-0000-0000-00004B640000}"/>
    <cellStyle name="Normalny 2 8 2 9" xfId="25410" xr:uid="{00000000-0005-0000-0000-00004C640000}"/>
    <cellStyle name="Normalny 2 8 2 9 2" xfId="25411" xr:uid="{00000000-0005-0000-0000-00004D640000}"/>
    <cellStyle name="Normalny 2 8 2 9 3" xfId="25412" xr:uid="{00000000-0005-0000-0000-00004E640000}"/>
    <cellStyle name="Normalny 2 8 2 9 4" xfId="25413" xr:uid="{00000000-0005-0000-0000-00004F640000}"/>
    <cellStyle name="Normalny 2 8 2 9 5" xfId="25414" xr:uid="{00000000-0005-0000-0000-000050640000}"/>
    <cellStyle name="Normalny 2 8 2 9 6" xfId="25415" xr:uid="{00000000-0005-0000-0000-000051640000}"/>
    <cellStyle name="Normalny 2 8 3" xfId="25416" xr:uid="{00000000-0005-0000-0000-000052640000}"/>
    <cellStyle name="Normalny 2 8 3 10" xfId="25417" xr:uid="{00000000-0005-0000-0000-000053640000}"/>
    <cellStyle name="Normalny 2 8 3 11" xfId="25418" xr:uid="{00000000-0005-0000-0000-000054640000}"/>
    <cellStyle name="Normalny 2 8 3 12" xfId="25419" xr:uid="{00000000-0005-0000-0000-000055640000}"/>
    <cellStyle name="Normalny 2 8 3 13" xfId="38150" xr:uid="{00000000-0005-0000-0000-000056640000}"/>
    <cellStyle name="Normalny 2 8 3 2" xfId="25420" xr:uid="{00000000-0005-0000-0000-000057640000}"/>
    <cellStyle name="Normalny 2 8 3 2 10" xfId="25421" xr:uid="{00000000-0005-0000-0000-000058640000}"/>
    <cellStyle name="Normalny 2 8 3 2 11" xfId="25422" xr:uid="{00000000-0005-0000-0000-000059640000}"/>
    <cellStyle name="Normalny 2 8 3 2 2" xfId="25423" xr:uid="{00000000-0005-0000-0000-00005A640000}"/>
    <cellStyle name="Normalny 2 8 3 2 2 10" xfId="25424" xr:uid="{00000000-0005-0000-0000-00005B640000}"/>
    <cellStyle name="Normalny 2 8 3 2 2 11" xfId="25425" xr:uid="{00000000-0005-0000-0000-00005C640000}"/>
    <cellStyle name="Normalny 2 8 3 2 2 2" xfId="25426" xr:uid="{00000000-0005-0000-0000-00005D640000}"/>
    <cellStyle name="Normalny 2 8 3 2 2 2 2" xfId="25427" xr:uid="{00000000-0005-0000-0000-00005E640000}"/>
    <cellStyle name="Normalny 2 8 3 2 2 2 2 2" xfId="25428" xr:uid="{00000000-0005-0000-0000-00005F640000}"/>
    <cellStyle name="Normalny 2 8 3 2 2 2 2 3" xfId="25429" xr:uid="{00000000-0005-0000-0000-000060640000}"/>
    <cellStyle name="Normalny 2 8 3 2 2 2 2 4" xfId="25430" xr:uid="{00000000-0005-0000-0000-000061640000}"/>
    <cellStyle name="Normalny 2 8 3 2 2 2 2 5" xfId="25431" xr:uid="{00000000-0005-0000-0000-000062640000}"/>
    <cellStyle name="Normalny 2 8 3 2 2 2 2 6" xfId="25432" xr:uid="{00000000-0005-0000-0000-000063640000}"/>
    <cellStyle name="Normalny 2 8 3 2 2 2 3" xfId="25433" xr:uid="{00000000-0005-0000-0000-000064640000}"/>
    <cellStyle name="Normalny 2 8 3 2 2 2 4" xfId="25434" xr:uid="{00000000-0005-0000-0000-000065640000}"/>
    <cellStyle name="Normalny 2 8 3 2 2 2 5" xfId="25435" xr:uid="{00000000-0005-0000-0000-000066640000}"/>
    <cellStyle name="Normalny 2 8 3 2 2 2 6" xfId="25436" xr:uid="{00000000-0005-0000-0000-000067640000}"/>
    <cellStyle name="Normalny 2 8 3 2 2 2 7" xfId="25437" xr:uid="{00000000-0005-0000-0000-000068640000}"/>
    <cellStyle name="Normalny 2 8 3 2 2 3" xfId="25438" xr:uid="{00000000-0005-0000-0000-000069640000}"/>
    <cellStyle name="Normalny 2 8 3 2 2 4" xfId="25439" xr:uid="{00000000-0005-0000-0000-00006A640000}"/>
    <cellStyle name="Normalny 2 8 3 2 2 5" xfId="25440" xr:uid="{00000000-0005-0000-0000-00006B640000}"/>
    <cellStyle name="Normalny 2 8 3 2 2 6" xfId="25441" xr:uid="{00000000-0005-0000-0000-00006C640000}"/>
    <cellStyle name="Normalny 2 8 3 2 2 7" xfId="25442" xr:uid="{00000000-0005-0000-0000-00006D640000}"/>
    <cellStyle name="Normalny 2 8 3 2 2 7 2" xfId="25443" xr:uid="{00000000-0005-0000-0000-00006E640000}"/>
    <cellStyle name="Normalny 2 8 3 2 2 7 3" xfId="25444" xr:uid="{00000000-0005-0000-0000-00006F640000}"/>
    <cellStyle name="Normalny 2 8 3 2 2 7 4" xfId="25445" xr:uid="{00000000-0005-0000-0000-000070640000}"/>
    <cellStyle name="Normalny 2 8 3 2 2 7 5" xfId="25446" xr:uid="{00000000-0005-0000-0000-000071640000}"/>
    <cellStyle name="Normalny 2 8 3 2 2 7 6" xfId="25447" xr:uid="{00000000-0005-0000-0000-000072640000}"/>
    <cellStyle name="Normalny 2 8 3 2 2 8" xfId="25448" xr:uid="{00000000-0005-0000-0000-000073640000}"/>
    <cellStyle name="Normalny 2 8 3 2 2 9" xfId="25449" xr:uid="{00000000-0005-0000-0000-000074640000}"/>
    <cellStyle name="Normalny 2 8 3 2 3" xfId="25450" xr:uid="{00000000-0005-0000-0000-000075640000}"/>
    <cellStyle name="Normalny 2 8 3 2 3 2" xfId="25451" xr:uid="{00000000-0005-0000-0000-000076640000}"/>
    <cellStyle name="Normalny 2 8 3 2 3 2 2" xfId="25452" xr:uid="{00000000-0005-0000-0000-000077640000}"/>
    <cellStyle name="Normalny 2 8 3 2 3 2 3" xfId="25453" xr:uid="{00000000-0005-0000-0000-000078640000}"/>
    <cellStyle name="Normalny 2 8 3 2 3 2 4" xfId="25454" xr:uid="{00000000-0005-0000-0000-000079640000}"/>
    <cellStyle name="Normalny 2 8 3 2 3 2 5" xfId="25455" xr:uid="{00000000-0005-0000-0000-00007A640000}"/>
    <cellStyle name="Normalny 2 8 3 2 3 2 6" xfId="25456" xr:uid="{00000000-0005-0000-0000-00007B640000}"/>
    <cellStyle name="Normalny 2 8 3 2 3 3" xfId="25457" xr:uid="{00000000-0005-0000-0000-00007C640000}"/>
    <cellStyle name="Normalny 2 8 3 2 3 4" xfId="25458" xr:uid="{00000000-0005-0000-0000-00007D640000}"/>
    <cellStyle name="Normalny 2 8 3 2 3 5" xfId="25459" xr:uid="{00000000-0005-0000-0000-00007E640000}"/>
    <cellStyle name="Normalny 2 8 3 2 3 6" xfId="25460" xr:uid="{00000000-0005-0000-0000-00007F640000}"/>
    <cellStyle name="Normalny 2 8 3 2 3 7" xfId="25461" xr:uid="{00000000-0005-0000-0000-000080640000}"/>
    <cellStyle name="Normalny 2 8 3 2 4" xfId="25462" xr:uid="{00000000-0005-0000-0000-000081640000}"/>
    <cellStyle name="Normalny 2 8 3 2 5" xfId="25463" xr:uid="{00000000-0005-0000-0000-000082640000}"/>
    <cellStyle name="Normalny 2 8 3 2 6" xfId="25464" xr:uid="{00000000-0005-0000-0000-000083640000}"/>
    <cellStyle name="Normalny 2 8 3 2 7" xfId="25465" xr:uid="{00000000-0005-0000-0000-000084640000}"/>
    <cellStyle name="Normalny 2 8 3 2 7 2" xfId="25466" xr:uid="{00000000-0005-0000-0000-000085640000}"/>
    <cellStyle name="Normalny 2 8 3 2 7 3" xfId="25467" xr:uid="{00000000-0005-0000-0000-000086640000}"/>
    <cellStyle name="Normalny 2 8 3 2 7 4" xfId="25468" xr:uid="{00000000-0005-0000-0000-000087640000}"/>
    <cellStyle name="Normalny 2 8 3 2 7 5" xfId="25469" xr:uid="{00000000-0005-0000-0000-000088640000}"/>
    <cellStyle name="Normalny 2 8 3 2 7 6" xfId="25470" xr:uid="{00000000-0005-0000-0000-000089640000}"/>
    <cellStyle name="Normalny 2 8 3 2 8" xfId="25471" xr:uid="{00000000-0005-0000-0000-00008A640000}"/>
    <cellStyle name="Normalny 2 8 3 2 9" xfId="25472" xr:uid="{00000000-0005-0000-0000-00008B640000}"/>
    <cellStyle name="Normalny 2 8 3 3" xfId="25473" xr:uid="{00000000-0005-0000-0000-00008C640000}"/>
    <cellStyle name="Normalny 2 8 3 3 2" xfId="25474" xr:uid="{00000000-0005-0000-0000-00008D640000}"/>
    <cellStyle name="Normalny 2 8 3 3 2 2" xfId="25475" xr:uid="{00000000-0005-0000-0000-00008E640000}"/>
    <cellStyle name="Normalny 2 8 3 3 2 3" xfId="25476" xr:uid="{00000000-0005-0000-0000-00008F640000}"/>
    <cellStyle name="Normalny 2 8 3 3 2 4" xfId="25477" xr:uid="{00000000-0005-0000-0000-000090640000}"/>
    <cellStyle name="Normalny 2 8 3 3 2 5" xfId="25478" xr:uid="{00000000-0005-0000-0000-000091640000}"/>
    <cellStyle name="Normalny 2 8 3 3 2 6" xfId="25479" xr:uid="{00000000-0005-0000-0000-000092640000}"/>
    <cellStyle name="Normalny 2 8 3 3 3" xfId="25480" xr:uid="{00000000-0005-0000-0000-000093640000}"/>
    <cellStyle name="Normalny 2 8 3 3 4" xfId="25481" xr:uid="{00000000-0005-0000-0000-000094640000}"/>
    <cellStyle name="Normalny 2 8 3 3 5" xfId="25482" xr:uid="{00000000-0005-0000-0000-000095640000}"/>
    <cellStyle name="Normalny 2 8 3 3 6" xfId="25483" xr:uid="{00000000-0005-0000-0000-000096640000}"/>
    <cellStyle name="Normalny 2 8 3 3 7" xfId="25484" xr:uid="{00000000-0005-0000-0000-000097640000}"/>
    <cellStyle name="Normalny 2 8 3 4" xfId="25485" xr:uid="{00000000-0005-0000-0000-000098640000}"/>
    <cellStyle name="Normalny 2 8 3 5" xfId="25486" xr:uid="{00000000-0005-0000-0000-000099640000}"/>
    <cellStyle name="Normalny 2 8 3 6" xfId="25487" xr:uid="{00000000-0005-0000-0000-00009A640000}"/>
    <cellStyle name="Normalny 2 8 3 7" xfId="25488" xr:uid="{00000000-0005-0000-0000-00009B640000}"/>
    <cellStyle name="Normalny 2 8 3 8" xfId="25489" xr:uid="{00000000-0005-0000-0000-00009C640000}"/>
    <cellStyle name="Normalny 2 8 3 8 2" xfId="25490" xr:uid="{00000000-0005-0000-0000-00009D640000}"/>
    <cellStyle name="Normalny 2 8 3 8 3" xfId="25491" xr:uid="{00000000-0005-0000-0000-00009E640000}"/>
    <cellStyle name="Normalny 2 8 3 8 4" xfId="25492" xr:uid="{00000000-0005-0000-0000-00009F640000}"/>
    <cellStyle name="Normalny 2 8 3 8 5" xfId="25493" xr:uid="{00000000-0005-0000-0000-0000A0640000}"/>
    <cellStyle name="Normalny 2 8 3 8 6" xfId="25494" xr:uid="{00000000-0005-0000-0000-0000A1640000}"/>
    <cellStyle name="Normalny 2 8 3 9" xfId="25495" xr:uid="{00000000-0005-0000-0000-0000A2640000}"/>
    <cellStyle name="Normalny 2 8 4" xfId="25496" xr:uid="{00000000-0005-0000-0000-0000A3640000}"/>
    <cellStyle name="Normalny 2 8 4 10" xfId="25497" xr:uid="{00000000-0005-0000-0000-0000A4640000}"/>
    <cellStyle name="Normalny 2 8 4 11" xfId="25498" xr:uid="{00000000-0005-0000-0000-0000A5640000}"/>
    <cellStyle name="Normalny 2 8 4 2" xfId="25499" xr:uid="{00000000-0005-0000-0000-0000A6640000}"/>
    <cellStyle name="Normalny 2 8 4 2 2" xfId="25500" xr:uid="{00000000-0005-0000-0000-0000A7640000}"/>
    <cellStyle name="Normalny 2 8 4 2 2 2" xfId="25501" xr:uid="{00000000-0005-0000-0000-0000A8640000}"/>
    <cellStyle name="Normalny 2 8 4 2 2 3" xfId="25502" xr:uid="{00000000-0005-0000-0000-0000A9640000}"/>
    <cellStyle name="Normalny 2 8 4 2 2 4" xfId="25503" xr:uid="{00000000-0005-0000-0000-0000AA640000}"/>
    <cellStyle name="Normalny 2 8 4 2 2 5" xfId="25504" xr:uid="{00000000-0005-0000-0000-0000AB640000}"/>
    <cellStyle name="Normalny 2 8 4 2 2 6" xfId="25505" xr:uid="{00000000-0005-0000-0000-0000AC640000}"/>
    <cellStyle name="Normalny 2 8 4 2 3" xfId="25506" xr:uid="{00000000-0005-0000-0000-0000AD640000}"/>
    <cellStyle name="Normalny 2 8 4 2 4" xfId="25507" xr:uid="{00000000-0005-0000-0000-0000AE640000}"/>
    <cellStyle name="Normalny 2 8 4 2 5" xfId="25508" xr:uid="{00000000-0005-0000-0000-0000AF640000}"/>
    <cellStyle name="Normalny 2 8 4 2 6" xfId="25509" xr:uid="{00000000-0005-0000-0000-0000B0640000}"/>
    <cellStyle name="Normalny 2 8 4 2 7" xfId="25510" xr:uid="{00000000-0005-0000-0000-0000B1640000}"/>
    <cellStyle name="Normalny 2 8 4 3" xfId="25511" xr:uid="{00000000-0005-0000-0000-0000B2640000}"/>
    <cellStyle name="Normalny 2 8 4 4" xfId="25512" xr:uid="{00000000-0005-0000-0000-0000B3640000}"/>
    <cellStyle name="Normalny 2 8 4 5" xfId="25513" xr:uid="{00000000-0005-0000-0000-0000B4640000}"/>
    <cellStyle name="Normalny 2 8 4 6" xfId="25514" xr:uid="{00000000-0005-0000-0000-0000B5640000}"/>
    <cellStyle name="Normalny 2 8 4 7" xfId="25515" xr:uid="{00000000-0005-0000-0000-0000B6640000}"/>
    <cellStyle name="Normalny 2 8 4 7 2" xfId="25516" xr:uid="{00000000-0005-0000-0000-0000B7640000}"/>
    <cellStyle name="Normalny 2 8 4 7 3" xfId="25517" xr:uid="{00000000-0005-0000-0000-0000B8640000}"/>
    <cellStyle name="Normalny 2 8 4 7 4" xfId="25518" xr:uid="{00000000-0005-0000-0000-0000B9640000}"/>
    <cellStyle name="Normalny 2 8 4 7 5" xfId="25519" xr:uid="{00000000-0005-0000-0000-0000BA640000}"/>
    <cellStyle name="Normalny 2 8 4 7 6" xfId="25520" xr:uid="{00000000-0005-0000-0000-0000BB640000}"/>
    <cellStyle name="Normalny 2 8 4 8" xfId="25521" xr:uid="{00000000-0005-0000-0000-0000BC640000}"/>
    <cellStyle name="Normalny 2 8 4 9" xfId="25522" xr:uid="{00000000-0005-0000-0000-0000BD640000}"/>
    <cellStyle name="Normalny 2 8 5" xfId="25523" xr:uid="{00000000-0005-0000-0000-0000BE640000}"/>
    <cellStyle name="Normalny 2 8 5 2" xfId="25524" xr:uid="{00000000-0005-0000-0000-0000BF640000}"/>
    <cellStyle name="Normalny 2 8 5 2 2" xfId="25525" xr:uid="{00000000-0005-0000-0000-0000C0640000}"/>
    <cellStyle name="Normalny 2 8 5 2 3" xfId="25526" xr:uid="{00000000-0005-0000-0000-0000C1640000}"/>
    <cellStyle name="Normalny 2 8 5 2 4" xfId="25527" xr:uid="{00000000-0005-0000-0000-0000C2640000}"/>
    <cellStyle name="Normalny 2 8 5 2 5" xfId="25528" xr:uid="{00000000-0005-0000-0000-0000C3640000}"/>
    <cellStyle name="Normalny 2 8 5 2 6" xfId="25529" xr:uid="{00000000-0005-0000-0000-0000C4640000}"/>
    <cellStyle name="Normalny 2 8 5 3" xfId="25530" xr:uid="{00000000-0005-0000-0000-0000C5640000}"/>
    <cellStyle name="Normalny 2 8 5 4" xfId="25531" xr:uid="{00000000-0005-0000-0000-0000C6640000}"/>
    <cellStyle name="Normalny 2 8 5 5" xfId="25532" xr:uid="{00000000-0005-0000-0000-0000C7640000}"/>
    <cellStyle name="Normalny 2 8 5 6" xfId="25533" xr:uid="{00000000-0005-0000-0000-0000C8640000}"/>
    <cellStyle name="Normalny 2 8 5 7" xfId="25534" xr:uid="{00000000-0005-0000-0000-0000C9640000}"/>
    <cellStyle name="Normalny 2 8 6" xfId="25535" xr:uid="{00000000-0005-0000-0000-0000CA640000}"/>
    <cellStyle name="Normalny 2 8 7" xfId="25536" xr:uid="{00000000-0005-0000-0000-0000CB640000}"/>
    <cellStyle name="Normalny 2 8 8" xfId="25537" xr:uid="{00000000-0005-0000-0000-0000CC640000}"/>
    <cellStyle name="Normalny 2 8 9" xfId="25538" xr:uid="{00000000-0005-0000-0000-0000CD640000}"/>
    <cellStyle name="Normalny 2 8 9 2" xfId="25539" xr:uid="{00000000-0005-0000-0000-0000CE640000}"/>
    <cellStyle name="Normalny 2 8 9 3" xfId="25540" xr:uid="{00000000-0005-0000-0000-0000CF640000}"/>
    <cellStyle name="Normalny 2 8 9 4" xfId="25541" xr:uid="{00000000-0005-0000-0000-0000D0640000}"/>
    <cellStyle name="Normalny 2 8 9 5" xfId="25542" xr:uid="{00000000-0005-0000-0000-0000D1640000}"/>
    <cellStyle name="Normalny 2 8 9 6" xfId="25543" xr:uid="{00000000-0005-0000-0000-0000D2640000}"/>
    <cellStyle name="Normalny 2 9" xfId="25544" xr:uid="{00000000-0005-0000-0000-0000D3640000}"/>
    <cellStyle name="Normalny 2 9 10" xfId="25545" xr:uid="{00000000-0005-0000-0000-0000D4640000}"/>
    <cellStyle name="Normalny 2 9 11" xfId="25546" xr:uid="{00000000-0005-0000-0000-0000D5640000}"/>
    <cellStyle name="Normalny 2 9 12" xfId="25547" xr:uid="{00000000-0005-0000-0000-0000D6640000}"/>
    <cellStyle name="Normalny 2 9 13" xfId="25548" xr:uid="{00000000-0005-0000-0000-0000D7640000}"/>
    <cellStyle name="Normalny 2 9 14" xfId="38151" xr:uid="{00000000-0005-0000-0000-0000D8640000}"/>
    <cellStyle name="Normalny 2 9 2" xfId="25549" xr:uid="{00000000-0005-0000-0000-0000D9640000}"/>
    <cellStyle name="Normalny 2 9 2 10" xfId="25550" xr:uid="{00000000-0005-0000-0000-0000DA640000}"/>
    <cellStyle name="Normalny 2 9 2 11" xfId="25551" xr:uid="{00000000-0005-0000-0000-0000DB640000}"/>
    <cellStyle name="Normalny 2 9 2 12" xfId="25552" xr:uid="{00000000-0005-0000-0000-0000DC640000}"/>
    <cellStyle name="Normalny 2 9 2 13" xfId="38152" xr:uid="{00000000-0005-0000-0000-0000DD640000}"/>
    <cellStyle name="Normalny 2 9 2 2" xfId="25553" xr:uid="{00000000-0005-0000-0000-0000DE640000}"/>
    <cellStyle name="Normalny 2 9 2 2 10" xfId="25554" xr:uid="{00000000-0005-0000-0000-0000DF640000}"/>
    <cellStyle name="Normalny 2 9 2 2 11" xfId="25555" xr:uid="{00000000-0005-0000-0000-0000E0640000}"/>
    <cellStyle name="Normalny 2 9 2 2 2" xfId="25556" xr:uid="{00000000-0005-0000-0000-0000E1640000}"/>
    <cellStyle name="Normalny 2 9 2 2 2 10" xfId="25557" xr:uid="{00000000-0005-0000-0000-0000E2640000}"/>
    <cellStyle name="Normalny 2 9 2 2 2 11" xfId="25558" xr:uid="{00000000-0005-0000-0000-0000E3640000}"/>
    <cellStyle name="Normalny 2 9 2 2 2 2" xfId="25559" xr:uid="{00000000-0005-0000-0000-0000E4640000}"/>
    <cellStyle name="Normalny 2 9 2 2 2 2 2" xfId="25560" xr:uid="{00000000-0005-0000-0000-0000E5640000}"/>
    <cellStyle name="Normalny 2 9 2 2 2 2 2 2" xfId="25561" xr:uid="{00000000-0005-0000-0000-0000E6640000}"/>
    <cellStyle name="Normalny 2 9 2 2 2 2 2 3" xfId="25562" xr:uid="{00000000-0005-0000-0000-0000E7640000}"/>
    <cellStyle name="Normalny 2 9 2 2 2 2 2 4" xfId="25563" xr:uid="{00000000-0005-0000-0000-0000E8640000}"/>
    <cellStyle name="Normalny 2 9 2 2 2 2 2 5" xfId="25564" xr:uid="{00000000-0005-0000-0000-0000E9640000}"/>
    <cellStyle name="Normalny 2 9 2 2 2 2 2 6" xfId="25565" xr:uid="{00000000-0005-0000-0000-0000EA640000}"/>
    <cellStyle name="Normalny 2 9 2 2 2 2 3" xfId="25566" xr:uid="{00000000-0005-0000-0000-0000EB640000}"/>
    <cellStyle name="Normalny 2 9 2 2 2 2 4" xfId="25567" xr:uid="{00000000-0005-0000-0000-0000EC640000}"/>
    <cellStyle name="Normalny 2 9 2 2 2 2 5" xfId="25568" xr:uid="{00000000-0005-0000-0000-0000ED640000}"/>
    <cellStyle name="Normalny 2 9 2 2 2 2 6" xfId="25569" xr:uid="{00000000-0005-0000-0000-0000EE640000}"/>
    <cellStyle name="Normalny 2 9 2 2 2 2 7" xfId="25570" xr:uid="{00000000-0005-0000-0000-0000EF640000}"/>
    <cellStyle name="Normalny 2 9 2 2 2 3" xfId="25571" xr:uid="{00000000-0005-0000-0000-0000F0640000}"/>
    <cellStyle name="Normalny 2 9 2 2 2 4" xfId="25572" xr:uid="{00000000-0005-0000-0000-0000F1640000}"/>
    <cellStyle name="Normalny 2 9 2 2 2 5" xfId="25573" xr:uid="{00000000-0005-0000-0000-0000F2640000}"/>
    <cellStyle name="Normalny 2 9 2 2 2 6" xfId="25574" xr:uid="{00000000-0005-0000-0000-0000F3640000}"/>
    <cellStyle name="Normalny 2 9 2 2 2 7" xfId="25575" xr:uid="{00000000-0005-0000-0000-0000F4640000}"/>
    <cellStyle name="Normalny 2 9 2 2 2 7 2" xfId="25576" xr:uid="{00000000-0005-0000-0000-0000F5640000}"/>
    <cellStyle name="Normalny 2 9 2 2 2 7 3" xfId="25577" xr:uid="{00000000-0005-0000-0000-0000F6640000}"/>
    <cellStyle name="Normalny 2 9 2 2 2 7 4" xfId="25578" xr:uid="{00000000-0005-0000-0000-0000F7640000}"/>
    <cellStyle name="Normalny 2 9 2 2 2 7 5" xfId="25579" xr:uid="{00000000-0005-0000-0000-0000F8640000}"/>
    <cellStyle name="Normalny 2 9 2 2 2 7 6" xfId="25580" xr:uid="{00000000-0005-0000-0000-0000F9640000}"/>
    <cellStyle name="Normalny 2 9 2 2 2 8" xfId="25581" xr:uid="{00000000-0005-0000-0000-0000FA640000}"/>
    <cellStyle name="Normalny 2 9 2 2 2 9" xfId="25582" xr:uid="{00000000-0005-0000-0000-0000FB640000}"/>
    <cellStyle name="Normalny 2 9 2 2 3" xfId="25583" xr:uid="{00000000-0005-0000-0000-0000FC640000}"/>
    <cellStyle name="Normalny 2 9 2 2 3 2" xfId="25584" xr:uid="{00000000-0005-0000-0000-0000FD640000}"/>
    <cellStyle name="Normalny 2 9 2 2 3 2 2" xfId="25585" xr:uid="{00000000-0005-0000-0000-0000FE640000}"/>
    <cellStyle name="Normalny 2 9 2 2 3 2 3" xfId="25586" xr:uid="{00000000-0005-0000-0000-0000FF640000}"/>
    <cellStyle name="Normalny 2 9 2 2 3 2 4" xfId="25587" xr:uid="{00000000-0005-0000-0000-000000650000}"/>
    <cellStyle name="Normalny 2 9 2 2 3 2 5" xfId="25588" xr:uid="{00000000-0005-0000-0000-000001650000}"/>
    <cellStyle name="Normalny 2 9 2 2 3 2 6" xfId="25589" xr:uid="{00000000-0005-0000-0000-000002650000}"/>
    <cellStyle name="Normalny 2 9 2 2 3 3" xfId="25590" xr:uid="{00000000-0005-0000-0000-000003650000}"/>
    <cellStyle name="Normalny 2 9 2 2 3 4" xfId="25591" xr:uid="{00000000-0005-0000-0000-000004650000}"/>
    <cellStyle name="Normalny 2 9 2 2 3 5" xfId="25592" xr:uid="{00000000-0005-0000-0000-000005650000}"/>
    <cellStyle name="Normalny 2 9 2 2 3 6" xfId="25593" xr:uid="{00000000-0005-0000-0000-000006650000}"/>
    <cellStyle name="Normalny 2 9 2 2 3 7" xfId="25594" xr:uid="{00000000-0005-0000-0000-000007650000}"/>
    <cellStyle name="Normalny 2 9 2 2 4" xfId="25595" xr:uid="{00000000-0005-0000-0000-000008650000}"/>
    <cellStyle name="Normalny 2 9 2 2 5" xfId="25596" xr:uid="{00000000-0005-0000-0000-000009650000}"/>
    <cellStyle name="Normalny 2 9 2 2 6" xfId="25597" xr:uid="{00000000-0005-0000-0000-00000A650000}"/>
    <cellStyle name="Normalny 2 9 2 2 7" xfId="25598" xr:uid="{00000000-0005-0000-0000-00000B650000}"/>
    <cellStyle name="Normalny 2 9 2 2 7 2" xfId="25599" xr:uid="{00000000-0005-0000-0000-00000C650000}"/>
    <cellStyle name="Normalny 2 9 2 2 7 3" xfId="25600" xr:uid="{00000000-0005-0000-0000-00000D650000}"/>
    <cellStyle name="Normalny 2 9 2 2 7 4" xfId="25601" xr:uid="{00000000-0005-0000-0000-00000E650000}"/>
    <cellStyle name="Normalny 2 9 2 2 7 5" xfId="25602" xr:uid="{00000000-0005-0000-0000-00000F650000}"/>
    <cellStyle name="Normalny 2 9 2 2 7 6" xfId="25603" xr:uid="{00000000-0005-0000-0000-000010650000}"/>
    <cellStyle name="Normalny 2 9 2 2 8" xfId="25604" xr:uid="{00000000-0005-0000-0000-000011650000}"/>
    <cellStyle name="Normalny 2 9 2 2 9" xfId="25605" xr:uid="{00000000-0005-0000-0000-000012650000}"/>
    <cellStyle name="Normalny 2 9 2 3" xfId="25606" xr:uid="{00000000-0005-0000-0000-000013650000}"/>
    <cellStyle name="Normalny 2 9 2 3 2" xfId="25607" xr:uid="{00000000-0005-0000-0000-000014650000}"/>
    <cellStyle name="Normalny 2 9 2 3 2 2" xfId="25608" xr:uid="{00000000-0005-0000-0000-000015650000}"/>
    <cellStyle name="Normalny 2 9 2 3 2 3" xfId="25609" xr:uid="{00000000-0005-0000-0000-000016650000}"/>
    <cellStyle name="Normalny 2 9 2 3 2 4" xfId="25610" xr:uid="{00000000-0005-0000-0000-000017650000}"/>
    <cellStyle name="Normalny 2 9 2 3 2 5" xfId="25611" xr:uid="{00000000-0005-0000-0000-000018650000}"/>
    <cellStyle name="Normalny 2 9 2 3 2 6" xfId="25612" xr:uid="{00000000-0005-0000-0000-000019650000}"/>
    <cellStyle name="Normalny 2 9 2 3 3" xfId="25613" xr:uid="{00000000-0005-0000-0000-00001A650000}"/>
    <cellStyle name="Normalny 2 9 2 3 4" xfId="25614" xr:uid="{00000000-0005-0000-0000-00001B650000}"/>
    <cellStyle name="Normalny 2 9 2 3 5" xfId="25615" xr:uid="{00000000-0005-0000-0000-00001C650000}"/>
    <cellStyle name="Normalny 2 9 2 3 6" xfId="25616" xr:uid="{00000000-0005-0000-0000-00001D650000}"/>
    <cellStyle name="Normalny 2 9 2 3 7" xfId="25617" xr:uid="{00000000-0005-0000-0000-00001E650000}"/>
    <cellStyle name="Normalny 2 9 2 4" xfId="25618" xr:uid="{00000000-0005-0000-0000-00001F650000}"/>
    <cellStyle name="Normalny 2 9 2 5" xfId="25619" xr:uid="{00000000-0005-0000-0000-000020650000}"/>
    <cellStyle name="Normalny 2 9 2 6" xfId="25620" xr:uid="{00000000-0005-0000-0000-000021650000}"/>
    <cellStyle name="Normalny 2 9 2 7" xfId="25621" xr:uid="{00000000-0005-0000-0000-000022650000}"/>
    <cellStyle name="Normalny 2 9 2 8" xfId="25622" xr:uid="{00000000-0005-0000-0000-000023650000}"/>
    <cellStyle name="Normalny 2 9 2 8 2" xfId="25623" xr:uid="{00000000-0005-0000-0000-000024650000}"/>
    <cellStyle name="Normalny 2 9 2 8 3" xfId="25624" xr:uid="{00000000-0005-0000-0000-000025650000}"/>
    <cellStyle name="Normalny 2 9 2 8 4" xfId="25625" xr:uid="{00000000-0005-0000-0000-000026650000}"/>
    <cellStyle name="Normalny 2 9 2 8 5" xfId="25626" xr:uid="{00000000-0005-0000-0000-000027650000}"/>
    <cellStyle name="Normalny 2 9 2 8 6" xfId="25627" xr:uid="{00000000-0005-0000-0000-000028650000}"/>
    <cellStyle name="Normalny 2 9 2 9" xfId="25628" xr:uid="{00000000-0005-0000-0000-000029650000}"/>
    <cellStyle name="Normalny 2 9 3" xfId="25629" xr:uid="{00000000-0005-0000-0000-00002A650000}"/>
    <cellStyle name="Normalny 2 9 4" xfId="25630" xr:uid="{00000000-0005-0000-0000-00002B650000}"/>
    <cellStyle name="Normalny 2 9 4 10" xfId="25631" xr:uid="{00000000-0005-0000-0000-00002C650000}"/>
    <cellStyle name="Normalny 2 9 4 11" xfId="25632" xr:uid="{00000000-0005-0000-0000-00002D650000}"/>
    <cellStyle name="Normalny 2 9 4 2" xfId="25633" xr:uid="{00000000-0005-0000-0000-00002E650000}"/>
    <cellStyle name="Normalny 2 9 4 2 2" xfId="25634" xr:uid="{00000000-0005-0000-0000-00002F650000}"/>
    <cellStyle name="Normalny 2 9 4 2 2 2" xfId="25635" xr:uid="{00000000-0005-0000-0000-000030650000}"/>
    <cellStyle name="Normalny 2 9 4 2 2 3" xfId="25636" xr:uid="{00000000-0005-0000-0000-000031650000}"/>
    <cellStyle name="Normalny 2 9 4 2 2 4" xfId="25637" xr:uid="{00000000-0005-0000-0000-000032650000}"/>
    <cellStyle name="Normalny 2 9 4 2 2 5" xfId="25638" xr:uid="{00000000-0005-0000-0000-000033650000}"/>
    <cellStyle name="Normalny 2 9 4 2 2 6" xfId="25639" xr:uid="{00000000-0005-0000-0000-000034650000}"/>
    <cellStyle name="Normalny 2 9 4 2 3" xfId="25640" xr:uid="{00000000-0005-0000-0000-000035650000}"/>
    <cellStyle name="Normalny 2 9 4 2 4" xfId="25641" xr:uid="{00000000-0005-0000-0000-000036650000}"/>
    <cellStyle name="Normalny 2 9 4 2 5" xfId="25642" xr:uid="{00000000-0005-0000-0000-000037650000}"/>
    <cellStyle name="Normalny 2 9 4 2 6" xfId="25643" xr:uid="{00000000-0005-0000-0000-000038650000}"/>
    <cellStyle name="Normalny 2 9 4 2 7" xfId="25644" xr:uid="{00000000-0005-0000-0000-000039650000}"/>
    <cellStyle name="Normalny 2 9 4 3" xfId="25645" xr:uid="{00000000-0005-0000-0000-00003A650000}"/>
    <cellStyle name="Normalny 2 9 4 4" xfId="25646" xr:uid="{00000000-0005-0000-0000-00003B650000}"/>
    <cellStyle name="Normalny 2 9 4 5" xfId="25647" xr:uid="{00000000-0005-0000-0000-00003C650000}"/>
    <cellStyle name="Normalny 2 9 4 6" xfId="25648" xr:uid="{00000000-0005-0000-0000-00003D650000}"/>
    <cellStyle name="Normalny 2 9 4 7" xfId="25649" xr:uid="{00000000-0005-0000-0000-00003E650000}"/>
    <cellStyle name="Normalny 2 9 4 7 2" xfId="25650" xr:uid="{00000000-0005-0000-0000-00003F650000}"/>
    <cellStyle name="Normalny 2 9 4 7 3" xfId="25651" xr:uid="{00000000-0005-0000-0000-000040650000}"/>
    <cellStyle name="Normalny 2 9 4 7 4" xfId="25652" xr:uid="{00000000-0005-0000-0000-000041650000}"/>
    <cellStyle name="Normalny 2 9 4 7 5" xfId="25653" xr:uid="{00000000-0005-0000-0000-000042650000}"/>
    <cellStyle name="Normalny 2 9 4 7 6" xfId="25654" xr:uid="{00000000-0005-0000-0000-000043650000}"/>
    <cellStyle name="Normalny 2 9 4 8" xfId="25655" xr:uid="{00000000-0005-0000-0000-000044650000}"/>
    <cellStyle name="Normalny 2 9 4 9" xfId="25656" xr:uid="{00000000-0005-0000-0000-000045650000}"/>
    <cellStyle name="Normalny 2 9 5" xfId="25657" xr:uid="{00000000-0005-0000-0000-000046650000}"/>
    <cellStyle name="Normalny 2 9 5 2" xfId="25658" xr:uid="{00000000-0005-0000-0000-000047650000}"/>
    <cellStyle name="Normalny 2 9 5 2 2" xfId="25659" xr:uid="{00000000-0005-0000-0000-000048650000}"/>
    <cellStyle name="Normalny 2 9 5 2 3" xfId="25660" xr:uid="{00000000-0005-0000-0000-000049650000}"/>
    <cellStyle name="Normalny 2 9 5 2 4" xfId="25661" xr:uid="{00000000-0005-0000-0000-00004A650000}"/>
    <cellStyle name="Normalny 2 9 5 2 5" xfId="25662" xr:uid="{00000000-0005-0000-0000-00004B650000}"/>
    <cellStyle name="Normalny 2 9 5 2 6" xfId="25663" xr:uid="{00000000-0005-0000-0000-00004C650000}"/>
    <cellStyle name="Normalny 2 9 5 3" xfId="25664" xr:uid="{00000000-0005-0000-0000-00004D650000}"/>
    <cellStyle name="Normalny 2 9 5 4" xfId="25665" xr:uid="{00000000-0005-0000-0000-00004E650000}"/>
    <cellStyle name="Normalny 2 9 5 5" xfId="25666" xr:uid="{00000000-0005-0000-0000-00004F650000}"/>
    <cellStyle name="Normalny 2 9 5 6" xfId="25667" xr:uid="{00000000-0005-0000-0000-000050650000}"/>
    <cellStyle name="Normalny 2 9 5 7" xfId="25668" xr:uid="{00000000-0005-0000-0000-000051650000}"/>
    <cellStyle name="Normalny 2 9 6" xfId="25669" xr:uid="{00000000-0005-0000-0000-000052650000}"/>
    <cellStyle name="Normalny 2 9 7" xfId="25670" xr:uid="{00000000-0005-0000-0000-000053650000}"/>
    <cellStyle name="Normalny 2 9 8" xfId="25671" xr:uid="{00000000-0005-0000-0000-000054650000}"/>
    <cellStyle name="Normalny 2 9 9" xfId="25672" xr:uid="{00000000-0005-0000-0000-000055650000}"/>
    <cellStyle name="Normalny 2 9 9 2" xfId="25673" xr:uid="{00000000-0005-0000-0000-000056650000}"/>
    <cellStyle name="Normalny 2 9 9 3" xfId="25674" xr:uid="{00000000-0005-0000-0000-000057650000}"/>
    <cellStyle name="Normalny 2 9 9 4" xfId="25675" xr:uid="{00000000-0005-0000-0000-000058650000}"/>
    <cellStyle name="Normalny 2 9 9 5" xfId="25676" xr:uid="{00000000-0005-0000-0000-000059650000}"/>
    <cellStyle name="Normalny 2 9 9 6" xfId="25677" xr:uid="{00000000-0005-0000-0000-00005A650000}"/>
    <cellStyle name="Normalny 2_archeolagia" xfId="25678" xr:uid="{00000000-0005-0000-0000-00005B650000}"/>
    <cellStyle name="Normalny 20" xfId="25679" xr:uid="{00000000-0005-0000-0000-00005C650000}"/>
    <cellStyle name="Normalny 20 2" xfId="25680" xr:uid="{00000000-0005-0000-0000-00005D650000}"/>
    <cellStyle name="Normalny 20 2 2" xfId="38153" xr:uid="{00000000-0005-0000-0000-00005E650000}"/>
    <cellStyle name="Normalny 20 2 2 2" xfId="38154" xr:uid="{00000000-0005-0000-0000-00005F650000}"/>
    <cellStyle name="Normalny 20 2 2 2 2" xfId="38155" xr:uid="{00000000-0005-0000-0000-000060650000}"/>
    <cellStyle name="Normalny 20 2 2 3" xfId="38156" xr:uid="{00000000-0005-0000-0000-000061650000}"/>
    <cellStyle name="Normalny 20 2 3" xfId="38157" xr:uid="{00000000-0005-0000-0000-000062650000}"/>
    <cellStyle name="Normalny 20 2 3 2" xfId="38158" xr:uid="{00000000-0005-0000-0000-000063650000}"/>
    <cellStyle name="Normalny 20 2 4" xfId="38159" xr:uid="{00000000-0005-0000-0000-000064650000}"/>
    <cellStyle name="Normalny 20 3" xfId="25681" xr:uid="{00000000-0005-0000-0000-000065650000}"/>
    <cellStyle name="Normalny 20 3 2" xfId="38160" xr:uid="{00000000-0005-0000-0000-000066650000}"/>
    <cellStyle name="Normalny 20 3 2 2" xfId="38161" xr:uid="{00000000-0005-0000-0000-000067650000}"/>
    <cellStyle name="Normalny 20 3 3" xfId="38162" xr:uid="{00000000-0005-0000-0000-000068650000}"/>
    <cellStyle name="Normalny 20 4" xfId="38163" xr:uid="{00000000-0005-0000-0000-000069650000}"/>
    <cellStyle name="Normalny 20 4 2" xfId="38164" xr:uid="{00000000-0005-0000-0000-00006A650000}"/>
    <cellStyle name="Normalny 20 5" xfId="38165" xr:uid="{00000000-0005-0000-0000-00006B650000}"/>
    <cellStyle name="Normalny 20 6" xfId="38166" xr:uid="{00000000-0005-0000-0000-00006C650000}"/>
    <cellStyle name="Normalny 201" xfId="25682" xr:uid="{00000000-0005-0000-0000-00006D650000}"/>
    <cellStyle name="Normalny 202" xfId="25683" xr:uid="{00000000-0005-0000-0000-00006E650000}"/>
    <cellStyle name="Normalny 203" xfId="25684" xr:uid="{00000000-0005-0000-0000-00006F650000}"/>
    <cellStyle name="Normalny 204" xfId="25685" xr:uid="{00000000-0005-0000-0000-000070650000}"/>
    <cellStyle name="Normalny 205" xfId="25686" xr:uid="{00000000-0005-0000-0000-000071650000}"/>
    <cellStyle name="Normalny 206" xfId="25687" xr:uid="{00000000-0005-0000-0000-000072650000}"/>
    <cellStyle name="Normalny 207" xfId="25688" xr:uid="{00000000-0005-0000-0000-000073650000}"/>
    <cellStyle name="Normalny 208" xfId="25689" xr:uid="{00000000-0005-0000-0000-000074650000}"/>
    <cellStyle name="Normalny 209" xfId="25690" xr:uid="{00000000-0005-0000-0000-000075650000}"/>
    <cellStyle name="Normalny 21" xfId="25691" xr:uid="{00000000-0005-0000-0000-000076650000}"/>
    <cellStyle name="Normalny 21 2" xfId="38167" xr:uid="{00000000-0005-0000-0000-000077650000}"/>
    <cellStyle name="Normalny 21 2 2" xfId="38168" xr:uid="{00000000-0005-0000-0000-000078650000}"/>
    <cellStyle name="Normalny 21 2 2 2" xfId="38169" xr:uid="{00000000-0005-0000-0000-000079650000}"/>
    <cellStyle name="Normalny 21 2 2 2 2" xfId="38170" xr:uid="{00000000-0005-0000-0000-00007A650000}"/>
    <cellStyle name="Normalny 21 2 2 3" xfId="38171" xr:uid="{00000000-0005-0000-0000-00007B650000}"/>
    <cellStyle name="Normalny 21 2 3" xfId="38172" xr:uid="{00000000-0005-0000-0000-00007C650000}"/>
    <cellStyle name="Normalny 21 2 3 2" xfId="38173" xr:uid="{00000000-0005-0000-0000-00007D650000}"/>
    <cellStyle name="Normalny 21 2 4" xfId="38174" xr:uid="{00000000-0005-0000-0000-00007E650000}"/>
    <cellStyle name="Normalny 21 3" xfId="38175" xr:uid="{00000000-0005-0000-0000-00007F650000}"/>
    <cellStyle name="Normalny 21 3 2" xfId="38176" xr:uid="{00000000-0005-0000-0000-000080650000}"/>
    <cellStyle name="Normalny 21 3 2 2" xfId="38177" xr:uid="{00000000-0005-0000-0000-000081650000}"/>
    <cellStyle name="Normalny 21 3 3" xfId="38178" xr:uid="{00000000-0005-0000-0000-000082650000}"/>
    <cellStyle name="Normalny 21 4" xfId="38179" xr:uid="{00000000-0005-0000-0000-000083650000}"/>
    <cellStyle name="Normalny 21 4 2" xfId="38180" xr:uid="{00000000-0005-0000-0000-000084650000}"/>
    <cellStyle name="Normalny 21 5" xfId="38181" xr:uid="{00000000-0005-0000-0000-000085650000}"/>
    <cellStyle name="Normalny 21 6" xfId="38182" xr:uid="{00000000-0005-0000-0000-000086650000}"/>
    <cellStyle name="Normalny 210" xfId="25692" xr:uid="{00000000-0005-0000-0000-000087650000}"/>
    <cellStyle name="Normalny 211" xfId="25693" xr:uid="{00000000-0005-0000-0000-000088650000}"/>
    <cellStyle name="Normalny 212" xfId="25694" xr:uid="{00000000-0005-0000-0000-000089650000}"/>
    <cellStyle name="Normalny 213" xfId="25695" xr:uid="{00000000-0005-0000-0000-00008A650000}"/>
    <cellStyle name="Normalny 214" xfId="25696" xr:uid="{00000000-0005-0000-0000-00008B650000}"/>
    <cellStyle name="Normalny 215" xfId="25697" xr:uid="{00000000-0005-0000-0000-00008C650000}"/>
    <cellStyle name="Normalny 216" xfId="25698" xr:uid="{00000000-0005-0000-0000-00008D650000}"/>
    <cellStyle name="Normalny 217" xfId="25699" xr:uid="{00000000-0005-0000-0000-00008E650000}"/>
    <cellStyle name="Normalny 218" xfId="25700" xr:uid="{00000000-0005-0000-0000-00008F650000}"/>
    <cellStyle name="Normalny 219" xfId="25701" xr:uid="{00000000-0005-0000-0000-000090650000}"/>
    <cellStyle name="Normalny 22" xfId="25702" xr:uid="{00000000-0005-0000-0000-000091650000}"/>
    <cellStyle name="Normalny 22 2" xfId="38183" xr:uid="{00000000-0005-0000-0000-000092650000}"/>
    <cellStyle name="Normalny 22 2 2" xfId="38184" xr:uid="{00000000-0005-0000-0000-000093650000}"/>
    <cellStyle name="Normalny 22 2 2 2" xfId="38185" xr:uid="{00000000-0005-0000-0000-000094650000}"/>
    <cellStyle name="Normalny 22 2 2 2 2" xfId="38186" xr:uid="{00000000-0005-0000-0000-000095650000}"/>
    <cellStyle name="Normalny 22 2 2 3" xfId="38187" xr:uid="{00000000-0005-0000-0000-000096650000}"/>
    <cellStyle name="Normalny 22 2 3" xfId="38188" xr:uid="{00000000-0005-0000-0000-000097650000}"/>
    <cellStyle name="Normalny 22 2 3 2" xfId="38189" xr:uid="{00000000-0005-0000-0000-000098650000}"/>
    <cellStyle name="Normalny 22 2 4" xfId="38190" xr:uid="{00000000-0005-0000-0000-000099650000}"/>
    <cellStyle name="Normalny 22 3" xfId="38191" xr:uid="{00000000-0005-0000-0000-00009A650000}"/>
    <cellStyle name="Normalny 22 3 2" xfId="38192" xr:uid="{00000000-0005-0000-0000-00009B650000}"/>
    <cellStyle name="Normalny 22 3 2 2" xfId="38193" xr:uid="{00000000-0005-0000-0000-00009C650000}"/>
    <cellStyle name="Normalny 22 3 3" xfId="38194" xr:uid="{00000000-0005-0000-0000-00009D650000}"/>
    <cellStyle name="Normalny 22 4" xfId="38195" xr:uid="{00000000-0005-0000-0000-00009E650000}"/>
    <cellStyle name="Normalny 22 4 2" xfId="38196" xr:uid="{00000000-0005-0000-0000-00009F650000}"/>
    <cellStyle name="Normalny 22 5" xfId="38197" xr:uid="{00000000-0005-0000-0000-0000A0650000}"/>
    <cellStyle name="Normalny 22 6" xfId="38198" xr:uid="{00000000-0005-0000-0000-0000A1650000}"/>
    <cellStyle name="Normalny 222" xfId="25703" xr:uid="{00000000-0005-0000-0000-0000A2650000}"/>
    <cellStyle name="Normalny 223" xfId="25704" xr:uid="{00000000-0005-0000-0000-0000A3650000}"/>
    <cellStyle name="Normalny 224" xfId="25705" xr:uid="{00000000-0005-0000-0000-0000A4650000}"/>
    <cellStyle name="Normalny 225" xfId="25706" xr:uid="{00000000-0005-0000-0000-0000A5650000}"/>
    <cellStyle name="Normalny 226" xfId="25707" xr:uid="{00000000-0005-0000-0000-0000A6650000}"/>
    <cellStyle name="Normalny 227" xfId="25708" xr:uid="{00000000-0005-0000-0000-0000A7650000}"/>
    <cellStyle name="Normalny 228" xfId="25709" xr:uid="{00000000-0005-0000-0000-0000A8650000}"/>
    <cellStyle name="Normalny 229" xfId="25710" xr:uid="{00000000-0005-0000-0000-0000A9650000}"/>
    <cellStyle name="Normalny 23" xfId="25711" xr:uid="{00000000-0005-0000-0000-0000AA650000}"/>
    <cellStyle name="Normalny 23 2" xfId="38199" xr:uid="{00000000-0005-0000-0000-0000AB650000}"/>
    <cellStyle name="Normalny 23 2 2" xfId="38200" xr:uid="{00000000-0005-0000-0000-0000AC650000}"/>
    <cellStyle name="Normalny 23 2 2 2" xfId="38201" xr:uid="{00000000-0005-0000-0000-0000AD650000}"/>
    <cellStyle name="Normalny 23 2 2 2 2" xfId="38202" xr:uid="{00000000-0005-0000-0000-0000AE650000}"/>
    <cellStyle name="Normalny 23 2 2 3" xfId="38203" xr:uid="{00000000-0005-0000-0000-0000AF650000}"/>
    <cellStyle name="Normalny 23 2 3" xfId="38204" xr:uid="{00000000-0005-0000-0000-0000B0650000}"/>
    <cellStyle name="Normalny 23 2 3 2" xfId="38205" xr:uid="{00000000-0005-0000-0000-0000B1650000}"/>
    <cellStyle name="Normalny 23 2 4" xfId="38206" xr:uid="{00000000-0005-0000-0000-0000B2650000}"/>
    <cellStyle name="Normalny 23 3" xfId="38207" xr:uid="{00000000-0005-0000-0000-0000B3650000}"/>
    <cellStyle name="Normalny 23 3 2" xfId="38208" xr:uid="{00000000-0005-0000-0000-0000B4650000}"/>
    <cellStyle name="Normalny 23 3 2 2" xfId="38209" xr:uid="{00000000-0005-0000-0000-0000B5650000}"/>
    <cellStyle name="Normalny 23 3 3" xfId="38210" xr:uid="{00000000-0005-0000-0000-0000B6650000}"/>
    <cellStyle name="Normalny 23 4" xfId="38211" xr:uid="{00000000-0005-0000-0000-0000B7650000}"/>
    <cellStyle name="Normalny 23 4 2" xfId="38212" xr:uid="{00000000-0005-0000-0000-0000B8650000}"/>
    <cellStyle name="Normalny 23 5" xfId="38213" xr:uid="{00000000-0005-0000-0000-0000B9650000}"/>
    <cellStyle name="Normalny 23 6" xfId="38214" xr:uid="{00000000-0005-0000-0000-0000BA650000}"/>
    <cellStyle name="Normalny 230" xfId="25712" xr:uid="{00000000-0005-0000-0000-0000BB650000}"/>
    <cellStyle name="Normalny 232" xfId="25713" xr:uid="{00000000-0005-0000-0000-0000BC650000}"/>
    <cellStyle name="Normalny 233" xfId="25714" xr:uid="{00000000-0005-0000-0000-0000BD650000}"/>
    <cellStyle name="Normalny 234" xfId="25715" xr:uid="{00000000-0005-0000-0000-0000BE650000}"/>
    <cellStyle name="Normalny 235" xfId="25716" xr:uid="{00000000-0005-0000-0000-0000BF650000}"/>
    <cellStyle name="Normalny 236" xfId="25717" xr:uid="{00000000-0005-0000-0000-0000C0650000}"/>
    <cellStyle name="Normalny 237" xfId="25718" xr:uid="{00000000-0005-0000-0000-0000C1650000}"/>
    <cellStyle name="Normalny 238" xfId="25719" xr:uid="{00000000-0005-0000-0000-0000C2650000}"/>
    <cellStyle name="Normalny 239" xfId="25720" xr:uid="{00000000-0005-0000-0000-0000C3650000}"/>
    <cellStyle name="Normalny 24" xfId="25721" xr:uid="{00000000-0005-0000-0000-0000C4650000}"/>
    <cellStyle name="Normalny 24 2" xfId="38215" xr:uid="{00000000-0005-0000-0000-0000C5650000}"/>
    <cellStyle name="Normalny 24 2 2" xfId="38216" xr:uid="{00000000-0005-0000-0000-0000C6650000}"/>
    <cellStyle name="Normalny 24 2 2 2" xfId="38217" xr:uid="{00000000-0005-0000-0000-0000C7650000}"/>
    <cellStyle name="Normalny 24 2 2 2 2" xfId="38218" xr:uid="{00000000-0005-0000-0000-0000C8650000}"/>
    <cellStyle name="Normalny 24 2 2 3" xfId="38219" xr:uid="{00000000-0005-0000-0000-0000C9650000}"/>
    <cellStyle name="Normalny 24 2 3" xfId="38220" xr:uid="{00000000-0005-0000-0000-0000CA650000}"/>
    <cellStyle name="Normalny 24 2 3 2" xfId="38221" xr:uid="{00000000-0005-0000-0000-0000CB650000}"/>
    <cellStyle name="Normalny 24 2 4" xfId="38222" xr:uid="{00000000-0005-0000-0000-0000CC650000}"/>
    <cellStyle name="Normalny 24 3" xfId="38223" xr:uid="{00000000-0005-0000-0000-0000CD650000}"/>
    <cellStyle name="Normalny 24 3 2" xfId="38224" xr:uid="{00000000-0005-0000-0000-0000CE650000}"/>
    <cellStyle name="Normalny 24 3 2 2" xfId="38225" xr:uid="{00000000-0005-0000-0000-0000CF650000}"/>
    <cellStyle name="Normalny 24 3 3" xfId="38226" xr:uid="{00000000-0005-0000-0000-0000D0650000}"/>
    <cellStyle name="Normalny 24 4" xfId="38227" xr:uid="{00000000-0005-0000-0000-0000D1650000}"/>
    <cellStyle name="Normalny 24 4 2" xfId="38228" xr:uid="{00000000-0005-0000-0000-0000D2650000}"/>
    <cellStyle name="Normalny 24 5" xfId="38229" xr:uid="{00000000-0005-0000-0000-0000D3650000}"/>
    <cellStyle name="Normalny 24 6" xfId="38230" xr:uid="{00000000-0005-0000-0000-0000D4650000}"/>
    <cellStyle name="Normalny 240" xfId="25722" xr:uid="{00000000-0005-0000-0000-0000D5650000}"/>
    <cellStyle name="Normalny 241" xfId="25723" xr:uid="{00000000-0005-0000-0000-0000D6650000}"/>
    <cellStyle name="Normalny 242" xfId="25724" xr:uid="{00000000-0005-0000-0000-0000D7650000}"/>
    <cellStyle name="Normalny 243" xfId="25725" xr:uid="{00000000-0005-0000-0000-0000D8650000}"/>
    <cellStyle name="Normalny 244" xfId="25726" xr:uid="{00000000-0005-0000-0000-0000D9650000}"/>
    <cellStyle name="Normalny 245" xfId="25727" xr:uid="{00000000-0005-0000-0000-0000DA650000}"/>
    <cellStyle name="Normalny 25" xfId="25728" xr:uid="{00000000-0005-0000-0000-0000DB650000}"/>
    <cellStyle name="Normalny 25 2" xfId="38231" xr:uid="{00000000-0005-0000-0000-0000DC650000}"/>
    <cellStyle name="Normalny 25 2 2" xfId="38232" xr:uid="{00000000-0005-0000-0000-0000DD650000}"/>
    <cellStyle name="Normalny 25 2 2 2" xfId="38233" xr:uid="{00000000-0005-0000-0000-0000DE650000}"/>
    <cellStyle name="Normalny 25 2 2 2 2" xfId="38234" xr:uid="{00000000-0005-0000-0000-0000DF650000}"/>
    <cellStyle name="Normalny 25 2 2 3" xfId="38235" xr:uid="{00000000-0005-0000-0000-0000E0650000}"/>
    <cellStyle name="Normalny 25 2 3" xfId="38236" xr:uid="{00000000-0005-0000-0000-0000E1650000}"/>
    <cellStyle name="Normalny 25 2 3 2" xfId="38237" xr:uid="{00000000-0005-0000-0000-0000E2650000}"/>
    <cellStyle name="Normalny 25 2 4" xfId="38238" xr:uid="{00000000-0005-0000-0000-0000E3650000}"/>
    <cellStyle name="Normalny 25 3" xfId="38239" xr:uid="{00000000-0005-0000-0000-0000E4650000}"/>
    <cellStyle name="Normalny 25 3 2" xfId="38240" xr:uid="{00000000-0005-0000-0000-0000E5650000}"/>
    <cellStyle name="Normalny 25 3 2 2" xfId="38241" xr:uid="{00000000-0005-0000-0000-0000E6650000}"/>
    <cellStyle name="Normalny 25 3 2 2 2" xfId="38242" xr:uid="{00000000-0005-0000-0000-0000E7650000}"/>
    <cellStyle name="Normalny 25 3 2 3" xfId="38243" xr:uid="{00000000-0005-0000-0000-0000E8650000}"/>
    <cellStyle name="Normalny 25 3 3" xfId="38244" xr:uid="{00000000-0005-0000-0000-0000E9650000}"/>
    <cellStyle name="Normalny 25 3 3 2" xfId="38245" xr:uid="{00000000-0005-0000-0000-0000EA650000}"/>
    <cellStyle name="Normalny 25 3 3 2 2" xfId="38246" xr:uid="{00000000-0005-0000-0000-0000EB650000}"/>
    <cellStyle name="Normalny 25 3 3 3" xfId="38247" xr:uid="{00000000-0005-0000-0000-0000EC650000}"/>
    <cellStyle name="Normalny 25 3 4" xfId="38248" xr:uid="{00000000-0005-0000-0000-0000ED650000}"/>
    <cellStyle name="Normalny 25 3 4 2" xfId="38249" xr:uid="{00000000-0005-0000-0000-0000EE650000}"/>
    <cellStyle name="Normalny 25 3 4 2 2" xfId="38250" xr:uid="{00000000-0005-0000-0000-0000EF650000}"/>
    <cellStyle name="Normalny 25 3 4 3" xfId="38251" xr:uid="{00000000-0005-0000-0000-0000F0650000}"/>
    <cellStyle name="Normalny 25 3 5" xfId="38252" xr:uid="{00000000-0005-0000-0000-0000F1650000}"/>
    <cellStyle name="Normalny 25 3 5 2" xfId="38253" xr:uid="{00000000-0005-0000-0000-0000F2650000}"/>
    <cellStyle name="Normalny 25 3 5 2 2" xfId="38254" xr:uid="{00000000-0005-0000-0000-0000F3650000}"/>
    <cellStyle name="Normalny 25 3 5 3" xfId="38255" xr:uid="{00000000-0005-0000-0000-0000F4650000}"/>
    <cellStyle name="Normalny 25 3 6" xfId="38256" xr:uid="{00000000-0005-0000-0000-0000F5650000}"/>
    <cellStyle name="Normalny 25 3 6 2" xfId="38257" xr:uid="{00000000-0005-0000-0000-0000F6650000}"/>
    <cellStyle name="Normalny 25 3 7" xfId="38258" xr:uid="{00000000-0005-0000-0000-0000F7650000}"/>
    <cellStyle name="Normalny 25 4" xfId="38259" xr:uid="{00000000-0005-0000-0000-0000F8650000}"/>
    <cellStyle name="Normalny 25 4 2" xfId="38260" xr:uid="{00000000-0005-0000-0000-0000F9650000}"/>
    <cellStyle name="Normalny 25 4 2 2" xfId="38261" xr:uid="{00000000-0005-0000-0000-0000FA650000}"/>
    <cellStyle name="Normalny 25 4 3" xfId="38262" xr:uid="{00000000-0005-0000-0000-0000FB650000}"/>
    <cellStyle name="Normalny 25 5" xfId="38263" xr:uid="{00000000-0005-0000-0000-0000FC650000}"/>
    <cellStyle name="Normalny 25 5 2" xfId="38264" xr:uid="{00000000-0005-0000-0000-0000FD650000}"/>
    <cellStyle name="Normalny 25 6" xfId="38265" xr:uid="{00000000-0005-0000-0000-0000FE650000}"/>
    <cellStyle name="Normalny 25 7" xfId="38266" xr:uid="{00000000-0005-0000-0000-0000FF650000}"/>
    <cellStyle name="Normalny 26" xfId="25729" xr:uid="{00000000-0005-0000-0000-000000660000}"/>
    <cellStyle name="Normalny 26 2" xfId="38267" xr:uid="{00000000-0005-0000-0000-000001660000}"/>
    <cellStyle name="Normalny 26 2 2" xfId="38268" xr:uid="{00000000-0005-0000-0000-000002660000}"/>
    <cellStyle name="Normalny 26 3" xfId="38269" xr:uid="{00000000-0005-0000-0000-000003660000}"/>
    <cellStyle name="Normalny 26 3 2" xfId="38270" xr:uid="{00000000-0005-0000-0000-000004660000}"/>
    <cellStyle name="Normalny 26 4" xfId="38271" xr:uid="{00000000-0005-0000-0000-000005660000}"/>
    <cellStyle name="Normalny 27" xfId="25730" xr:uid="{00000000-0005-0000-0000-000006660000}"/>
    <cellStyle name="Normalny 27 2" xfId="38272" xr:uid="{00000000-0005-0000-0000-000007660000}"/>
    <cellStyle name="Normalny 27 2 2" xfId="38273" xr:uid="{00000000-0005-0000-0000-000008660000}"/>
    <cellStyle name="Normalny 27 3" xfId="38274" xr:uid="{00000000-0005-0000-0000-000009660000}"/>
    <cellStyle name="Normalny 27 4" xfId="38275" xr:uid="{00000000-0005-0000-0000-00000A660000}"/>
    <cellStyle name="Normalny 28" xfId="25731" xr:uid="{00000000-0005-0000-0000-00000B660000}"/>
    <cellStyle name="Normalny 28 2" xfId="38276" xr:uid="{00000000-0005-0000-0000-00000C660000}"/>
    <cellStyle name="Normalny 28 2 2" xfId="38277" xr:uid="{00000000-0005-0000-0000-00000D660000}"/>
    <cellStyle name="Normalny 28 3" xfId="38278" xr:uid="{00000000-0005-0000-0000-00000E660000}"/>
    <cellStyle name="Normalny 28 4" xfId="38279" xr:uid="{00000000-0005-0000-0000-00000F660000}"/>
    <cellStyle name="Normalny 29" xfId="25732" xr:uid="{00000000-0005-0000-0000-000010660000}"/>
    <cellStyle name="Normalny 29 2" xfId="38280" xr:uid="{00000000-0005-0000-0000-000011660000}"/>
    <cellStyle name="Normalny 29 2 2" xfId="38281" xr:uid="{00000000-0005-0000-0000-000012660000}"/>
    <cellStyle name="Normalny 29 2 2 2" xfId="38282" xr:uid="{00000000-0005-0000-0000-000013660000}"/>
    <cellStyle name="Normalny 29 2 3" xfId="38283" xr:uid="{00000000-0005-0000-0000-000014660000}"/>
    <cellStyle name="Normalny 29 3" xfId="38284" xr:uid="{00000000-0005-0000-0000-000015660000}"/>
    <cellStyle name="Normalny 29 3 2" xfId="38285" xr:uid="{00000000-0005-0000-0000-000016660000}"/>
    <cellStyle name="Normalny 29 4" xfId="38286" xr:uid="{00000000-0005-0000-0000-000017660000}"/>
    <cellStyle name="Normalny 29 5" xfId="38287" xr:uid="{00000000-0005-0000-0000-000018660000}"/>
    <cellStyle name="Normalny 3" xfId="308" xr:uid="{00000000-0005-0000-0000-000019660000}"/>
    <cellStyle name="Normalny 3 10" xfId="25734" xr:uid="{00000000-0005-0000-0000-00001A660000}"/>
    <cellStyle name="Normalny 3 10 10" xfId="25735" xr:uid="{00000000-0005-0000-0000-00001B660000}"/>
    <cellStyle name="Normalny 3 10 11" xfId="25736" xr:uid="{00000000-0005-0000-0000-00001C660000}"/>
    <cellStyle name="Normalny 3 10 12" xfId="25737" xr:uid="{00000000-0005-0000-0000-00001D660000}"/>
    <cellStyle name="Normalny 3 10 2" xfId="25738" xr:uid="{00000000-0005-0000-0000-00001E660000}"/>
    <cellStyle name="Normalny 3 10 2 10" xfId="25739" xr:uid="{00000000-0005-0000-0000-00001F660000}"/>
    <cellStyle name="Normalny 3 10 2 11" xfId="25740" xr:uid="{00000000-0005-0000-0000-000020660000}"/>
    <cellStyle name="Normalny 3 10 2 2" xfId="25741" xr:uid="{00000000-0005-0000-0000-000021660000}"/>
    <cellStyle name="Normalny 3 10 2 2 10" xfId="25742" xr:uid="{00000000-0005-0000-0000-000022660000}"/>
    <cellStyle name="Normalny 3 10 2 2 11" xfId="25743" xr:uid="{00000000-0005-0000-0000-000023660000}"/>
    <cellStyle name="Normalny 3 10 2 2 2" xfId="25744" xr:uid="{00000000-0005-0000-0000-000024660000}"/>
    <cellStyle name="Normalny 3 10 2 2 2 2" xfId="25745" xr:uid="{00000000-0005-0000-0000-000025660000}"/>
    <cellStyle name="Normalny 3 10 2 2 2 2 2" xfId="25746" xr:uid="{00000000-0005-0000-0000-000026660000}"/>
    <cellStyle name="Normalny 3 10 2 2 2 2 3" xfId="25747" xr:uid="{00000000-0005-0000-0000-000027660000}"/>
    <cellStyle name="Normalny 3 10 2 2 2 2 4" xfId="25748" xr:uid="{00000000-0005-0000-0000-000028660000}"/>
    <cellStyle name="Normalny 3 10 2 2 2 2 5" xfId="25749" xr:uid="{00000000-0005-0000-0000-000029660000}"/>
    <cellStyle name="Normalny 3 10 2 2 2 2 6" xfId="25750" xr:uid="{00000000-0005-0000-0000-00002A660000}"/>
    <cellStyle name="Normalny 3 10 2 2 2 3" xfId="25751" xr:uid="{00000000-0005-0000-0000-00002B660000}"/>
    <cellStyle name="Normalny 3 10 2 2 2 4" xfId="25752" xr:uid="{00000000-0005-0000-0000-00002C660000}"/>
    <cellStyle name="Normalny 3 10 2 2 2 4 2" xfId="25753" xr:uid="{00000000-0005-0000-0000-00002D660000}"/>
    <cellStyle name="Normalny 3 10 2 2 2 4 3" xfId="25754" xr:uid="{00000000-0005-0000-0000-00002E660000}"/>
    <cellStyle name="Normalny 3 10 2 2 2 5" xfId="25755" xr:uid="{00000000-0005-0000-0000-00002F660000}"/>
    <cellStyle name="Normalny 3 10 2 2 2 5 2" xfId="25756" xr:uid="{00000000-0005-0000-0000-000030660000}"/>
    <cellStyle name="Normalny 3 10 2 2 2 5 3" xfId="25757" xr:uid="{00000000-0005-0000-0000-000031660000}"/>
    <cellStyle name="Normalny 3 10 2 2 2 6" xfId="25758" xr:uid="{00000000-0005-0000-0000-000032660000}"/>
    <cellStyle name="Normalny 3 10 2 2 2 7" xfId="25759" xr:uid="{00000000-0005-0000-0000-000033660000}"/>
    <cellStyle name="Normalny 3 10 2 2 3" xfId="25760" xr:uid="{00000000-0005-0000-0000-000034660000}"/>
    <cellStyle name="Normalny 3 10 2 2 4" xfId="25761" xr:uid="{00000000-0005-0000-0000-000035660000}"/>
    <cellStyle name="Normalny 3 10 2 2 5" xfId="25762" xr:uid="{00000000-0005-0000-0000-000036660000}"/>
    <cellStyle name="Normalny 3 10 2 2 6" xfId="25763" xr:uid="{00000000-0005-0000-0000-000037660000}"/>
    <cellStyle name="Normalny 3 10 2 2 7" xfId="25764" xr:uid="{00000000-0005-0000-0000-000038660000}"/>
    <cellStyle name="Normalny 3 10 2 2 7 2" xfId="25765" xr:uid="{00000000-0005-0000-0000-000039660000}"/>
    <cellStyle name="Normalny 3 10 2 2 7 2 2" xfId="25766" xr:uid="{00000000-0005-0000-0000-00003A660000}"/>
    <cellStyle name="Normalny 3 10 2 2 7 2 3" xfId="25767" xr:uid="{00000000-0005-0000-0000-00003B660000}"/>
    <cellStyle name="Normalny 3 10 2 2 7 3" xfId="25768" xr:uid="{00000000-0005-0000-0000-00003C660000}"/>
    <cellStyle name="Normalny 3 10 2 2 7 3 2" xfId="25769" xr:uid="{00000000-0005-0000-0000-00003D660000}"/>
    <cellStyle name="Normalny 3 10 2 2 7 3 3" xfId="25770" xr:uid="{00000000-0005-0000-0000-00003E660000}"/>
    <cellStyle name="Normalny 3 10 2 2 7 4" xfId="25771" xr:uid="{00000000-0005-0000-0000-00003F660000}"/>
    <cellStyle name="Normalny 3 10 2 2 7 4 2" xfId="25772" xr:uid="{00000000-0005-0000-0000-000040660000}"/>
    <cellStyle name="Normalny 3 10 2 2 7 4 3" xfId="25773" xr:uid="{00000000-0005-0000-0000-000041660000}"/>
    <cellStyle name="Normalny 3 10 2 2 7 5" xfId="25774" xr:uid="{00000000-0005-0000-0000-000042660000}"/>
    <cellStyle name="Normalny 3 10 2 2 7 6" xfId="25775" xr:uid="{00000000-0005-0000-0000-000043660000}"/>
    <cellStyle name="Normalny 3 10 2 2 8" xfId="25776" xr:uid="{00000000-0005-0000-0000-000044660000}"/>
    <cellStyle name="Normalny 3 10 2 2 9" xfId="25777" xr:uid="{00000000-0005-0000-0000-000045660000}"/>
    <cellStyle name="Normalny 3 10 2 3" xfId="25778" xr:uid="{00000000-0005-0000-0000-000046660000}"/>
    <cellStyle name="Normalny 3 10 2 3 2" xfId="25779" xr:uid="{00000000-0005-0000-0000-000047660000}"/>
    <cellStyle name="Normalny 3 10 2 3 2 2" xfId="25780" xr:uid="{00000000-0005-0000-0000-000048660000}"/>
    <cellStyle name="Normalny 3 10 2 3 2 2 2" xfId="25781" xr:uid="{00000000-0005-0000-0000-000049660000}"/>
    <cellStyle name="Normalny 3 10 2 3 2 2 3" xfId="25782" xr:uid="{00000000-0005-0000-0000-00004A660000}"/>
    <cellStyle name="Normalny 3 10 2 3 2 3" xfId="25783" xr:uid="{00000000-0005-0000-0000-00004B660000}"/>
    <cellStyle name="Normalny 3 10 2 3 2 3 2" xfId="25784" xr:uid="{00000000-0005-0000-0000-00004C660000}"/>
    <cellStyle name="Normalny 3 10 2 3 2 3 3" xfId="25785" xr:uid="{00000000-0005-0000-0000-00004D660000}"/>
    <cellStyle name="Normalny 3 10 2 3 2 4" xfId="25786" xr:uid="{00000000-0005-0000-0000-00004E660000}"/>
    <cellStyle name="Normalny 3 10 2 3 2 4 2" xfId="25787" xr:uid="{00000000-0005-0000-0000-00004F660000}"/>
    <cellStyle name="Normalny 3 10 2 3 2 4 3" xfId="25788" xr:uid="{00000000-0005-0000-0000-000050660000}"/>
    <cellStyle name="Normalny 3 10 2 3 2 5" xfId="25789" xr:uid="{00000000-0005-0000-0000-000051660000}"/>
    <cellStyle name="Normalny 3 10 2 3 2 6" xfId="25790" xr:uid="{00000000-0005-0000-0000-000052660000}"/>
    <cellStyle name="Normalny 3 10 2 3 3" xfId="25791" xr:uid="{00000000-0005-0000-0000-000053660000}"/>
    <cellStyle name="Normalny 3 10 2 3 3 2" xfId="25792" xr:uid="{00000000-0005-0000-0000-000054660000}"/>
    <cellStyle name="Normalny 3 10 2 3 3 3" xfId="25793" xr:uid="{00000000-0005-0000-0000-000055660000}"/>
    <cellStyle name="Normalny 3 10 2 3 4" xfId="25794" xr:uid="{00000000-0005-0000-0000-000056660000}"/>
    <cellStyle name="Normalny 3 10 2 3 5" xfId="25795" xr:uid="{00000000-0005-0000-0000-000057660000}"/>
    <cellStyle name="Normalny 3 10 2 3 6" xfId="25796" xr:uid="{00000000-0005-0000-0000-000058660000}"/>
    <cellStyle name="Normalny 3 10 2 3 7" xfId="25797" xr:uid="{00000000-0005-0000-0000-000059660000}"/>
    <cellStyle name="Normalny 3 10 2 4" xfId="25798" xr:uid="{00000000-0005-0000-0000-00005A660000}"/>
    <cellStyle name="Normalny 3 10 2 4 2" xfId="25799" xr:uid="{00000000-0005-0000-0000-00005B660000}"/>
    <cellStyle name="Normalny 3 10 2 4 3" xfId="25800" xr:uid="{00000000-0005-0000-0000-00005C660000}"/>
    <cellStyle name="Normalny 3 10 2 5" xfId="25801" xr:uid="{00000000-0005-0000-0000-00005D660000}"/>
    <cellStyle name="Normalny 3 10 2 5 2" xfId="25802" xr:uid="{00000000-0005-0000-0000-00005E660000}"/>
    <cellStyle name="Normalny 3 10 2 5 3" xfId="25803" xr:uid="{00000000-0005-0000-0000-00005F660000}"/>
    <cellStyle name="Normalny 3 10 2 6" xfId="25804" xr:uid="{00000000-0005-0000-0000-000060660000}"/>
    <cellStyle name="Normalny 3 10 2 6 2" xfId="25805" xr:uid="{00000000-0005-0000-0000-000061660000}"/>
    <cellStyle name="Normalny 3 10 2 6 3" xfId="25806" xr:uid="{00000000-0005-0000-0000-000062660000}"/>
    <cellStyle name="Normalny 3 10 2 7" xfId="25807" xr:uid="{00000000-0005-0000-0000-000063660000}"/>
    <cellStyle name="Normalny 3 10 2 7 2" xfId="25808" xr:uid="{00000000-0005-0000-0000-000064660000}"/>
    <cellStyle name="Normalny 3 10 2 7 3" xfId="25809" xr:uid="{00000000-0005-0000-0000-000065660000}"/>
    <cellStyle name="Normalny 3 10 2 7 4" xfId="25810" xr:uid="{00000000-0005-0000-0000-000066660000}"/>
    <cellStyle name="Normalny 3 10 2 7 5" xfId="25811" xr:uid="{00000000-0005-0000-0000-000067660000}"/>
    <cellStyle name="Normalny 3 10 2 7 6" xfId="25812" xr:uid="{00000000-0005-0000-0000-000068660000}"/>
    <cellStyle name="Normalny 3 10 2 8" xfId="25813" xr:uid="{00000000-0005-0000-0000-000069660000}"/>
    <cellStyle name="Normalny 3 10 2 8 2" xfId="25814" xr:uid="{00000000-0005-0000-0000-00006A660000}"/>
    <cellStyle name="Normalny 3 10 2 8 3" xfId="25815" xr:uid="{00000000-0005-0000-0000-00006B660000}"/>
    <cellStyle name="Normalny 3 10 2 9" xfId="25816" xr:uid="{00000000-0005-0000-0000-00006C660000}"/>
    <cellStyle name="Normalny 3 10 2 9 2" xfId="25817" xr:uid="{00000000-0005-0000-0000-00006D660000}"/>
    <cellStyle name="Normalny 3 10 2 9 3" xfId="25818" xr:uid="{00000000-0005-0000-0000-00006E660000}"/>
    <cellStyle name="Normalny 3 10 3" xfId="25819" xr:uid="{00000000-0005-0000-0000-00006F660000}"/>
    <cellStyle name="Normalny 3 10 3 2" xfId="25820" xr:uid="{00000000-0005-0000-0000-000070660000}"/>
    <cellStyle name="Normalny 3 10 3 2 2" xfId="25821" xr:uid="{00000000-0005-0000-0000-000071660000}"/>
    <cellStyle name="Normalny 3 10 3 2 3" xfId="25822" xr:uid="{00000000-0005-0000-0000-000072660000}"/>
    <cellStyle name="Normalny 3 10 3 2 4" xfId="25823" xr:uid="{00000000-0005-0000-0000-000073660000}"/>
    <cellStyle name="Normalny 3 10 3 2 5" xfId="25824" xr:uid="{00000000-0005-0000-0000-000074660000}"/>
    <cellStyle name="Normalny 3 10 3 2 6" xfId="25825" xr:uid="{00000000-0005-0000-0000-000075660000}"/>
    <cellStyle name="Normalny 3 10 3 3" xfId="25826" xr:uid="{00000000-0005-0000-0000-000076660000}"/>
    <cellStyle name="Normalny 3 10 3 4" xfId="25827" xr:uid="{00000000-0005-0000-0000-000077660000}"/>
    <cellStyle name="Normalny 3 10 3 4 2" xfId="25828" xr:uid="{00000000-0005-0000-0000-000078660000}"/>
    <cellStyle name="Normalny 3 10 3 4 3" xfId="25829" xr:uid="{00000000-0005-0000-0000-000079660000}"/>
    <cellStyle name="Normalny 3 10 3 5" xfId="25830" xr:uid="{00000000-0005-0000-0000-00007A660000}"/>
    <cellStyle name="Normalny 3 10 3 5 2" xfId="25831" xr:uid="{00000000-0005-0000-0000-00007B660000}"/>
    <cellStyle name="Normalny 3 10 3 5 3" xfId="25832" xr:uid="{00000000-0005-0000-0000-00007C660000}"/>
    <cellStyle name="Normalny 3 10 3 6" xfId="25833" xr:uid="{00000000-0005-0000-0000-00007D660000}"/>
    <cellStyle name="Normalny 3 10 3 7" xfId="25834" xr:uid="{00000000-0005-0000-0000-00007E660000}"/>
    <cellStyle name="Normalny 3 10 4" xfId="25835" xr:uid="{00000000-0005-0000-0000-00007F660000}"/>
    <cellStyle name="Normalny 3 10 5" xfId="25836" xr:uid="{00000000-0005-0000-0000-000080660000}"/>
    <cellStyle name="Normalny 3 10 6" xfId="25837" xr:uid="{00000000-0005-0000-0000-000081660000}"/>
    <cellStyle name="Normalny 3 10 7" xfId="25838" xr:uid="{00000000-0005-0000-0000-000082660000}"/>
    <cellStyle name="Normalny 3 10 8" xfId="25839" xr:uid="{00000000-0005-0000-0000-000083660000}"/>
    <cellStyle name="Normalny 3 10 8 2" xfId="25840" xr:uid="{00000000-0005-0000-0000-000084660000}"/>
    <cellStyle name="Normalny 3 10 8 2 2" xfId="25841" xr:uid="{00000000-0005-0000-0000-000085660000}"/>
    <cellStyle name="Normalny 3 10 8 2 3" xfId="25842" xr:uid="{00000000-0005-0000-0000-000086660000}"/>
    <cellStyle name="Normalny 3 10 8 3" xfId="25843" xr:uid="{00000000-0005-0000-0000-000087660000}"/>
    <cellStyle name="Normalny 3 10 8 3 2" xfId="25844" xr:uid="{00000000-0005-0000-0000-000088660000}"/>
    <cellStyle name="Normalny 3 10 8 3 3" xfId="25845" xr:uid="{00000000-0005-0000-0000-000089660000}"/>
    <cellStyle name="Normalny 3 10 8 4" xfId="25846" xr:uid="{00000000-0005-0000-0000-00008A660000}"/>
    <cellStyle name="Normalny 3 10 8 4 2" xfId="25847" xr:uid="{00000000-0005-0000-0000-00008B660000}"/>
    <cellStyle name="Normalny 3 10 8 4 3" xfId="25848" xr:uid="{00000000-0005-0000-0000-00008C660000}"/>
    <cellStyle name="Normalny 3 10 8 5" xfId="25849" xr:uid="{00000000-0005-0000-0000-00008D660000}"/>
    <cellStyle name="Normalny 3 10 8 6" xfId="25850" xr:uid="{00000000-0005-0000-0000-00008E660000}"/>
    <cellStyle name="Normalny 3 10 9" xfId="25851" xr:uid="{00000000-0005-0000-0000-00008F660000}"/>
    <cellStyle name="Normalny 3 11" xfId="25852" xr:uid="{00000000-0005-0000-0000-000090660000}"/>
    <cellStyle name="Normalny 3 11 2" xfId="25853" xr:uid="{00000000-0005-0000-0000-000091660000}"/>
    <cellStyle name="Normalny 3 11 2 2" xfId="25854" xr:uid="{00000000-0005-0000-0000-000092660000}"/>
    <cellStyle name="Normalny 3 11 2 2 2" xfId="25855" xr:uid="{00000000-0005-0000-0000-000093660000}"/>
    <cellStyle name="Normalny 3 11 2 2 3" xfId="25856" xr:uid="{00000000-0005-0000-0000-000094660000}"/>
    <cellStyle name="Normalny 3 11 2 3" xfId="25857" xr:uid="{00000000-0005-0000-0000-000095660000}"/>
    <cellStyle name="Normalny 3 11 2 3 2" xfId="25858" xr:uid="{00000000-0005-0000-0000-000096660000}"/>
    <cellStyle name="Normalny 3 11 2 3 3" xfId="25859" xr:uid="{00000000-0005-0000-0000-000097660000}"/>
    <cellStyle name="Normalny 3 11 2 4" xfId="25860" xr:uid="{00000000-0005-0000-0000-000098660000}"/>
    <cellStyle name="Normalny 3 11 2 5" xfId="25861" xr:uid="{00000000-0005-0000-0000-000099660000}"/>
    <cellStyle name="Normalny 3 11 3" xfId="25862" xr:uid="{00000000-0005-0000-0000-00009A660000}"/>
    <cellStyle name="Normalny 3 11 3 2" xfId="25863" xr:uid="{00000000-0005-0000-0000-00009B660000}"/>
    <cellStyle name="Normalny 3 11 3 3" xfId="25864" xr:uid="{00000000-0005-0000-0000-00009C660000}"/>
    <cellStyle name="Normalny 3 11 4" xfId="25865" xr:uid="{00000000-0005-0000-0000-00009D660000}"/>
    <cellStyle name="Normalny 3 11 4 2" xfId="25866" xr:uid="{00000000-0005-0000-0000-00009E660000}"/>
    <cellStyle name="Normalny 3 11 4 3" xfId="25867" xr:uid="{00000000-0005-0000-0000-00009F660000}"/>
    <cellStyle name="Normalny 3 11 5" xfId="25868" xr:uid="{00000000-0005-0000-0000-0000A0660000}"/>
    <cellStyle name="Normalny 3 11 6" xfId="25869" xr:uid="{00000000-0005-0000-0000-0000A1660000}"/>
    <cellStyle name="Normalny 3 12" xfId="25870" xr:uid="{00000000-0005-0000-0000-0000A2660000}"/>
    <cellStyle name="Normalny 3 12 2" xfId="25871" xr:uid="{00000000-0005-0000-0000-0000A3660000}"/>
    <cellStyle name="Normalny 3 12 2 2" xfId="25872" xr:uid="{00000000-0005-0000-0000-0000A4660000}"/>
    <cellStyle name="Normalny 3 12 2 2 2" xfId="25873" xr:uid="{00000000-0005-0000-0000-0000A5660000}"/>
    <cellStyle name="Normalny 3 12 2 2 3" xfId="25874" xr:uid="{00000000-0005-0000-0000-0000A6660000}"/>
    <cellStyle name="Normalny 3 12 2 3" xfId="25875" xr:uid="{00000000-0005-0000-0000-0000A7660000}"/>
    <cellStyle name="Normalny 3 12 2 3 2" xfId="25876" xr:uid="{00000000-0005-0000-0000-0000A8660000}"/>
    <cellStyle name="Normalny 3 12 2 3 3" xfId="25877" xr:uid="{00000000-0005-0000-0000-0000A9660000}"/>
    <cellStyle name="Normalny 3 12 2 4" xfId="25878" xr:uid="{00000000-0005-0000-0000-0000AA660000}"/>
    <cellStyle name="Normalny 3 12 2 5" xfId="25879" xr:uid="{00000000-0005-0000-0000-0000AB660000}"/>
    <cellStyle name="Normalny 3 12 3" xfId="25880" xr:uid="{00000000-0005-0000-0000-0000AC660000}"/>
    <cellStyle name="Normalny 3 12 3 2" xfId="25881" xr:uid="{00000000-0005-0000-0000-0000AD660000}"/>
    <cellStyle name="Normalny 3 12 3 3" xfId="25882" xr:uid="{00000000-0005-0000-0000-0000AE660000}"/>
    <cellStyle name="Normalny 3 12 4" xfId="25883" xr:uid="{00000000-0005-0000-0000-0000AF660000}"/>
    <cellStyle name="Normalny 3 12 4 2" xfId="25884" xr:uid="{00000000-0005-0000-0000-0000B0660000}"/>
    <cellStyle name="Normalny 3 12 4 3" xfId="25885" xr:uid="{00000000-0005-0000-0000-0000B1660000}"/>
    <cellStyle name="Normalny 3 12 5" xfId="25886" xr:uid="{00000000-0005-0000-0000-0000B2660000}"/>
    <cellStyle name="Normalny 3 12 6" xfId="25887" xr:uid="{00000000-0005-0000-0000-0000B3660000}"/>
    <cellStyle name="Normalny 3 13" xfId="25888" xr:uid="{00000000-0005-0000-0000-0000B4660000}"/>
    <cellStyle name="Normalny 3 13 10" xfId="25889" xr:uid="{00000000-0005-0000-0000-0000B5660000}"/>
    <cellStyle name="Normalny 3 13 11" xfId="25890" xr:uid="{00000000-0005-0000-0000-0000B6660000}"/>
    <cellStyle name="Normalny 3 13 2" xfId="25891" xr:uid="{00000000-0005-0000-0000-0000B7660000}"/>
    <cellStyle name="Normalny 3 13 2 2" xfId="25892" xr:uid="{00000000-0005-0000-0000-0000B8660000}"/>
    <cellStyle name="Normalny 3 13 2 2 2" xfId="25893" xr:uid="{00000000-0005-0000-0000-0000B9660000}"/>
    <cellStyle name="Normalny 3 13 2 2 3" xfId="25894" xr:uid="{00000000-0005-0000-0000-0000BA660000}"/>
    <cellStyle name="Normalny 3 13 2 2 4" xfId="25895" xr:uid="{00000000-0005-0000-0000-0000BB660000}"/>
    <cellStyle name="Normalny 3 13 2 2 5" xfId="25896" xr:uid="{00000000-0005-0000-0000-0000BC660000}"/>
    <cellStyle name="Normalny 3 13 2 2 6" xfId="25897" xr:uid="{00000000-0005-0000-0000-0000BD660000}"/>
    <cellStyle name="Normalny 3 13 2 3" xfId="25898" xr:uid="{00000000-0005-0000-0000-0000BE660000}"/>
    <cellStyle name="Normalny 3 13 2 4" xfId="25899" xr:uid="{00000000-0005-0000-0000-0000BF660000}"/>
    <cellStyle name="Normalny 3 13 2 5" xfId="25900" xr:uid="{00000000-0005-0000-0000-0000C0660000}"/>
    <cellStyle name="Normalny 3 13 2 6" xfId="25901" xr:uid="{00000000-0005-0000-0000-0000C1660000}"/>
    <cellStyle name="Normalny 3 13 2 7" xfId="25902" xr:uid="{00000000-0005-0000-0000-0000C2660000}"/>
    <cellStyle name="Normalny 3 13 3" xfId="25903" xr:uid="{00000000-0005-0000-0000-0000C3660000}"/>
    <cellStyle name="Normalny 3 13 4" xfId="25904" xr:uid="{00000000-0005-0000-0000-0000C4660000}"/>
    <cellStyle name="Normalny 3 13 5" xfId="25905" xr:uid="{00000000-0005-0000-0000-0000C5660000}"/>
    <cellStyle name="Normalny 3 13 6" xfId="25906" xr:uid="{00000000-0005-0000-0000-0000C6660000}"/>
    <cellStyle name="Normalny 3 13 7" xfId="25907" xr:uid="{00000000-0005-0000-0000-0000C7660000}"/>
    <cellStyle name="Normalny 3 13 7 2" xfId="25908" xr:uid="{00000000-0005-0000-0000-0000C8660000}"/>
    <cellStyle name="Normalny 3 13 7 3" xfId="25909" xr:uid="{00000000-0005-0000-0000-0000C9660000}"/>
    <cellStyle name="Normalny 3 13 7 4" xfId="25910" xr:uid="{00000000-0005-0000-0000-0000CA660000}"/>
    <cellStyle name="Normalny 3 13 7 5" xfId="25911" xr:uid="{00000000-0005-0000-0000-0000CB660000}"/>
    <cellStyle name="Normalny 3 13 7 6" xfId="25912" xr:uid="{00000000-0005-0000-0000-0000CC660000}"/>
    <cellStyle name="Normalny 3 13 8" xfId="25913" xr:uid="{00000000-0005-0000-0000-0000CD660000}"/>
    <cellStyle name="Normalny 3 13 8 2" xfId="25914" xr:uid="{00000000-0005-0000-0000-0000CE660000}"/>
    <cellStyle name="Normalny 3 13 8 3" xfId="25915" xr:uid="{00000000-0005-0000-0000-0000CF660000}"/>
    <cellStyle name="Normalny 3 13 9" xfId="25916" xr:uid="{00000000-0005-0000-0000-0000D0660000}"/>
    <cellStyle name="Normalny 3 14" xfId="25917" xr:uid="{00000000-0005-0000-0000-0000D1660000}"/>
    <cellStyle name="Normalny 3 15" xfId="25918" xr:uid="{00000000-0005-0000-0000-0000D2660000}"/>
    <cellStyle name="Normalny 3 15 2" xfId="25919" xr:uid="{00000000-0005-0000-0000-0000D3660000}"/>
    <cellStyle name="Normalny 3 15 3" xfId="25920" xr:uid="{00000000-0005-0000-0000-0000D4660000}"/>
    <cellStyle name="Normalny 3 16" xfId="25921" xr:uid="{00000000-0005-0000-0000-0000D5660000}"/>
    <cellStyle name="Normalny 3 16 2" xfId="25922" xr:uid="{00000000-0005-0000-0000-0000D6660000}"/>
    <cellStyle name="Normalny 3 16 3" xfId="25923" xr:uid="{00000000-0005-0000-0000-0000D7660000}"/>
    <cellStyle name="Normalny 3 17" xfId="25924" xr:uid="{00000000-0005-0000-0000-0000D8660000}"/>
    <cellStyle name="Normalny 3 17 2" xfId="25925" xr:uid="{00000000-0005-0000-0000-0000D9660000}"/>
    <cellStyle name="Normalny 3 17 3" xfId="25926" xr:uid="{00000000-0005-0000-0000-0000DA660000}"/>
    <cellStyle name="Normalny 3 18" xfId="25927" xr:uid="{00000000-0005-0000-0000-0000DB660000}"/>
    <cellStyle name="Normalny 3 18 2" xfId="25928" xr:uid="{00000000-0005-0000-0000-0000DC660000}"/>
    <cellStyle name="Normalny 3 18 3" xfId="25929" xr:uid="{00000000-0005-0000-0000-0000DD660000}"/>
    <cellStyle name="Normalny 3 19" xfId="25930" xr:uid="{00000000-0005-0000-0000-0000DE660000}"/>
    <cellStyle name="Normalny 3 19 2" xfId="25931" xr:uid="{00000000-0005-0000-0000-0000DF660000}"/>
    <cellStyle name="Normalny 3 19 3" xfId="25932" xr:uid="{00000000-0005-0000-0000-0000E0660000}"/>
    <cellStyle name="Normalny 3 2" xfId="309" xr:uid="{00000000-0005-0000-0000-0000E1660000}"/>
    <cellStyle name="Normalny 3 2 10" xfId="25934" xr:uid="{00000000-0005-0000-0000-0000E2660000}"/>
    <cellStyle name="Normalny 3 2 10 2" xfId="25935" xr:uid="{00000000-0005-0000-0000-0000E3660000}"/>
    <cellStyle name="Normalny 3 2 10 3" xfId="25936" xr:uid="{00000000-0005-0000-0000-0000E4660000}"/>
    <cellStyle name="Normalny 3 2 10 4" xfId="25937" xr:uid="{00000000-0005-0000-0000-0000E5660000}"/>
    <cellStyle name="Normalny 3 2 11" xfId="25938" xr:uid="{00000000-0005-0000-0000-0000E6660000}"/>
    <cellStyle name="Normalny 3 2 11 2" xfId="25939" xr:uid="{00000000-0005-0000-0000-0000E7660000}"/>
    <cellStyle name="Normalny 3 2 11 2 2" xfId="25940" xr:uid="{00000000-0005-0000-0000-0000E8660000}"/>
    <cellStyle name="Normalny 3 2 11 2 3" xfId="25941" xr:uid="{00000000-0005-0000-0000-0000E9660000}"/>
    <cellStyle name="Normalny 3 2 11 3" xfId="25942" xr:uid="{00000000-0005-0000-0000-0000EA660000}"/>
    <cellStyle name="Normalny 3 2 11 3 2" xfId="25943" xr:uid="{00000000-0005-0000-0000-0000EB660000}"/>
    <cellStyle name="Normalny 3 2 11 3 3" xfId="25944" xr:uid="{00000000-0005-0000-0000-0000EC660000}"/>
    <cellStyle name="Normalny 3 2 11 4" xfId="25945" xr:uid="{00000000-0005-0000-0000-0000ED660000}"/>
    <cellStyle name="Normalny 3 2 11 4 2" xfId="25946" xr:uid="{00000000-0005-0000-0000-0000EE660000}"/>
    <cellStyle name="Normalny 3 2 11 4 3" xfId="25947" xr:uid="{00000000-0005-0000-0000-0000EF660000}"/>
    <cellStyle name="Normalny 3 2 11 5" xfId="25948" xr:uid="{00000000-0005-0000-0000-0000F0660000}"/>
    <cellStyle name="Normalny 3 2 11 6" xfId="25949" xr:uid="{00000000-0005-0000-0000-0000F1660000}"/>
    <cellStyle name="Normalny 3 2 11 7" xfId="25950" xr:uid="{00000000-0005-0000-0000-0000F2660000}"/>
    <cellStyle name="Normalny 3 2 11 8" xfId="25951" xr:uid="{00000000-0005-0000-0000-0000F3660000}"/>
    <cellStyle name="Normalny 3 2 11 9" xfId="25952" xr:uid="{00000000-0005-0000-0000-0000F4660000}"/>
    <cellStyle name="Normalny 3 2 12" xfId="25953" xr:uid="{00000000-0005-0000-0000-0000F5660000}"/>
    <cellStyle name="Normalny 3 2 12 2" xfId="25954" xr:uid="{00000000-0005-0000-0000-0000F6660000}"/>
    <cellStyle name="Normalny 3 2 12 3" xfId="25955" xr:uid="{00000000-0005-0000-0000-0000F7660000}"/>
    <cellStyle name="Normalny 3 2 12 4" xfId="25956" xr:uid="{00000000-0005-0000-0000-0000F8660000}"/>
    <cellStyle name="Normalny 3 2 13" xfId="25957" xr:uid="{00000000-0005-0000-0000-0000F9660000}"/>
    <cellStyle name="Normalny 3 2 13 2" xfId="25958" xr:uid="{00000000-0005-0000-0000-0000FA660000}"/>
    <cellStyle name="Normalny 3 2 13 3" xfId="25959" xr:uid="{00000000-0005-0000-0000-0000FB660000}"/>
    <cellStyle name="Normalny 3 2 13 4" xfId="25960" xr:uid="{00000000-0005-0000-0000-0000FC660000}"/>
    <cellStyle name="Normalny 3 2 14" xfId="25961" xr:uid="{00000000-0005-0000-0000-0000FD660000}"/>
    <cellStyle name="Normalny 3 2 15" xfId="25962" xr:uid="{00000000-0005-0000-0000-0000FE660000}"/>
    <cellStyle name="Normalny 3 2 16" xfId="25963" xr:uid="{00000000-0005-0000-0000-0000FF660000}"/>
    <cellStyle name="Normalny 3 2 17" xfId="25964" xr:uid="{00000000-0005-0000-0000-000000670000}"/>
    <cellStyle name="Normalny 3 2 18" xfId="25933" xr:uid="{00000000-0005-0000-0000-000001670000}"/>
    <cellStyle name="Normalny 3 2 19" xfId="38288" xr:uid="{00000000-0005-0000-0000-000002670000}"/>
    <cellStyle name="Normalny 3 2 2" xfId="25965" xr:uid="{00000000-0005-0000-0000-000003670000}"/>
    <cellStyle name="Normalny 3 2 2 10" xfId="25966" xr:uid="{00000000-0005-0000-0000-000004670000}"/>
    <cellStyle name="Normalny 3 2 2 10 2" xfId="25967" xr:uid="{00000000-0005-0000-0000-000005670000}"/>
    <cellStyle name="Normalny 3 2 2 10 3" xfId="25968" xr:uid="{00000000-0005-0000-0000-000006670000}"/>
    <cellStyle name="Normalny 3 2 2 11" xfId="25969" xr:uid="{00000000-0005-0000-0000-000007670000}"/>
    <cellStyle name="Normalny 3 2 2 11 2" xfId="25970" xr:uid="{00000000-0005-0000-0000-000008670000}"/>
    <cellStyle name="Normalny 3 2 2 11 3" xfId="25971" xr:uid="{00000000-0005-0000-0000-000009670000}"/>
    <cellStyle name="Normalny 3 2 2 12" xfId="25972" xr:uid="{00000000-0005-0000-0000-00000A670000}"/>
    <cellStyle name="Normalny 3 2 2 13" xfId="25973" xr:uid="{00000000-0005-0000-0000-00000B670000}"/>
    <cellStyle name="Normalny 3 2 2 14" xfId="25974" xr:uid="{00000000-0005-0000-0000-00000C670000}"/>
    <cellStyle name="Normalny 3 2 2 15" xfId="25975" xr:uid="{00000000-0005-0000-0000-00000D670000}"/>
    <cellStyle name="Normalny 3 2 2 2" xfId="25976" xr:uid="{00000000-0005-0000-0000-00000E670000}"/>
    <cellStyle name="Normalny 3 2 2 2 10" xfId="25977" xr:uid="{00000000-0005-0000-0000-00000F670000}"/>
    <cellStyle name="Normalny 3 2 2 2 11" xfId="25978" xr:uid="{00000000-0005-0000-0000-000010670000}"/>
    <cellStyle name="Normalny 3 2 2 2 12" xfId="25979" xr:uid="{00000000-0005-0000-0000-000011670000}"/>
    <cellStyle name="Normalny 3 2 2 2 13" xfId="25980" xr:uid="{00000000-0005-0000-0000-000012670000}"/>
    <cellStyle name="Normalny 3 2 2 2 14" xfId="38289" xr:uid="{00000000-0005-0000-0000-000013670000}"/>
    <cellStyle name="Normalny 3 2 2 2 2" xfId="25981" xr:uid="{00000000-0005-0000-0000-000014670000}"/>
    <cellStyle name="Normalny 3 2 2 2 2 10" xfId="25982" xr:uid="{00000000-0005-0000-0000-000015670000}"/>
    <cellStyle name="Normalny 3 2 2 2 2 2" xfId="25983" xr:uid="{00000000-0005-0000-0000-000016670000}"/>
    <cellStyle name="Normalny 3 2 2 2 2 2 10" xfId="25984" xr:uid="{00000000-0005-0000-0000-000017670000}"/>
    <cellStyle name="Normalny 3 2 2 2 2 2 11" xfId="25985" xr:uid="{00000000-0005-0000-0000-000018670000}"/>
    <cellStyle name="Normalny 3 2 2 2 2 2 12" xfId="25986" xr:uid="{00000000-0005-0000-0000-000019670000}"/>
    <cellStyle name="Normalny 3 2 2 2 2 2 13" xfId="38290" xr:uid="{00000000-0005-0000-0000-00001A670000}"/>
    <cellStyle name="Normalny 3 2 2 2 2 2 2" xfId="25987" xr:uid="{00000000-0005-0000-0000-00001B670000}"/>
    <cellStyle name="Normalny 3 2 2 2 2 2 2 2" xfId="25988" xr:uid="{00000000-0005-0000-0000-00001C670000}"/>
    <cellStyle name="Normalny 3 2 2 2 2 2 2 2 2" xfId="25989" xr:uid="{00000000-0005-0000-0000-00001D670000}"/>
    <cellStyle name="Normalny 3 2 2 2 2 2 2 2 2 2" xfId="25990" xr:uid="{00000000-0005-0000-0000-00001E670000}"/>
    <cellStyle name="Normalny 3 2 2 2 2 2 2 2 2 3" xfId="25991" xr:uid="{00000000-0005-0000-0000-00001F670000}"/>
    <cellStyle name="Normalny 3 2 2 2 2 2 2 2 3" xfId="25992" xr:uid="{00000000-0005-0000-0000-000020670000}"/>
    <cellStyle name="Normalny 3 2 2 2 2 2 2 2 4" xfId="25993" xr:uid="{00000000-0005-0000-0000-000021670000}"/>
    <cellStyle name="Normalny 3 2 2 2 2 2 2 2 5" xfId="25994" xr:uid="{00000000-0005-0000-0000-000022670000}"/>
    <cellStyle name="Normalny 3 2 2 2 2 2 2 2 6" xfId="25995" xr:uid="{00000000-0005-0000-0000-000023670000}"/>
    <cellStyle name="Normalny 3 2 2 2 2 2 2 2 7" xfId="25996" xr:uid="{00000000-0005-0000-0000-000024670000}"/>
    <cellStyle name="Normalny 3 2 2 2 2 2 2 3" xfId="25997" xr:uid="{00000000-0005-0000-0000-000025670000}"/>
    <cellStyle name="Normalny 3 2 2 2 2 2 2 4" xfId="25998" xr:uid="{00000000-0005-0000-0000-000026670000}"/>
    <cellStyle name="Normalny 3 2 2 2 2 2 2 4 2" xfId="25999" xr:uid="{00000000-0005-0000-0000-000027670000}"/>
    <cellStyle name="Normalny 3 2 2 2 2 2 2 4 3" xfId="26000" xr:uid="{00000000-0005-0000-0000-000028670000}"/>
    <cellStyle name="Normalny 3 2 2 2 2 2 2 5" xfId="26001" xr:uid="{00000000-0005-0000-0000-000029670000}"/>
    <cellStyle name="Normalny 3 2 2 2 2 2 2 5 2" xfId="26002" xr:uid="{00000000-0005-0000-0000-00002A670000}"/>
    <cellStyle name="Normalny 3 2 2 2 2 2 2 5 3" xfId="26003" xr:uid="{00000000-0005-0000-0000-00002B670000}"/>
    <cellStyle name="Normalny 3 2 2 2 2 2 2 6" xfId="26004" xr:uid="{00000000-0005-0000-0000-00002C670000}"/>
    <cellStyle name="Normalny 3 2 2 2 2 2 3" xfId="26005" xr:uid="{00000000-0005-0000-0000-00002D670000}"/>
    <cellStyle name="Normalny 3 2 2 2 2 2 4" xfId="26006" xr:uid="{00000000-0005-0000-0000-00002E670000}"/>
    <cellStyle name="Normalny 3 2 2 2 2 2 5" xfId="26007" xr:uid="{00000000-0005-0000-0000-00002F670000}"/>
    <cellStyle name="Normalny 3 2 2 2 2 2 6" xfId="26008" xr:uid="{00000000-0005-0000-0000-000030670000}"/>
    <cellStyle name="Normalny 3 2 2 2 2 2 7" xfId="26009" xr:uid="{00000000-0005-0000-0000-000031670000}"/>
    <cellStyle name="Normalny 3 2 2 2 2 2 7 2" xfId="26010" xr:uid="{00000000-0005-0000-0000-000032670000}"/>
    <cellStyle name="Normalny 3 2 2 2 2 2 7 2 2" xfId="26011" xr:uid="{00000000-0005-0000-0000-000033670000}"/>
    <cellStyle name="Normalny 3 2 2 2 2 2 7 2 3" xfId="26012" xr:uid="{00000000-0005-0000-0000-000034670000}"/>
    <cellStyle name="Normalny 3 2 2 2 2 2 7 3" xfId="26013" xr:uid="{00000000-0005-0000-0000-000035670000}"/>
    <cellStyle name="Normalny 3 2 2 2 2 2 7 3 2" xfId="26014" xr:uid="{00000000-0005-0000-0000-000036670000}"/>
    <cellStyle name="Normalny 3 2 2 2 2 2 7 3 3" xfId="26015" xr:uid="{00000000-0005-0000-0000-000037670000}"/>
    <cellStyle name="Normalny 3 2 2 2 2 2 7 4" xfId="26016" xr:uid="{00000000-0005-0000-0000-000038670000}"/>
    <cellStyle name="Normalny 3 2 2 2 2 2 7 4 2" xfId="26017" xr:uid="{00000000-0005-0000-0000-000039670000}"/>
    <cellStyle name="Normalny 3 2 2 2 2 2 7 4 3" xfId="26018" xr:uid="{00000000-0005-0000-0000-00003A670000}"/>
    <cellStyle name="Normalny 3 2 2 2 2 2 7 5" xfId="26019" xr:uid="{00000000-0005-0000-0000-00003B670000}"/>
    <cellStyle name="Normalny 3 2 2 2 2 2 7 6" xfId="26020" xr:uid="{00000000-0005-0000-0000-00003C670000}"/>
    <cellStyle name="Normalny 3 2 2 2 2 2 8" xfId="26021" xr:uid="{00000000-0005-0000-0000-00003D670000}"/>
    <cellStyle name="Normalny 3 2 2 2 2 2 9" xfId="26022" xr:uid="{00000000-0005-0000-0000-00003E670000}"/>
    <cellStyle name="Normalny 3 2 2 2 2 3" xfId="26023" xr:uid="{00000000-0005-0000-0000-00003F670000}"/>
    <cellStyle name="Normalny 3 2 2 2 2 3 2" xfId="26024" xr:uid="{00000000-0005-0000-0000-000040670000}"/>
    <cellStyle name="Normalny 3 2 2 2 2 3 2 2" xfId="26025" xr:uid="{00000000-0005-0000-0000-000041670000}"/>
    <cellStyle name="Normalny 3 2 2 2 2 3 2 2 2" xfId="26026" xr:uid="{00000000-0005-0000-0000-000042670000}"/>
    <cellStyle name="Normalny 3 2 2 2 2 3 2 2 3" xfId="26027" xr:uid="{00000000-0005-0000-0000-000043670000}"/>
    <cellStyle name="Normalny 3 2 2 2 2 3 2 3" xfId="26028" xr:uid="{00000000-0005-0000-0000-000044670000}"/>
    <cellStyle name="Normalny 3 2 2 2 2 3 2 3 2" xfId="26029" xr:uid="{00000000-0005-0000-0000-000045670000}"/>
    <cellStyle name="Normalny 3 2 2 2 2 3 2 3 3" xfId="26030" xr:uid="{00000000-0005-0000-0000-000046670000}"/>
    <cellStyle name="Normalny 3 2 2 2 2 3 2 4" xfId="26031" xr:uid="{00000000-0005-0000-0000-000047670000}"/>
    <cellStyle name="Normalny 3 2 2 2 2 3 2 4 2" xfId="26032" xr:uid="{00000000-0005-0000-0000-000048670000}"/>
    <cellStyle name="Normalny 3 2 2 2 2 3 2 4 3" xfId="26033" xr:uid="{00000000-0005-0000-0000-000049670000}"/>
    <cellStyle name="Normalny 3 2 2 2 2 3 2 5" xfId="26034" xr:uid="{00000000-0005-0000-0000-00004A670000}"/>
    <cellStyle name="Normalny 3 2 2 2 2 3 2 6" xfId="26035" xr:uid="{00000000-0005-0000-0000-00004B670000}"/>
    <cellStyle name="Normalny 3 2 2 2 2 3 3" xfId="26036" xr:uid="{00000000-0005-0000-0000-00004C670000}"/>
    <cellStyle name="Normalny 3 2 2 2 2 3 3 2" xfId="26037" xr:uid="{00000000-0005-0000-0000-00004D670000}"/>
    <cellStyle name="Normalny 3 2 2 2 2 3 3 3" xfId="26038" xr:uid="{00000000-0005-0000-0000-00004E670000}"/>
    <cellStyle name="Normalny 3 2 2 2 2 3 4" xfId="26039" xr:uid="{00000000-0005-0000-0000-00004F670000}"/>
    <cellStyle name="Normalny 3 2 2 2 2 3 5" xfId="26040" xr:uid="{00000000-0005-0000-0000-000050670000}"/>
    <cellStyle name="Normalny 3 2 2 2 2 3 6" xfId="26041" xr:uid="{00000000-0005-0000-0000-000051670000}"/>
    <cellStyle name="Normalny 3 2 2 2 2 3 7" xfId="26042" xr:uid="{00000000-0005-0000-0000-000052670000}"/>
    <cellStyle name="Normalny 3 2 2 2 2 4" xfId="26043" xr:uid="{00000000-0005-0000-0000-000053670000}"/>
    <cellStyle name="Normalny 3 2 2 2 2 4 2" xfId="26044" xr:uid="{00000000-0005-0000-0000-000054670000}"/>
    <cellStyle name="Normalny 3 2 2 2 2 4 3" xfId="26045" xr:uid="{00000000-0005-0000-0000-000055670000}"/>
    <cellStyle name="Normalny 3 2 2 2 2 5" xfId="26046" xr:uid="{00000000-0005-0000-0000-000056670000}"/>
    <cellStyle name="Normalny 3 2 2 2 2 5 2" xfId="26047" xr:uid="{00000000-0005-0000-0000-000057670000}"/>
    <cellStyle name="Normalny 3 2 2 2 2 5 3" xfId="26048" xr:uid="{00000000-0005-0000-0000-000058670000}"/>
    <cellStyle name="Normalny 3 2 2 2 2 6" xfId="26049" xr:uid="{00000000-0005-0000-0000-000059670000}"/>
    <cellStyle name="Normalny 3 2 2 2 2 6 2" xfId="26050" xr:uid="{00000000-0005-0000-0000-00005A670000}"/>
    <cellStyle name="Normalny 3 2 2 2 2 6 3" xfId="26051" xr:uid="{00000000-0005-0000-0000-00005B670000}"/>
    <cellStyle name="Normalny 3 2 2 2 2 7" xfId="26052" xr:uid="{00000000-0005-0000-0000-00005C670000}"/>
    <cellStyle name="Normalny 3 2 2 2 2 7 2" xfId="26053" xr:uid="{00000000-0005-0000-0000-00005D670000}"/>
    <cellStyle name="Normalny 3 2 2 2 2 7 3" xfId="26054" xr:uid="{00000000-0005-0000-0000-00005E670000}"/>
    <cellStyle name="Normalny 3 2 2 2 2 7 4" xfId="26055" xr:uid="{00000000-0005-0000-0000-00005F670000}"/>
    <cellStyle name="Normalny 3 2 2 2 2 7 5" xfId="26056" xr:uid="{00000000-0005-0000-0000-000060670000}"/>
    <cellStyle name="Normalny 3 2 2 2 2 7 6" xfId="26057" xr:uid="{00000000-0005-0000-0000-000061670000}"/>
    <cellStyle name="Normalny 3 2 2 2 2 8" xfId="26058" xr:uid="{00000000-0005-0000-0000-000062670000}"/>
    <cellStyle name="Normalny 3 2 2 2 2 8 2" xfId="26059" xr:uid="{00000000-0005-0000-0000-000063670000}"/>
    <cellStyle name="Normalny 3 2 2 2 2 8 3" xfId="26060" xr:uid="{00000000-0005-0000-0000-000064670000}"/>
    <cellStyle name="Normalny 3 2 2 2 2 9" xfId="26061" xr:uid="{00000000-0005-0000-0000-000065670000}"/>
    <cellStyle name="Normalny 3 2 2 2 2 9 2" xfId="26062" xr:uid="{00000000-0005-0000-0000-000066670000}"/>
    <cellStyle name="Normalny 3 2 2 2 2 9 3" xfId="26063" xr:uid="{00000000-0005-0000-0000-000067670000}"/>
    <cellStyle name="Normalny 3 2 2 2 3" xfId="26064" xr:uid="{00000000-0005-0000-0000-000068670000}"/>
    <cellStyle name="Normalny 3 2 2 2 3 2" xfId="26065" xr:uid="{00000000-0005-0000-0000-000069670000}"/>
    <cellStyle name="Normalny 3 2 2 2 3 2 2" xfId="26066" xr:uid="{00000000-0005-0000-0000-00006A670000}"/>
    <cellStyle name="Normalny 3 2 2 2 3 2 3" xfId="26067" xr:uid="{00000000-0005-0000-0000-00006B670000}"/>
    <cellStyle name="Normalny 3 2 2 2 3 2 4" xfId="26068" xr:uid="{00000000-0005-0000-0000-00006C670000}"/>
    <cellStyle name="Normalny 3 2 2 2 3 2 5" xfId="26069" xr:uid="{00000000-0005-0000-0000-00006D670000}"/>
    <cellStyle name="Normalny 3 2 2 2 3 2 6" xfId="26070" xr:uid="{00000000-0005-0000-0000-00006E670000}"/>
    <cellStyle name="Normalny 3 2 2 2 3 3" xfId="26071" xr:uid="{00000000-0005-0000-0000-00006F670000}"/>
    <cellStyle name="Normalny 3 2 2 2 3 4" xfId="26072" xr:uid="{00000000-0005-0000-0000-000070670000}"/>
    <cellStyle name="Normalny 3 2 2 2 3 4 2" xfId="26073" xr:uid="{00000000-0005-0000-0000-000071670000}"/>
    <cellStyle name="Normalny 3 2 2 2 3 4 3" xfId="26074" xr:uid="{00000000-0005-0000-0000-000072670000}"/>
    <cellStyle name="Normalny 3 2 2 2 3 5" xfId="26075" xr:uid="{00000000-0005-0000-0000-000073670000}"/>
    <cellStyle name="Normalny 3 2 2 2 3 5 2" xfId="26076" xr:uid="{00000000-0005-0000-0000-000074670000}"/>
    <cellStyle name="Normalny 3 2 2 2 3 5 3" xfId="26077" xr:uid="{00000000-0005-0000-0000-000075670000}"/>
    <cellStyle name="Normalny 3 2 2 2 3 6" xfId="26078" xr:uid="{00000000-0005-0000-0000-000076670000}"/>
    <cellStyle name="Normalny 3 2 2 2 3 7" xfId="26079" xr:uid="{00000000-0005-0000-0000-000077670000}"/>
    <cellStyle name="Normalny 3 2 2 2 3 8" xfId="38291" xr:uid="{00000000-0005-0000-0000-000078670000}"/>
    <cellStyle name="Normalny 3 2 2 2 4" xfId="26080" xr:uid="{00000000-0005-0000-0000-000079670000}"/>
    <cellStyle name="Normalny 3 2 2 2 5" xfId="26081" xr:uid="{00000000-0005-0000-0000-00007A670000}"/>
    <cellStyle name="Normalny 3 2 2 2 6" xfId="26082" xr:uid="{00000000-0005-0000-0000-00007B670000}"/>
    <cellStyle name="Normalny 3 2 2 2 7" xfId="26083" xr:uid="{00000000-0005-0000-0000-00007C670000}"/>
    <cellStyle name="Normalny 3 2 2 2 8" xfId="26084" xr:uid="{00000000-0005-0000-0000-00007D670000}"/>
    <cellStyle name="Normalny 3 2 2 2 8 2" xfId="26085" xr:uid="{00000000-0005-0000-0000-00007E670000}"/>
    <cellStyle name="Normalny 3 2 2 2 8 2 2" xfId="26086" xr:uid="{00000000-0005-0000-0000-00007F670000}"/>
    <cellStyle name="Normalny 3 2 2 2 8 2 3" xfId="26087" xr:uid="{00000000-0005-0000-0000-000080670000}"/>
    <cellStyle name="Normalny 3 2 2 2 8 3" xfId="26088" xr:uid="{00000000-0005-0000-0000-000081670000}"/>
    <cellStyle name="Normalny 3 2 2 2 8 3 2" xfId="26089" xr:uid="{00000000-0005-0000-0000-000082670000}"/>
    <cellStyle name="Normalny 3 2 2 2 8 3 3" xfId="26090" xr:uid="{00000000-0005-0000-0000-000083670000}"/>
    <cellStyle name="Normalny 3 2 2 2 8 4" xfId="26091" xr:uid="{00000000-0005-0000-0000-000084670000}"/>
    <cellStyle name="Normalny 3 2 2 2 8 4 2" xfId="26092" xr:uid="{00000000-0005-0000-0000-000085670000}"/>
    <cellStyle name="Normalny 3 2 2 2 8 4 3" xfId="26093" xr:uid="{00000000-0005-0000-0000-000086670000}"/>
    <cellStyle name="Normalny 3 2 2 2 8 5" xfId="26094" xr:uid="{00000000-0005-0000-0000-000087670000}"/>
    <cellStyle name="Normalny 3 2 2 2 8 6" xfId="26095" xr:uid="{00000000-0005-0000-0000-000088670000}"/>
    <cellStyle name="Normalny 3 2 2 2 9" xfId="26096" xr:uid="{00000000-0005-0000-0000-000089670000}"/>
    <cellStyle name="Normalny 3 2 2 3" xfId="26097" xr:uid="{00000000-0005-0000-0000-00008A670000}"/>
    <cellStyle name="Normalny 3 2 2 3 2" xfId="38292" xr:uid="{00000000-0005-0000-0000-00008B670000}"/>
    <cellStyle name="Normalny 3 2 2 3 3" xfId="38293" xr:uid="{00000000-0005-0000-0000-00008C670000}"/>
    <cellStyle name="Normalny 3 2 2 4" xfId="26098" xr:uid="{00000000-0005-0000-0000-00008D670000}"/>
    <cellStyle name="Normalny 3 2 2 4 10" xfId="26099" xr:uid="{00000000-0005-0000-0000-00008E670000}"/>
    <cellStyle name="Normalny 3 2 2 4 11" xfId="26100" xr:uid="{00000000-0005-0000-0000-00008F670000}"/>
    <cellStyle name="Normalny 3 2 2 4 2" xfId="26101" xr:uid="{00000000-0005-0000-0000-000090670000}"/>
    <cellStyle name="Normalny 3 2 2 4 2 2" xfId="26102" xr:uid="{00000000-0005-0000-0000-000091670000}"/>
    <cellStyle name="Normalny 3 2 2 4 2 2 2" xfId="26103" xr:uid="{00000000-0005-0000-0000-000092670000}"/>
    <cellStyle name="Normalny 3 2 2 4 2 2 3" xfId="26104" xr:uid="{00000000-0005-0000-0000-000093670000}"/>
    <cellStyle name="Normalny 3 2 2 4 2 2 4" xfId="26105" xr:uid="{00000000-0005-0000-0000-000094670000}"/>
    <cellStyle name="Normalny 3 2 2 4 2 2 5" xfId="26106" xr:uid="{00000000-0005-0000-0000-000095670000}"/>
    <cellStyle name="Normalny 3 2 2 4 2 2 6" xfId="26107" xr:uid="{00000000-0005-0000-0000-000096670000}"/>
    <cellStyle name="Normalny 3 2 2 4 2 3" xfId="26108" xr:uid="{00000000-0005-0000-0000-000097670000}"/>
    <cellStyle name="Normalny 3 2 2 4 2 4" xfId="26109" xr:uid="{00000000-0005-0000-0000-000098670000}"/>
    <cellStyle name="Normalny 3 2 2 4 2 4 2" xfId="26110" xr:uid="{00000000-0005-0000-0000-000099670000}"/>
    <cellStyle name="Normalny 3 2 2 4 2 4 3" xfId="26111" xr:uid="{00000000-0005-0000-0000-00009A670000}"/>
    <cellStyle name="Normalny 3 2 2 4 2 5" xfId="26112" xr:uid="{00000000-0005-0000-0000-00009B670000}"/>
    <cellStyle name="Normalny 3 2 2 4 2 5 2" xfId="26113" xr:uid="{00000000-0005-0000-0000-00009C670000}"/>
    <cellStyle name="Normalny 3 2 2 4 2 5 3" xfId="26114" xr:uid="{00000000-0005-0000-0000-00009D670000}"/>
    <cellStyle name="Normalny 3 2 2 4 2 6" xfId="26115" xr:uid="{00000000-0005-0000-0000-00009E670000}"/>
    <cellStyle name="Normalny 3 2 2 4 2 7" xfId="26116" xr:uid="{00000000-0005-0000-0000-00009F670000}"/>
    <cellStyle name="Normalny 3 2 2 4 3" xfId="26117" xr:uid="{00000000-0005-0000-0000-0000A0670000}"/>
    <cellStyle name="Normalny 3 2 2 4 4" xfId="26118" xr:uid="{00000000-0005-0000-0000-0000A1670000}"/>
    <cellStyle name="Normalny 3 2 2 4 5" xfId="26119" xr:uid="{00000000-0005-0000-0000-0000A2670000}"/>
    <cellStyle name="Normalny 3 2 2 4 6" xfId="26120" xr:uid="{00000000-0005-0000-0000-0000A3670000}"/>
    <cellStyle name="Normalny 3 2 2 4 7" xfId="26121" xr:uid="{00000000-0005-0000-0000-0000A4670000}"/>
    <cellStyle name="Normalny 3 2 2 4 7 2" xfId="26122" xr:uid="{00000000-0005-0000-0000-0000A5670000}"/>
    <cellStyle name="Normalny 3 2 2 4 7 2 2" xfId="26123" xr:uid="{00000000-0005-0000-0000-0000A6670000}"/>
    <cellStyle name="Normalny 3 2 2 4 7 2 3" xfId="26124" xr:uid="{00000000-0005-0000-0000-0000A7670000}"/>
    <cellStyle name="Normalny 3 2 2 4 7 3" xfId="26125" xr:uid="{00000000-0005-0000-0000-0000A8670000}"/>
    <cellStyle name="Normalny 3 2 2 4 7 3 2" xfId="26126" xr:uid="{00000000-0005-0000-0000-0000A9670000}"/>
    <cellStyle name="Normalny 3 2 2 4 7 3 3" xfId="26127" xr:uid="{00000000-0005-0000-0000-0000AA670000}"/>
    <cellStyle name="Normalny 3 2 2 4 7 4" xfId="26128" xr:uid="{00000000-0005-0000-0000-0000AB670000}"/>
    <cellStyle name="Normalny 3 2 2 4 7 4 2" xfId="26129" xr:uid="{00000000-0005-0000-0000-0000AC670000}"/>
    <cellStyle name="Normalny 3 2 2 4 7 4 3" xfId="26130" xr:uid="{00000000-0005-0000-0000-0000AD670000}"/>
    <cellStyle name="Normalny 3 2 2 4 7 5" xfId="26131" xr:uid="{00000000-0005-0000-0000-0000AE670000}"/>
    <cellStyle name="Normalny 3 2 2 4 7 6" xfId="26132" xr:uid="{00000000-0005-0000-0000-0000AF670000}"/>
    <cellStyle name="Normalny 3 2 2 4 8" xfId="26133" xr:uid="{00000000-0005-0000-0000-0000B0670000}"/>
    <cellStyle name="Normalny 3 2 2 4 9" xfId="26134" xr:uid="{00000000-0005-0000-0000-0000B1670000}"/>
    <cellStyle name="Normalny 3 2 2 5" xfId="26135" xr:uid="{00000000-0005-0000-0000-0000B2670000}"/>
    <cellStyle name="Normalny 3 2 2 5 2" xfId="26136" xr:uid="{00000000-0005-0000-0000-0000B3670000}"/>
    <cellStyle name="Normalny 3 2 2 5 2 2" xfId="26137" xr:uid="{00000000-0005-0000-0000-0000B4670000}"/>
    <cellStyle name="Normalny 3 2 2 5 2 2 2" xfId="26138" xr:uid="{00000000-0005-0000-0000-0000B5670000}"/>
    <cellStyle name="Normalny 3 2 2 5 2 2 3" xfId="26139" xr:uid="{00000000-0005-0000-0000-0000B6670000}"/>
    <cellStyle name="Normalny 3 2 2 5 2 3" xfId="26140" xr:uid="{00000000-0005-0000-0000-0000B7670000}"/>
    <cellStyle name="Normalny 3 2 2 5 2 3 2" xfId="26141" xr:uid="{00000000-0005-0000-0000-0000B8670000}"/>
    <cellStyle name="Normalny 3 2 2 5 2 3 3" xfId="26142" xr:uid="{00000000-0005-0000-0000-0000B9670000}"/>
    <cellStyle name="Normalny 3 2 2 5 2 4" xfId="26143" xr:uid="{00000000-0005-0000-0000-0000BA670000}"/>
    <cellStyle name="Normalny 3 2 2 5 2 4 2" xfId="26144" xr:uid="{00000000-0005-0000-0000-0000BB670000}"/>
    <cellStyle name="Normalny 3 2 2 5 2 4 3" xfId="26145" xr:uid="{00000000-0005-0000-0000-0000BC670000}"/>
    <cellStyle name="Normalny 3 2 2 5 2 5" xfId="26146" xr:uid="{00000000-0005-0000-0000-0000BD670000}"/>
    <cellStyle name="Normalny 3 2 2 5 2 6" xfId="26147" xr:uid="{00000000-0005-0000-0000-0000BE670000}"/>
    <cellStyle name="Normalny 3 2 2 5 3" xfId="26148" xr:uid="{00000000-0005-0000-0000-0000BF670000}"/>
    <cellStyle name="Normalny 3 2 2 5 3 2" xfId="26149" xr:uid="{00000000-0005-0000-0000-0000C0670000}"/>
    <cellStyle name="Normalny 3 2 2 5 3 3" xfId="26150" xr:uid="{00000000-0005-0000-0000-0000C1670000}"/>
    <cellStyle name="Normalny 3 2 2 5 4" xfId="26151" xr:uid="{00000000-0005-0000-0000-0000C2670000}"/>
    <cellStyle name="Normalny 3 2 2 5 5" xfId="26152" xr:uid="{00000000-0005-0000-0000-0000C3670000}"/>
    <cellStyle name="Normalny 3 2 2 5 6" xfId="26153" xr:uid="{00000000-0005-0000-0000-0000C4670000}"/>
    <cellStyle name="Normalny 3 2 2 5 7" xfId="26154" xr:uid="{00000000-0005-0000-0000-0000C5670000}"/>
    <cellStyle name="Normalny 3 2 2 6" xfId="26155" xr:uid="{00000000-0005-0000-0000-0000C6670000}"/>
    <cellStyle name="Normalny 3 2 2 6 2" xfId="26156" xr:uid="{00000000-0005-0000-0000-0000C7670000}"/>
    <cellStyle name="Normalny 3 2 2 6 3" xfId="26157" xr:uid="{00000000-0005-0000-0000-0000C8670000}"/>
    <cellStyle name="Normalny 3 2 2 7" xfId="26158" xr:uid="{00000000-0005-0000-0000-0000C9670000}"/>
    <cellStyle name="Normalny 3 2 2 7 2" xfId="26159" xr:uid="{00000000-0005-0000-0000-0000CA670000}"/>
    <cellStyle name="Normalny 3 2 2 7 3" xfId="26160" xr:uid="{00000000-0005-0000-0000-0000CB670000}"/>
    <cellStyle name="Normalny 3 2 2 8" xfId="26161" xr:uid="{00000000-0005-0000-0000-0000CC670000}"/>
    <cellStyle name="Normalny 3 2 2 8 2" xfId="26162" xr:uid="{00000000-0005-0000-0000-0000CD670000}"/>
    <cellStyle name="Normalny 3 2 2 8 3" xfId="26163" xr:uid="{00000000-0005-0000-0000-0000CE670000}"/>
    <cellStyle name="Normalny 3 2 2 9" xfId="26164" xr:uid="{00000000-0005-0000-0000-0000CF670000}"/>
    <cellStyle name="Normalny 3 2 2 9 2" xfId="26165" xr:uid="{00000000-0005-0000-0000-0000D0670000}"/>
    <cellStyle name="Normalny 3 2 2 9 3" xfId="26166" xr:uid="{00000000-0005-0000-0000-0000D1670000}"/>
    <cellStyle name="Normalny 3 2 2 9 4" xfId="26167" xr:uid="{00000000-0005-0000-0000-0000D2670000}"/>
    <cellStyle name="Normalny 3 2 2 9 5" xfId="26168" xr:uid="{00000000-0005-0000-0000-0000D3670000}"/>
    <cellStyle name="Normalny 3 2 2 9 6" xfId="26169" xr:uid="{00000000-0005-0000-0000-0000D4670000}"/>
    <cellStyle name="Normalny 3 2 3" xfId="26170" xr:uid="{00000000-0005-0000-0000-0000D5670000}"/>
    <cellStyle name="Normalny 3 2 3 2" xfId="26171" xr:uid="{00000000-0005-0000-0000-0000D6670000}"/>
    <cellStyle name="Normalny 3 2 3 2 2" xfId="38294" xr:uid="{00000000-0005-0000-0000-0000D7670000}"/>
    <cellStyle name="Normalny 3 2 3 2 3" xfId="38295" xr:uid="{00000000-0005-0000-0000-0000D8670000}"/>
    <cellStyle name="Normalny 3 2 3 3" xfId="26172" xr:uid="{00000000-0005-0000-0000-0000D9670000}"/>
    <cellStyle name="Normalny 3 2 3 3 2" xfId="38296" xr:uid="{00000000-0005-0000-0000-0000DA670000}"/>
    <cellStyle name="Normalny 3 2 3 4" xfId="26173" xr:uid="{00000000-0005-0000-0000-0000DB670000}"/>
    <cellStyle name="Normalny 3 2 3 5" xfId="38297" xr:uid="{00000000-0005-0000-0000-0000DC670000}"/>
    <cellStyle name="Normalny 3 2 4" xfId="26174" xr:uid="{00000000-0005-0000-0000-0000DD670000}"/>
    <cellStyle name="Normalny 3 2 4 2" xfId="26175" xr:uid="{00000000-0005-0000-0000-0000DE670000}"/>
    <cellStyle name="Normalny 3 2 4 2 2" xfId="38298" xr:uid="{00000000-0005-0000-0000-0000DF670000}"/>
    <cellStyle name="Normalny 3 2 4 3" xfId="26176" xr:uid="{00000000-0005-0000-0000-0000E0670000}"/>
    <cellStyle name="Normalny 3 2 4 4" xfId="26177" xr:uid="{00000000-0005-0000-0000-0000E1670000}"/>
    <cellStyle name="Normalny 3 2 4 5" xfId="38299" xr:uid="{00000000-0005-0000-0000-0000E2670000}"/>
    <cellStyle name="Normalny 3 2 5" xfId="26178" xr:uid="{00000000-0005-0000-0000-0000E3670000}"/>
    <cellStyle name="Normalny 3 2 5 10" xfId="26179" xr:uid="{00000000-0005-0000-0000-0000E4670000}"/>
    <cellStyle name="Normalny 3 2 5 10 2" xfId="26180" xr:uid="{00000000-0005-0000-0000-0000E5670000}"/>
    <cellStyle name="Normalny 3 2 5 10 3" xfId="26181" xr:uid="{00000000-0005-0000-0000-0000E6670000}"/>
    <cellStyle name="Normalny 3 2 5 11" xfId="26182" xr:uid="{00000000-0005-0000-0000-0000E7670000}"/>
    <cellStyle name="Normalny 3 2 5 12" xfId="26183" xr:uid="{00000000-0005-0000-0000-0000E8670000}"/>
    <cellStyle name="Normalny 3 2 5 13" xfId="26184" xr:uid="{00000000-0005-0000-0000-0000E9670000}"/>
    <cellStyle name="Normalny 3 2 5 14" xfId="26185" xr:uid="{00000000-0005-0000-0000-0000EA670000}"/>
    <cellStyle name="Normalny 3 2 5 15" xfId="26186" xr:uid="{00000000-0005-0000-0000-0000EB670000}"/>
    <cellStyle name="Normalny 3 2 5 16" xfId="38300" xr:uid="{00000000-0005-0000-0000-0000EC670000}"/>
    <cellStyle name="Normalny 3 2 5 2" xfId="26187" xr:uid="{00000000-0005-0000-0000-0000ED670000}"/>
    <cellStyle name="Normalny 3 2 5 2 10" xfId="26188" xr:uid="{00000000-0005-0000-0000-0000EE670000}"/>
    <cellStyle name="Normalny 3 2 5 2 11" xfId="26189" xr:uid="{00000000-0005-0000-0000-0000EF670000}"/>
    <cellStyle name="Normalny 3 2 5 2 2" xfId="26190" xr:uid="{00000000-0005-0000-0000-0000F0670000}"/>
    <cellStyle name="Normalny 3 2 5 2 2 10" xfId="26191" xr:uid="{00000000-0005-0000-0000-0000F1670000}"/>
    <cellStyle name="Normalny 3 2 5 2 2 11" xfId="26192" xr:uid="{00000000-0005-0000-0000-0000F2670000}"/>
    <cellStyle name="Normalny 3 2 5 2 2 2" xfId="26193" xr:uid="{00000000-0005-0000-0000-0000F3670000}"/>
    <cellStyle name="Normalny 3 2 5 2 2 2 2" xfId="26194" xr:uid="{00000000-0005-0000-0000-0000F4670000}"/>
    <cellStyle name="Normalny 3 2 5 2 2 2 2 2" xfId="26195" xr:uid="{00000000-0005-0000-0000-0000F5670000}"/>
    <cellStyle name="Normalny 3 2 5 2 2 2 2 2 2" xfId="26196" xr:uid="{00000000-0005-0000-0000-0000F6670000}"/>
    <cellStyle name="Normalny 3 2 5 2 2 2 2 2 3" xfId="26197" xr:uid="{00000000-0005-0000-0000-0000F7670000}"/>
    <cellStyle name="Normalny 3 2 5 2 2 2 2 3" xfId="26198" xr:uid="{00000000-0005-0000-0000-0000F8670000}"/>
    <cellStyle name="Normalny 3 2 5 2 2 2 2 3 2" xfId="26199" xr:uid="{00000000-0005-0000-0000-0000F9670000}"/>
    <cellStyle name="Normalny 3 2 5 2 2 2 2 3 3" xfId="26200" xr:uid="{00000000-0005-0000-0000-0000FA670000}"/>
    <cellStyle name="Normalny 3 2 5 2 2 2 2 4" xfId="26201" xr:uid="{00000000-0005-0000-0000-0000FB670000}"/>
    <cellStyle name="Normalny 3 2 5 2 2 2 2 4 2" xfId="26202" xr:uid="{00000000-0005-0000-0000-0000FC670000}"/>
    <cellStyle name="Normalny 3 2 5 2 2 2 2 4 3" xfId="26203" xr:uid="{00000000-0005-0000-0000-0000FD670000}"/>
    <cellStyle name="Normalny 3 2 5 2 2 2 2 5" xfId="26204" xr:uid="{00000000-0005-0000-0000-0000FE670000}"/>
    <cellStyle name="Normalny 3 2 5 2 2 2 2 6" xfId="26205" xr:uid="{00000000-0005-0000-0000-0000FF670000}"/>
    <cellStyle name="Normalny 3 2 5 2 2 2 3" xfId="26206" xr:uid="{00000000-0005-0000-0000-000000680000}"/>
    <cellStyle name="Normalny 3 2 5 2 2 2 3 2" xfId="26207" xr:uid="{00000000-0005-0000-0000-000001680000}"/>
    <cellStyle name="Normalny 3 2 5 2 2 2 3 3" xfId="26208" xr:uid="{00000000-0005-0000-0000-000002680000}"/>
    <cellStyle name="Normalny 3 2 5 2 2 2 4" xfId="26209" xr:uid="{00000000-0005-0000-0000-000003680000}"/>
    <cellStyle name="Normalny 3 2 5 2 2 2 5" xfId="26210" xr:uid="{00000000-0005-0000-0000-000004680000}"/>
    <cellStyle name="Normalny 3 2 5 2 2 2 6" xfId="26211" xr:uid="{00000000-0005-0000-0000-000005680000}"/>
    <cellStyle name="Normalny 3 2 5 2 2 2 7" xfId="26212" xr:uid="{00000000-0005-0000-0000-000006680000}"/>
    <cellStyle name="Normalny 3 2 5 2 2 3" xfId="26213" xr:uid="{00000000-0005-0000-0000-000007680000}"/>
    <cellStyle name="Normalny 3 2 5 2 2 3 2" xfId="26214" xr:uid="{00000000-0005-0000-0000-000008680000}"/>
    <cellStyle name="Normalny 3 2 5 2 2 3 3" xfId="26215" xr:uid="{00000000-0005-0000-0000-000009680000}"/>
    <cellStyle name="Normalny 3 2 5 2 2 4" xfId="26216" xr:uid="{00000000-0005-0000-0000-00000A680000}"/>
    <cellStyle name="Normalny 3 2 5 2 2 4 2" xfId="26217" xr:uid="{00000000-0005-0000-0000-00000B680000}"/>
    <cellStyle name="Normalny 3 2 5 2 2 4 3" xfId="26218" xr:uid="{00000000-0005-0000-0000-00000C680000}"/>
    <cellStyle name="Normalny 3 2 5 2 2 5" xfId="26219" xr:uid="{00000000-0005-0000-0000-00000D680000}"/>
    <cellStyle name="Normalny 3 2 5 2 2 5 2" xfId="26220" xr:uid="{00000000-0005-0000-0000-00000E680000}"/>
    <cellStyle name="Normalny 3 2 5 2 2 5 3" xfId="26221" xr:uid="{00000000-0005-0000-0000-00000F680000}"/>
    <cellStyle name="Normalny 3 2 5 2 2 6" xfId="26222" xr:uid="{00000000-0005-0000-0000-000010680000}"/>
    <cellStyle name="Normalny 3 2 5 2 2 6 2" xfId="26223" xr:uid="{00000000-0005-0000-0000-000011680000}"/>
    <cellStyle name="Normalny 3 2 5 2 2 6 3" xfId="26224" xr:uid="{00000000-0005-0000-0000-000012680000}"/>
    <cellStyle name="Normalny 3 2 5 2 2 7" xfId="26225" xr:uid="{00000000-0005-0000-0000-000013680000}"/>
    <cellStyle name="Normalny 3 2 5 2 2 7 2" xfId="26226" xr:uid="{00000000-0005-0000-0000-000014680000}"/>
    <cellStyle name="Normalny 3 2 5 2 2 7 3" xfId="26227" xr:uid="{00000000-0005-0000-0000-000015680000}"/>
    <cellStyle name="Normalny 3 2 5 2 2 7 4" xfId="26228" xr:uid="{00000000-0005-0000-0000-000016680000}"/>
    <cellStyle name="Normalny 3 2 5 2 2 7 5" xfId="26229" xr:uid="{00000000-0005-0000-0000-000017680000}"/>
    <cellStyle name="Normalny 3 2 5 2 2 7 6" xfId="26230" xr:uid="{00000000-0005-0000-0000-000018680000}"/>
    <cellStyle name="Normalny 3 2 5 2 2 8" xfId="26231" xr:uid="{00000000-0005-0000-0000-000019680000}"/>
    <cellStyle name="Normalny 3 2 5 2 2 8 2" xfId="26232" xr:uid="{00000000-0005-0000-0000-00001A680000}"/>
    <cellStyle name="Normalny 3 2 5 2 2 8 3" xfId="26233" xr:uid="{00000000-0005-0000-0000-00001B680000}"/>
    <cellStyle name="Normalny 3 2 5 2 2 9" xfId="26234" xr:uid="{00000000-0005-0000-0000-00001C680000}"/>
    <cellStyle name="Normalny 3 2 5 2 2 9 2" xfId="26235" xr:uid="{00000000-0005-0000-0000-00001D680000}"/>
    <cellStyle name="Normalny 3 2 5 2 2 9 3" xfId="26236" xr:uid="{00000000-0005-0000-0000-00001E680000}"/>
    <cellStyle name="Normalny 3 2 5 2 3" xfId="26237" xr:uid="{00000000-0005-0000-0000-00001F680000}"/>
    <cellStyle name="Normalny 3 2 5 2 3 2" xfId="26238" xr:uid="{00000000-0005-0000-0000-000020680000}"/>
    <cellStyle name="Normalny 3 2 5 2 3 2 2" xfId="26239" xr:uid="{00000000-0005-0000-0000-000021680000}"/>
    <cellStyle name="Normalny 3 2 5 2 3 2 3" xfId="26240" xr:uid="{00000000-0005-0000-0000-000022680000}"/>
    <cellStyle name="Normalny 3 2 5 2 3 2 4" xfId="26241" xr:uid="{00000000-0005-0000-0000-000023680000}"/>
    <cellStyle name="Normalny 3 2 5 2 3 2 5" xfId="26242" xr:uid="{00000000-0005-0000-0000-000024680000}"/>
    <cellStyle name="Normalny 3 2 5 2 3 2 6" xfId="26243" xr:uid="{00000000-0005-0000-0000-000025680000}"/>
    <cellStyle name="Normalny 3 2 5 2 3 3" xfId="26244" xr:uid="{00000000-0005-0000-0000-000026680000}"/>
    <cellStyle name="Normalny 3 2 5 2 3 4" xfId="26245" xr:uid="{00000000-0005-0000-0000-000027680000}"/>
    <cellStyle name="Normalny 3 2 5 2 3 4 2" xfId="26246" xr:uid="{00000000-0005-0000-0000-000028680000}"/>
    <cellStyle name="Normalny 3 2 5 2 3 4 3" xfId="26247" xr:uid="{00000000-0005-0000-0000-000029680000}"/>
    <cellStyle name="Normalny 3 2 5 2 3 5" xfId="26248" xr:uid="{00000000-0005-0000-0000-00002A680000}"/>
    <cellStyle name="Normalny 3 2 5 2 3 5 2" xfId="26249" xr:uid="{00000000-0005-0000-0000-00002B680000}"/>
    <cellStyle name="Normalny 3 2 5 2 3 5 3" xfId="26250" xr:uid="{00000000-0005-0000-0000-00002C680000}"/>
    <cellStyle name="Normalny 3 2 5 2 3 6" xfId="26251" xr:uid="{00000000-0005-0000-0000-00002D680000}"/>
    <cellStyle name="Normalny 3 2 5 2 3 7" xfId="26252" xr:uid="{00000000-0005-0000-0000-00002E680000}"/>
    <cellStyle name="Normalny 3 2 5 2 4" xfId="26253" xr:uid="{00000000-0005-0000-0000-00002F680000}"/>
    <cellStyle name="Normalny 3 2 5 2 5" xfId="26254" xr:uid="{00000000-0005-0000-0000-000030680000}"/>
    <cellStyle name="Normalny 3 2 5 2 6" xfId="26255" xr:uid="{00000000-0005-0000-0000-000031680000}"/>
    <cellStyle name="Normalny 3 2 5 2 7" xfId="26256" xr:uid="{00000000-0005-0000-0000-000032680000}"/>
    <cellStyle name="Normalny 3 2 5 2 7 2" xfId="26257" xr:uid="{00000000-0005-0000-0000-000033680000}"/>
    <cellStyle name="Normalny 3 2 5 2 7 2 2" xfId="26258" xr:uid="{00000000-0005-0000-0000-000034680000}"/>
    <cellStyle name="Normalny 3 2 5 2 7 2 3" xfId="26259" xr:uid="{00000000-0005-0000-0000-000035680000}"/>
    <cellStyle name="Normalny 3 2 5 2 7 3" xfId="26260" xr:uid="{00000000-0005-0000-0000-000036680000}"/>
    <cellStyle name="Normalny 3 2 5 2 7 3 2" xfId="26261" xr:uid="{00000000-0005-0000-0000-000037680000}"/>
    <cellStyle name="Normalny 3 2 5 2 7 3 3" xfId="26262" xr:uid="{00000000-0005-0000-0000-000038680000}"/>
    <cellStyle name="Normalny 3 2 5 2 7 4" xfId="26263" xr:uid="{00000000-0005-0000-0000-000039680000}"/>
    <cellStyle name="Normalny 3 2 5 2 7 4 2" xfId="26264" xr:uid="{00000000-0005-0000-0000-00003A680000}"/>
    <cellStyle name="Normalny 3 2 5 2 7 4 3" xfId="26265" xr:uid="{00000000-0005-0000-0000-00003B680000}"/>
    <cellStyle name="Normalny 3 2 5 2 7 5" xfId="26266" xr:uid="{00000000-0005-0000-0000-00003C680000}"/>
    <cellStyle name="Normalny 3 2 5 2 7 6" xfId="26267" xr:uid="{00000000-0005-0000-0000-00003D680000}"/>
    <cellStyle name="Normalny 3 2 5 2 8" xfId="26268" xr:uid="{00000000-0005-0000-0000-00003E680000}"/>
    <cellStyle name="Normalny 3 2 5 2 9" xfId="26269" xr:uid="{00000000-0005-0000-0000-00003F680000}"/>
    <cellStyle name="Normalny 3 2 5 3" xfId="26270" xr:uid="{00000000-0005-0000-0000-000040680000}"/>
    <cellStyle name="Normalny 3 2 5 3 2" xfId="26271" xr:uid="{00000000-0005-0000-0000-000041680000}"/>
    <cellStyle name="Normalny 3 2 5 3 2 2" xfId="26272" xr:uid="{00000000-0005-0000-0000-000042680000}"/>
    <cellStyle name="Normalny 3 2 5 3 2 2 2" xfId="26273" xr:uid="{00000000-0005-0000-0000-000043680000}"/>
    <cellStyle name="Normalny 3 2 5 3 2 2 3" xfId="26274" xr:uid="{00000000-0005-0000-0000-000044680000}"/>
    <cellStyle name="Normalny 3 2 5 3 2 3" xfId="26275" xr:uid="{00000000-0005-0000-0000-000045680000}"/>
    <cellStyle name="Normalny 3 2 5 3 2 3 2" xfId="26276" xr:uid="{00000000-0005-0000-0000-000046680000}"/>
    <cellStyle name="Normalny 3 2 5 3 2 3 3" xfId="26277" xr:uid="{00000000-0005-0000-0000-000047680000}"/>
    <cellStyle name="Normalny 3 2 5 3 2 4" xfId="26278" xr:uid="{00000000-0005-0000-0000-000048680000}"/>
    <cellStyle name="Normalny 3 2 5 3 2 4 2" xfId="26279" xr:uid="{00000000-0005-0000-0000-000049680000}"/>
    <cellStyle name="Normalny 3 2 5 3 2 4 3" xfId="26280" xr:uid="{00000000-0005-0000-0000-00004A680000}"/>
    <cellStyle name="Normalny 3 2 5 3 2 5" xfId="26281" xr:uid="{00000000-0005-0000-0000-00004B680000}"/>
    <cellStyle name="Normalny 3 2 5 3 2 6" xfId="26282" xr:uid="{00000000-0005-0000-0000-00004C680000}"/>
    <cellStyle name="Normalny 3 2 5 3 3" xfId="26283" xr:uid="{00000000-0005-0000-0000-00004D680000}"/>
    <cellStyle name="Normalny 3 2 5 3 3 2" xfId="26284" xr:uid="{00000000-0005-0000-0000-00004E680000}"/>
    <cellStyle name="Normalny 3 2 5 3 3 3" xfId="26285" xr:uid="{00000000-0005-0000-0000-00004F680000}"/>
    <cellStyle name="Normalny 3 2 5 3 4" xfId="26286" xr:uid="{00000000-0005-0000-0000-000050680000}"/>
    <cellStyle name="Normalny 3 2 5 3 5" xfId="26287" xr:uid="{00000000-0005-0000-0000-000051680000}"/>
    <cellStyle name="Normalny 3 2 5 3 6" xfId="26288" xr:uid="{00000000-0005-0000-0000-000052680000}"/>
    <cellStyle name="Normalny 3 2 5 3 7" xfId="26289" xr:uid="{00000000-0005-0000-0000-000053680000}"/>
    <cellStyle name="Normalny 3 2 5 4" xfId="26290" xr:uid="{00000000-0005-0000-0000-000054680000}"/>
    <cellStyle name="Normalny 3 2 5 4 2" xfId="26291" xr:uid="{00000000-0005-0000-0000-000055680000}"/>
    <cellStyle name="Normalny 3 2 5 4 3" xfId="26292" xr:uid="{00000000-0005-0000-0000-000056680000}"/>
    <cellStyle name="Normalny 3 2 5 5" xfId="26293" xr:uid="{00000000-0005-0000-0000-000057680000}"/>
    <cellStyle name="Normalny 3 2 5 5 2" xfId="26294" xr:uid="{00000000-0005-0000-0000-000058680000}"/>
    <cellStyle name="Normalny 3 2 5 5 3" xfId="26295" xr:uid="{00000000-0005-0000-0000-000059680000}"/>
    <cellStyle name="Normalny 3 2 5 6" xfId="26296" xr:uid="{00000000-0005-0000-0000-00005A680000}"/>
    <cellStyle name="Normalny 3 2 5 6 2" xfId="26297" xr:uid="{00000000-0005-0000-0000-00005B680000}"/>
    <cellStyle name="Normalny 3 2 5 6 3" xfId="26298" xr:uid="{00000000-0005-0000-0000-00005C680000}"/>
    <cellStyle name="Normalny 3 2 5 7" xfId="26299" xr:uid="{00000000-0005-0000-0000-00005D680000}"/>
    <cellStyle name="Normalny 3 2 5 7 2" xfId="26300" xr:uid="{00000000-0005-0000-0000-00005E680000}"/>
    <cellStyle name="Normalny 3 2 5 7 3" xfId="26301" xr:uid="{00000000-0005-0000-0000-00005F680000}"/>
    <cellStyle name="Normalny 3 2 5 8" xfId="26302" xr:uid="{00000000-0005-0000-0000-000060680000}"/>
    <cellStyle name="Normalny 3 2 5 8 2" xfId="26303" xr:uid="{00000000-0005-0000-0000-000061680000}"/>
    <cellStyle name="Normalny 3 2 5 8 3" xfId="26304" xr:uid="{00000000-0005-0000-0000-000062680000}"/>
    <cellStyle name="Normalny 3 2 5 8 4" xfId="26305" xr:uid="{00000000-0005-0000-0000-000063680000}"/>
    <cellStyle name="Normalny 3 2 5 8 5" xfId="26306" xr:uid="{00000000-0005-0000-0000-000064680000}"/>
    <cellStyle name="Normalny 3 2 5 8 6" xfId="26307" xr:uid="{00000000-0005-0000-0000-000065680000}"/>
    <cellStyle name="Normalny 3 2 5 9" xfId="26308" xr:uid="{00000000-0005-0000-0000-000066680000}"/>
    <cellStyle name="Normalny 3 2 5 9 2" xfId="26309" xr:uid="{00000000-0005-0000-0000-000067680000}"/>
    <cellStyle name="Normalny 3 2 5 9 3" xfId="26310" xr:uid="{00000000-0005-0000-0000-000068680000}"/>
    <cellStyle name="Normalny 3 2 6" xfId="26311" xr:uid="{00000000-0005-0000-0000-000069680000}"/>
    <cellStyle name="Normalny 3 2 6 10" xfId="26312" xr:uid="{00000000-0005-0000-0000-00006A680000}"/>
    <cellStyle name="Normalny 3 2 6 11" xfId="26313" xr:uid="{00000000-0005-0000-0000-00006B680000}"/>
    <cellStyle name="Normalny 3 2 6 12" xfId="26314" xr:uid="{00000000-0005-0000-0000-00006C680000}"/>
    <cellStyle name="Normalny 3 2 6 13" xfId="26315" xr:uid="{00000000-0005-0000-0000-00006D680000}"/>
    <cellStyle name="Normalny 3 2 6 14" xfId="26316" xr:uid="{00000000-0005-0000-0000-00006E680000}"/>
    <cellStyle name="Normalny 3 2 6 2" xfId="26317" xr:uid="{00000000-0005-0000-0000-00006F680000}"/>
    <cellStyle name="Normalny 3 2 6 2 2" xfId="26318" xr:uid="{00000000-0005-0000-0000-000070680000}"/>
    <cellStyle name="Normalny 3 2 6 2 2 2" xfId="26319" xr:uid="{00000000-0005-0000-0000-000071680000}"/>
    <cellStyle name="Normalny 3 2 6 2 2 2 2" xfId="26320" xr:uid="{00000000-0005-0000-0000-000072680000}"/>
    <cellStyle name="Normalny 3 2 6 2 2 2 3" xfId="26321" xr:uid="{00000000-0005-0000-0000-000073680000}"/>
    <cellStyle name="Normalny 3 2 6 2 2 3" xfId="26322" xr:uid="{00000000-0005-0000-0000-000074680000}"/>
    <cellStyle name="Normalny 3 2 6 2 2 3 2" xfId="26323" xr:uid="{00000000-0005-0000-0000-000075680000}"/>
    <cellStyle name="Normalny 3 2 6 2 2 3 3" xfId="26324" xr:uid="{00000000-0005-0000-0000-000076680000}"/>
    <cellStyle name="Normalny 3 2 6 2 2 4" xfId="26325" xr:uid="{00000000-0005-0000-0000-000077680000}"/>
    <cellStyle name="Normalny 3 2 6 2 2 4 2" xfId="26326" xr:uid="{00000000-0005-0000-0000-000078680000}"/>
    <cellStyle name="Normalny 3 2 6 2 2 4 3" xfId="26327" xr:uid="{00000000-0005-0000-0000-000079680000}"/>
    <cellStyle name="Normalny 3 2 6 2 2 5" xfId="26328" xr:uid="{00000000-0005-0000-0000-00007A680000}"/>
    <cellStyle name="Normalny 3 2 6 2 2 6" xfId="26329" xr:uid="{00000000-0005-0000-0000-00007B680000}"/>
    <cellStyle name="Normalny 3 2 6 2 3" xfId="26330" xr:uid="{00000000-0005-0000-0000-00007C680000}"/>
    <cellStyle name="Normalny 3 2 6 2 3 2" xfId="26331" xr:uid="{00000000-0005-0000-0000-00007D680000}"/>
    <cellStyle name="Normalny 3 2 6 2 3 3" xfId="26332" xr:uid="{00000000-0005-0000-0000-00007E680000}"/>
    <cellStyle name="Normalny 3 2 6 2 4" xfId="26333" xr:uid="{00000000-0005-0000-0000-00007F680000}"/>
    <cellStyle name="Normalny 3 2 6 2 5" xfId="26334" xr:uid="{00000000-0005-0000-0000-000080680000}"/>
    <cellStyle name="Normalny 3 2 6 2 6" xfId="26335" xr:uid="{00000000-0005-0000-0000-000081680000}"/>
    <cellStyle name="Normalny 3 2 6 2 7" xfId="26336" xr:uid="{00000000-0005-0000-0000-000082680000}"/>
    <cellStyle name="Normalny 3 2 6 3" xfId="26337" xr:uid="{00000000-0005-0000-0000-000083680000}"/>
    <cellStyle name="Normalny 3 2 6 3 2" xfId="26338" xr:uid="{00000000-0005-0000-0000-000084680000}"/>
    <cellStyle name="Normalny 3 2 6 3 3" xfId="26339" xr:uid="{00000000-0005-0000-0000-000085680000}"/>
    <cellStyle name="Normalny 3 2 6 4" xfId="26340" xr:uid="{00000000-0005-0000-0000-000086680000}"/>
    <cellStyle name="Normalny 3 2 6 4 2" xfId="26341" xr:uid="{00000000-0005-0000-0000-000087680000}"/>
    <cellStyle name="Normalny 3 2 6 4 3" xfId="26342" xr:uid="{00000000-0005-0000-0000-000088680000}"/>
    <cellStyle name="Normalny 3 2 6 5" xfId="26343" xr:uid="{00000000-0005-0000-0000-000089680000}"/>
    <cellStyle name="Normalny 3 2 6 5 2" xfId="26344" xr:uid="{00000000-0005-0000-0000-00008A680000}"/>
    <cellStyle name="Normalny 3 2 6 5 3" xfId="26345" xr:uid="{00000000-0005-0000-0000-00008B680000}"/>
    <cellStyle name="Normalny 3 2 6 6" xfId="26346" xr:uid="{00000000-0005-0000-0000-00008C680000}"/>
    <cellStyle name="Normalny 3 2 6 6 2" xfId="26347" xr:uid="{00000000-0005-0000-0000-00008D680000}"/>
    <cellStyle name="Normalny 3 2 6 6 3" xfId="26348" xr:uid="{00000000-0005-0000-0000-00008E680000}"/>
    <cellStyle name="Normalny 3 2 6 7" xfId="26349" xr:uid="{00000000-0005-0000-0000-00008F680000}"/>
    <cellStyle name="Normalny 3 2 6 7 2" xfId="26350" xr:uid="{00000000-0005-0000-0000-000090680000}"/>
    <cellStyle name="Normalny 3 2 6 7 3" xfId="26351" xr:uid="{00000000-0005-0000-0000-000091680000}"/>
    <cellStyle name="Normalny 3 2 6 7 4" xfId="26352" xr:uid="{00000000-0005-0000-0000-000092680000}"/>
    <cellStyle name="Normalny 3 2 6 7 5" xfId="26353" xr:uid="{00000000-0005-0000-0000-000093680000}"/>
    <cellStyle name="Normalny 3 2 6 7 6" xfId="26354" xr:uid="{00000000-0005-0000-0000-000094680000}"/>
    <cellStyle name="Normalny 3 2 6 8" xfId="26355" xr:uid="{00000000-0005-0000-0000-000095680000}"/>
    <cellStyle name="Normalny 3 2 6 8 2" xfId="26356" xr:uid="{00000000-0005-0000-0000-000096680000}"/>
    <cellStyle name="Normalny 3 2 6 8 3" xfId="26357" xr:uid="{00000000-0005-0000-0000-000097680000}"/>
    <cellStyle name="Normalny 3 2 6 9" xfId="26358" xr:uid="{00000000-0005-0000-0000-000098680000}"/>
    <cellStyle name="Normalny 3 2 6 9 2" xfId="26359" xr:uid="{00000000-0005-0000-0000-000099680000}"/>
    <cellStyle name="Normalny 3 2 6 9 3" xfId="26360" xr:uid="{00000000-0005-0000-0000-00009A680000}"/>
    <cellStyle name="Normalny 3 2 7" xfId="26361" xr:uid="{00000000-0005-0000-0000-00009B680000}"/>
    <cellStyle name="Normalny 3 2 7 10" xfId="26362" xr:uid="{00000000-0005-0000-0000-00009C680000}"/>
    <cellStyle name="Normalny 3 2 7 2" xfId="26363" xr:uid="{00000000-0005-0000-0000-00009D680000}"/>
    <cellStyle name="Normalny 3 2 7 2 2" xfId="26364" xr:uid="{00000000-0005-0000-0000-00009E680000}"/>
    <cellStyle name="Normalny 3 2 7 2 3" xfId="26365" xr:uid="{00000000-0005-0000-0000-00009F680000}"/>
    <cellStyle name="Normalny 3 2 7 2 4" xfId="26366" xr:uid="{00000000-0005-0000-0000-0000A0680000}"/>
    <cellStyle name="Normalny 3 2 7 2 5" xfId="26367" xr:uid="{00000000-0005-0000-0000-0000A1680000}"/>
    <cellStyle name="Normalny 3 2 7 2 6" xfId="26368" xr:uid="{00000000-0005-0000-0000-0000A2680000}"/>
    <cellStyle name="Normalny 3 2 7 3" xfId="26369" xr:uid="{00000000-0005-0000-0000-0000A3680000}"/>
    <cellStyle name="Normalny 3 2 7 4" xfId="26370" xr:uid="{00000000-0005-0000-0000-0000A4680000}"/>
    <cellStyle name="Normalny 3 2 7 4 2" xfId="26371" xr:uid="{00000000-0005-0000-0000-0000A5680000}"/>
    <cellStyle name="Normalny 3 2 7 4 3" xfId="26372" xr:uid="{00000000-0005-0000-0000-0000A6680000}"/>
    <cellStyle name="Normalny 3 2 7 5" xfId="26373" xr:uid="{00000000-0005-0000-0000-0000A7680000}"/>
    <cellStyle name="Normalny 3 2 7 5 2" xfId="26374" xr:uid="{00000000-0005-0000-0000-0000A8680000}"/>
    <cellStyle name="Normalny 3 2 7 5 3" xfId="26375" xr:uid="{00000000-0005-0000-0000-0000A9680000}"/>
    <cellStyle name="Normalny 3 2 7 6" xfId="26376" xr:uid="{00000000-0005-0000-0000-0000AA680000}"/>
    <cellStyle name="Normalny 3 2 7 7" xfId="26377" xr:uid="{00000000-0005-0000-0000-0000AB680000}"/>
    <cellStyle name="Normalny 3 2 7 8" xfId="26378" xr:uid="{00000000-0005-0000-0000-0000AC680000}"/>
    <cellStyle name="Normalny 3 2 7 9" xfId="26379" xr:uid="{00000000-0005-0000-0000-0000AD680000}"/>
    <cellStyle name="Normalny 3 2 8" xfId="26380" xr:uid="{00000000-0005-0000-0000-0000AE680000}"/>
    <cellStyle name="Normalny 3 2 8 2" xfId="26381" xr:uid="{00000000-0005-0000-0000-0000AF680000}"/>
    <cellStyle name="Normalny 3 2 8 3" xfId="26382" xr:uid="{00000000-0005-0000-0000-0000B0680000}"/>
    <cellStyle name="Normalny 3 2 8 4" xfId="26383" xr:uid="{00000000-0005-0000-0000-0000B1680000}"/>
    <cellStyle name="Normalny 3 2 9" xfId="26384" xr:uid="{00000000-0005-0000-0000-0000B2680000}"/>
    <cellStyle name="Normalny 3 2 9 2" xfId="26385" xr:uid="{00000000-0005-0000-0000-0000B3680000}"/>
    <cellStyle name="Normalny 3 2 9 3" xfId="26386" xr:uid="{00000000-0005-0000-0000-0000B4680000}"/>
    <cellStyle name="Normalny 3 2 9 4" xfId="26387" xr:uid="{00000000-0005-0000-0000-0000B5680000}"/>
    <cellStyle name="Normalny 3 2 9 5" xfId="26388" xr:uid="{00000000-0005-0000-0000-0000B6680000}"/>
    <cellStyle name="Normalny 3 2 9 6" xfId="26389" xr:uid="{00000000-0005-0000-0000-0000B7680000}"/>
    <cellStyle name="Normalny 3 2 9 7" xfId="26390" xr:uid="{00000000-0005-0000-0000-0000B8680000}"/>
    <cellStyle name="Normalny 3 2 9 8" xfId="26391" xr:uid="{00000000-0005-0000-0000-0000B9680000}"/>
    <cellStyle name="Normalny 3 20" xfId="26392" xr:uid="{00000000-0005-0000-0000-0000BA680000}"/>
    <cellStyle name="Normalny 3 20 2" xfId="26393" xr:uid="{00000000-0005-0000-0000-0000BB680000}"/>
    <cellStyle name="Normalny 3 20 3" xfId="26394" xr:uid="{00000000-0005-0000-0000-0000BC680000}"/>
    <cellStyle name="Normalny 3 20 4" xfId="26395" xr:uid="{00000000-0005-0000-0000-0000BD680000}"/>
    <cellStyle name="Normalny 3 20 5" xfId="26396" xr:uid="{00000000-0005-0000-0000-0000BE680000}"/>
    <cellStyle name="Normalny 3 20 6" xfId="26397" xr:uid="{00000000-0005-0000-0000-0000BF680000}"/>
    <cellStyle name="Normalny 3 21" xfId="26398" xr:uid="{00000000-0005-0000-0000-0000C0680000}"/>
    <cellStyle name="Normalny 3 21 2" xfId="26399" xr:uid="{00000000-0005-0000-0000-0000C1680000}"/>
    <cellStyle name="Normalny 3 21 3" xfId="26400" xr:uid="{00000000-0005-0000-0000-0000C2680000}"/>
    <cellStyle name="Normalny 3 22" xfId="26401" xr:uid="{00000000-0005-0000-0000-0000C3680000}"/>
    <cellStyle name="Normalny 3 22 2" xfId="26402" xr:uid="{00000000-0005-0000-0000-0000C4680000}"/>
    <cellStyle name="Normalny 3 22 3" xfId="26403" xr:uid="{00000000-0005-0000-0000-0000C5680000}"/>
    <cellStyle name="Normalny 3 23" xfId="26404" xr:uid="{00000000-0005-0000-0000-0000C6680000}"/>
    <cellStyle name="Normalny 3 23 2" xfId="26405" xr:uid="{00000000-0005-0000-0000-0000C7680000}"/>
    <cellStyle name="Normalny 3 23 3" xfId="26406" xr:uid="{00000000-0005-0000-0000-0000C8680000}"/>
    <cellStyle name="Normalny 3 24" xfId="26407" xr:uid="{00000000-0005-0000-0000-0000C9680000}"/>
    <cellStyle name="Normalny 3 24 2" xfId="26408" xr:uid="{00000000-0005-0000-0000-0000CA680000}"/>
    <cellStyle name="Normalny 3 24 3" xfId="26409" xr:uid="{00000000-0005-0000-0000-0000CB680000}"/>
    <cellStyle name="Normalny 3 25" xfId="26410" xr:uid="{00000000-0005-0000-0000-0000CC680000}"/>
    <cellStyle name="Normalny 3 25 2" xfId="26411" xr:uid="{00000000-0005-0000-0000-0000CD680000}"/>
    <cellStyle name="Normalny 3 25 3" xfId="26412" xr:uid="{00000000-0005-0000-0000-0000CE680000}"/>
    <cellStyle name="Normalny 3 26" xfId="26413" xr:uid="{00000000-0005-0000-0000-0000CF680000}"/>
    <cellStyle name="Normalny 3 26 2" xfId="26414" xr:uid="{00000000-0005-0000-0000-0000D0680000}"/>
    <cellStyle name="Normalny 3 26 3" xfId="26415" xr:uid="{00000000-0005-0000-0000-0000D1680000}"/>
    <cellStyle name="Normalny 3 27" xfId="26416" xr:uid="{00000000-0005-0000-0000-0000D2680000}"/>
    <cellStyle name="Normalny 3 27 2" xfId="26417" xr:uid="{00000000-0005-0000-0000-0000D3680000}"/>
    <cellStyle name="Normalny 3 27 3" xfId="26418" xr:uid="{00000000-0005-0000-0000-0000D4680000}"/>
    <cellStyle name="Normalny 3 28" xfId="26419" xr:uid="{00000000-0005-0000-0000-0000D5680000}"/>
    <cellStyle name="Normalny 3 28 2" xfId="26420" xr:uid="{00000000-0005-0000-0000-0000D6680000}"/>
    <cellStyle name="Normalny 3 28 3" xfId="26421" xr:uid="{00000000-0005-0000-0000-0000D7680000}"/>
    <cellStyle name="Normalny 3 29" xfId="26422" xr:uid="{00000000-0005-0000-0000-0000D8680000}"/>
    <cellStyle name="Normalny 3 29 2" xfId="26423" xr:uid="{00000000-0005-0000-0000-0000D9680000}"/>
    <cellStyle name="Normalny 3 29 3" xfId="26424" xr:uid="{00000000-0005-0000-0000-0000DA680000}"/>
    <cellStyle name="Normalny 3 3" xfId="26425" xr:uid="{00000000-0005-0000-0000-0000DB680000}"/>
    <cellStyle name="Normalny 3 3 10" xfId="26426" xr:uid="{00000000-0005-0000-0000-0000DC680000}"/>
    <cellStyle name="Normalny 3 3 11" xfId="26427" xr:uid="{00000000-0005-0000-0000-0000DD680000}"/>
    <cellStyle name="Normalny 3 3 2" xfId="26428" xr:uid="{00000000-0005-0000-0000-0000DE680000}"/>
    <cellStyle name="Normalny 3 3 2 2" xfId="26429" xr:uid="{00000000-0005-0000-0000-0000DF680000}"/>
    <cellStyle name="Normalny 3 3 2 2 2" xfId="26430" xr:uid="{00000000-0005-0000-0000-0000E0680000}"/>
    <cellStyle name="Normalny 3 3 2 2 2 2" xfId="26431" xr:uid="{00000000-0005-0000-0000-0000E1680000}"/>
    <cellStyle name="Normalny 3 3 2 2 2 3" xfId="26432" xr:uid="{00000000-0005-0000-0000-0000E2680000}"/>
    <cellStyle name="Normalny 3 3 2 2 3" xfId="26433" xr:uid="{00000000-0005-0000-0000-0000E3680000}"/>
    <cellStyle name="Normalny 3 3 2 2 3 2" xfId="26434" xr:uid="{00000000-0005-0000-0000-0000E4680000}"/>
    <cellStyle name="Normalny 3 3 2 2 3 3" xfId="26435" xr:uid="{00000000-0005-0000-0000-0000E5680000}"/>
    <cellStyle name="Normalny 3 3 2 2 4" xfId="26436" xr:uid="{00000000-0005-0000-0000-0000E6680000}"/>
    <cellStyle name="Normalny 3 3 2 2 5" xfId="26437" xr:uid="{00000000-0005-0000-0000-0000E7680000}"/>
    <cellStyle name="Normalny 3 3 2 3" xfId="26438" xr:uid="{00000000-0005-0000-0000-0000E8680000}"/>
    <cellStyle name="Normalny 3 3 2 3 2" xfId="26439" xr:uid="{00000000-0005-0000-0000-0000E9680000}"/>
    <cellStyle name="Normalny 3 3 2 3 3" xfId="26440" xr:uid="{00000000-0005-0000-0000-0000EA680000}"/>
    <cellStyle name="Normalny 3 3 2 4" xfId="26441" xr:uid="{00000000-0005-0000-0000-0000EB680000}"/>
    <cellStyle name="Normalny 3 3 2 4 2" xfId="26442" xr:uid="{00000000-0005-0000-0000-0000EC680000}"/>
    <cellStyle name="Normalny 3 3 2 4 3" xfId="26443" xr:uid="{00000000-0005-0000-0000-0000ED680000}"/>
    <cellStyle name="Normalny 3 3 2 5" xfId="26444" xr:uid="{00000000-0005-0000-0000-0000EE680000}"/>
    <cellStyle name="Normalny 3 3 2 6" xfId="26445" xr:uid="{00000000-0005-0000-0000-0000EF680000}"/>
    <cellStyle name="Normalny 3 3 3" xfId="26446" xr:uid="{00000000-0005-0000-0000-0000F0680000}"/>
    <cellStyle name="Normalny 3 3 3 2" xfId="26447" xr:uid="{00000000-0005-0000-0000-0000F1680000}"/>
    <cellStyle name="Normalny 3 3 3 2 2" xfId="26448" xr:uid="{00000000-0005-0000-0000-0000F2680000}"/>
    <cellStyle name="Normalny 3 3 3 2 2 2" xfId="26449" xr:uid="{00000000-0005-0000-0000-0000F3680000}"/>
    <cellStyle name="Normalny 3 3 3 2 2 3" xfId="26450" xr:uid="{00000000-0005-0000-0000-0000F4680000}"/>
    <cellStyle name="Normalny 3 3 3 2 3" xfId="26451" xr:uid="{00000000-0005-0000-0000-0000F5680000}"/>
    <cellStyle name="Normalny 3 3 3 2 3 2" xfId="26452" xr:uid="{00000000-0005-0000-0000-0000F6680000}"/>
    <cellStyle name="Normalny 3 3 3 2 3 3" xfId="26453" xr:uid="{00000000-0005-0000-0000-0000F7680000}"/>
    <cellStyle name="Normalny 3 3 3 2 4" xfId="26454" xr:uid="{00000000-0005-0000-0000-0000F8680000}"/>
    <cellStyle name="Normalny 3 3 3 2 5" xfId="26455" xr:uid="{00000000-0005-0000-0000-0000F9680000}"/>
    <cellStyle name="Normalny 3 3 3 3" xfId="26456" xr:uid="{00000000-0005-0000-0000-0000FA680000}"/>
    <cellStyle name="Normalny 3 3 3 3 2" xfId="26457" xr:uid="{00000000-0005-0000-0000-0000FB680000}"/>
    <cellStyle name="Normalny 3 3 3 3 3" xfId="26458" xr:uid="{00000000-0005-0000-0000-0000FC680000}"/>
    <cellStyle name="Normalny 3 3 3 4" xfId="26459" xr:uid="{00000000-0005-0000-0000-0000FD680000}"/>
    <cellStyle name="Normalny 3 3 3 4 2" xfId="26460" xr:uid="{00000000-0005-0000-0000-0000FE680000}"/>
    <cellStyle name="Normalny 3 3 3 4 3" xfId="26461" xr:uid="{00000000-0005-0000-0000-0000FF680000}"/>
    <cellStyle name="Normalny 3 3 3 5" xfId="26462" xr:uid="{00000000-0005-0000-0000-000000690000}"/>
    <cellStyle name="Normalny 3 3 3 6" xfId="26463" xr:uid="{00000000-0005-0000-0000-000001690000}"/>
    <cellStyle name="Normalny 3 3 4" xfId="26464" xr:uid="{00000000-0005-0000-0000-000002690000}"/>
    <cellStyle name="Normalny 3 3 4 2" xfId="26465" xr:uid="{00000000-0005-0000-0000-000003690000}"/>
    <cellStyle name="Normalny 3 3 4 2 2" xfId="26466" xr:uid="{00000000-0005-0000-0000-000004690000}"/>
    <cellStyle name="Normalny 3 3 4 2 3" xfId="26467" xr:uid="{00000000-0005-0000-0000-000005690000}"/>
    <cellStyle name="Normalny 3 3 4 3" xfId="26468" xr:uid="{00000000-0005-0000-0000-000006690000}"/>
    <cellStyle name="Normalny 3 3 4 3 2" xfId="26469" xr:uid="{00000000-0005-0000-0000-000007690000}"/>
    <cellStyle name="Normalny 3 3 4 3 3" xfId="26470" xr:uid="{00000000-0005-0000-0000-000008690000}"/>
    <cellStyle name="Normalny 3 3 4 4" xfId="26471" xr:uid="{00000000-0005-0000-0000-000009690000}"/>
    <cellStyle name="Normalny 3 3 4 5" xfId="26472" xr:uid="{00000000-0005-0000-0000-00000A690000}"/>
    <cellStyle name="Normalny 3 3 5" xfId="26473" xr:uid="{00000000-0005-0000-0000-00000B690000}"/>
    <cellStyle name="Normalny 3 3 5 2" xfId="26474" xr:uid="{00000000-0005-0000-0000-00000C690000}"/>
    <cellStyle name="Normalny 3 3 5 3" xfId="26475" xr:uid="{00000000-0005-0000-0000-00000D690000}"/>
    <cellStyle name="Normalny 3 3 6" xfId="26476" xr:uid="{00000000-0005-0000-0000-00000E690000}"/>
    <cellStyle name="Normalny 3 3 6 2" xfId="26477" xr:uid="{00000000-0005-0000-0000-00000F690000}"/>
    <cellStyle name="Normalny 3 3 6 3" xfId="26478" xr:uid="{00000000-0005-0000-0000-000010690000}"/>
    <cellStyle name="Normalny 3 3 7" xfId="26479" xr:uid="{00000000-0005-0000-0000-000011690000}"/>
    <cellStyle name="Normalny 3 3 8" xfId="26480" xr:uid="{00000000-0005-0000-0000-000012690000}"/>
    <cellStyle name="Normalny 3 3 9" xfId="26481" xr:uid="{00000000-0005-0000-0000-000013690000}"/>
    <cellStyle name="Normalny 3 30" xfId="26482" xr:uid="{00000000-0005-0000-0000-000014690000}"/>
    <cellStyle name="Normalny 3 30 2" xfId="26483" xr:uid="{00000000-0005-0000-0000-000015690000}"/>
    <cellStyle name="Normalny 3 30 3" xfId="26484" xr:uid="{00000000-0005-0000-0000-000016690000}"/>
    <cellStyle name="Normalny 3 31" xfId="26485" xr:uid="{00000000-0005-0000-0000-000017690000}"/>
    <cellStyle name="Normalny 3 31 2" xfId="26486" xr:uid="{00000000-0005-0000-0000-000018690000}"/>
    <cellStyle name="Normalny 3 31 3" xfId="26487" xr:uid="{00000000-0005-0000-0000-000019690000}"/>
    <cellStyle name="Normalny 3 32" xfId="26488" xr:uid="{00000000-0005-0000-0000-00001A690000}"/>
    <cellStyle name="Normalny 3 32 2" xfId="26489" xr:uid="{00000000-0005-0000-0000-00001B690000}"/>
    <cellStyle name="Normalny 3 32 3" xfId="26490" xr:uid="{00000000-0005-0000-0000-00001C690000}"/>
    <cellStyle name="Normalny 3 33" xfId="26491" xr:uid="{00000000-0005-0000-0000-00001D690000}"/>
    <cellStyle name="Normalny 3 33 2" xfId="26492" xr:uid="{00000000-0005-0000-0000-00001E690000}"/>
    <cellStyle name="Normalny 3 33 3" xfId="26493" xr:uid="{00000000-0005-0000-0000-00001F690000}"/>
    <cellStyle name="Normalny 3 34" xfId="26494" xr:uid="{00000000-0005-0000-0000-000020690000}"/>
    <cellStyle name="Normalny 3 34 2" xfId="26495" xr:uid="{00000000-0005-0000-0000-000021690000}"/>
    <cellStyle name="Normalny 3 34 3" xfId="26496" xr:uid="{00000000-0005-0000-0000-000022690000}"/>
    <cellStyle name="Normalny 3 35" xfId="26497" xr:uid="{00000000-0005-0000-0000-000023690000}"/>
    <cellStyle name="Normalny 3 35 2" xfId="26498" xr:uid="{00000000-0005-0000-0000-000024690000}"/>
    <cellStyle name="Normalny 3 35 3" xfId="26499" xr:uid="{00000000-0005-0000-0000-000025690000}"/>
    <cellStyle name="Normalny 3 36" xfId="26500" xr:uid="{00000000-0005-0000-0000-000026690000}"/>
    <cellStyle name="Normalny 3 36 2" xfId="26501" xr:uid="{00000000-0005-0000-0000-000027690000}"/>
    <cellStyle name="Normalny 3 36 3" xfId="26502" xr:uid="{00000000-0005-0000-0000-000028690000}"/>
    <cellStyle name="Normalny 3 37" xfId="26503" xr:uid="{00000000-0005-0000-0000-000029690000}"/>
    <cellStyle name="Normalny 3 38" xfId="26504" xr:uid="{00000000-0005-0000-0000-00002A690000}"/>
    <cellStyle name="Normalny 3 39" xfId="26505" xr:uid="{00000000-0005-0000-0000-00002B690000}"/>
    <cellStyle name="Normalny 3 39 2" xfId="26506" xr:uid="{00000000-0005-0000-0000-00002C690000}"/>
    <cellStyle name="Normalny 3 39 3" xfId="26507" xr:uid="{00000000-0005-0000-0000-00002D690000}"/>
    <cellStyle name="Normalny 3 4" xfId="26508" xr:uid="{00000000-0005-0000-0000-00002E690000}"/>
    <cellStyle name="Normalny 3 4 10" xfId="38301" xr:uid="{00000000-0005-0000-0000-00002F690000}"/>
    <cellStyle name="Normalny 3 4 2" xfId="26509" xr:uid="{00000000-0005-0000-0000-000030690000}"/>
    <cellStyle name="Normalny 3 4 2 2" xfId="26510" xr:uid="{00000000-0005-0000-0000-000031690000}"/>
    <cellStyle name="Normalny 3 4 2 3" xfId="26511" xr:uid="{00000000-0005-0000-0000-000032690000}"/>
    <cellStyle name="Normalny 3 4 2 4" xfId="26512" xr:uid="{00000000-0005-0000-0000-000033690000}"/>
    <cellStyle name="Normalny 3 4 2 5" xfId="26513" xr:uid="{00000000-0005-0000-0000-000034690000}"/>
    <cellStyle name="Normalny 3 4 2 6" xfId="26514" xr:uid="{00000000-0005-0000-0000-000035690000}"/>
    <cellStyle name="Normalny 3 4 3" xfId="26515" xr:uid="{00000000-0005-0000-0000-000036690000}"/>
    <cellStyle name="Normalny 3 4 4" xfId="26516" xr:uid="{00000000-0005-0000-0000-000037690000}"/>
    <cellStyle name="Normalny 3 4 5" xfId="26517" xr:uid="{00000000-0005-0000-0000-000038690000}"/>
    <cellStyle name="Normalny 3 4 6" xfId="26518" xr:uid="{00000000-0005-0000-0000-000039690000}"/>
    <cellStyle name="Normalny 3 4 7" xfId="26519" xr:uid="{00000000-0005-0000-0000-00003A690000}"/>
    <cellStyle name="Normalny 3 4 8" xfId="26520" xr:uid="{00000000-0005-0000-0000-00003B690000}"/>
    <cellStyle name="Normalny 3 4 9" xfId="26521" xr:uid="{00000000-0005-0000-0000-00003C690000}"/>
    <cellStyle name="Normalny 3 40" xfId="26522" xr:uid="{00000000-0005-0000-0000-00003D690000}"/>
    <cellStyle name="Normalny 3 40 2" xfId="26523" xr:uid="{00000000-0005-0000-0000-00003E690000}"/>
    <cellStyle name="Normalny 3 40 3" xfId="26524" xr:uid="{00000000-0005-0000-0000-00003F690000}"/>
    <cellStyle name="Normalny 3 41" xfId="26525" xr:uid="{00000000-0005-0000-0000-000040690000}"/>
    <cellStyle name="Normalny 3 42" xfId="26526" xr:uid="{00000000-0005-0000-0000-000041690000}"/>
    <cellStyle name="Normalny 3 43" xfId="26527" xr:uid="{00000000-0005-0000-0000-000042690000}"/>
    <cellStyle name="Normalny 3 44" xfId="25733" xr:uid="{00000000-0005-0000-0000-000043690000}"/>
    <cellStyle name="Normalny 3 45" xfId="38302" xr:uid="{00000000-0005-0000-0000-000044690000}"/>
    <cellStyle name="Normalny 3 5" xfId="26528" xr:uid="{00000000-0005-0000-0000-000045690000}"/>
    <cellStyle name="Normalny 3 5 10" xfId="38303" xr:uid="{00000000-0005-0000-0000-000046690000}"/>
    <cellStyle name="Normalny 3 5 2" xfId="26529" xr:uid="{00000000-0005-0000-0000-000047690000}"/>
    <cellStyle name="Normalny 3 5 2 2" xfId="26530" xr:uid="{00000000-0005-0000-0000-000048690000}"/>
    <cellStyle name="Normalny 3 5 2 3" xfId="26531" xr:uid="{00000000-0005-0000-0000-000049690000}"/>
    <cellStyle name="Normalny 3 5 2 4" xfId="26532" xr:uid="{00000000-0005-0000-0000-00004A690000}"/>
    <cellStyle name="Normalny 3 5 2 5" xfId="26533" xr:uid="{00000000-0005-0000-0000-00004B690000}"/>
    <cellStyle name="Normalny 3 5 2 6" xfId="26534" xr:uid="{00000000-0005-0000-0000-00004C690000}"/>
    <cellStyle name="Normalny 3 5 3" xfId="26535" xr:uid="{00000000-0005-0000-0000-00004D690000}"/>
    <cellStyle name="Normalny 3 5 4" xfId="26536" xr:uid="{00000000-0005-0000-0000-00004E690000}"/>
    <cellStyle name="Normalny 3 5 5" xfId="26537" xr:uid="{00000000-0005-0000-0000-00004F690000}"/>
    <cellStyle name="Normalny 3 5 6" xfId="26538" xr:uid="{00000000-0005-0000-0000-000050690000}"/>
    <cellStyle name="Normalny 3 5 7" xfId="26539" xr:uid="{00000000-0005-0000-0000-000051690000}"/>
    <cellStyle name="Normalny 3 5 8" xfId="26540" xr:uid="{00000000-0005-0000-0000-000052690000}"/>
    <cellStyle name="Normalny 3 5 9" xfId="26541" xr:uid="{00000000-0005-0000-0000-000053690000}"/>
    <cellStyle name="Normalny 3 6" xfId="26542" xr:uid="{00000000-0005-0000-0000-000054690000}"/>
    <cellStyle name="Normalny 3 6 10" xfId="38304" xr:uid="{00000000-0005-0000-0000-000055690000}"/>
    <cellStyle name="Normalny 3 6 2" xfId="26543" xr:uid="{00000000-0005-0000-0000-000056690000}"/>
    <cellStyle name="Normalny 3 6 2 2" xfId="26544" xr:uid="{00000000-0005-0000-0000-000057690000}"/>
    <cellStyle name="Normalny 3 6 2 3" xfId="26545" xr:uid="{00000000-0005-0000-0000-000058690000}"/>
    <cellStyle name="Normalny 3 6 2 4" xfId="26546" xr:uid="{00000000-0005-0000-0000-000059690000}"/>
    <cellStyle name="Normalny 3 6 2 5" xfId="26547" xr:uid="{00000000-0005-0000-0000-00005A690000}"/>
    <cellStyle name="Normalny 3 6 2 6" xfId="26548" xr:uid="{00000000-0005-0000-0000-00005B690000}"/>
    <cellStyle name="Normalny 3 6 3" xfId="26549" xr:uid="{00000000-0005-0000-0000-00005C690000}"/>
    <cellStyle name="Normalny 3 6 4" xfId="26550" xr:uid="{00000000-0005-0000-0000-00005D690000}"/>
    <cellStyle name="Normalny 3 6 5" xfId="26551" xr:uid="{00000000-0005-0000-0000-00005E690000}"/>
    <cellStyle name="Normalny 3 6 6" xfId="26552" xr:uid="{00000000-0005-0000-0000-00005F690000}"/>
    <cellStyle name="Normalny 3 6 7" xfId="26553" xr:uid="{00000000-0005-0000-0000-000060690000}"/>
    <cellStyle name="Normalny 3 6 8" xfId="26554" xr:uid="{00000000-0005-0000-0000-000061690000}"/>
    <cellStyle name="Normalny 3 6 9" xfId="26555" xr:uid="{00000000-0005-0000-0000-000062690000}"/>
    <cellStyle name="Normalny 3 7" xfId="26556" xr:uid="{00000000-0005-0000-0000-000063690000}"/>
    <cellStyle name="Normalny 3 7 10" xfId="38305" xr:uid="{00000000-0005-0000-0000-000064690000}"/>
    <cellStyle name="Normalny 3 7 2" xfId="26557" xr:uid="{00000000-0005-0000-0000-000065690000}"/>
    <cellStyle name="Normalny 3 7 2 2" xfId="26558" xr:uid="{00000000-0005-0000-0000-000066690000}"/>
    <cellStyle name="Normalny 3 7 2 3" xfId="26559" xr:uid="{00000000-0005-0000-0000-000067690000}"/>
    <cellStyle name="Normalny 3 7 2 4" xfId="26560" xr:uid="{00000000-0005-0000-0000-000068690000}"/>
    <cellStyle name="Normalny 3 7 2 5" xfId="26561" xr:uid="{00000000-0005-0000-0000-000069690000}"/>
    <cellStyle name="Normalny 3 7 2 6" xfId="26562" xr:uid="{00000000-0005-0000-0000-00006A690000}"/>
    <cellStyle name="Normalny 3 7 3" xfId="26563" xr:uid="{00000000-0005-0000-0000-00006B690000}"/>
    <cellStyle name="Normalny 3 7 4" xfId="26564" xr:uid="{00000000-0005-0000-0000-00006C690000}"/>
    <cellStyle name="Normalny 3 7 5" xfId="26565" xr:uid="{00000000-0005-0000-0000-00006D690000}"/>
    <cellStyle name="Normalny 3 7 6" xfId="26566" xr:uid="{00000000-0005-0000-0000-00006E690000}"/>
    <cellStyle name="Normalny 3 7 7" xfId="26567" xr:uid="{00000000-0005-0000-0000-00006F690000}"/>
    <cellStyle name="Normalny 3 7 8" xfId="26568" xr:uid="{00000000-0005-0000-0000-000070690000}"/>
    <cellStyle name="Normalny 3 7 9" xfId="26569" xr:uid="{00000000-0005-0000-0000-000071690000}"/>
    <cellStyle name="Normalny 3 8" xfId="26570" xr:uid="{00000000-0005-0000-0000-000072690000}"/>
    <cellStyle name="Normalny 3 8 2" xfId="26571" xr:uid="{00000000-0005-0000-0000-000073690000}"/>
    <cellStyle name="Normalny 3 8 2 2" xfId="26572" xr:uid="{00000000-0005-0000-0000-000074690000}"/>
    <cellStyle name="Normalny 3 8 2 2 2" xfId="26573" xr:uid="{00000000-0005-0000-0000-000075690000}"/>
    <cellStyle name="Normalny 3 8 2 2 3" xfId="26574" xr:uid="{00000000-0005-0000-0000-000076690000}"/>
    <cellStyle name="Normalny 3 8 2 3" xfId="26575" xr:uid="{00000000-0005-0000-0000-000077690000}"/>
    <cellStyle name="Normalny 3 8 2 3 2" xfId="26576" xr:uid="{00000000-0005-0000-0000-000078690000}"/>
    <cellStyle name="Normalny 3 8 2 3 3" xfId="26577" xr:uid="{00000000-0005-0000-0000-000079690000}"/>
    <cellStyle name="Normalny 3 8 2 4" xfId="26578" xr:uid="{00000000-0005-0000-0000-00007A690000}"/>
    <cellStyle name="Normalny 3 8 2 5" xfId="26579" xr:uid="{00000000-0005-0000-0000-00007B690000}"/>
    <cellStyle name="Normalny 3 8 2 6" xfId="26580" xr:uid="{00000000-0005-0000-0000-00007C690000}"/>
    <cellStyle name="Normalny 3 8 2 7" xfId="26581" xr:uid="{00000000-0005-0000-0000-00007D690000}"/>
    <cellStyle name="Normalny 3 8 2 8" xfId="26582" xr:uid="{00000000-0005-0000-0000-00007E690000}"/>
    <cellStyle name="Normalny 3 8 3" xfId="26583" xr:uid="{00000000-0005-0000-0000-00007F690000}"/>
    <cellStyle name="Normalny 3 8 3 2" xfId="26584" xr:uid="{00000000-0005-0000-0000-000080690000}"/>
    <cellStyle name="Normalny 3 8 3 3" xfId="26585" xr:uid="{00000000-0005-0000-0000-000081690000}"/>
    <cellStyle name="Normalny 3 8 4" xfId="26586" xr:uid="{00000000-0005-0000-0000-000082690000}"/>
    <cellStyle name="Normalny 3 8 4 2" xfId="26587" xr:uid="{00000000-0005-0000-0000-000083690000}"/>
    <cellStyle name="Normalny 3 8 4 3" xfId="26588" xr:uid="{00000000-0005-0000-0000-000084690000}"/>
    <cellStyle name="Normalny 3 8 5" xfId="26589" xr:uid="{00000000-0005-0000-0000-000085690000}"/>
    <cellStyle name="Normalny 3 8 6" xfId="26590" xr:uid="{00000000-0005-0000-0000-000086690000}"/>
    <cellStyle name="Normalny 3 8 7" xfId="26591" xr:uid="{00000000-0005-0000-0000-000087690000}"/>
    <cellStyle name="Normalny 3 8 8" xfId="26592" xr:uid="{00000000-0005-0000-0000-000088690000}"/>
    <cellStyle name="Normalny 3 8 9" xfId="26593" xr:uid="{00000000-0005-0000-0000-000089690000}"/>
    <cellStyle name="Normalny 3 9" xfId="26594" xr:uid="{00000000-0005-0000-0000-00008A690000}"/>
    <cellStyle name="Normalny 3 9 2" xfId="26595" xr:uid="{00000000-0005-0000-0000-00008B690000}"/>
    <cellStyle name="Normalny 3 9 2 2" xfId="26596" xr:uid="{00000000-0005-0000-0000-00008C690000}"/>
    <cellStyle name="Normalny 3 9 2 3" xfId="26597" xr:uid="{00000000-0005-0000-0000-00008D690000}"/>
    <cellStyle name="Normalny 3 9 2 4" xfId="26598" xr:uid="{00000000-0005-0000-0000-00008E690000}"/>
    <cellStyle name="Normalny 3 9 2 5" xfId="26599" xr:uid="{00000000-0005-0000-0000-00008F690000}"/>
    <cellStyle name="Normalny 3 9 2 6" xfId="26600" xr:uid="{00000000-0005-0000-0000-000090690000}"/>
    <cellStyle name="Normalny 3 9 3" xfId="26601" xr:uid="{00000000-0005-0000-0000-000091690000}"/>
    <cellStyle name="Normalny 3 9 4" xfId="26602" xr:uid="{00000000-0005-0000-0000-000092690000}"/>
    <cellStyle name="Normalny 3 9 5" xfId="26603" xr:uid="{00000000-0005-0000-0000-000093690000}"/>
    <cellStyle name="Normalny 3 9 6" xfId="26604" xr:uid="{00000000-0005-0000-0000-000094690000}"/>
    <cellStyle name="Normalny 3 9 7" xfId="26605" xr:uid="{00000000-0005-0000-0000-000095690000}"/>
    <cellStyle name="Normalny 3 9 8" xfId="26606" xr:uid="{00000000-0005-0000-0000-000096690000}"/>
    <cellStyle name="Normalny 3 9 9" xfId="26607" xr:uid="{00000000-0005-0000-0000-000097690000}"/>
    <cellStyle name="Normalny 30" xfId="26608" xr:uid="{00000000-0005-0000-0000-000098690000}"/>
    <cellStyle name="Normalny 30 10" xfId="38306" xr:uid="{00000000-0005-0000-0000-000099690000}"/>
    <cellStyle name="Normalny 30 10 2" xfId="38307" xr:uid="{00000000-0005-0000-0000-00009A690000}"/>
    <cellStyle name="Normalny 30 11" xfId="38308" xr:uid="{00000000-0005-0000-0000-00009B690000}"/>
    <cellStyle name="Normalny 30 11 2" xfId="38309" xr:uid="{00000000-0005-0000-0000-00009C690000}"/>
    <cellStyle name="Normalny 30 12" xfId="38310" xr:uid="{00000000-0005-0000-0000-00009D690000}"/>
    <cellStyle name="Normalny 30 12 2" xfId="38311" xr:uid="{00000000-0005-0000-0000-00009E690000}"/>
    <cellStyle name="Normalny 30 12 2 2" xfId="38312" xr:uid="{00000000-0005-0000-0000-00009F690000}"/>
    <cellStyle name="Normalny 30 12 3" xfId="38313" xr:uid="{00000000-0005-0000-0000-0000A0690000}"/>
    <cellStyle name="Normalny 30 12 3 2" xfId="38314" xr:uid="{00000000-0005-0000-0000-0000A1690000}"/>
    <cellStyle name="Normalny 30 12 4" xfId="38315" xr:uid="{00000000-0005-0000-0000-0000A2690000}"/>
    <cellStyle name="Normalny 30 12 4 2" xfId="38316" xr:uid="{00000000-0005-0000-0000-0000A3690000}"/>
    <cellStyle name="Normalny 30 12 5" xfId="38317" xr:uid="{00000000-0005-0000-0000-0000A4690000}"/>
    <cellStyle name="Normalny 30 12 5 2" xfId="38318" xr:uid="{00000000-0005-0000-0000-0000A5690000}"/>
    <cellStyle name="Normalny 30 12 6" xfId="38319" xr:uid="{00000000-0005-0000-0000-0000A6690000}"/>
    <cellStyle name="Normalny 30 12 6 2" xfId="38320" xr:uid="{00000000-0005-0000-0000-0000A7690000}"/>
    <cellStyle name="Normalny 30 12 7" xfId="38321" xr:uid="{00000000-0005-0000-0000-0000A8690000}"/>
    <cellStyle name="Normalny 30 13" xfId="38322" xr:uid="{00000000-0005-0000-0000-0000A9690000}"/>
    <cellStyle name="Normalny 30 13 2" xfId="38323" xr:uid="{00000000-0005-0000-0000-0000AA690000}"/>
    <cellStyle name="Normalny 30 14" xfId="38324" xr:uid="{00000000-0005-0000-0000-0000AB690000}"/>
    <cellStyle name="Normalny 30 2" xfId="38325" xr:uid="{00000000-0005-0000-0000-0000AC690000}"/>
    <cellStyle name="Normalny 30 2 2" xfId="38326" xr:uid="{00000000-0005-0000-0000-0000AD690000}"/>
    <cellStyle name="Normalny 30 3" xfId="38327" xr:uid="{00000000-0005-0000-0000-0000AE690000}"/>
    <cellStyle name="Normalny 30 3 2" xfId="38328" xr:uid="{00000000-0005-0000-0000-0000AF690000}"/>
    <cellStyle name="Normalny 30 4" xfId="38329" xr:uid="{00000000-0005-0000-0000-0000B0690000}"/>
    <cellStyle name="Normalny 30 4 2" xfId="38330" xr:uid="{00000000-0005-0000-0000-0000B1690000}"/>
    <cellStyle name="Normalny 30 5" xfId="38331" xr:uid="{00000000-0005-0000-0000-0000B2690000}"/>
    <cellStyle name="Normalny 30 5 2" xfId="38332" xr:uid="{00000000-0005-0000-0000-0000B3690000}"/>
    <cellStyle name="Normalny 30 6" xfId="38333" xr:uid="{00000000-0005-0000-0000-0000B4690000}"/>
    <cellStyle name="Normalny 30 6 2" xfId="38334" xr:uid="{00000000-0005-0000-0000-0000B5690000}"/>
    <cellStyle name="Normalny 30 7" xfId="38335" xr:uid="{00000000-0005-0000-0000-0000B6690000}"/>
    <cellStyle name="Normalny 30 7 2" xfId="38336" xr:uid="{00000000-0005-0000-0000-0000B7690000}"/>
    <cellStyle name="Normalny 30 8" xfId="38337" xr:uid="{00000000-0005-0000-0000-0000B8690000}"/>
    <cellStyle name="Normalny 30 8 2" xfId="38338" xr:uid="{00000000-0005-0000-0000-0000B9690000}"/>
    <cellStyle name="Normalny 30 9" xfId="38339" xr:uid="{00000000-0005-0000-0000-0000BA690000}"/>
    <cellStyle name="Normalny 30 9 2" xfId="38340" xr:uid="{00000000-0005-0000-0000-0000BB690000}"/>
    <cellStyle name="Normalny 31" xfId="26609" xr:uid="{00000000-0005-0000-0000-0000BC690000}"/>
    <cellStyle name="Normalny 31 2" xfId="38341" xr:uid="{00000000-0005-0000-0000-0000BD690000}"/>
    <cellStyle name="Normalny 31 2 2" xfId="38342" xr:uid="{00000000-0005-0000-0000-0000BE690000}"/>
    <cellStyle name="Normalny 31 3" xfId="38343" xr:uid="{00000000-0005-0000-0000-0000BF690000}"/>
    <cellStyle name="Normalny 31 4" xfId="38344" xr:uid="{00000000-0005-0000-0000-0000C0690000}"/>
    <cellStyle name="Normalny 32" xfId="26610" xr:uid="{00000000-0005-0000-0000-0000C1690000}"/>
    <cellStyle name="Normalny 32 2" xfId="38345" xr:uid="{00000000-0005-0000-0000-0000C2690000}"/>
    <cellStyle name="Normalny 32 2 2" xfId="38346" xr:uid="{00000000-0005-0000-0000-0000C3690000}"/>
    <cellStyle name="Normalny 32 3" xfId="38347" xr:uid="{00000000-0005-0000-0000-0000C4690000}"/>
    <cellStyle name="Normalny 33" xfId="26611" xr:uid="{00000000-0005-0000-0000-0000C5690000}"/>
    <cellStyle name="Normalny 33 2" xfId="38348" xr:uid="{00000000-0005-0000-0000-0000C6690000}"/>
    <cellStyle name="Normalny 33 2 2" xfId="38349" xr:uid="{00000000-0005-0000-0000-0000C7690000}"/>
    <cellStyle name="Normalny 33 3" xfId="38350" xr:uid="{00000000-0005-0000-0000-0000C8690000}"/>
    <cellStyle name="Normalny 33 4" xfId="38351" xr:uid="{00000000-0005-0000-0000-0000C9690000}"/>
    <cellStyle name="Normalny 34" xfId="26612" xr:uid="{00000000-0005-0000-0000-0000CA690000}"/>
    <cellStyle name="Normalny 34 2" xfId="38352" xr:uid="{00000000-0005-0000-0000-0000CB690000}"/>
    <cellStyle name="Normalny 34 3" xfId="38353" xr:uid="{00000000-0005-0000-0000-0000CC690000}"/>
    <cellStyle name="Normalny 35" xfId="26613" xr:uid="{00000000-0005-0000-0000-0000CD690000}"/>
    <cellStyle name="Normalny 35 2" xfId="38354" xr:uid="{00000000-0005-0000-0000-0000CE690000}"/>
    <cellStyle name="Normalny 35 3" xfId="38355" xr:uid="{00000000-0005-0000-0000-0000CF690000}"/>
    <cellStyle name="Normalny 36" xfId="26614" xr:uid="{00000000-0005-0000-0000-0000D0690000}"/>
    <cellStyle name="Normalny 36 2" xfId="38356" xr:uid="{00000000-0005-0000-0000-0000D1690000}"/>
    <cellStyle name="Normalny 36 3" xfId="38357" xr:uid="{00000000-0005-0000-0000-0000D2690000}"/>
    <cellStyle name="Normalny 37" xfId="26615" xr:uid="{00000000-0005-0000-0000-0000D3690000}"/>
    <cellStyle name="Normalny 37 2" xfId="38358" xr:uid="{00000000-0005-0000-0000-0000D4690000}"/>
    <cellStyle name="Normalny 37 3" xfId="38359" xr:uid="{00000000-0005-0000-0000-0000D5690000}"/>
    <cellStyle name="Normalny 38" xfId="26616" xr:uid="{00000000-0005-0000-0000-0000D6690000}"/>
    <cellStyle name="Normalny 38 2" xfId="38360" xr:uid="{00000000-0005-0000-0000-0000D7690000}"/>
    <cellStyle name="Normalny 38 3" xfId="38361" xr:uid="{00000000-0005-0000-0000-0000D8690000}"/>
    <cellStyle name="Normalny 39" xfId="26617" xr:uid="{00000000-0005-0000-0000-0000D9690000}"/>
    <cellStyle name="Normalny 39 2" xfId="38362" xr:uid="{00000000-0005-0000-0000-0000DA690000}"/>
    <cellStyle name="Normalny 4" xfId="310" xr:uid="{00000000-0005-0000-0000-0000DB690000}"/>
    <cellStyle name="Normalny 4 10" xfId="26618" xr:uid="{00000000-0005-0000-0000-0000DC690000}"/>
    <cellStyle name="Normalny 4 10 2" xfId="26619" xr:uid="{00000000-0005-0000-0000-0000DD690000}"/>
    <cellStyle name="Normalny 4 10 2 2" xfId="26620" xr:uid="{00000000-0005-0000-0000-0000DE690000}"/>
    <cellStyle name="Normalny 4 10 2 3" xfId="26621" xr:uid="{00000000-0005-0000-0000-0000DF690000}"/>
    <cellStyle name="Normalny 4 10 2 4" xfId="26622" xr:uid="{00000000-0005-0000-0000-0000E0690000}"/>
    <cellStyle name="Normalny 4 10 2 5" xfId="26623" xr:uid="{00000000-0005-0000-0000-0000E1690000}"/>
    <cellStyle name="Normalny 4 10 2 6" xfId="26624" xr:uid="{00000000-0005-0000-0000-0000E2690000}"/>
    <cellStyle name="Normalny 4 10 3" xfId="26625" xr:uid="{00000000-0005-0000-0000-0000E3690000}"/>
    <cellStyle name="Normalny 4 10 4" xfId="26626" xr:uid="{00000000-0005-0000-0000-0000E4690000}"/>
    <cellStyle name="Normalny 4 10 4 2" xfId="26627" xr:uid="{00000000-0005-0000-0000-0000E5690000}"/>
    <cellStyle name="Normalny 4 10 4 3" xfId="26628" xr:uid="{00000000-0005-0000-0000-0000E6690000}"/>
    <cellStyle name="Normalny 4 10 5" xfId="26629" xr:uid="{00000000-0005-0000-0000-0000E7690000}"/>
    <cellStyle name="Normalny 4 10 5 2" xfId="26630" xr:uid="{00000000-0005-0000-0000-0000E8690000}"/>
    <cellStyle name="Normalny 4 10 5 3" xfId="26631" xr:uid="{00000000-0005-0000-0000-0000E9690000}"/>
    <cellStyle name="Normalny 4 10 6" xfId="26632" xr:uid="{00000000-0005-0000-0000-0000EA690000}"/>
    <cellStyle name="Normalny 4 10 7" xfId="26633" xr:uid="{00000000-0005-0000-0000-0000EB690000}"/>
    <cellStyle name="Normalny 4 10 8" xfId="38363" xr:uid="{00000000-0005-0000-0000-0000EC690000}"/>
    <cellStyle name="Normalny 4 11" xfId="26634" xr:uid="{00000000-0005-0000-0000-0000ED690000}"/>
    <cellStyle name="Normalny 4 11 2" xfId="26635" xr:uid="{00000000-0005-0000-0000-0000EE690000}"/>
    <cellStyle name="Normalny 4 11 3" xfId="26636" xr:uid="{00000000-0005-0000-0000-0000EF690000}"/>
    <cellStyle name="Normalny 4 12" xfId="26637" xr:uid="{00000000-0005-0000-0000-0000F0690000}"/>
    <cellStyle name="Normalny 4 12 2" xfId="26638" xr:uid="{00000000-0005-0000-0000-0000F1690000}"/>
    <cellStyle name="Normalny 4 12 3" xfId="26639" xr:uid="{00000000-0005-0000-0000-0000F2690000}"/>
    <cellStyle name="Normalny 4 13" xfId="26640" xr:uid="{00000000-0005-0000-0000-0000F3690000}"/>
    <cellStyle name="Normalny 4 13 2" xfId="26641" xr:uid="{00000000-0005-0000-0000-0000F4690000}"/>
    <cellStyle name="Normalny 4 13 3" xfId="26642" xr:uid="{00000000-0005-0000-0000-0000F5690000}"/>
    <cellStyle name="Normalny 4 14" xfId="26643" xr:uid="{00000000-0005-0000-0000-0000F6690000}"/>
    <cellStyle name="Normalny 4 14 2" xfId="26644" xr:uid="{00000000-0005-0000-0000-0000F7690000}"/>
    <cellStyle name="Normalny 4 14 3" xfId="26645" xr:uid="{00000000-0005-0000-0000-0000F8690000}"/>
    <cellStyle name="Normalny 4 15" xfId="26646" xr:uid="{00000000-0005-0000-0000-0000F9690000}"/>
    <cellStyle name="Normalny 4 15 2" xfId="26647" xr:uid="{00000000-0005-0000-0000-0000FA690000}"/>
    <cellStyle name="Normalny 4 15 3" xfId="26648" xr:uid="{00000000-0005-0000-0000-0000FB690000}"/>
    <cellStyle name="Normalny 4 16" xfId="26649" xr:uid="{00000000-0005-0000-0000-0000FC690000}"/>
    <cellStyle name="Normalny 4 16 2" xfId="26650" xr:uid="{00000000-0005-0000-0000-0000FD690000}"/>
    <cellStyle name="Normalny 4 16 3" xfId="26651" xr:uid="{00000000-0005-0000-0000-0000FE690000}"/>
    <cellStyle name="Normalny 4 17" xfId="26652" xr:uid="{00000000-0005-0000-0000-0000FF690000}"/>
    <cellStyle name="Normalny 4 17 2" xfId="26653" xr:uid="{00000000-0005-0000-0000-0000006A0000}"/>
    <cellStyle name="Normalny 4 17 3" xfId="26654" xr:uid="{00000000-0005-0000-0000-0000016A0000}"/>
    <cellStyle name="Normalny 4 18" xfId="26655" xr:uid="{00000000-0005-0000-0000-0000026A0000}"/>
    <cellStyle name="Normalny 4 19" xfId="26656" xr:uid="{00000000-0005-0000-0000-0000036A0000}"/>
    <cellStyle name="Normalny 4 2" xfId="311" xr:uid="{00000000-0005-0000-0000-0000046A0000}"/>
    <cellStyle name="Normalny 4 2 10" xfId="26658" xr:uid="{00000000-0005-0000-0000-0000056A0000}"/>
    <cellStyle name="Normalny 4 2 11" xfId="26659" xr:uid="{00000000-0005-0000-0000-0000066A0000}"/>
    <cellStyle name="Normalny 4 2 12" xfId="26660" xr:uid="{00000000-0005-0000-0000-0000076A0000}"/>
    <cellStyle name="Normalny 4 2 13" xfId="26657" xr:uid="{00000000-0005-0000-0000-0000086A0000}"/>
    <cellStyle name="Normalny 4 2 2" xfId="26661" xr:uid="{00000000-0005-0000-0000-0000096A0000}"/>
    <cellStyle name="Normalny 4 2 2 2" xfId="26662" xr:uid="{00000000-0005-0000-0000-00000A6A0000}"/>
    <cellStyle name="Normalny 4 2 2 2 2" xfId="26663" xr:uid="{00000000-0005-0000-0000-00000B6A0000}"/>
    <cellStyle name="Normalny 4 2 2 2 2 2" xfId="38364" xr:uid="{00000000-0005-0000-0000-00000C6A0000}"/>
    <cellStyle name="Normalny 4 2 2 2 2 3" xfId="38365" xr:uid="{00000000-0005-0000-0000-00000D6A0000}"/>
    <cellStyle name="Normalny 4 2 2 2 3" xfId="26664" xr:uid="{00000000-0005-0000-0000-00000E6A0000}"/>
    <cellStyle name="Normalny 4 2 2 2 3 2" xfId="38366" xr:uid="{00000000-0005-0000-0000-00000F6A0000}"/>
    <cellStyle name="Normalny 4 2 2 2 4" xfId="38367" xr:uid="{00000000-0005-0000-0000-0000106A0000}"/>
    <cellStyle name="Normalny 4 2 2 3" xfId="26665" xr:uid="{00000000-0005-0000-0000-0000116A0000}"/>
    <cellStyle name="Normalny 4 2 2 3 2" xfId="26666" xr:uid="{00000000-0005-0000-0000-0000126A0000}"/>
    <cellStyle name="Normalny 4 2 2 3 2 2" xfId="38368" xr:uid="{00000000-0005-0000-0000-0000136A0000}"/>
    <cellStyle name="Normalny 4 2 2 3 3" xfId="26667" xr:uid="{00000000-0005-0000-0000-0000146A0000}"/>
    <cellStyle name="Normalny 4 2 2 3 4" xfId="38369" xr:uid="{00000000-0005-0000-0000-0000156A0000}"/>
    <cellStyle name="Normalny 4 2 2 4" xfId="26668" xr:uid="{00000000-0005-0000-0000-0000166A0000}"/>
    <cellStyle name="Normalny 4 2 2 4 2" xfId="26669" xr:uid="{00000000-0005-0000-0000-0000176A0000}"/>
    <cellStyle name="Normalny 4 2 2 4 3" xfId="26670" xr:uid="{00000000-0005-0000-0000-0000186A0000}"/>
    <cellStyle name="Normalny 4 2 2 4 4" xfId="38370" xr:uid="{00000000-0005-0000-0000-0000196A0000}"/>
    <cellStyle name="Normalny 4 2 2 5" xfId="26671" xr:uid="{00000000-0005-0000-0000-00001A6A0000}"/>
    <cellStyle name="Normalny 4 2 2 6" xfId="26672" xr:uid="{00000000-0005-0000-0000-00001B6A0000}"/>
    <cellStyle name="Normalny 4 2 2 7" xfId="38371" xr:uid="{00000000-0005-0000-0000-00001C6A0000}"/>
    <cellStyle name="Normalny 4 2 3" xfId="26673" xr:uid="{00000000-0005-0000-0000-00001D6A0000}"/>
    <cellStyle name="Normalny 4 2 3 2" xfId="26674" xr:uid="{00000000-0005-0000-0000-00001E6A0000}"/>
    <cellStyle name="Normalny 4 2 3 2 2" xfId="38372" xr:uid="{00000000-0005-0000-0000-00001F6A0000}"/>
    <cellStyle name="Normalny 4 2 3 2 3" xfId="38373" xr:uid="{00000000-0005-0000-0000-0000206A0000}"/>
    <cellStyle name="Normalny 4 2 3 3" xfId="26675" xr:uid="{00000000-0005-0000-0000-0000216A0000}"/>
    <cellStyle name="Normalny 4 2 3 3 2" xfId="38374" xr:uid="{00000000-0005-0000-0000-0000226A0000}"/>
    <cellStyle name="Normalny 4 2 3 4" xfId="26676" xr:uid="{00000000-0005-0000-0000-0000236A0000}"/>
    <cellStyle name="Normalny 4 2 3 5" xfId="38375" xr:uid="{00000000-0005-0000-0000-0000246A0000}"/>
    <cellStyle name="Normalny 4 2 4" xfId="26677" xr:uid="{00000000-0005-0000-0000-0000256A0000}"/>
    <cellStyle name="Normalny 4 2 4 2" xfId="26678" xr:uid="{00000000-0005-0000-0000-0000266A0000}"/>
    <cellStyle name="Normalny 4 2 4 2 2" xfId="38376" xr:uid="{00000000-0005-0000-0000-0000276A0000}"/>
    <cellStyle name="Normalny 4 2 4 3" xfId="26679" xr:uid="{00000000-0005-0000-0000-0000286A0000}"/>
    <cellStyle name="Normalny 4 2 4 4" xfId="26680" xr:uid="{00000000-0005-0000-0000-0000296A0000}"/>
    <cellStyle name="Normalny 4 2 4 5" xfId="38377" xr:uid="{00000000-0005-0000-0000-00002A6A0000}"/>
    <cellStyle name="Normalny 4 2 5" xfId="26681" xr:uid="{00000000-0005-0000-0000-00002B6A0000}"/>
    <cellStyle name="Normalny 4 2 5 2" xfId="26682" xr:uid="{00000000-0005-0000-0000-00002C6A0000}"/>
    <cellStyle name="Normalny 4 2 5 3" xfId="26683" xr:uid="{00000000-0005-0000-0000-00002D6A0000}"/>
    <cellStyle name="Normalny 4 2 5 4" xfId="26684" xr:uid="{00000000-0005-0000-0000-00002E6A0000}"/>
    <cellStyle name="Normalny 4 2 5 5" xfId="38378" xr:uid="{00000000-0005-0000-0000-00002F6A0000}"/>
    <cellStyle name="Normalny 4 2 6" xfId="26685" xr:uid="{00000000-0005-0000-0000-0000306A0000}"/>
    <cellStyle name="Normalny 4 2 6 2" xfId="26686" xr:uid="{00000000-0005-0000-0000-0000316A0000}"/>
    <cellStyle name="Normalny 4 2 6 3" xfId="26687" xr:uid="{00000000-0005-0000-0000-0000326A0000}"/>
    <cellStyle name="Normalny 4 2 6 4" xfId="26688" xr:uid="{00000000-0005-0000-0000-0000336A0000}"/>
    <cellStyle name="Normalny 4 2 7" xfId="26689" xr:uid="{00000000-0005-0000-0000-0000346A0000}"/>
    <cellStyle name="Normalny 4 2 7 2" xfId="26690" xr:uid="{00000000-0005-0000-0000-0000356A0000}"/>
    <cellStyle name="Normalny 4 2 7 3" xfId="26691" xr:uid="{00000000-0005-0000-0000-0000366A0000}"/>
    <cellStyle name="Normalny 4 2 7 4" xfId="26692" xr:uid="{00000000-0005-0000-0000-0000376A0000}"/>
    <cellStyle name="Normalny 4 2 7 5" xfId="26693" xr:uid="{00000000-0005-0000-0000-0000386A0000}"/>
    <cellStyle name="Normalny 4 2 7 6" xfId="26694" xr:uid="{00000000-0005-0000-0000-0000396A0000}"/>
    <cellStyle name="Normalny 4 2 8" xfId="26695" xr:uid="{00000000-0005-0000-0000-00003A6A0000}"/>
    <cellStyle name="Normalny 4 2 8 2" xfId="26696" xr:uid="{00000000-0005-0000-0000-00003B6A0000}"/>
    <cellStyle name="Normalny 4 2 8 3" xfId="26697" xr:uid="{00000000-0005-0000-0000-00003C6A0000}"/>
    <cellStyle name="Normalny 4 2 9" xfId="26698" xr:uid="{00000000-0005-0000-0000-00003D6A0000}"/>
    <cellStyle name="Normalny 4 20" xfId="26699" xr:uid="{00000000-0005-0000-0000-00003E6A0000}"/>
    <cellStyle name="Normalny 4 3" xfId="26700" xr:uid="{00000000-0005-0000-0000-00003F6A0000}"/>
    <cellStyle name="Normalny 4 3 10" xfId="26701" xr:uid="{00000000-0005-0000-0000-0000406A0000}"/>
    <cellStyle name="Normalny 4 3 11" xfId="26702" xr:uid="{00000000-0005-0000-0000-0000416A0000}"/>
    <cellStyle name="Normalny 4 3 12" xfId="26703" xr:uid="{00000000-0005-0000-0000-0000426A0000}"/>
    <cellStyle name="Normalny 4 3 13" xfId="26704" xr:uid="{00000000-0005-0000-0000-0000436A0000}"/>
    <cellStyle name="Normalny 4 3 14" xfId="26705" xr:uid="{00000000-0005-0000-0000-0000446A0000}"/>
    <cellStyle name="Normalny 4 3 15" xfId="26706" xr:uid="{00000000-0005-0000-0000-0000456A0000}"/>
    <cellStyle name="Normalny 4 3 16" xfId="26707" xr:uid="{00000000-0005-0000-0000-0000466A0000}"/>
    <cellStyle name="Normalny 4 3 17" xfId="38379" xr:uid="{00000000-0005-0000-0000-0000476A0000}"/>
    <cellStyle name="Normalny 4 3 2" xfId="26708" xr:uid="{00000000-0005-0000-0000-0000486A0000}"/>
    <cellStyle name="Normalny 4 3 2 10" xfId="26709" xr:uid="{00000000-0005-0000-0000-0000496A0000}"/>
    <cellStyle name="Normalny 4 3 2 11" xfId="26710" xr:uid="{00000000-0005-0000-0000-00004A6A0000}"/>
    <cellStyle name="Normalny 4 3 2 12" xfId="26711" xr:uid="{00000000-0005-0000-0000-00004B6A0000}"/>
    <cellStyle name="Normalny 4 3 2 13" xfId="26712" xr:uid="{00000000-0005-0000-0000-00004C6A0000}"/>
    <cellStyle name="Normalny 4 3 2 2" xfId="26713" xr:uid="{00000000-0005-0000-0000-00004D6A0000}"/>
    <cellStyle name="Normalny 4 3 2 2 10" xfId="26714" xr:uid="{00000000-0005-0000-0000-00004E6A0000}"/>
    <cellStyle name="Normalny 4 3 2 2 11" xfId="26715" xr:uid="{00000000-0005-0000-0000-00004F6A0000}"/>
    <cellStyle name="Normalny 4 3 2 2 12" xfId="26716" xr:uid="{00000000-0005-0000-0000-0000506A0000}"/>
    <cellStyle name="Normalny 4 3 2 2 13" xfId="38380" xr:uid="{00000000-0005-0000-0000-0000516A0000}"/>
    <cellStyle name="Normalny 4 3 2 2 2" xfId="26717" xr:uid="{00000000-0005-0000-0000-0000526A0000}"/>
    <cellStyle name="Normalny 4 3 2 2 2 10" xfId="26718" xr:uid="{00000000-0005-0000-0000-0000536A0000}"/>
    <cellStyle name="Normalny 4 3 2 2 2 11" xfId="26719" xr:uid="{00000000-0005-0000-0000-0000546A0000}"/>
    <cellStyle name="Normalny 4 3 2 2 2 12" xfId="38381" xr:uid="{00000000-0005-0000-0000-0000556A0000}"/>
    <cellStyle name="Normalny 4 3 2 2 2 2" xfId="26720" xr:uid="{00000000-0005-0000-0000-0000566A0000}"/>
    <cellStyle name="Normalny 4 3 2 2 2 2 10" xfId="26721" xr:uid="{00000000-0005-0000-0000-0000576A0000}"/>
    <cellStyle name="Normalny 4 3 2 2 2 2 11" xfId="26722" xr:uid="{00000000-0005-0000-0000-0000586A0000}"/>
    <cellStyle name="Normalny 4 3 2 2 2 2 2" xfId="26723" xr:uid="{00000000-0005-0000-0000-0000596A0000}"/>
    <cellStyle name="Normalny 4 3 2 2 2 2 2 2" xfId="26724" xr:uid="{00000000-0005-0000-0000-00005A6A0000}"/>
    <cellStyle name="Normalny 4 3 2 2 2 2 2 2 2" xfId="26725" xr:uid="{00000000-0005-0000-0000-00005B6A0000}"/>
    <cellStyle name="Normalny 4 3 2 2 2 2 2 2 3" xfId="26726" xr:uid="{00000000-0005-0000-0000-00005C6A0000}"/>
    <cellStyle name="Normalny 4 3 2 2 2 2 2 2 4" xfId="26727" xr:uid="{00000000-0005-0000-0000-00005D6A0000}"/>
    <cellStyle name="Normalny 4 3 2 2 2 2 2 2 5" xfId="26728" xr:uid="{00000000-0005-0000-0000-00005E6A0000}"/>
    <cellStyle name="Normalny 4 3 2 2 2 2 2 2 6" xfId="26729" xr:uid="{00000000-0005-0000-0000-00005F6A0000}"/>
    <cellStyle name="Normalny 4 3 2 2 2 2 2 3" xfId="26730" xr:uid="{00000000-0005-0000-0000-0000606A0000}"/>
    <cellStyle name="Normalny 4 3 2 2 2 2 2 4" xfId="26731" xr:uid="{00000000-0005-0000-0000-0000616A0000}"/>
    <cellStyle name="Normalny 4 3 2 2 2 2 2 5" xfId="26732" xr:uid="{00000000-0005-0000-0000-0000626A0000}"/>
    <cellStyle name="Normalny 4 3 2 2 2 2 2 6" xfId="26733" xr:uid="{00000000-0005-0000-0000-0000636A0000}"/>
    <cellStyle name="Normalny 4 3 2 2 2 2 2 7" xfId="26734" xr:uid="{00000000-0005-0000-0000-0000646A0000}"/>
    <cellStyle name="Normalny 4 3 2 2 2 2 3" xfId="26735" xr:uid="{00000000-0005-0000-0000-0000656A0000}"/>
    <cellStyle name="Normalny 4 3 2 2 2 2 4" xfId="26736" xr:uid="{00000000-0005-0000-0000-0000666A0000}"/>
    <cellStyle name="Normalny 4 3 2 2 2 2 5" xfId="26737" xr:uid="{00000000-0005-0000-0000-0000676A0000}"/>
    <cellStyle name="Normalny 4 3 2 2 2 2 6" xfId="26738" xr:uid="{00000000-0005-0000-0000-0000686A0000}"/>
    <cellStyle name="Normalny 4 3 2 2 2 2 7" xfId="26739" xr:uid="{00000000-0005-0000-0000-0000696A0000}"/>
    <cellStyle name="Normalny 4 3 2 2 2 2 7 2" xfId="26740" xr:uid="{00000000-0005-0000-0000-00006A6A0000}"/>
    <cellStyle name="Normalny 4 3 2 2 2 2 7 3" xfId="26741" xr:uid="{00000000-0005-0000-0000-00006B6A0000}"/>
    <cellStyle name="Normalny 4 3 2 2 2 2 7 4" xfId="26742" xr:uid="{00000000-0005-0000-0000-00006C6A0000}"/>
    <cellStyle name="Normalny 4 3 2 2 2 2 7 5" xfId="26743" xr:uid="{00000000-0005-0000-0000-00006D6A0000}"/>
    <cellStyle name="Normalny 4 3 2 2 2 2 7 6" xfId="26744" xr:uid="{00000000-0005-0000-0000-00006E6A0000}"/>
    <cellStyle name="Normalny 4 3 2 2 2 2 8" xfId="26745" xr:uid="{00000000-0005-0000-0000-00006F6A0000}"/>
    <cellStyle name="Normalny 4 3 2 2 2 2 9" xfId="26746" xr:uid="{00000000-0005-0000-0000-0000706A0000}"/>
    <cellStyle name="Normalny 4 3 2 2 2 3" xfId="26747" xr:uid="{00000000-0005-0000-0000-0000716A0000}"/>
    <cellStyle name="Normalny 4 3 2 2 2 3 2" xfId="26748" xr:uid="{00000000-0005-0000-0000-0000726A0000}"/>
    <cellStyle name="Normalny 4 3 2 2 2 3 2 2" xfId="26749" xr:uid="{00000000-0005-0000-0000-0000736A0000}"/>
    <cellStyle name="Normalny 4 3 2 2 2 3 2 3" xfId="26750" xr:uid="{00000000-0005-0000-0000-0000746A0000}"/>
    <cellStyle name="Normalny 4 3 2 2 2 3 2 4" xfId="26751" xr:uid="{00000000-0005-0000-0000-0000756A0000}"/>
    <cellStyle name="Normalny 4 3 2 2 2 3 2 5" xfId="26752" xr:uid="{00000000-0005-0000-0000-0000766A0000}"/>
    <cellStyle name="Normalny 4 3 2 2 2 3 2 6" xfId="26753" xr:uid="{00000000-0005-0000-0000-0000776A0000}"/>
    <cellStyle name="Normalny 4 3 2 2 2 3 3" xfId="26754" xr:uid="{00000000-0005-0000-0000-0000786A0000}"/>
    <cellStyle name="Normalny 4 3 2 2 2 3 4" xfId="26755" xr:uid="{00000000-0005-0000-0000-0000796A0000}"/>
    <cellStyle name="Normalny 4 3 2 2 2 3 5" xfId="26756" xr:uid="{00000000-0005-0000-0000-00007A6A0000}"/>
    <cellStyle name="Normalny 4 3 2 2 2 3 6" xfId="26757" xr:uid="{00000000-0005-0000-0000-00007B6A0000}"/>
    <cellStyle name="Normalny 4 3 2 2 2 3 7" xfId="26758" xr:uid="{00000000-0005-0000-0000-00007C6A0000}"/>
    <cellStyle name="Normalny 4 3 2 2 2 4" xfId="26759" xr:uid="{00000000-0005-0000-0000-00007D6A0000}"/>
    <cellStyle name="Normalny 4 3 2 2 2 5" xfId="26760" xr:uid="{00000000-0005-0000-0000-00007E6A0000}"/>
    <cellStyle name="Normalny 4 3 2 2 2 6" xfId="26761" xr:uid="{00000000-0005-0000-0000-00007F6A0000}"/>
    <cellStyle name="Normalny 4 3 2 2 2 7" xfId="26762" xr:uid="{00000000-0005-0000-0000-0000806A0000}"/>
    <cellStyle name="Normalny 4 3 2 2 2 7 2" xfId="26763" xr:uid="{00000000-0005-0000-0000-0000816A0000}"/>
    <cellStyle name="Normalny 4 3 2 2 2 7 3" xfId="26764" xr:uid="{00000000-0005-0000-0000-0000826A0000}"/>
    <cellStyle name="Normalny 4 3 2 2 2 7 4" xfId="26765" xr:uid="{00000000-0005-0000-0000-0000836A0000}"/>
    <cellStyle name="Normalny 4 3 2 2 2 7 5" xfId="26766" xr:uid="{00000000-0005-0000-0000-0000846A0000}"/>
    <cellStyle name="Normalny 4 3 2 2 2 7 6" xfId="26767" xr:uid="{00000000-0005-0000-0000-0000856A0000}"/>
    <cellStyle name="Normalny 4 3 2 2 2 8" xfId="26768" xr:uid="{00000000-0005-0000-0000-0000866A0000}"/>
    <cellStyle name="Normalny 4 3 2 2 2 9" xfId="26769" xr:uid="{00000000-0005-0000-0000-0000876A0000}"/>
    <cellStyle name="Normalny 4 3 2 2 3" xfId="26770" xr:uid="{00000000-0005-0000-0000-0000886A0000}"/>
    <cellStyle name="Normalny 4 3 2 2 3 2" xfId="26771" xr:uid="{00000000-0005-0000-0000-0000896A0000}"/>
    <cellStyle name="Normalny 4 3 2 2 3 2 2" xfId="26772" xr:uid="{00000000-0005-0000-0000-00008A6A0000}"/>
    <cellStyle name="Normalny 4 3 2 2 3 2 3" xfId="26773" xr:uid="{00000000-0005-0000-0000-00008B6A0000}"/>
    <cellStyle name="Normalny 4 3 2 2 3 2 4" xfId="26774" xr:uid="{00000000-0005-0000-0000-00008C6A0000}"/>
    <cellStyle name="Normalny 4 3 2 2 3 2 5" xfId="26775" xr:uid="{00000000-0005-0000-0000-00008D6A0000}"/>
    <cellStyle name="Normalny 4 3 2 2 3 2 6" xfId="26776" xr:uid="{00000000-0005-0000-0000-00008E6A0000}"/>
    <cellStyle name="Normalny 4 3 2 2 3 3" xfId="26777" xr:uid="{00000000-0005-0000-0000-00008F6A0000}"/>
    <cellStyle name="Normalny 4 3 2 2 3 4" xfId="26778" xr:uid="{00000000-0005-0000-0000-0000906A0000}"/>
    <cellStyle name="Normalny 4 3 2 2 3 5" xfId="26779" xr:uid="{00000000-0005-0000-0000-0000916A0000}"/>
    <cellStyle name="Normalny 4 3 2 2 3 6" xfId="26780" xr:uid="{00000000-0005-0000-0000-0000926A0000}"/>
    <cellStyle name="Normalny 4 3 2 2 3 7" xfId="26781" xr:uid="{00000000-0005-0000-0000-0000936A0000}"/>
    <cellStyle name="Normalny 4 3 2 2 4" xfId="26782" xr:uid="{00000000-0005-0000-0000-0000946A0000}"/>
    <cellStyle name="Normalny 4 3 2 2 5" xfId="26783" xr:uid="{00000000-0005-0000-0000-0000956A0000}"/>
    <cellStyle name="Normalny 4 3 2 2 6" xfId="26784" xr:uid="{00000000-0005-0000-0000-0000966A0000}"/>
    <cellStyle name="Normalny 4 3 2 2 7" xfId="26785" xr:uid="{00000000-0005-0000-0000-0000976A0000}"/>
    <cellStyle name="Normalny 4 3 2 2 8" xfId="26786" xr:uid="{00000000-0005-0000-0000-0000986A0000}"/>
    <cellStyle name="Normalny 4 3 2 2 8 2" xfId="26787" xr:uid="{00000000-0005-0000-0000-0000996A0000}"/>
    <cellStyle name="Normalny 4 3 2 2 8 3" xfId="26788" xr:uid="{00000000-0005-0000-0000-00009A6A0000}"/>
    <cellStyle name="Normalny 4 3 2 2 8 4" xfId="26789" xr:uid="{00000000-0005-0000-0000-00009B6A0000}"/>
    <cellStyle name="Normalny 4 3 2 2 8 5" xfId="26790" xr:uid="{00000000-0005-0000-0000-00009C6A0000}"/>
    <cellStyle name="Normalny 4 3 2 2 8 6" xfId="26791" xr:uid="{00000000-0005-0000-0000-00009D6A0000}"/>
    <cellStyle name="Normalny 4 3 2 2 9" xfId="26792" xr:uid="{00000000-0005-0000-0000-00009E6A0000}"/>
    <cellStyle name="Normalny 4 3 2 3" xfId="26793" xr:uid="{00000000-0005-0000-0000-00009F6A0000}"/>
    <cellStyle name="Normalny 4 3 2 3 2" xfId="38382" xr:uid="{00000000-0005-0000-0000-0000A06A0000}"/>
    <cellStyle name="Normalny 4 3 2 4" xfId="26794" xr:uid="{00000000-0005-0000-0000-0000A16A0000}"/>
    <cellStyle name="Normalny 4 3 2 4 10" xfId="26795" xr:uid="{00000000-0005-0000-0000-0000A26A0000}"/>
    <cellStyle name="Normalny 4 3 2 4 11" xfId="26796" xr:uid="{00000000-0005-0000-0000-0000A36A0000}"/>
    <cellStyle name="Normalny 4 3 2 4 2" xfId="26797" xr:uid="{00000000-0005-0000-0000-0000A46A0000}"/>
    <cellStyle name="Normalny 4 3 2 4 2 2" xfId="26798" xr:uid="{00000000-0005-0000-0000-0000A56A0000}"/>
    <cellStyle name="Normalny 4 3 2 4 2 2 2" xfId="26799" xr:uid="{00000000-0005-0000-0000-0000A66A0000}"/>
    <cellStyle name="Normalny 4 3 2 4 2 2 3" xfId="26800" xr:uid="{00000000-0005-0000-0000-0000A76A0000}"/>
    <cellStyle name="Normalny 4 3 2 4 2 2 4" xfId="26801" xr:uid="{00000000-0005-0000-0000-0000A86A0000}"/>
    <cellStyle name="Normalny 4 3 2 4 2 2 5" xfId="26802" xr:uid="{00000000-0005-0000-0000-0000A96A0000}"/>
    <cellStyle name="Normalny 4 3 2 4 2 2 6" xfId="26803" xr:uid="{00000000-0005-0000-0000-0000AA6A0000}"/>
    <cellStyle name="Normalny 4 3 2 4 2 3" xfId="26804" xr:uid="{00000000-0005-0000-0000-0000AB6A0000}"/>
    <cellStyle name="Normalny 4 3 2 4 2 4" xfId="26805" xr:uid="{00000000-0005-0000-0000-0000AC6A0000}"/>
    <cellStyle name="Normalny 4 3 2 4 2 5" xfId="26806" xr:uid="{00000000-0005-0000-0000-0000AD6A0000}"/>
    <cellStyle name="Normalny 4 3 2 4 2 6" xfId="26807" xr:uid="{00000000-0005-0000-0000-0000AE6A0000}"/>
    <cellStyle name="Normalny 4 3 2 4 2 7" xfId="26808" xr:uid="{00000000-0005-0000-0000-0000AF6A0000}"/>
    <cellStyle name="Normalny 4 3 2 4 3" xfId="26809" xr:uid="{00000000-0005-0000-0000-0000B06A0000}"/>
    <cellStyle name="Normalny 4 3 2 4 4" xfId="26810" xr:uid="{00000000-0005-0000-0000-0000B16A0000}"/>
    <cellStyle name="Normalny 4 3 2 4 5" xfId="26811" xr:uid="{00000000-0005-0000-0000-0000B26A0000}"/>
    <cellStyle name="Normalny 4 3 2 4 6" xfId="26812" xr:uid="{00000000-0005-0000-0000-0000B36A0000}"/>
    <cellStyle name="Normalny 4 3 2 4 7" xfId="26813" xr:uid="{00000000-0005-0000-0000-0000B46A0000}"/>
    <cellStyle name="Normalny 4 3 2 4 7 2" xfId="26814" xr:uid="{00000000-0005-0000-0000-0000B56A0000}"/>
    <cellStyle name="Normalny 4 3 2 4 7 3" xfId="26815" xr:uid="{00000000-0005-0000-0000-0000B66A0000}"/>
    <cellStyle name="Normalny 4 3 2 4 7 4" xfId="26816" xr:uid="{00000000-0005-0000-0000-0000B76A0000}"/>
    <cellStyle name="Normalny 4 3 2 4 7 5" xfId="26817" xr:uid="{00000000-0005-0000-0000-0000B86A0000}"/>
    <cellStyle name="Normalny 4 3 2 4 7 6" xfId="26818" xr:uid="{00000000-0005-0000-0000-0000B96A0000}"/>
    <cellStyle name="Normalny 4 3 2 4 8" xfId="26819" xr:uid="{00000000-0005-0000-0000-0000BA6A0000}"/>
    <cellStyle name="Normalny 4 3 2 4 9" xfId="26820" xr:uid="{00000000-0005-0000-0000-0000BB6A0000}"/>
    <cellStyle name="Normalny 4 3 2 5" xfId="26821" xr:uid="{00000000-0005-0000-0000-0000BC6A0000}"/>
    <cellStyle name="Normalny 4 3 2 5 2" xfId="26822" xr:uid="{00000000-0005-0000-0000-0000BD6A0000}"/>
    <cellStyle name="Normalny 4 3 2 5 2 2" xfId="26823" xr:uid="{00000000-0005-0000-0000-0000BE6A0000}"/>
    <cellStyle name="Normalny 4 3 2 5 2 3" xfId="26824" xr:uid="{00000000-0005-0000-0000-0000BF6A0000}"/>
    <cellStyle name="Normalny 4 3 2 5 2 4" xfId="26825" xr:uid="{00000000-0005-0000-0000-0000C06A0000}"/>
    <cellStyle name="Normalny 4 3 2 5 2 5" xfId="26826" xr:uid="{00000000-0005-0000-0000-0000C16A0000}"/>
    <cellStyle name="Normalny 4 3 2 5 2 6" xfId="26827" xr:uid="{00000000-0005-0000-0000-0000C26A0000}"/>
    <cellStyle name="Normalny 4 3 2 5 3" xfId="26828" xr:uid="{00000000-0005-0000-0000-0000C36A0000}"/>
    <cellStyle name="Normalny 4 3 2 5 4" xfId="26829" xr:uid="{00000000-0005-0000-0000-0000C46A0000}"/>
    <cellStyle name="Normalny 4 3 2 5 5" xfId="26830" xr:uid="{00000000-0005-0000-0000-0000C56A0000}"/>
    <cellStyle name="Normalny 4 3 2 5 6" xfId="26831" xr:uid="{00000000-0005-0000-0000-0000C66A0000}"/>
    <cellStyle name="Normalny 4 3 2 5 7" xfId="26832" xr:uid="{00000000-0005-0000-0000-0000C76A0000}"/>
    <cellStyle name="Normalny 4 3 2 6" xfId="26833" xr:uid="{00000000-0005-0000-0000-0000C86A0000}"/>
    <cellStyle name="Normalny 4 3 2 7" xfId="26834" xr:uid="{00000000-0005-0000-0000-0000C96A0000}"/>
    <cellStyle name="Normalny 4 3 2 8" xfId="26835" xr:uid="{00000000-0005-0000-0000-0000CA6A0000}"/>
    <cellStyle name="Normalny 4 3 2 9" xfId="26836" xr:uid="{00000000-0005-0000-0000-0000CB6A0000}"/>
    <cellStyle name="Normalny 4 3 2 9 2" xfId="26837" xr:uid="{00000000-0005-0000-0000-0000CC6A0000}"/>
    <cellStyle name="Normalny 4 3 2 9 3" xfId="26838" xr:uid="{00000000-0005-0000-0000-0000CD6A0000}"/>
    <cellStyle name="Normalny 4 3 2 9 4" xfId="26839" xr:uid="{00000000-0005-0000-0000-0000CE6A0000}"/>
    <cellStyle name="Normalny 4 3 2 9 5" xfId="26840" xr:uid="{00000000-0005-0000-0000-0000CF6A0000}"/>
    <cellStyle name="Normalny 4 3 2 9 6" xfId="26841" xr:uid="{00000000-0005-0000-0000-0000D06A0000}"/>
    <cellStyle name="Normalny 4 3 3" xfId="26842" xr:uid="{00000000-0005-0000-0000-0000D16A0000}"/>
    <cellStyle name="Normalny 4 3 3 10" xfId="26843" xr:uid="{00000000-0005-0000-0000-0000D26A0000}"/>
    <cellStyle name="Normalny 4 3 3 11" xfId="26844" xr:uid="{00000000-0005-0000-0000-0000D36A0000}"/>
    <cellStyle name="Normalny 4 3 3 12" xfId="26845" xr:uid="{00000000-0005-0000-0000-0000D46A0000}"/>
    <cellStyle name="Normalny 4 3 3 13" xfId="38383" xr:uid="{00000000-0005-0000-0000-0000D56A0000}"/>
    <cellStyle name="Normalny 4 3 3 2" xfId="26846" xr:uid="{00000000-0005-0000-0000-0000D66A0000}"/>
    <cellStyle name="Normalny 4 3 3 2 10" xfId="26847" xr:uid="{00000000-0005-0000-0000-0000D76A0000}"/>
    <cellStyle name="Normalny 4 3 3 2 11" xfId="26848" xr:uid="{00000000-0005-0000-0000-0000D86A0000}"/>
    <cellStyle name="Normalny 4 3 3 2 12" xfId="38384" xr:uid="{00000000-0005-0000-0000-0000D96A0000}"/>
    <cellStyle name="Normalny 4 3 3 2 2" xfId="26849" xr:uid="{00000000-0005-0000-0000-0000DA6A0000}"/>
    <cellStyle name="Normalny 4 3 3 2 2 10" xfId="26850" xr:uid="{00000000-0005-0000-0000-0000DB6A0000}"/>
    <cellStyle name="Normalny 4 3 3 2 2 11" xfId="26851" xr:uid="{00000000-0005-0000-0000-0000DC6A0000}"/>
    <cellStyle name="Normalny 4 3 3 2 2 2" xfId="26852" xr:uid="{00000000-0005-0000-0000-0000DD6A0000}"/>
    <cellStyle name="Normalny 4 3 3 2 2 2 2" xfId="26853" xr:uid="{00000000-0005-0000-0000-0000DE6A0000}"/>
    <cellStyle name="Normalny 4 3 3 2 2 2 2 2" xfId="26854" xr:uid="{00000000-0005-0000-0000-0000DF6A0000}"/>
    <cellStyle name="Normalny 4 3 3 2 2 2 2 3" xfId="26855" xr:uid="{00000000-0005-0000-0000-0000E06A0000}"/>
    <cellStyle name="Normalny 4 3 3 2 2 2 2 4" xfId="26856" xr:uid="{00000000-0005-0000-0000-0000E16A0000}"/>
    <cellStyle name="Normalny 4 3 3 2 2 2 2 5" xfId="26857" xr:uid="{00000000-0005-0000-0000-0000E26A0000}"/>
    <cellStyle name="Normalny 4 3 3 2 2 2 2 6" xfId="26858" xr:uid="{00000000-0005-0000-0000-0000E36A0000}"/>
    <cellStyle name="Normalny 4 3 3 2 2 2 3" xfId="26859" xr:uid="{00000000-0005-0000-0000-0000E46A0000}"/>
    <cellStyle name="Normalny 4 3 3 2 2 2 4" xfId="26860" xr:uid="{00000000-0005-0000-0000-0000E56A0000}"/>
    <cellStyle name="Normalny 4 3 3 2 2 2 5" xfId="26861" xr:uid="{00000000-0005-0000-0000-0000E66A0000}"/>
    <cellStyle name="Normalny 4 3 3 2 2 2 6" xfId="26862" xr:uid="{00000000-0005-0000-0000-0000E76A0000}"/>
    <cellStyle name="Normalny 4 3 3 2 2 2 7" xfId="26863" xr:uid="{00000000-0005-0000-0000-0000E86A0000}"/>
    <cellStyle name="Normalny 4 3 3 2 2 3" xfId="26864" xr:uid="{00000000-0005-0000-0000-0000E96A0000}"/>
    <cellStyle name="Normalny 4 3 3 2 2 4" xfId="26865" xr:uid="{00000000-0005-0000-0000-0000EA6A0000}"/>
    <cellStyle name="Normalny 4 3 3 2 2 5" xfId="26866" xr:uid="{00000000-0005-0000-0000-0000EB6A0000}"/>
    <cellStyle name="Normalny 4 3 3 2 2 6" xfId="26867" xr:uid="{00000000-0005-0000-0000-0000EC6A0000}"/>
    <cellStyle name="Normalny 4 3 3 2 2 7" xfId="26868" xr:uid="{00000000-0005-0000-0000-0000ED6A0000}"/>
    <cellStyle name="Normalny 4 3 3 2 2 7 2" xfId="26869" xr:uid="{00000000-0005-0000-0000-0000EE6A0000}"/>
    <cellStyle name="Normalny 4 3 3 2 2 7 3" xfId="26870" xr:uid="{00000000-0005-0000-0000-0000EF6A0000}"/>
    <cellStyle name="Normalny 4 3 3 2 2 7 4" xfId="26871" xr:uid="{00000000-0005-0000-0000-0000F06A0000}"/>
    <cellStyle name="Normalny 4 3 3 2 2 7 5" xfId="26872" xr:uid="{00000000-0005-0000-0000-0000F16A0000}"/>
    <cellStyle name="Normalny 4 3 3 2 2 7 6" xfId="26873" xr:uid="{00000000-0005-0000-0000-0000F26A0000}"/>
    <cellStyle name="Normalny 4 3 3 2 2 8" xfId="26874" xr:uid="{00000000-0005-0000-0000-0000F36A0000}"/>
    <cellStyle name="Normalny 4 3 3 2 2 9" xfId="26875" xr:uid="{00000000-0005-0000-0000-0000F46A0000}"/>
    <cellStyle name="Normalny 4 3 3 2 3" xfId="26876" xr:uid="{00000000-0005-0000-0000-0000F56A0000}"/>
    <cellStyle name="Normalny 4 3 3 2 3 2" xfId="26877" xr:uid="{00000000-0005-0000-0000-0000F66A0000}"/>
    <cellStyle name="Normalny 4 3 3 2 3 2 2" xfId="26878" xr:uid="{00000000-0005-0000-0000-0000F76A0000}"/>
    <cellStyle name="Normalny 4 3 3 2 3 2 3" xfId="26879" xr:uid="{00000000-0005-0000-0000-0000F86A0000}"/>
    <cellStyle name="Normalny 4 3 3 2 3 2 4" xfId="26880" xr:uid="{00000000-0005-0000-0000-0000F96A0000}"/>
    <cellStyle name="Normalny 4 3 3 2 3 2 5" xfId="26881" xr:uid="{00000000-0005-0000-0000-0000FA6A0000}"/>
    <cellStyle name="Normalny 4 3 3 2 3 2 6" xfId="26882" xr:uid="{00000000-0005-0000-0000-0000FB6A0000}"/>
    <cellStyle name="Normalny 4 3 3 2 3 3" xfId="26883" xr:uid="{00000000-0005-0000-0000-0000FC6A0000}"/>
    <cellStyle name="Normalny 4 3 3 2 3 4" xfId="26884" xr:uid="{00000000-0005-0000-0000-0000FD6A0000}"/>
    <cellStyle name="Normalny 4 3 3 2 3 5" xfId="26885" xr:uid="{00000000-0005-0000-0000-0000FE6A0000}"/>
    <cellStyle name="Normalny 4 3 3 2 3 6" xfId="26886" xr:uid="{00000000-0005-0000-0000-0000FF6A0000}"/>
    <cellStyle name="Normalny 4 3 3 2 3 7" xfId="26887" xr:uid="{00000000-0005-0000-0000-0000006B0000}"/>
    <cellStyle name="Normalny 4 3 3 2 4" xfId="26888" xr:uid="{00000000-0005-0000-0000-0000016B0000}"/>
    <cellStyle name="Normalny 4 3 3 2 5" xfId="26889" xr:uid="{00000000-0005-0000-0000-0000026B0000}"/>
    <cellStyle name="Normalny 4 3 3 2 6" xfId="26890" xr:uid="{00000000-0005-0000-0000-0000036B0000}"/>
    <cellStyle name="Normalny 4 3 3 2 7" xfId="26891" xr:uid="{00000000-0005-0000-0000-0000046B0000}"/>
    <cellStyle name="Normalny 4 3 3 2 7 2" xfId="26892" xr:uid="{00000000-0005-0000-0000-0000056B0000}"/>
    <cellStyle name="Normalny 4 3 3 2 7 3" xfId="26893" xr:uid="{00000000-0005-0000-0000-0000066B0000}"/>
    <cellStyle name="Normalny 4 3 3 2 7 4" xfId="26894" xr:uid="{00000000-0005-0000-0000-0000076B0000}"/>
    <cellStyle name="Normalny 4 3 3 2 7 5" xfId="26895" xr:uid="{00000000-0005-0000-0000-0000086B0000}"/>
    <cellStyle name="Normalny 4 3 3 2 7 6" xfId="26896" xr:uid="{00000000-0005-0000-0000-0000096B0000}"/>
    <cellStyle name="Normalny 4 3 3 2 8" xfId="26897" xr:uid="{00000000-0005-0000-0000-00000A6B0000}"/>
    <cellStyle name="Normalny 4 3 3 2 9" xfId="26898" xr:uid="{00000000-0005-0000-0000-00000B6B0000}"/>
    <cellStyle name="Normalny 4 3 3 3" xfId="26899" xr:uid="{00000000-0005-0000-0000-00000C6B0000}"/>
    <cellStyle name="Normalny 4 3 3 3 2" xfId="26900" xr:uid="{00000000-0005-0000-0000-00000D6B0000}"/>
    <cellStyle name="Normalny 4 3 3 3 2 2" xfId="26901" xr:uid="{00000000-0005-0000-0000-00000E6B0000}"/>
    <cellStyle name="Normalny 4 3 3 3 2 3" xfId="26902" xr:uid="{00000000-0005-0000-0000-00000F6B0000}"/>
    <cellStyle name="Normalny 4 3 3 3 2 4" xfId="26903" xr:uid="{00000000-0005-0000-0000-0000106B0000}"/>
    <cellStyle name="Normalny 4 3 3 3 2 5" xfId="26904" xr:uid="{00000000-0005-0000-0000-0000116B0000}"/>
    <cellStyle name="Normalny 4 3 3 3 2 6" xfId="26905" xr:uid="{00000000-0005-0000-0000-0000126B0000}"/>
    <cellStyle name="Normalny 4 3 3 3 3" xfId="26906" xr:uid="{00000000-0005-0000-0000-0000136B0000}"/>
    <cellStyle name="Normalny 4 3 3 3 4" xfId="26907" xr:uid="{00000000-0005-0000-0000-0000146B0000}"/>
    <cellStyle name="Normalny 4 3 3 3 5" xfId="26908" xr:uid="{00000000-0005-0000-0000-0000156B0000}"/>
    <cellStyle name="Normalny 4 3 3 3 6" xfId="26909" xr:uid="{00000000-0005-0000-0000-0000166B0000}"/>
    <cellStyle name="Normalny 4 3 3 3 7" xfId="26910" xr:uid="{00000000-0005-0000-0000-0000176B0000}"/>
    <cellStyle name="Normalny 4 3 3 4" xfId="26911" xr:uid="{00000000-0005-0000-0000-0000186B0000}"/>
    <cellStyle name="Normalny 4 3 3 5" xfId="26912" xr:uid="{00000000-0005-0000-0000-0000196B0000}"/>
    <cellStyle name="Normalny 4 3 3 6" xfId="26913" xr:uid="{00000000-0005-0000-0000-00001A6B0000}"/>
    <cellStyle name="Normalny 4 3 3 7" xfId="26914" xr:uid="{00000000-0005-0000-0000-00001B6B0000}"/>
    <cellStyle name="Normalny 4 3 3 8" xfId="26915" xr:uid="{00000000-0005-0000-0000-00001C6B0000}"/>
    <cellStyle name="Normalny 4 3 3 8 2" xfId="26916" xr:uid="{00000000-0005-0000-0000-00001D6B0000}"/>
    <cellStyle name="Normalny 4 3 3 8 3" xfId="26917" xr:uid="{00000000-0005-0000-0000-00001E6B0000}"/>
    <cellStyle name="Normalny 4 3 3 8 4" xfId="26918" xr:uid="{00000000-0005-0000-0000-00001F6B0000}"/>
    <cellStyle name="Normalny 4 3 3 8 5" xfId="26919" xr:uid="{00000000-0005-0000-0000-0000206B0000}"/>
    <cellStyle name="Normalny 4 3 3 8 6" xfId="26920" xr:uid="{00000000-0005-0000-0000-0000216B0000}"/>
    <cellStyle name="Normalny 4 3 3 9" xfId="26921" xr:uid="{00000000-0005-0000-0000-0000226B0000}"/>
    <cellStyle name="Normalny 4 3 4" xfId="26922" xr:uid="{00000000-0005-0000-0000-0000236B0000}"/>
    <cellStyle name="Normalny 4 3 4 10" xfId="26923" xr:uid="{00000000-0005-0000-0000-0000246B0000}"/>
    <cellStyle name="Normalny 4 3 4 11" xfId="26924" xr:uid="{00000000-0005-0000-0000-0000256B0000}"/>
    <cellStyle name="Normalny 4 3 4 12" xfId="38385" xr:uid="{00000000-0005-0000-0000-0000266B0000}"/>
    <cellStyle name="Normalny 4 3 4 2" xfId="26925" xr:uid="{00000000-0005-0000-0000-0000276B0000}"/>
    <cellStyle name="Normalny 4 3 4 2 2" xfId="26926" xr:uid="{00000000-0005-0000-0000-0000286B0000}"/>
    <cellStyle name="Normalny 4 3 4 2 2 2" xfId="26927" xr:uid="{00000000-0005-0000-0000-0000296B0000}"/>
    <cellStyle name="Normalny 4 3 4 2 2 3" xfId="26928" xr:uid="{00000000-0005-0000-0000-00002A6B0000}"/>
    <cellStyle name="Normalny 4 3 4 2 2 4" xfId="26929" xr:uid="{00000000-0005-0000-0000-00002B6B0000}"/>
    <cellStyle name="Normalny 4 3 4 2 2 5" xfId="26930" xr:uid="{00000000-0005-0000-0000-00002C6B0000}"/>
    <cellStyle name="Normalny 4 3 4 2 2 6" xfId="26931" xr:uid="{00000000-0005-0000-0000-00002D6B0000}"/>
    <cellStyle name="Normalny 4 3 4 2 3" xfId="26932" xr:uid="{00000000-0005-0000-0000-00002E6B0000}"/>
    <cellStyle name="Normalny 4 3 4 2 4" xfId="26933" xr:uid="{00000000-0005-0000-0000-00002F6B0000}"/>
    <cellStyle name="Normalny 4 3 4 2 5" xfId="26934" xr:uid="{00000000-0005-0000-0000-0000306B0000}"/>
    <cellStyle name="Normalny 4 3 4 2 6" xfId="26935" xr:uid="{00000000-0005-0000-0000-0000316B0000}"/>
    <cellStyle name="Normalny 4 3 4 2 7" xfId="26936" xr:uid="{00000000-0005-0000-0000-0000326B0000}"/>
    <cellStyle name="Normalny 4 3 4 3" xfId="26937" xr:uid="{00000000-0005-0000-0000-0000336B0000}"/>
    <cellStyle name="Normalny 4 3 4 4" xfId="26938" xr:uid="{00000000-0005-0000-0000-0000346B0000}"/>
    <cellStyle name="Normalny 4 3 4 5" xfId="26939" xr:uid="{00000000-0005-0000-0000-0000356B0000}"/>
    <cellStyle name="Normalny 4 3 4 6" xfId="26940" xr:uid="{00000000-0005-0000-0000-0000366B0000}"/>
    <cellStyle name="Normalny 4 3 4 7" xfId="26941" xr:uid="{00000000-0005-0000-0000-0000376B0000}"/>
    <cellStyle name="Normalny 4 3 4 7 2" xfId="26942" xr:uid="{00000000-0005-0000-0000-0000386B0000}"/>
    <cellStyle name="Normalny 4 3 4 7 3" xfId="26943" xr:uid="{00000000-0005-0000-0000-0000396B0000}"/>
    <cellStyle name="Normalny 4 3 4 7 4" xfId="26944" xr:uid="{00000000-0005-0000-0000-00003A6B0000}"/>
    <cellStyle name="Normalny 4 3 4 7 5" xfId="26945" xr:uid="{00000000-0005-0000-0000-00003B6B0000}"/>
    <cellStyle name="Normalny 4 3 4 7 6" xfId="26946" xr:uid="{00000000-0005-0000-0000-00003C6B0000}"/>
    <cellStyle name="Normalny 4 3 4 8" xfId="26947" xr:uid="{00000000-0005-0000-0000-00003D6B0000}"/>
    <cellStyle name="Normalny 4 3 4 9" xfId="26948" xr:uid="{00000000-0005-0000-0000-00003E6B0000}"/>
    <cellStyle name="Normalny 4 3 5" xfId="26949" xr:uid="{00000000-0005-0000-0000-00003F6B0000}"/>
    <cellStyle name="Normalny 4 3 5 2" xfId="26950" xr:uid="{00000000-0005-0000-0000-0000406B0000}"/>
    <cellStyle name="Normalny 4 3 5 2 2" xfId="26951" xr:uid="{00000000-0005-0000-0000-0000416B0000}"/>
    <cellStyle name="Normalny 4 3 5 2 3" xfId="26952" xr:uid="{00000000-0005-0000-0000-0000426B0000}"/>
    <cellStyle name="Normalny 4 3 5 2 4" xfId="26953" xr:uid="{00000000-0005-0000-0000-0000436B0000}"/>
    <cellStyle name="Normalny 4 3 5 2 5" xfId="26954" xr:uid="{00000000-0005-0000-0000-0000446B0000}"/>
    <cellStyle name="Normalny 4 3 5 2 6" xfId="26955" xr:uid="{00000000-0005-0000-0000-0000456B0000}"/>
    <cellStyle name="Normalny 4 3 5 3" xfId="26956" xr:uid="{00000000-0005-0000-0000-0000466B0000}"/>
    <cellStyle name="Normalny 4 3 5 4" xfId="26957" xr:uid="{00000000-0005-0000-0000-0000476B0000}"/>
    <cellStyle name="Normalny 4 3 5 5" xfId="26958" xr:uid="{00000000-0005-0000-0000-0000486B0000}"/>
    <cellStyle name="Normalny 4 3 5 6" xfId="26959" xr:uid="{00000000-0005-0000-0000-0000496B0000}"/>
    <cellStyle name="Normalny 4 3 5 7" xfId="26960" xr:uid="{00000000-0005-0000-0000-00004A6B0000}"/>
    <cellStyle name="Normalny 4 3 6" xfId="26961" xr:uid="{00000000-0005-0000-0000-00004B6B0000}"/>
    <cellStyle name="Normalny 4 3 7" xfId="26962" xr:uid="{00000000-0005-0000-0000-00004C6B0000}"/>
    <cellStyle name="Normalny 4 3 8" xfId="26963" xr:uid="{00000000-0005-0000-0000-00004D6B0000}"/>
    <cellStyle name="Normalny 4 3 9" xfId="26964" xr:uid="{00000000-0005-0000-0000-00004E6B0000}"/>
    <cellStyle name="Normalny 4 3 9 2" xfId="26965" xr:uid="{00000000-0005-0000-0000-00004F6B0000}"/>
    <cellStyle name="Normalny 4 3 9 3" xfId="26966" xr:uid="{00000000-0005-0000-0000-0000506B0000}"/>
    <cellStyle name="Normalny 4 3 9 4" xfId="26967" xr:uid="{00000000-0005-0000-0000-0000516B0000}"/>
    <cellStyle name="Normalny 4 3 9 5" xfId="26968" xr:uid="{00000000-0005-0000-0000-0000526B0000}"/>
    <cellStyle name="Normalny 4 3 9 6" xfId="26969" xr:uid="{00000000-0005-0000-0000-0000536B0000}"/>
    <cellStyle name="Normalny 4 4" xfId="26970" xr:uid="{00000000-0005-0000-0000-0000546B0000}"/>
    <cellStyle name="Normalny 4 4 10" xfId="26971" xr:uid="{00000000-0005-0000-0000-0000556B0000}"/>
    <cellStyle name="Normalny 4 4 11" xfId="26972" xr:uid="{00000000-0005-0000-0000-0000566B0000}"/>
    <cellStyle name="Normalny 4 4 12" xfId="26973" xr:uid="{00000000-0005-0000-0000-0000576B0000}"/>
    <cellStyle name="Normalny 4 4 13" xfId="26974" xr:uid="{00000000-0005-0000-0000-0000586B0000}"/>
    <cellStyle name="Normalny 4 4 14" xfId="26975" xr:uid="{00000000-0005-0000-0000-0000596B0000}"/>
    <cellStyle name="Normalny 4 4 15" xfId="26976" xr:uid="{00000000-0005-0000-0000-00005A6B0000}"/>
    <cellStyle name="Normalny 4 4 16" xfId="26977" xr:uid="{00000000-0005-0000-0000-00005B6B0000}"/>
    <cellStyle name="Normalny 4 4 17" xfId="38386" xr:uid="{00000000-0005-0000-0000-00005C6B0000}"/>
    <cellStyle name="Normalny 4 4 2" xfId="26978" xr:uid="{00000000-0005-0000-0000-00005D6B0000}"/>
    <cellStyle name="Normalny 4 4 2 10" xfId="26979" xr:uid="{00000000-0005-0000-0000-00005E6B0000}"/>
    <cellStyle name="Normalny 4 4 2 11" xfId="26980" xr:uid="{00000000-0005-0000-0000-00005F6B0000}"/>
    <cellStyle name="Normalny 4 4 2 12" xfId="26981" xr:uid="{00000000-0005-0000-0000-0000606B0000}"/>
    <cellStyle name="Normalny 4 4 2 13" xfId="26982" xr:uid="{00000000-0005-0000-0000-0000616B0000}"/>
    <cellStyle name="Normalny 4 4 2 14" xfId="38387" xr:uid="{00000000-0005-0000-0000-0000626B0000}"/>
    <cellStyle name="Normalny 4 4 2 2" xfId="26983" xr:uid="{00000000-0005-0000-0000-0000636B0000}"/>
    <cellStyle name="Normalny 4 4 2 2 10" xfId="26984" xr:uid="{00000000-0005-0000-0000-0000646B0000}"/>
    <cellStyle name="Normalny 4 4 2 2 11" xfId="26985" xr:uid="{00000000-0005-0000-0000-0000656B0000}"/>
    <cellStyle name="Normalny 4 4 2 2 12" xfId="26986" xr:uid="{00000000-0005-0000-0000-0000666B0000}"/>
    <cellStyle name="Normalny 4 4 2 2 13" xfId="38388" xr:uid="{00000000-0005-0000-0000-0000676B0000}"/>
    <cellStyle name="Normalny 4 4 2 2 2" xfId="26987" xr:uid="{00000000-0005-0000-0000-0000686B0000}"/>
    <cellStyle name="Normalny 4 4 2 2 2 10" xfId="26988" xr:uid="{00000000-0005-0000-0000-0000696B0000}"/>
    <cellStyle name="Normalny 4 4 2 2 2 11" xfId="26989" xr:uid="{00000000-0005-0000-0000-00006A6B0000}"/>
    <cellStyle name="Normalny 4 4 2 2 2 2" xfId="26990" xr:uid="{00000000-0005-0000-0000-00006B6B0000}"/>
    <cellStyle name="Normalny 4 4 2 2 2 2 10" xfId="26991" xr:uid="{00000000-0005-0000-0000-00006C6B0000}"/>
    <cellStyle name="Normalny 4 4 2 2 2 2 11" xfId="26992" xr:uid="{00000000-0005-0000-0000-00006D6B0000}"/>
    <cellStyle name="Normalny 4 4 2 2 2 2 2" xfId="26993" xr:uid="{00000000-0005-0000-0000-00006E6B0000}"/>
    <cellStyle name="Normalny 4 4 2 2 2 2 2 2" xfId="26994" xr:uid="{00000000-0005-0000-0000-00006F6B0000}"/>
    <cellStyle name="Normalny 4 4 2 2 2 2 2 2 2" xfId="26995" xr:uid="{00000000-0005-0000-0000-0000706B0000}"/>
    <cellStyle name="Normalny 4 4 2 2 2 2 2 2 3" xfId="26996" xr:uid="{00000000-0005-0000-0000-0000716B0000}"/>
    <cellStyle name="Normalny 4 4 2 2 2 2 2 2 4" xfId="26997" xr:uid="{00000000-0005-0000-0000-0000726B0000}"/>
    <cellStyle name="Normalny 4 4 2 2 2 2 2 2 5" xfId="26998" xr:uid="{00000000-0005-0000-0000-0000736B0000}"/>
    <cellStyle name="Normalny 4 4 2 2 2 2 2 2 6" xfId="26999" xr:uid="{00000000-0005-0000-0000-0000746B0000}"/>
    <cellStyle name="Normalny 4 4 2 2 2 2 2 3" xfId="27000" xr:uid="{00000000-0005-0000-0000-0000756B0000}"/>
    <cellStyle name="Normalny 4 4 2 2 2 2 2 4" xfId="27001" xr:uid="{00000000-0005-0000-0000-0000766B0000}"/>
    <cellStyle name="Normalny 4 4 2 2 2 2 2 5" xfId="27002" xr:uid="{00000000-0005-0000-0000-0000776B0000}"/>
    <cellStyle name="Normalny 4 4 2 2 2 2 2 6" xfId="27003" xr:uid="{00000000-0005-0000-0000-0000786B0000}"/>
    <cellStyle name="Normalny 4 4 2 2 2 2 2 7" xfId="27004" xr:uid="{00000000-0005-0000-0000-0000796B0000}"/>
    <cellStyle name="Normalny 4 4 2 2 2 2 3" xfId="27005" xr:uid="{00000000-0005-0000-0000-00007A6B0000}"/>
    <cellStyle name="Normalny 4 4 2 2 2 2 4" xfId="27006" xr:uid="{00000000-0005-0000-0000-00007B6B0000}"/>
    <cellStyle name="Normalny 4 4 2 2 2 2 5" xfId="27007" xr:uid="{00000000-0005-0000-0000-00007C6B0000}"/>
    <cellStyle name="Normalny 4 4 2 2 2 2 6" xfId="27008" xr:uid="{00000000-0005-0000-0000-00007D6B0000}"/>
    <cellStyle name="Normalny 4 4 2 2 2 2 7" xfId="27009" xr:uid="{00000000-0005-0000-0000-00007E6B0000}"/>
    <cellStyle name="Normalny 4 4 2 2 2 2 7 2" xfId="27010" xr:uid="{00000000-0005-0000-0000-00007F6B0000}"/>
    <cellStyle name="Normalny 4 4 2 2 2 2 7 3" xfId="27011" xr:uid="{00000000-0005-0000-0000-0000806B0000}"/>
    <cellStyle name="Normalny 4 4 2 2 2 2 7 4" xfId="27012" xr:uid="{00000000-0005-0000-0000-0000816B0000}"/>
    <cellStyle name="Normalny 4 4 2 2 2 2 7 5" xfId="27013" xr:uid="{00000000-0005-0000-0000-0000826B0000}"/>
    <cellStyle name="Normalny 4 4 2 2 2 2 7 6" xfId="27014" xr:uid="{00000000-0005-0000-0000-0000836B0000}"/>
    <cellStyle name="Normalny 4 4 2 2 2 2 8" xfId="27015" xr:uid="{00000000-0005-0000-0000-0000846B0000}"/>
    <cellStyle name="Normalny 4 4 2 2 2 2 9" xfId="27016" xr:uid="{00000000-0005-0000-0000-0000856B0000}"/>
    <cellStyle name="Normalny 4 4 2 2 2 3" xfId="27017" xr:uid="{00000000-0005-0000-0000-0000866B0000}"/>
    <cellStyle name="Normalny 4 4 2 2 2 3 2" xfId="27018" xr:uid="{00000000-0005-0000-0000-0000876B0000}"/>
    <cellStyle name="Normalny 4 4 2 2 2 3 2 2" xfId="27019" xr:uid="{00000000-0005-0000-0000-0000886B0000}"/>
    <cellStyle name="Normalny 4 4 2 2 2 3 2 3" xfId="27020" xr:uid="{00000000-0005-0000-0000-0000896B0000}"/>
    <cellStyle name="Normalny 4 4 2 2 2 3 2 4" xfId="27021" xr:uid="{00000000-0005-0000-0000-00008A6B0000}"/>
    <cellStyle name="Normalny 4 4 2 2 2 3 2 5" xfId="27022" xr:uid="{00000000-0005-0000-0000-00008B6B0000}"/>
    <cellStyle name="Normalny 4 4 2 2 2 3 2 6" xfId="27023" xr:uid="{00000000-0005-0000-0000-00008C6B0000}"/>
    <cellStyle name="Normalny 4 4 2 2 2 3 3" xfId="27024" xr:uid="{00000000-0005-0000-0000-00008D6B0000}"/>
    <cellStyle name="Normalny 4 4 2 2 2 3 4" xfId="27025" xr:uid="{00000000-0005-0000-0000-00008E6B0000}"/>
    <cellStyle name="Normalny 4 4 2 2 2 3 5" xfId="27026" xr:uid="{00000000-0005-0000-0000-00008F6B0000}"/>
    <cellStyle name="Normalny 4 4 2 2 2 3 6" xfId="27027" xr:uid="{00000000-0005-0000-0000-0000906B0000}"/>
    <cellStyle name="Normalny 4 4 2 2 2 3 7" xfId="27028" xr:uid="{00000000-0005-0000-0000-0000916B0000}"/>
    <cellStyle name="Normalny 4 4 2 2 2 4" xfId="27029" xr:uid="{00000000-0005-0000-0000-0000926B0000}"/>
    <cellStyle name="Normalny 4 4 2 2 2 5" xfId="27030" xr:uid="{00000000-0005-0000-0000-0000936B0000}"/>
    <cellStyle name="Normalny 4 4 2 2 2 6" xfId="27031" xr:uid="{00000000-0005-0000-0000-0000946B0000}"/>
    <cellStyle name="Normalny 4 4 2 2 2 7" xfId="27032" xr:uid="{00000000-0005-0000-0000-0000956B0000}"/>
    <cellStyle name="Normalny 4 4 2 2 2 7 2" xfId="27033" xr:uid="{00000000-0005-0000-0000-0000966B0000}"/>
    <cellStyle name="Normalny 4 4 2 2 2 7 3" xfId="27034" xr:uid="{00000000-0005-0000-0000-0000976B0000}"/>
    <cellStyle name="Normalny 4 4 2 2 2 7 4" xfId="27035" xr:uid="{00000000-0005-0000-0000-0000986B0000}"/>
    <cellStyle name="Normalny 4 4 2 2 2 7 5" xfId="27036" xr:uid="{00000000-0005-0000-0000-0000996B0000}"/>
    <cellStyle name="Normalny 4 4 2 2 2 7 6" xfId="27037" xr:uid="{00000000-0005-0000-0000-00009A6B0000}"/>
    <cellStyle name="Normalny 4 4 2 2 2 8" xfId="27038" xr:uid="{00000000-0005-0000-0000-00009B6B0000}"/>
    <cellStyle name="Normalny 4 4 2 2 2 9" xfId="27039" xr:uid="{00000000-0005-0000-0000-00009C6B0000}"/>
    <cellStyle name="Normalny 4 4 2 2 3" xfId="27040" xr:uid="{00000000-0005-0000-0000-00009D6B0000}"/>
    <cellStyle name="Normalny 4 4 2 2 3 2" xfId="27041" xr:uid="{00000000-0005-0000-0000-00009E6B0000}"/>
    <cellStyle name="Normalny 4 4 2 2 3 2 2" xfId="27042" xr:uid="{00000000-0005-0000-0000-00009F6B0000}"/>
    <cellStyle name="Normalny 4 4 2 2 3 2 3" xfId="27043" xr:uid="{00000000-0005-0000-0000-0000A06B0000}"/>
    <cellStyle name="Normalny 4 4 2 2 3 2 4" xfId="27044" xr:uid="{00000000-0005-0000-0000-0000A16B0000}"/>
    <cellStyle name="Normalny 4 4 2 2 3 2 5" xfId="27045" xr:uid="{00000000-0005-0000-0000-0000A26B0000}"/>
    <cellStyle name="Normalny 4 4 2 2 3 2 6" xfId="27046" xr:uid="{00000000-0005-0000-0000-0000A36B0000}"/>
    <cellStyle name="Normalny 4 4 2 2 3 3" xfId="27047" xr:uid="{00000000-0005-0000-0000-0000A46B0000}"/>
    <cellStyle name="Normalny 4 4 2 2 3 4" xfId="27048" xr:uid="{00000000-0005-0000-0000-0000A56B0000}"/>
    <cellStyle name="Normalny 4 4 2 2 3 5" xfId="27049" xr:uid="{00000000-0005-0000-0000-0000A66B0000}"/>
    <cellStyle name="Normalny 4 4 2 2 3 6" xfId="27050" xr:uid="{00000000-0005-0000-0000-0000A76B0000}"/>
    <cellStyle name="Normalny 4 4 2 2 3 7" xfId="27051" xr:uid="{00000000-0005-0000-0000-0000A86B0000}"/>
    <cellStyle name="Normalny 4 4 2 2 4" xfId="27052" xr:uid="{00000000-0005-0000-0000-0000A96B0000}"/>
    <cellStyle name="Normalny 4 4 2 2 5" xfId="27053" xr:uid="{00000000-0005-0000-0000-0000AA6B0000}"/>
    <cellStyle name="Normalny 4 4 2 2 6" xfId="27054" xr:uid="{00000000-0005-0000-0000-0000AB6B0000}"/>
    <cellStyle name="Normalny 4 4 2 2 7" xfId="27055" xr:uid="{00000000-0005-0000-0000-0000AC6B0000}"/>
    <cellStyle name="Normalny 4 4 2 2 8" xfId="27056" xr:uid="{00000000-0005-0000-0000-0000AD6B0000}"/>
    <cellStyle name="Normalny 4 4 2 2 8 2" xfId="27057" xr:uid="{00000000-0005-0000-0000-0000AE6B0000}"/>
    <cellStyle name="Normalny 4 4 2 2 8 3" xfId="27058" xr:uid="{00000000-0005-0000-0000-0000AF6B0000}"/>
    <cellStyle name="Normalny 4 4 2 2 8 4" xfId="27059" xr:uid="{00000000-0005-0000-0000-0000B06B0000}"/>
    <cellStyle name="Normalny 4 4 2 2 8 5" xfId="27060" xr:uid="{00000000-0005-0000-0000-0000B16B0000}"/>
    <cellStyle name="Normalny 4 4 2 2 8 6" xfId="27061" xr:uid="{00000000-0005-0000-0000-0000B26B0000}"/>
    <cellStyle name="Normalny 4 4 2 2 9" xfId="27062" xr:uid="{00000000-0005-0000-0000-0000B36B0000}"/>
    <cellStyle name="Normalny 4 4 2 3" xfId="27063" xr:uid="{00000000-0005-0000-0000-0000B46B0000}"/>
    <cellStyle name="Normalny 4 4 2 4" xfId="27064" xr:uid="{00000000-0005-0000-0000-0000B56B0000}"/>
    <cellStyle name="Normalny 4 4 2 4 10" xfId="27065" xr:uid="{00000000-0005-0000-0000-0000B66B0000}"/>
    <cellStyle name="Normalny 4 4 2 4 11" xfId="27066" xr:uid="{00000000-0005-0000-0000-0000B76B0000}"/>
    <cellStyle name="Normalny 4 4 2 4 2" xfId="27067" xr:uid="{00000000-0005-0000-0000-0000B86B0000}"/>
    <cellStyle name="Normalny 4 4 2 4 2 2" xfId="27068" xr:uid="{00000000-0005-0000-0000-0000B96B0000}"/>
    <cellStyle name="Normalny 4 4 2 4 2 2 2" xfId="27069" xr:uid="{00000000-0005-0000-0000-0000BA6B0000}"/>
    <cellStyle name="Normalny 4 4 2 4 2 2 3" xfId="27070" xr:uid="{00000000-0005-0000-0000-0000BB6B0000}"/>
    <cellStyle name="Normalny 4 4 2 4 2 2 4" xfId="27071" xr:uid="{00000000-0005-0000-0000-0000BC6B0000}"/>
    <cellStyle name="Normalny 4 4 2 4 2 2 5" xfId="27072" xr:uid="{00000000-0005-0000-0000-0000BD6B0000}"/>
    <cellStyle name="Normalny 4 4 2 4 2 2 6" xfId="27073" xr:uid="{00000000-0005-0000-0000-0000BE6B0000}"/>
    <cellStyle name="Normalny 4 4 2 4 2 3" xfId="27074" xr:uid="{00000000-0005-0000-0000-0000BF6B0000}"/>
    <cellStyle name="Normalny 4 4 2 4 2 4" xfId="27075" xr:uid="{00000000-0005-0000-0000-0000C06B0000}"/>
    <cellStyle name="Normalny 4 4 2 4 2 5" xfId="27076" xr:uid="{00000000-0005-0000-0000-0000C16B0000}"/>
    <cellStyle name="Normalny 4 4 2 4 2 6" xfId="27077" xr:uid="{00000000-0005-0000-0000-0000C26B0000}"/>
    <cellStyle name="Normalny 4 4 2 4 2 7" xfId="27078" xr:uid="{00000000-0005-0000-0000-0000C36B0000}"/>
    <cellStyle name="Normalny 4 4 2 4 3" xfId="27079" xr:uid="{00000000-0005-0000-0000-0000C46B0000}"/>
    <cellStyle name="Normalny 4 4 2 4 4" xfId="27080" xr:uid="{00000000-0005-0000-0000-0000C56B0000}"/>
    <cellStyle name="Normalny 4 4 2 4 5" xfId="27081" xr:uid="{00000000-0005-0000-0000-0000C66B0000}"/>
    <cellStyle name="Normalny 4 4 2 4 6" xfId="27082" xr:uid="{00000000-0005-0000-0000-0000C76B0000}"/>
    <cellStyle name="Normalny 4 4 2 4 7" xfId="27083" xr:uid="{00000000-0005-0000-0000-0000C86B0000}"/>
    <cellStyle name="Normalny 4 4 2 4 7 2" xfId="27084" xr:uid="{00000000-0005-0000-0000-0000C96B0000}"/>
    <cellStyle name="Normalny 4 4 2 4 7 3" xfId="27085" xr:uid="{00000000-0005-0000-0000-0000CA6B0000}"/>
    <cellStyle name="Normalny 4 4 2 4 7 4" xfId="27086" xr:uid="{00000000-0005-0000-0000-0000CB6B0000}"/>
    <cellStyle name="Normalny 4 4 2 4 7 5" xfId="27087" xr:uid="{00000000-0005-0000-0000-0000CC6B0000}"/>
    <cellStyle name="Normalny 4 4 2 4 7 6" xfId="27088" xr:uid="{00000000-0005-0000-0000-0000CD6B0000}"/>
    <cellStyle name="Normalny 4 4 2 4 8" xfId="27089" xr:uid="{00000000-0005-0000-0000-0000CE6B0000}"/>
    <cellStyle name="Normalny 4 4 2 4 9" xfId="27090" xr:uid="{00000000-0005-0000-0000-0000CF6B0000}"/>
    <cellStyle name="Normalny 4 4 2 5" xfId="27091" xr:uid="{00000000-0005-0000-0000-0000D06B0000}"/>
    <cellStyle name="Normalny 4 4 2 5 2" xfId="27092" xr:uid="{00000000-0005-0000-0000-0000D16B0000}"/>
    <cellStyle name="Normalny 4 4 2 5 2 2" xfId="27093" xr:uid="{00000000-0005-0000-0000-0000D26B0000}"/>
    <cellStyle name="Normalny 4 4 2 5 2 3" xfId="27094" xr:uid="{00000000-0005-0000-0000-0000D36B0000}"/>
    <cellStyle name="Normalny 4 4 2 5 2 4" xfId="27095" xr:uid="{00000000-0005-0000-0000-0000D46B0000}"/>
    <cellStyle name="Normalny 4 4 2 5 2 5" xfId="27096" xr:uid="{00000000-0005-0000-0000-0000D56B0000}"/>
    <cellStyle name="Normalny 4 4 2 5 2 6" xfId="27097" xr:uid="{00000000-0005-0000-0000-0000D66B0000}"/>
    <cellStyle name="Normalny 4 4 2 5 3" xfId="27098" xr:uid="{00000000-0005-0000-0000-0000D76B0000}"/>
    <cellStyle name="Normalny 4 4 2 5 4" xfId="27099" xr:uid="{00000000-0005-0000-0000-0000D86B0000}"/>
    <cellStyle name="Normalny 4 4 2 5 5" xfId="27100" xr:uid="{00000000-0005-0000-0000-0000D96B0000}"/>
    <cellStyle name="Normalny 4 4 2 5 6" xfId="27101" xr:uid="{00000000-0005-0000-0000-0000DA6B0000}"/>
    <cellStyle name="Normalny 4 4 2 5 7" xfId="27102" xr:uid="{00000000-0005-0000-0000-0000DB6B0000}"/>
    <cellStyle name="Normalny 4 4 2 6" xfId="27103" xr:uid="{00000000-0005-0000-0000-0000DC6B0000}"/>
    <cellStyle name="Normalny 4 4 2 7" xfId="27104" xr:uid="{00000000-0005-0000-0000-0000DD6B0000}"/>
    <cellStyle name="Normalny 4 4 2 8" xfId="27105" xr:uid="{00000000-0005-0000-0000-0000DE6B0000}"/>
    <cellStyle name="Normalny 4 4 2 9" xfId="27106" xr:uid="{00000000-0005-0000-0000-0000DF6B0000}"/>
    <cellStyle name="Normalny 4 4 2 9 2" xfId="27107" xr:uid="{00000000-0005-0000-0000-0000E06B0000}"/>
    <cellStyle name="Normalny 4 4 2 9 3" xfId="27108" xr:uid="{00000000-0005-0000-0000-0000E16B0000}"/>
    <cellStyle name="Normalny 4 4 2 9 4" xfId="27109" xr:uid="{00000000-0005-0000-0000-0000E26B0000}"/>
    <cellStyle name="Normalny 4 4 2 9 5" xfId="27110" xr:uid="{00000000-0005-0000-0000-0000E36B0000}"/>
    <cellStyle name="Normalny 4 4 2 9 6" xfId="27111" xr:uid="{00000000-0005-0000-0000-0000E46B0000}"/>
    <cellStyle name="Normalny 4 4 3" xfId="27112" xr:uid="{00000000-0005-0000-0000-0000E56B0000}"/>
    <cellStyle name="Normalny 4 4 3 10" xfId="27113" xr:uid="{00000000-0005-0000-0000-0000E66B0000}"/>
    <cellStyle name="Normalny 4 4 3 11" xfId="27114" xr:uid="{00000000-0005-0000-0000-0000E76B0000}"/>
    <cellStyle name="Normalny 4 4 3 12" xfId="27115" xr:uid="{00000000-0005-0000-0000-0000E86B0000}"/>
    <cellStyle name="Normalny 4 4 3 13" xfId="38389" xr:uid="{00000000-0005-0000-0000-0000E96B0000}"/>
    <cellStyle name="Normalny 4 4 3 2" xfId="27116" xr:uid="{00000000-0005-0000-0000-0000EA6B0000}"/>
    <cellStyle name="Normalny 4 4 3 2 10" xfId="27117" xr:uid="{00000000-0005-0000-0000-0000EB6B0000}"/>
    <cellStyle name="Normalny 4 4 3 2 11" xfId="27118" xr:uid="{00000000-0005-0000-0000-0000EC6B0000}"/>
    <cellStyle name="Normalny 4 4 3 2 2" xfId="27119" xr:uid="{00000000-0005-0000-0000-0000ED6B0000}"/>
    <cellStyle name="Normalny 4 4 3 2 2 10" xfId="27120" xr:uid="{00000000-0005-0000-0000-0000EE6B0000}"/>
    <cellStyle name="Normalny 4 4 3 2 2 11" xfId="27121" xr:uid="{00000000-0005-0000-0000-0000EF6B0000}"/>
    <cellStyle name="Normalny 4 4 3 2 2 2" xfId="27122" xr:uid="{00000000-0005-0000-0000-0000F06B0000}"/>
    <cellStyle name="Normalny 4 4 3 2 2 2 2" xfId="27123" xr:uid="{00000000-0005-0000-0000-0000F16B0000}"/>
    <cellStyle name="Normalny 4 4 3 2 2 2 2 2" xfId="27124" xr:uid="{00000000-0005-0000-0000-0000F26B0000}"/>
    <cellStyle name="Normalny 4 4 3 2 2 2 2 3" xfId="27125" xr:uid="{00000000-0005-0000-0000-0000F36B0000}"/>
    <cellStyle name="Normalny 4 4 3 2 2 2 2 4" xfId="27126" xr:uid="{00000000-0005-0000-0000-0000F46B0000}"/>
    <cellStyle name="Normalny 4 4 3 2 2 2 2 5" xfId="27127" xr:uid="{00000000-0005-0000-0000-0000F56B0000}"/>
    <cellStyle name="Normalny 4 4 3 2 2 2 2 6" xfId="27128" xr:uid="{00000000-0005-0000-0000-0000F66B0000}"/>
    <cellStyle name="Normalny 4 4 3 2 2 2 3" xfId="27129" xr:uid="{00000000-0005-0000-0000-0000F76B0000}"/>
    <cellStyle name="Normalny 4 4 3 2 2 2 4" xfId="27130" xr:uid="{00000000-0005-0000-0000-0000F86B0000}"/>
    <cellStyle name="Normalny 4 4 3 2 2 2 5" xfId="27131" xr:uid="{00000000-0005-0000-0000-0000F96B0000}"/>
    <cellStyle name="Normalny 4 4 3 2 2 2 6" xfId="27132" xr:uid="{00000000-0005-0000-0000-0000FA6B0000}"/>
    <cellStyle name="Normalny 4 4 3 2 2 2 7" xfId="27133" xr:uid="{00000000-0005-0000-0000-0000FB6B0000}"/>
    <cellStyle name="Normalny 4 4 3 2 2 3" xfId="27134" xr:uid="{00000000-0005-0000-0000-0000FC6B0000}"/>
    <cellStyle name="Normalny 4 4 3 2 2 4" xfId="27135" xr:uid="{00000000-0005-0000-0000-0000FD6B0000}"/>
    <cellStyle name="Normalny 4 4 3 2 2 5" xfId="27136" xr:uid="{00000000-0005-0000-0000-0000FE6B0000}"/>
    <cellStyle name="Normalny 4 4 3 2 2 6" xfId="27137" xr:uid="{00000000-0005-0000-0000-0000FF6B0000}"/>
    <cellStyle name="Normalny 4 4 3 2 2 7" xfId="27138" xr:uid="{00000000-0005-0000-0000-0000006C0000}"/>
    <cellStyle name="Normalny 4 4 3 2 2 7 2" xfId="27139" xr:uid="{00000000-0005-0000-0000-0000016C0000}"/>
    <cellStyle name="Normalny 4 4 3 2 2 7 3" xfId="27140" xr:uid="{00000000-0005-0000-0000-0000026C0000}"/>
    <cellStyle name="Normalny 4 4 3 2 2 7 4" xfId="27141" xr:uid="{00000000-0005-0000-0000-0000036C0000}"/>
    <cellStyle name="Normalny 4 4 3 2 2 7 5" xfId="27142" xr:uid="{00000000-0005-0000-0000-0000046C0000}"/>
    <cellStyle name="Normalny 4 4 3 2 2 7 6" xfId="27143" xr:uid="{00000000-0005-0000-0000-0000056C0000}"/>
    <cellStyle name="Normalny 4 4 3 2 2 8" xfId="27144" xr:uid="{00000000-0005-0000-0000-0000066C0000}"/>
    <cellStyle name="Normalny 4 4 3 2 2 9" xfId="27145" xr:uid="{00000000-0005-0000-0000-0000076C0000}"/>
    <cellStyle name="Normalny 4 4 3 2 3" xfId="27146" xr:uid="{00000000-0005-0000-0000-0000086C0000}"/>
    <cellStyle name="Normalny 4 4 3 2 3 2" xfId="27147" xr:uid="{00000000-0005-0000-0000-0000096C0000}"/>
    <cellStyle name="Normalny 4 4 3 2 3 2 2" xfId="27148" xr:uid="{00000000-0005-0000-0000-00000A6C0000}"/>
    <cellStyle name="Normalny 4 4 3 2 3 2 3" xfId="27149" xr:uid="{00000000-0005-0000-0000-00000B6C0000}"/>
    <cellStyle name="Normalny 4 4 3 2 3 2 4" xfId="27150" xr:uid="{00000000-0005-0000-0000-00000C6C0000}"/>
    <cellStyle name="Normalny 4 4 3 2 3 2 5" xfId="27151" xr:uid="{00000000-0005-0000-0000-00000D6C0000}"/>
    <cellStyle name="Normalny 4 4 3 2 3 2 6" xfId="27152" xr:uid="{00000000-0005-0000-0000-00000E6C0000}"/>
    <cellStyle name="Normalny 4 4 3 2 3 3" xfId="27153" xr:uid="{00000000-0005-0000-0000-00000F6C0000}"/>
    <cellStyle name="Normalny 4 4 3 2 3 4" xfId="27154" xr:uid="{00000000-0005-0000-0000-0000106C0000}"/>
    <cellStyle name="Normalny 4 4 3 2 3 5" xfId="27155" xr:uid="{00000000-0005-0000-0000-0000116C0000}"/>
    <cellStyle name="Normalny 4 4 3 2 3 6" xfId="27156" xr:uid="{00000000-0005-0000-0000-0000126C0000}"/>
    <cellStyle name="Normalny 4 4 3 2 3 7" xfId="27157" xr:uid="{00000000-0005-0000-0000-0000136C0000}"/>
    <cellStyle name="Normalny 4 4 3 2 4" xfId="27158" xr:uid="{00000000-0005-0000-0000-0000146C0000}"/>
    <cellStyle name="Normalny 4 4 3 2 5" xfId="27159" xr:uid="{00000000-0005-0000-0000-0000156C0000}"/>
    <cellStyle name="Normalny 4 4 3 2 6" xfId="27160" xr:uid="{00000000-0005-0000-0000-0000166C0000}"/>
    <cellStyle name="Normalny 4 4 3 2 7" xfId="27161" xr:uid="{00000000-0005-0000-0000-0000176C0000}"/>
    <cellStyle name="Normalny 4 4 3 2 7 2" xfId="27162" xr:uid="{00000000-0005-0000-0000-0000186C0000}"/>
    <cellStyle name="Normalny 4 4 3 2 7 3" xfId="27163" xr:uid="{00000000-0005-0000-0000-0000196C0000}"/>
    <cellStyle name="Normalny 4 4 3 2 7 4" xfId="27164" xr:uid="{00000000-0005-0000-0000-00001A6C0000}"/>
    <cellStyle name="Normalny 4 4 3 2 7 5" xfId="27165" xr:uid="{00000000-0005-0000-0000-00001B6C0000}"/>
    <cellStyle name="Normalny 4 4 3 2 7 6" xfId="27166" xr:uid="{00000000-0005-0000-0000-00001C6C0000}"/>
    <cellStyle name="Normalny 4 4 3 2 8" xfId="27167" xr:uid="{00000000-0005-0000-0000-00001D6C0000}"/>
    <cellStyle name="Normalny 4 4 3 2 9" xfId="27168" xr:uid="{00000000-0005-0000-0000-00001E6C0000}"/>
    <cellStyle name="Normalny 4 4 3 3" xfId="27169" xr:uid="{00000000-0005-0000-0000-00001F6C0000}"/>
    <cellStyle name="Normalny 4 4 3 3 2" xfId="27170" xr:uid="{00000000-0005-0000-0000-0000206C0000}"/>
    <cellStyle name="Normalny 4 4 3 3 2 2" xfId="27171" xr:uid="{00000000-0005-0000-0000-0000216C0000}"/>
    <cellStyle name="Normalny 4 4 3 3 2 3" xfId="27172" xr:uid="{00000000-0005-0000-0000-0000226C0000}"/>
    <cellStyle name="Normalny 4 4 3 3 2 4" xfId="27173" xr:uid="{00000000-0005-0000-0000-0000236C0000}"/>
    <cellStyle name="Normalny 4 4 3 3 2 5" xfId="27174" xr:uid="{00000000-0005-0000-0000-0000246C0000}"/>
    <cellStyle name="Normalny 4 4 3 3 2 6" xfId="27175" xr:uid="{00000000-0005-0000-0000-0000256C0000}"/>
    <cellStyle name="Normalny 4 4 3 3 3" xfId="27176" xr:uid="{00000000-0005-0000-0000-0000266C0000}"/>
    <cellStyle name="Normalny 4 4 3 3 4" xfId="27177" xr:uid="{00000000-0005-0000-0000-0000276C0000}"/>
    <cellStyle name="Normalny 4 4 3 3 5" xfId="27178" xr:uid="{00000000-0005-0000-0000-0000286C0000}"/>
    <cellStyle name="Normalny 4 4 3 3 6" xfId="27179" xr:uid="{00000000-0005-0000-0000-0000296C0000}"/>
    <cellStyle name="Normalny 4 4 3 3 7" xfId="27180" xr:uid="{00000000-0005-0000-0000-00002A6C0000}"/>
    <cellStyle name="Normalny 4 4 3 4" xfId="27181" xr:uid="{00000000-0005-0000-0000-00002B6C0000}"/>
    <cellStyle name="Normalny 4 4 3 5" xfId="27182" xr:uid="{00000000-0005-0000-0000-00002C6C0000}"/>
    <cellStyle name="Normalny 4 4 3 6" xfId="27183" xr:uid="{00000000-0005-0000-0000-00002D6C0000}"/>
    <cellStyle name="Normalny 4 4 3 7" xfId="27184" xr:uid="{00000000-0005-0000-0000-00002E6C0000}"/>
    <cellStyle name="Normalny 4 4 3 8" xfId="27185" xr:uid="{00000000-0005-0000-0000-00002F6C0000}"/>
    <cellStyle name="Normalny 4 4 3 8 2" xfId="27186" xr:uid="{00000000-0005-0000-0000-0000306C0000}"/>
    <cellStyle name="Normalny 4 4 3 8 3" xfId="27187" xr:uid="{00000000-0005-0000-0000-0000316C0000}"/>
    <cellStyle name="Normalny 4 4 3 8 4" xfId="27188" xr:uid="{00000000-0005-0000-0000-0000326C0000}"/>
    <cellStyle name="Normalny 4 4 3 8 5" xfId="27189" xr:uid="{00000000-0005-0000-0000-0000336C0000}"/>
    <cellStyle name="Normalny 4 4 3 8 6" xfId="27190" xr:uid="{00000000-0005-0000-0000-0000346C0000}"/>
    <cellStyle name="Normalny 4 4 3 9" xfId="27191" xr:uid="{00000000-0005-0000-0000-0000356C0000}"/>
    <cellStyle name="Normalny 4 4 4" xfId="27192" xr:uid="{00000000-0005-0000-0000-0000366C0000}"/>
    <cellStyle name="Normalny 4 4 4 10" xfId="27193" xr:uid="{00000000-0005-0000-0000-0000376C0000}"/>
    <cellStyle name="Normalny 4 4 4 11" xfId="27194" xr:uid="{00000000-0005-0000-0000-0000386C0000}"/>
    <cellStyle name="Normalny 4 4 4 2" xfId="27195" xr:uid="{00000000-0005-0000-0000-0000396C0000}"/>
    <cellStyle name="Normalny 4 4 4 2 2" xfId="27196" xr:uid="{00000000-0005-0000-0000-00003A6C0000}"/>
    <cellStyle name="Normalny 4 4 4 2 2 2" xfId="27197" xr:uid="{00000000-0005-0000-0000-00003B6C0000}"/>
    <cellStyle name="Normalny 4 4 4 2 2 3" xfId="27198" xr:uid="{00000000-0005-0000-0000-00003C6C0000}"/>
    <cellStyle name="Normalny 4 4 4 2 2 4" xfId="27199" xr:uid="{00000000-0005-0000-0000-00003D6C0000}"/>
    <cellStyle name="Normalny 4 4 4 2 2 5" xfId="27200" xr:uid="{00000000-0005-0000-0000-00003E6C0000}"/>
    <cellStyle name="Normalny 4 4 4 2 2 6" xfId="27201" xr:uid="{00000000-0005-0000-0000-00003F6C0000}"/>
    <cellStyle name="Normalny 4 4 4 2 3" xfId="27202" xr:uid="{00000000-0005-0000-0000-0000406C0000}"/>
    <cellStyle name="Normalny 4 4 4 2 4" xfId="27203" xr:uid="{00000000-0005-0000-0000-0000416C0000}"/>
    <cellStyle name="Normalny 4 4 4 2 5" xfId="27204" xr:uid="{00000000-0005-0000-0000-0000426C0000}"/>
    <cellStyle name="Normalny 4 4 4 2 6" xfId="27205" xr:uid="{00000000-0005-0000-0000-0000436C0000}"/>
    <cellStyle name="Normalny 4 4 4 2 7" xfId="27206" xr:uid="{00000000-0005-0000-0000-0000446C0000}"/>
    <cellStyle name="Normalny 4 4 4 3" xfId="27207" xr:uid="{00000000-0005-0000-0000-0000456C0000}"/>
    <cellStyle name="Normalny 4 4 4 4" xfId="27208" xr:uid="{00000000-0005-0000-0000-0000466C0000}"/>
    <cellStyle name="Normalny 4 4 4 5" xfId="27209" xr:uid="{00000000-0005-0000-0000-0000476C0000}"/>
    <cellStyle name="Normalny 4 4 4 6" xfId="27210" xr:uid="{00000000-0005-0000-0000-0000486C0000}"/>
    <cellStyle name="Normalny 4 4 4 7" xfId="27211" xr:uid="{00000000-0005-0000-0000-0000496C0000}"/>
    <cellStyle name="Normalny 4 4 4 7 2" xfId="27212" xr:uid="{00000000-0005-0000-0000-00004A6C0000}"/>
    <cellStyle name="Normalny 4 4 4 7 3" xfId="27213" xr:uid="{00000000-0005-0000-0000-00004B6C0000}"/>
    <cellStyle name="Normalny 4 4 4 7 4" xfId="27214" xr:uid="{00000000-0005-0000-0000-00004C6C0000}"/>
    <cellStyle name="Normalny 4 4 4 7 5" xfId="27215" xr:uid="{00000000-0005-0000-0000-00004D6C0000}"/>
    <cellStyle name="Normalny 4 4 4 7 6" xfId="27216" xr:uid="{00000000-0005-0000-0000-00004E6C0000}"/>
    <cellStyle name="Normalny 4 4 4 8" xfId="27217" xr:uid="{00000000-0005-0000-0000-00004F6C0000}"/>
    <cellStyle name="Normalny 4 4 4 9" xfId="27218" xr:uid="{00000000-0005-0000-0000-0000506C0000}"/>
    <cellStyle name="Normalny 4 4 5" xfId="27219" xr:uid="{00000000-0005-0000-0000-0000516C0000}"/>
    <cellStyle name="Normalny 4 4 5 2" xfId="27220" xr:uid="{00000000-0005-0000-0000-0000526C0000}"/>
    <cellStyle name="Normalny 4 4 5 2 2" xfId="27221" xr:uid="{00000000-0005-0000-0000-0000536C0000}"/>
    <cellStyle name="Normalny 4 4 5 2 3" xfId="27222" xr:uid="{00000000-0005-0000-0000-0000546C0000}"/>
    <cellStyle name="Normalny 4 4 5 2 4" xfId="27223" xr:uid="{00000000-0005-0000-0000-0000556C0000}"/>
    <cellStyle name="Normalny 4 4 5 2 5" xfId="27224" xr:uid="{00000000-0005-0000-0000-0000566C0000}"/>
    <cellStyle name="Normalny 4 4 5 2 6" xfId="27225" xr:uid="{00000000-0005-0000-0000-0000576C0000}"/>
    <cellStyle name="Normalny 4 4 5 3" xfId="27226" xr:uid="{00000000-0005-0000-0000-0000586C0000}"/>
    <cellStyle name="Normalny 4 4 5 4" xfId="27227" xr:uid="{00000000-0005-0000-0000-0000596C0000}"/>
    <cellStyle name="Normalny 4 4 5 5" xfId="27228" xr:uid="{00000000-0005-0000-0000-00005A6C0000}"/>
    <cellStyle name="Normalny 4 4 5 6" xfId="27229" xr:uid="{00000000-0005-0000-0000-00005B6C0000}"/>
    <cellStyle name="Normalny 4 4 5 7" xfId="27230" xr:uid="{00000000-0005-0000-0000-00005C6C0000}"/>
    <cellStyle name="Normalny 4 4 6" xfId="27231" xr:uid="{00000000-0005-0000-0000-00005D6C0000}"/>
    <cellStyle name="Normalny 4 4 7" xfId="27232" xr:uid="{00000000-0005-0000-0000-00005E6C0000}"/>
    <cellStyle name="Normalny 4 4 8" xfId="27233" xr:uid="{00000000-0005-0000-0000-00005F6C0000}"/>
    <cellStyle name="Normalny 4 4 9" xfId="27234" xr:uid="{00000000-0005-0000-0000-0000606C0000}"/>
    <cellStyle name="Normalny 4 4 9 2" xfId="27235" xr:uid="{00000000-0005-0000-0000-0000616C0000}"/>
    <cellStyle name="Normalny 4 4 9 3" xfId="27236" xr:uid="{00000000-0005-0000-0000-0000626C0000}"/>
    <cellStyle name="Normalny 4 4 9 4" xfId="27237" xr:uid="{00000000-0005-0000-0000-0000636C0000}"/>
    <cellStyle name="Normalny 4 4 9 5" xfId="27238" xr:uid="{00000000-0005-0000-0000-0000646C0000}"/>
    <cellStyle name="Normalny 4 4 9 6" xfId="27239" xr:uid="{00000000-0005-0000-0000-0000656C0000}"/>
    <cellStyle name="Normalny 4 5" xfId="27240" xr:uid="{00000000-0005-0000-0000-0000666C0000}"/>
    <cellStyle name="Normalny 4 5 10" xfId="27241" xr:uid="{00000000-0005-0000-0000-0000676C0000}"/>
    <cellStyle name="Normalny 4 5 10 2" xfId="27242" xr:uid="{00000000-0005-0000-0000-0000686C0000}"/>
    <cellStyle name="Normalny 4 5 10 3" xfId="27243" xr:uid="{00000000-0005-0000-0000-0000696C0000}"/>
    <cellStyle name="Normalny 4 5 11" xfId="27244" xr:uid="{00000000-0005-0000-0000-00006A6C0000}"/>
    <cellStyle name="Normalny 4 5 11 2" xfId="27245" xr:uid="{00000000-0005-0000-0000-00006B6C0000}"/>
    <cellStyle name="Normalny 4 5 11 3" xfId="27246" xr:uid="{00000000-0005-0000-0000-00006C6C0000}"/>
    <cellStyle name="Normalny 4 5 12" xfId="27247" xr:uid="{00000000-0005-0000-0000-00006D6C0000}"/>
    <cellStyle name="Normalny 4 5 13" xfId="27248" xr:uid="{00000000-0005-0000-0000-00006E6C0000}"/>
    <cellStyle name="Normalny 4 5 14" xfId="27249" xr:uid="{00000000-0005-0000-0000-00006F6C0000}"/>
    <cellStyle name="Normalny 4 5 15" xfId="27250" xr:uid="{00000000-0005-0000-0000-0000706C0000}"/>
    <cellStyle name="Normalny 4 5 16" xfId="27251" xr:uid="{00000000-0005-0000-0000-0000716C0000}"/>
    <cellStyle name="Normalny 4 5 17" xfId="38390" xr:uid="{00000000-0005-0000-0000-0000726C0000}"/>
    <cellStyle name="Normalny 4 5 2" xfId="27252" xr:uid="{00000000-0005-0000-0000-0000736C0000}"/>
    <cellStyle name="Normalny 4 5 2 10" xfId="27253" xr:uid="{00000000-0005-0000-0000-0000746C0000}"/>
    <cellStyle name="Normalny 4 5 2 11" xfId="27254" xr:uid="{00000000-0005-0000-0000-0000756C0000}"/>
    <cellStyle name="Normalny 4 5 2 12" xfId="27255" xr:uid="{00000000-0005-0000-0000-0000766C0000}"/>
    <cellStyle name="Normalny 4 5 2 2" xfId="27256" xr:uid="{00000000-0005-0000-0000-0000776C0000}"/>
    <cellStyle name="Normalny 4 5 2 2 10" xfId="27257" xr:uid="{00000000-0005-0000-0000-0000786C0000}"/>
    <cellStyle name="Normalny 4 5 2 2 11" xfId="27258" xr:uid="{00000000-0005-0000-0000-0000796C0000}"/>
    <cellStyle name="Normalny 4 5 2 2 2" xfId="27259" xr:uid="{00000000-0005-0000-0000-00007A6C0000}"/>
    <cellStyle name="Normalny 4 5 2 2 2 10" xfId="27260" xr:uid="{00000000-0005-0000-0000-00007B6C0000}"/>
    <cellStyle name="Normalny 4 5 2 2 2 11" xfId="27261" xr:uid="{00000000-0005-0000-0000-00007C6C0000}"/>
    <cellStyle name="Normalny 4 5 2 2 2 2" xfId="27262" xr:uid="{00000000-0005-0000-0000-00007D6C0000}"/>
    <cellStyle name="Normalny 4 5 2 2 2 2 2" xfId="27263" xr:uid="{00000000-0005-0000-0000-00007E6C0000}"/>
    <cellStyle name="Normalny 4 5 2 2 2 2 2 2" xfId="27264" xr:uid="{00000000-0005-0000-0000-00007F6C0000}"/>
    <cellStyle name="Normalny 4 5 2 2 2 2 2 3" xfId="27265" xr:uid="{00000000-0005-0000-0000-0000806C0000}"/>
    <cellStyle name="Normalny 4 5 2 2 2 2 2 4" xfId="27266" xr:uid="{00000000-0005-0000-0000-0000816C0000}"/>
    <cellStyle name="Normalny 4 5 2 2 2 2 2 5" xfId="27267" xr:uid="{00000000-0005-0000-0000-0000826C0000}"/>
    <cellStyle name="Normalny 4 5 2 2 2 2 2 6" xfId="27268" xr:uid="{00000000-0005-0000-0000-0000836C0000}"/>
    <cellStyle name="Normalny 4 5 2 2 2 2 3" xfId="27269" xr:uid="{00000000-0005-0000-0000-0000846C0000}"/>
    <cellStyle name="Normalny 4 5 2 2 2 2 4" xfId="27270" xr:uid="{00000000-0005-0000-0000-0000856C0000}"/>
    <cellStyle name="Normalny 4 5 2 2 2 2 4 2" xfId="27271" xr:uid="{00000000-0005-0000-0000-0000866C0000}"/>
    <cellStyle name="Normalny 4 5 2 2 2 2 4 3" xfId="27272" xr:uid="{00000000-0005-0000-0000-0000876C0000}"/>
    <cellStyle name="Normalny 4 5 2 2 2 2 5" xfId="27273" xr:uid="{00000000-0005-0000-0000-0000886C0000}"/>
    <cellStyle name="Normalny 4 5 2 2 2 2 5 2" xfId="27274" xr:uid="{00000000-0005-0000-0000-0000896C0000}"/>
    <cellStyle name="Normalny 4 5 2 2 2 2 5 3" xfId="27275" xr:uid="{00000000-0005-0000-0000-00008A6C0000}"/>
    <cellStyle name="Normalny 4 5 2 2 2 2 6" xfId="27276" xr:uid="{00000000-0005-0000-0000-00008B6C0000}"/>
    <cellStyle name="Normalny 4 5 2 2 2 2 7" xfId="27277" xr:uid="{00000000-0005-0000-0000-00008C6C0000}"/>
    <cellStyle name="Normalny 4 5 2 2 2 3" xfId="27278" xr:uid="{00000000-0005-0000-0000-00008D6C0000}"/>
    <cellStyle name="Normalny 4 5 2 2 2 4" xfId="27279" xr:uid="{00000000-0005-0000-0000-00008E6C0000}"/>
    <cellStyle name="Normalny 4 5 2 2 2 5" xfId="27280" xr:uid="{00000000-0005-0000-0000-00008F6C0000}"/>
    <cellStyle name="Normalny 4 5 2 2 2 6" xfId="27281" xr:uid="{00000000-0005-0000-0000-0000906C0000}"/>
    <cellStyle name="Normalny 4 5 2 2 2 7" xfId="27282" xr:uid="{00000000-0005-0000-0000-0000916C0000}"/>
    <cellStyle name="Normalny 4 5 2 2 2 7 2" xfId="27283" xr:uid="{00000000-0005-0000-0000-0000926C0000}"/>
    <cellStyle name="Normalny 4 5 2 2 2 7 2 2" xfId="27284" xr:uid="{00000000-0005-0000-0000-0000936C0000}"/>
    <cellStyle name="Normalny 4 5 2 2 2 7 2 3" xfId="27285" xr:uid="{00000000-0005-0000-0000-0000946C0000}"/>
    <cellStyle name="Normalny 4 5 2 2 2 7 3" xfId="27286" xr:uid="{00000000-0005-0000-0000-0000956C0000}"/>
    <cellStyle name="Normalny 4 5 2 2 2 7 3 2" xfId="27287" xr:uid="{00000000-0005-0000-0000-0000966C0000}"/>
    <cellStyle name="Normalny 4 5 2 2 2 7 3 3" xfId="27288" xr:uid="{00000000-0005-0000-0000-0000976C0000}"/>
    <cellStyle name="Normalny 4 5 2 2 2 7 4" xfId="27289" xr:uid="{00000000-0005-0000-0000-0000986C0000}"/>
    <cellStyle name="Normalny 4 5 2 2 2 7 4 2" xfId="27290" xr:uid="{00000000-0005-0000-0000-0000996C0000}"/>
    <cellStyle name="Normalny 4 5 2 2 2 7 4 3" xfId="27291" xr:uid="{00000000-0005-0000-0000-00009A6C0000}"/>
    <cellStyle name="Normalny 4 5 2 2 2 7 5" xfId="27292" xr:uid="{00000000-0005-0000-0000-00009B6C0000}"/>
    <cellStyle name="Normalny 4 5 2 2 2 7 6" xfId="27293" xr:uid="{00000000-0005-0000-0000-00009C6C0000}"/>
    <cellStyle name="Normalny 4 5 2 2 2 8" xfId="27294" xr:uid="{00000000-0005-0000-0000-00009D6C0000}"/>
    <cellStyle name="Normalny 4 5 2 2 2 9" xfId="27295" xr:uid="{00000000-0005-0000-0000-00009E6C0000}"/>
    <cellStyle name="Normalny 4 5 2 2 3" xfId="27296" xr:uid="{00000000-0005-0000-0000-00009F6C0000}"/>
    <cellStyle name="Normalny 4 5 2 2 3 2" xfId="27297" xr:uid="{00000000-0005-0000-0000-0000A06C0000}"/>
    <cellStyle name="Normalny 4 5 2 2 3 2 2" xfId="27298" xr:uid="{00000000-0005-0000-0000-0000A16C0000}"/>
    <cellStyle name="Normalny 4 5 2 2 3 2 2 2" xfId="27299" xr:uid="{00000000-0005-0000-0000-0000A26C0000}"/>
    <cellStyle name="Normalny 4 5 2 2 3 2 2 3" xfId="27300" xr:uid="{00000000-0005-0000-0000-0000A36C0000}"/>
    <cellStyle name="Normalny 4 5 2 2 3 2 3" xfId="27301" xr:uid="{00000000-0005-0000-0000-0000A46C0000}"/>
    <cellStyle name="Normalny 4 5 2 2 3 2 3 2" xfId="27302" xr:uid="{00000000-0005-0000-0000-0000A56C0000}"/>
    <cellStyle name="Normalny 4 5 2 2 3 2 3 3" xfId="27303" xr:uid="{00000000-0005-0000-0000-0000A66C0000}"/>
    <cellStyle name="Normalny 4 5 2 2 3 2 4" xfId="27304" xr:uid="{00000000-0005-0000-0000-0000A76C0000}"/>
    <cellStyle name="Normalny 4 5 2 2 3 2 4 2" xfId="27305" xr:uid="{00000000-0005-0000-0000-0000A86C0000}"/>
    <cellStyle name="Normalny 4 5 2 2 3 2 4 3" xfId="27306" xr:uid="{00000000-0005-0000-0000-0000A96C0000}"/>
    <cellStyle name="Normalny 4 5 2 2 3 2 5" xfId="27307" xr:uid="{00000000-0005-0000-0000-0000AA6C0000}"/>
    <cellStyle name="Normalny 4 5 2 2 3 2 6" xfId="27308" xr:uid="{00000000-0005-0000-0000-0000AB6C0000}"/>
    <cellStyle name="Normalny 4 5 2 2 3 3" xfId="27309" xr:uid="{00000000-0005-0000-0000-0000AC6C0000}"/>
    <cellStyle name="Normalny 4 5 2 2 3 3 2" xfId="27310" xr:uid="{00000000-0005-0000-0000-0000AD6C0000}"/>
    <cellStyle name="Normalny 4 5 2 2 3 3 3" xfId="27311" xr:uid="{00000000-0005-0000-0000-0000AE6C0000}"/>
    <cellStyle name="Normalny 4 5 2 2 3 4" xfId="27312" xr:uid="{00000000-0005-0000-0000-0000AF6C0000}"/>
    <cellStyle name="Normalny 4 5 2 2 3 5" xfId="27313" xr:uid="{00000000-0005-0000-0000-0000B06C0000}"/>
    <cellStyle name="Normalny 4 5 2 2 3 6" xfId="27314" xr:uid="{00000000-0005-0000-0000-0000B16C0000}"/>
    <cellStyle name="Normalny 4 5 2 2 3 7" xfId="27315" xr:uid="{00000000-0005-0000-0000-0000B26C0000}"/>
    <cellStyle name="Normalny 4 5 2 2 4" xfId="27316" xr:uid="{00000000-0005-0000-0000-0000B36C0000}"/>
    <cellStyle name="Normalny 4 5 2 2 4 2" xfId="27317" xr:uid="{00000000-0005-0000-0000-0000B46C0000}"/>
    <cellStyle name="Normalny 4 5 2 2 4 3" xfId="27318" xr:uid="{00000000-0005-0000-0000-0000B56C0000}"/>
    <cellStyle name="Normalny 4 5 2 2 5" xfId="27319" xr:uid="{00000000-0005-0000-0000-0000B66C0000}"/>
    <cellStyle name="Normalny 4 5 2 2 5 2" xfId="27320" xr:uid="{00000000-0005-0000-0000-0000B76C0000}"/>
    <cellStyle name="Normalny 4 5 2 2 5 3" xfId="27321" xr:uid="{00000000-0005-0000-0000-0000B86C0000}"/>
    <cellStyle name="Normalny 4 5 2 2 6" xfId="27322" xr:uid="{00000000-0005-0000-0000-0000B96C0000}"/>
    <cellStyle name="Normalny 4 5 2 2 6 2" xfId="27323" xr:uid="{00000000-0005-0000-0000-0000BA6C0000}"/>
    <cellStyle name="Normalny 4 5 2 2 6 3" xfId="27324" xr:uid="{00000000-0005-0000-0000-0000BB6C0000}"/>
    <cellStyle name="Normalny 4 5 2 2 7" xfId="27325" xr:uid="{00000000-0005-0000-0000-0000BC6C0000}"/>
    <cellStyle name="Normalny 4 5 2 2 7 2" xfId="27326" xr:uid="{00000000-0005-0000-0000-0000BD6C0000}"/>
    <cellStyle name="Normalny 4 5 2 2 7 3" xfId="27327" xr:uid="{00000000-0005-0000-0000-0000BE6C0000}"/>
    <cellStyle name="Normalny 4 5 2 2 7 4" xfId="27328" xr:uid="{00000000-0005-0000-0000-0000BF6C0000}"/>
    <cellStyle name="Normalny 4 5 2 2 7 5" xfId="27329" xr:uid="{00000000-0005-0000-0000-0000C06C0000}"/>
    <cellStyle name="Normalny 4 5 2 2 7 6" xfId="27330" xr:uid="{00000000-0005-0000-0000-0000C16C0000}"/>
    <cellStyle name="Normalny 4 5 2 2 8" xfId="27331" xr:uid="{00000000-0005-0000-0000-0000C26C0000}"/>
    <cellStyle name="Normalny 4 5 2 2 8 2" xfId="27332" xr:uid="{00000000-0005-0000-0000-0000C36C0000}"/>
    <cellStyle name="Normalny 4 5 2 2 8 3" xfId="27333" xr:uid="{00000000-0005-0000-0000-0000C46C0000}"/>
    <cellStyle name="Normalny 4 5 2 2 9" xfId="27334" xr:uid="{00000000-0005-0000-0000-0000C56C0000}"/>
    <cellStyle name="Normalny 4 5 2 2 9 2" xfId="27335" xr:uid="{00000000-0005-0000-0000-0000C66C0000}"/>
    <cellStyle name="Normalny 4 5 2 2 9 3" xfId="27336" xr:uid="{00000000-0005-0000-0000-0000C76C0000}"/>
    <cellStyle name="Normalny 4 5 2 3" xfId="27337" xr:uid="{00000000-0005-0000-0000-0000C86C0000}"/>
    <cellStyle name="Normalny 4 5 2 3 2" xfId="27338" xr:uid="{00000000-0005-0000-0000-0000C96C0000}"/>
    <cellStyle name="Normalny 4 5 2 3 2 2" xfId="27339" xr:uid="{00000000-0005-0000-0000-0000CA6C0000}"/>
    <cellStyle name="Normalny 4 5 2 3 2 3" xfId="27340" xr:uid="{00000000-0005-0000-0000-0000CB6C0000}"/>
    <cellStyle name="Normalny 4 5 2 3 2 4" xfId="27341" xr:uid="{00000000-0005-0000-0000-0000CC6C0000}"/>
    <cellStyle name="Normalny 4 5 2 3 2 5" xfId="27342" xr:uid="{00000000-0005-0000-0000-0000CD6C0000}"/>
    <cellStyle name="Normalny 4 5 2 3 2 6" xfId="27343" xr:uid="{00000000-0005-0000-0000-0000CE6C0000}"/>
    <cellStyle name="Normalny 4 5 2 3 3" xfId="27344" xr:uid="{00000000-0005-0000-0000-0000CF6C0000}"/>
    <cellStyle name="Normalny 4 5 2 3 4" xfId="27345" xr:uid="{00000000-0005-0000-0000-0000D06C0000}"/>
    <cellStyle name="Normalny 4 5 2 3 4 2" xfId="27346" xr:uid="{00000000-0005-0000-0000-0000D16C0000}"/>
    <cellStyle name="Normalny 4 5 2 3 4 3" xfId="27347" xr:uid="{00000000-0005-0000-0000-0000D26C0000}"/>
    <cellStyle name="Normalny 4 5 2 3 5" xfId="27348" xr:uid="{00000000-0005-0000-0000-0000D36C0000}"/>
    <cellStyle name="Normalny 4 5 2 3 5 2" xfId="27349" xr:uid="{00000000-0005-0000-0000-0000D46C0000}"/>
    <cellStyle name="Normalny 4 5 2 3 5 3" xfId="27350" xr:uid="{00000000-0005-0000-0000-0000D56C0000}"/>
    <cellStyle name="Normalny 4 5 2 3 6" xfId="27351" xr:uid="{00000000-0005-0000-0000-0000D66C0000}"/>
    <cellStyle name="Normalny 4 5 2 3 7" xfId="27352" xr:uid="{00000000-0005-0000-0000-0000D76C0000}"/>
    <cellStyle name="Normalny 4 5 2 4" xfId="27353" xr:uid="{00000000-0005-0000-0000-0000D86C0000}"/>
    <cellStyle name="Normalny 4 5 2 5" xfId="27354" xr:uid="{00000000-0005-0000-0000-0000D96C0000}"/>
    <cellStyle name="Normalny 4 5 2 6" xfId="27355" xr:uid="{00000000-0005-0000-0000-0000DA6C0000}"/>
    <cellStyle name="Normalny 4 5 2 7" xfId="27356" xr:uid="{00000000-0005-0000-0000-0000DB6C0000}"/>
    <cellStyle name="Normalny 4 5 2 8" xfId="27357" xr:uid="{00000000-0005-0000-0000-0000DC6C0000}"/>
    <cellStyle name="Normalny 4 5 2 8 2" xfId="27358" xr:uid="{00000000-0005-0000-0000-0000DD6C0000}"/>
    <cellStyle name="Normalny 4 5 2 8 2 2" xfId="27359" xr:uid="{00000000-0005-0000-0000-0000DE6C0000}"/>
    <cellStyle name="Normalny 4 5 2 8 2 3" xfId="27360" xr:uid="{00000000-0005-0000-0000-0000DF6C0000}"/>
    <cellStyle name="Normalny 4 5 2 8 3" xfId="27361" xr:uid="{00000000-0005-0000-0000-0000E06C0000}"/>
    <cellStyle name="Normalny 4 5 2 8 3 2" xfId="27362" xr:uid="{00000000-0005-0000-0000-0000E16C0000}"/>
    <cellStyle name="Normalny 4 5 2 8 3 3" xfId="27363" xr:uid="{00000000-0005-0000-0000-0000E26C0000}"/>
    <cellStyle name="Normalny 4 5 2 8 4" xfId="27364" xr:uid="{00000000-0005-0000-0000-0000E36C0000}"/>
    <cellStyle name="Normalny 4 5 2 8 4 2" xfId="27365" xr:uid="{00000000-0005-0000-0000-0000E46C0000}"/>
    <cellStyle name="Normalny 4 5 2 8 4 3" xfId="27366" xr:uid="{00000000-0005-0000-0000-0000E56C0000}"/>
    <cellStyle name="Normalny 4 5 2 8 5" xfId="27367" xr:uid="{00000000-0005-0000-0000-0000E66C0000}"/>
    <cellStyle name="Normalny 4 5 2 8 6" xfId="27368" xr:uid="{00000000-0005-0000-0000-0000E76C0000}"/>
    <cellStyle name="Normalny 4 5 2 9" xfId="27369" xr:uid="{00000000-0005-0000-0000-0000E86C0000}"/>
    <cellStyle name="Normalny 4 5 3" xfId="27370" xr:uid="{00000000-0005-0000-0000-0000E96C0000}"/>
    <cellStyle name="Normalny 4 5 4" xfId="27371" xr:uid="{00000000-0005-0000-0000-0000EA6C0000}"/>
    <cellStyle name="Normalny 4 5 4 10" xfId="27372" xr:uid="{00000000-0005-0000-0000-0000EB6C0000}"/>
    <cellStyle name="Normalny 4 5 4 11" xfId="27373" xr:uid="{00000000-0005-0000-0000-0000EC6C0000}"/>
    <cellStyle name="Normalny 4 5 4 2" xfId="27374" xr:uid="{00000000-0005-0000-0000-0000ED6C0000}"/>
    <cellStyle name="Normalny 4 5 4 2 2" xfId="27375" xr:uid="{00000000-0005-0000-0000-0000EE6C0000}"/>
    <cellStyle name="Normalny 4 5 4 2 2 2" xfId="27376" xr:uid="{00000000-0005-0000-0000-0000EF6C0000}"/>
    <cellStyle name="Normalny 4 5 4 2 2 3" xfId="27377" xr:uid="{00000000-0005-0000-0000-0000F06C0000}"/>
    <cellStyle name="Normalny 4 5 4 2 2 4" xfId="27378" xr:uid="{00000000-0005-0000-0000-0000F16C0000}"/>
    <cellStyle name="Normalny 4 5 4 2 2 5" xfId="27379" xr:uid="{00000000-0005-0000-0000-0000F26C0000}"/>
    <cellStyle name="Normalny 4 5 4 2 2 6" xfId="27380" xr:uid="{00000000-0005-0000-0000-0000F36C0000}"/>
    <cellStyle name="Normalny 4 5 4 2 3" xfId="27381" xr:uid="{00000000-0005-0000-0000-0000F46C0000}"/>
    <cellStyle name="Normalny 4 5 4 2 4" xfId="27382" xr:uid="{00000000-0005-0000-0000-0000F56C0000}"/>
    <cellStyle name="Normalny 4 5 4 2 4 2" xfId="27383" xr:uid="{00000000-0005-0000-0000-0000F66C0000}"/>
    <cellStyle name="Normalny 4 5 4 2 4 3" xfId="27384" xr:uid="{00000000-0005-0000-0000-0000F76C0000}"/>
    <cellStyle name="Normalny 4 5 4 2 5" xfId="27385" xr:uid="{00000000-0005-0000-0000-0000F86C0000}"/>
    <cellStyle name="Normalny 4 5 4 2 5 2" xfId="27386" xr:uid="{00000000-0005-0000-0000-0000F96C0000}"/>
    <cellStyle name="Normalny 4 5 4 2 5 3" xfId="27387" xr:uid="{00000000-0005-0000-0000-0000FA6C0000}"/>
    <cellStyle name="Normalny 4 5 4 2 6" xfId="27388" xr:uid="{00000000-0005-0000-0000-0000FB6C0000}"/>
    <cellStyle name="Normalny 4 5 4 2 7" xfId="27389" xr:uid="{00000000-0005-0000-0000-0000FC6C0000}"/>
    <cellStyle name="Normalny 4 5 4 3" xfId="27390" xr:uid="{00000000-0005-0000-0000-0000FD6C0000}"/>
    <cellStyle name="Normalny 4 5 4 4" xfId="27391" xr:uid="{00000000-0005-0000-0000-0000FE6C0000}"/>
    <cellStyle name="Normalny 4 5 4 5" xfId="27392" xr:uid="{00000000-0005-0000-0000-0000FF6C0000}"/>
    <cellStyle name="Normalny 4 5 4 6" xfId="27393" xr:uid="{00000000-0005-0000-0000-0000006D0000}"/>
    <cellStyle name="Normalny 4 5 4 7" xfId="27394" xr:uid="{00000000-0005-0000-0000-0000016D0000}"/>
    <cellStyle name="Normalny 4 5 4 7 2" xfId="27395" xr:uid="{00000000-0005-0000-0000-0000026D0000}"/>
    <cellStyle name="Normalny 4 5 4 7 2 2" xfId="27396" xr:uid="{00000000-0005-0000-0000-0000036D0000}"/>
    <cellStyle name="Normalny 4 5 4 7 2 3" xfId="27397" xr:uid="{00000000-0005-0000-0000-0000046D0000}"/>
    <cellStyle name="Normalny 4 5 4 7 3" xfId="27398" xr:uid="{00000000-0005-0000-0000-0000056D0000}"/>
    <cellStyle name="Normalny 4 5 4 7 3 2" xfId="27399" xr:uid="{00000000-0005-0000-0000-0000066D0000}"/>
    <cellStyle name="Normalny 4 5 4 7 3 3" xfId="27400" xr:uid="{00000000-0005-0000-0000-0000076D0000}"/>
    <cellStyle name="Normalny 4 5 4 7 4" xfId="27401" xr:uid="{00000000-0005-0000-0000-0000086D0000}"/>
    <cellStyle name="Normalny 4 5 4 7 4 2" xfId="27402" xr:uid="{00000000-0005-0000-0000-0000096D0000}"/>
    <cellStyle name="Normalny 4 5 4 7 4 3" xfId="27403" xr:uid="{00000000-0005-0000-0000-00000A6D0000}"/>
    <cellStyle name="Normalny 4 5 4 7 5" xfId="27404" xr:uid="{00000000-0005-0000-0000-00000B6D0000}"/>
    <cellStyle name="Normalny 4 5 4 7 6" xfId="27405" xr:uid="{00000000-0005-0000-0000-00000C6D0000}"/>
    <cellStyle name="Normalny 4 5 4 8" xfId="27406" xr:uid="{00000000-0005-0000-0000-00000D6D0000}"/>
    <cellStyle name="Normalny 4 5 4 9" xfId="27407" xr:uid="{00000000-0005-0000-0000-00000E6D0000}"/>
    <cellStyle name="Normalny 4 5 5" xfId="27408" xr:uid="{00000000-0005-0000-0000-00000F6D0000}"/>
    <cellStyle name="Normalny 4 5 5 2" xfId="27409" xr:uid="{00000000-0005-0000-0000-0000106D0000}"/>
    <cellStyle name="Normalny 4 5 5 2 2" xfId="27410" xr:uid="{00000000-0005-0000-0000-0000116D0000}"/>
    <cellStyle name="Normalny 4 5 5 2 2 2" xfId="27411" xr:uid="{00000000-0005-0000-0000-0000126D0000}"/>
    <cellStyle name="Normalny 4 5 5 2 2 3" xfId="27412" xr:uid="{00000000-0005-0000-0000-0000136D0000}"/>
    <cellStyle name="Normalny 4 5 5 2 3" xfId="27413" xr:uid="{00000000-0005-0000-0000-0000146D0000}"/>
    <cellStyle name="Normalny 4 5 5 2 3 2" xfId="27414" xr:uid="{00000000-0005-0000-0000-0000156D0000}"/>
    <cellStyle name="Normalny 4 5 5 2 3 3" xfId="27415" xr:uid="{00000000-0005-0000-0000-0000166D0000}"/>
    <cellStyle name="Normalny 4 5 5 2 4" xfId="27416" xr:uid="{00000000-0005-0000-0000-0000176D0000}"/>
    <cellStyle name="Normalny 4 5 5 2 4 2" xfId="27417" xr:uid="{00000000-0005-0000-0000-0000186D0000}"/>
    <cellStyle name="Normalny 4 5 5 2 4 3" xfId="27418" xr:uid="{00000000-0005-0000-0000-0000196D0000}"/>
    <cellStyle name="Normalny 4 5 5 2 5" xfId="27419" xr:uid="{00000000-0005-0000-0000-00001A6D0000}"/>
    <cellStyle name="Normalny 4 5 5 2 6" xfId="27420" xr:uid="{00000000-0005-0000-0000-00001B6D0000}"/>
    <cellStyle name="Normalny 4 5 5 3" xfId="27421" xr:uid="{00000000-0005-0000-0000-00001C6D0000}"/>
    <cellStyle name="Normalny 4 5 5 3 2" xfId="27422" xr:uid="{00000000-0005-0000-0000-00001D6D0000}"/>
    <cellStyle name="Normalny 4 5 5 3 3" xfId="27423" xr:uid="{00000000-0005-0000-0000-00001E6D0000}"/>
    <cellStyle name="Normalny 4 5 5 4" xfId="27424" xr:uid="{00000000-0005-0000-0000-00001F6D0000}"/>
    <cellStyle name="Normalny 4 5 5 5" xfId="27425" xr:uid="{00000000-0005-0000-0000-0000206D0000}"/>
    <cellStyle name="Normalny 4 5 5 6" xfId="27426" xr:uid="{00000000-0005-0000-0000-0000216D0000}"/>
    <cellStyle name="Normalny 4 5 5 7" xfId="27427" xr:uid="{00000000-0005-0000-0000-0000226D0000}"/>
    <cellStyle name="Normalny 4 5 6" xfId="27428" xr:uid="{00000000-0005-0000-0000-0000236D0000}"/>
    <cellStyle name="Normalny 4 5 6 2" xfId="27429" xr:uid="{00000000-0005-0000-0000-0000246D0000}"/>
    <cellStyle name="Normalny 4 5 6 3" xfId="27430" xr:uid="{00000000-0005-0000-0000-0000256D0000}"/>
    <cellStyle name="Normalny 4 5 7" xfId="27431" xr:uid="{00000000-0005-0000-0000-0000266D0000}"/>
    <cellStyle name="Normalny 4 5 7 2" xfId="27432" xr:uid="{00000000-0005-0000-0000-0000276D0000}"/>
    <cellStyle name="Normalny 4 5 7 3" xfId="27433" xr:uid="{00000000-0005-0000-0000-0000286D0000}"/>
    <cellStyle name="Normalny 4 5 8" xfId="27434" xr:uid="{00000000-0005-0000-0000-0000296D0000}"/>
    <cellStyle name="Normalny 4 5 8 2" xfId="27435" xr:uid="{00000000-0005-0000-0000-00002A6D0000}"/>
    <cellStyle name="Normalny 4 5 8 3" xfId="27436" xr:uid="{00000000-0005-0000-0000-00002B6D0000}"/>
    <cellStyle name="Normalny 4 5 9" xfId="27437" xr:uid="{00000000-0005-0000-0000-00002C6D0000}"/>
    <cellStyle name="Normalny 4 5 9 2" xfId="27438" xr:uid="{00000000-0005-0000-0000-00002D6D0000}"/>
    <cellStyle name="Normalny 4 5 9 3" xfId="27439" xr:uid="{00000000-0005-0000-0000-00002E6D0000}"/>
    <cellStyle name="Normalny 4 5 9 4" xfId="27440" xr:uid="{00000000-0005-0000-0000-00002F6D0000}"/>
    <cellStyle name="Normalny 4 5 9 5" xfId="27441" xr:uid="{00000000-0005-0000-0000-0000306D0000}"/>
    <cellStyle name="Normalny 4 5 9 6" xfId="27442" xr:uid="{00000000-0005-0000-0000-0000316D0000}"/>
    <cellStyle name="Normalny 4 6" xfId="27443" xr:uid="{00000000-0005-0000-0000-0000326D0000}"/>
    <cellStyle name="Normalny 4 6 2" xfId="27444" xr:uid="{00000000-0005-0000-0000-0000336D0000}"/>
    <cellStyle name="Normalny 4 6 3" xfId="27445" xr:uid="{00000000-0005-0000-0000-0000346D0000}"/>
    <cellStyle name="Normalny 4 6 4" xfId="27446" xr:uid="{00000000-0005-0000-0000-0000356D0000}"/>
    <cellStyle name="Normalny 4 6 5" xfId="38391" xr:uid="{00000000-0005-0000-0000-0000366D0000}"/>
    <cellStyle name="Normalny 4 7" xfId="27447" xr:uid="{00000000-0005-0000-0000-0000376D0000}"/>
    <cellStyle name="Normalny 4 7 2" xfId="27448" xr:uid="{00000000-0005-0000-0000-0000386D0000}"/>
    <cellStyle name="Normalny 4 7 3" xfId="27449" xr:uid="{00000000-0005-0000-0000-0000396D0000}"/>
    <cellStyle name="Normalny 4 7 4" xfId="27450" xr:uid="{00000000-0005-0000-0000-00003A6D0000}"/>
    <cellStyle name="Normalny 4 8" xfId="27451" xr:uid="{00000000-0005-0000-0000-00003B6D0000}"/>
    <cellStyle name="Normalny 4 8 2" xfId="27452" xr:uid="{00000000-0005-0000-0000-00003C6D0000}"/>
    <cellStyle name="Normalny 4 8 2 2" xfId="27453" xr:uid="{00000000-0005-0000-0000-00003D6D0000}"/>
    <cellStyle name="Normalny 4 8 2 2 2" xfId="27454" xr:uid="{00000000-0005-0000-0000-00003E6D0000}"/>
    <cellStyle name="Normalny 4 8 2 2 3" xfId="27455" xr:uid="{00000000-0005-0000-0000-00003F6D0000}"/>
    <cellStyle name="Normalny 4 8 2 3" xfId="27456" xr:uid="{00000000-0005-0000-0000-0000406D0000}"/>
    <cellStyle name="Normalny 4 8 2 3 2" xfId="27457" xr:uid="{00000000-0005-0000-0000-0000416D0000}"/>
    <cellStyle name="Normalny 4 8 2 3 3" xfId="27458" xr:uid="{00000000-0005-0000-0000-0000426D0000}"/>
    <cellStyle name="Normalny 4 8 2 4" xfId="27459" xr:uid="{00000000-0005-0000-0000-0000436D0000}"/>
    <cellStyle name="Normalny 4 8 2 5" xfId="27460" xr:uid="{00000000-0005-0000-0000-0000446D0000}"/>
    <cellStyle name="Normalny 4 8 3" xfId="27461" xr:uid="{00000000-0005-0000-0000-0000456D0000}"/>
    <cellStyle name="Normalny 4 8 3 2" xfId="27462" xr:uid="{00000000-0005-0000-0000-0000466D0000}"/>
    <cellStyle name="Normalny 4 8 3 3" xfId="27463" xr:uid="{00000000-0005-0000-0000-0000476D0000}"/>
    <cellStyle name="Normalny 4 8 4" xfId="27464" xr:uid="{00000000-0005-0000-0000-0000486D0000}"/>
    <cellStyle name="Normalny 4 8 4 2" xfId="27465" xr:uid="{00000000-0005-0000-0000-0000496D0000}"/>
    <cellStyle name="Normalny 4 8 4 3" xfId="27466" xr:uid="{00000000-0005-0000-0000-00004A6D0000}"/>
    <cellStyle name="Normalny 4 8 5" xfId="27467" xr:uid="{00000000-0005-0000-0000-00004B6D0000}"/>
    <cellStyle name="Normalny 4 8 6" xfId="27468" xr:uid="{00000000-0005-0000-0000-00004C6D0000}"/>
    <cellStyle name="Normalny 4 8 7" xfId="27469" xr:uid="{00000000-0005-0000-0000-00004D6D0000}"/>
    <cellStyle name="Normalny 4 8 8" xfId="27470" xr:uid="{00000000-0005-0000-0000-00004E6D0000}"/>
    <cellStyle name="Normalny 4 8 9" xfId="27471" xr:uid="{00000000-0005-0000-0000-00004F6D0000}"/>
    <cellStyle name="Normalny 4 9" xfId="27472" xr:uid="{00000000-0005-0000-0000-0000506D0000}"/>
    <cellStyle name="Normalny 4 9 10" xfId="27473" xr:uid="{00000000-0005-0000-0000-0000516D0000}"/>
    <cellStyle name="Normalny 4 9 11" xfId="27474" xr:uid="{00000000-0005-0000-0000-0000526D0000}"/>
    <cellStyle name="Normalny 4 9 2" xfId="27475" xr:uid="{00000000-0005-0000-0000-0000536D0000}"/>
    <cellStyle name="Normalny 4 9 2 2" xfId="27476" xr:uid="{00000000-0005-0000-0000-0000546D0000}"/>
    <cellStyle name="Normalny 4 9 2 2 2" xfId="27477" xr:uid="{00000000-0005-0000-0000-0000556D0000}"/>
    <cellStyle name="Normalny 4 9 2 2 2 2" xfId="27478" xr:uid="{00000000-0005-0000-0000-0000566D0000}"/>
    <cellStyle name="Normalny 4 9 2 2 2 3" xfId="27479" xr:uid="{00000000-0005-0000-0000-0000576D0000}"/>
    <cellStyle name="Normalny 4 9 2 2 3" xfId="27480" xr:uid="{00000000-0005-0000-0000-0000586D0000}"/>
    <cellStyle name="Normalny 4 9 2 2 3 2" xfId="27481" xr:uid="{00000000-0005-0000-0000-0000596D0000}"/>
    <cellStyle name="Normalny 4 9 2 2 3 3" xfId="27482" xr:uid="{00000000-0005-0000-0000-00005A6D0000}"/>
    <cellStyle name="Normalny 4 9 2 2 4" xfId="27483" xr:uid="{00000000-0005-0000-0000-00005B6D0000}"/>
    <cellStyle name="Normalny 4 9 2 2 4 2" xfId="27484" xr:uid="{00000000-0005-0000-0000-00005C6D0000}"/>
    <cellStyle name="Normalny 4 9 2 2 4 3" xfId="27485" xr:uid="{00000000-0005-0000-0000-00005D6D0000}"/>
    <cellStyle name="Normalny 4 9 2 2 5" xfId="27486" xr:uid="{00000000-0005-0000-0000-00005E6D0000}"/>
    <cellStyle name="Normalny 4 9 2 2 6" xfId="27487" xr:uid="{00000000-0005-0000-0000-00005F6D0000}"/>
    <cellStyle name="Normalny 4 9 2 3" xfId="27488" xr:uid="{00000000-0005-0000-0000-0000606D0000}"/>
    <cellStyle name="Normalny 4 9 2 3 2" xfId="27489" xr:uid="{00000000-0005-0000-0000-0000616D0000}"/>
    <cellStyle name="Normalny 4 9 2 3 3" xfId="27490" xr:uid="{00000000-0005-0000-0000-0000626D0000}"/>
    <cellStyle name="Normalny 4 9 2 4" xfId="27491" xr:uid="{00000000-0005-0000-0000-0000636D0000}"/>
    <cellStyle name="Normalny 4 9 2 5" xfId="27492" xr:uid="{00000000-0005-0000-0000-0000646D0000}"/>
    <cellStyle name="Normalny 4 9 2 6" xfId="27493" xr:uid="{00000000-0005-0000-0000-0000656D0000}"/>
    <cellStyle name="Normalny 4 9 2 7" xfId="27494" xr:uid="{00000000-0005-0000-0000-0000666D0000}"/>
    <cellStyle name="Normalny 4 9 3" xfId="27495" xr:uid="{00000000-0005-0000-0000-0000676D0000}"/>
    <cellStyle name="Normalny 4 9 3 2" xfId="27496" xr:uid="{00000000-0005-0000-0000-0000686D0000}"/>
    <cellStyle name="Normalny 4 9 3 3" xfId="27497" xr:uid="{00000000-0005-0000-0000-0000696D0000}"/>
    <cellStyle name="Normalny 4 9 4" xfId="27498" xr:uid="{00000000-0005-0000-0000-00006A6D0000}"/>
    <cellStyle name="Normalny 4 9 4 2" xfId="27499" xr:uid="{00000000-0005-0000-0000-00006B6D0000}"/>
    <cellStyle name="Normalny 4 9 4 3" xfId="27500" xr:uid="{00000000-0005-0000-0000-00006C6D0000}"/>
    <cellStyle name="Normalny 4 9 5" xfId="27501" xr:uid="{00000000-0005-0000-0000-00006D6D0000}"/>
    <cellStyle name="Normalny 4 9 5 2" xfId="27502" xr:uid="{00000000-0005-0000-0000-00006E6D0000}"/>
    <cellStyle name="Normalny 4 9 5 3" xfId="27503" xr:uid="{00000000-0005-0000-0000-00006F6D0000}"/>
    <cellStyle name="Normalny 4 9 6" xfId="27504" xr:uid="{00000000-0005-0000-0000-0000706D0000}"/>
    <cellStyle name="Normalny 4 9 6 2" xfId="27505" xr:uid="{00000000-0005-0000-0000-0000716D0000}"/>
    <cellStyle name="Normalny 4 9 6 3" xfId="27506" xr:uid="{00000000-0005-0000-0000-0000726D0000}"/>
    <cellStyle name="Normalny 4 9 7" xfId="27507" xr:uid="{00000000-0005-0000-0000-0000736D0000}"/>
    <cellStyle name="Normalny 4 9 7 2" xfId="27508" xr:uid="{00000000-0005-0000-0000-0000746D0000}"/>
    <cellStyle name="Normalny 4 9 7 3" xfId="27509" xr:uid="{00000000-0005-0000-0000-0000756D0000}"/>
    <cellStyle name="Normalny 4 9 7 4" xfId="27510" xr:uid="{00000000-0005-0000-0000-0000766D0000}"/>
    <cellStyle name="Normalny 4 9 7 5" xfId="27511" xr:uid="{00000000-0005-0000-0000-0000776D0000}"/>
    <cellStyle name="Normalny 4 9 7 6" xfId="27512" xr:uid="{00000000-0005-0000-0000-0000786D0000}"/>
    <cellStyle name="Normalny 4 9 8" xfId="27513" xr:uid="{00000000-0005-0000-0000-0000796D0000}"/>
    <cellStyle name="Normalny 4 9 8 2" xfId="27514" xr:uid="{00000000-0005-0000-0000-00007A6D0000}"/>
    <cellStyle name="Normalny 4 9 8 3" xfId="27515" xr:uid="{00000000-0005-0000-0000-00007B6D0000}"/>
    <cellStyle name="Normalny 4 9 9" xfId="27516" xr:uid="{00000000-0005-0000-0000-00007C6D0000}"/>
    <cellStyle name="Normalny 4 9 9 2" xfId="27517" xr:uid="{00000000-0005-0000-0000-00007D6D0000}"/>
    <cellStyle name="Normalny 4 9 9 3" xfId="27518" xr:uid="{00000000-0005-0000-0000-00007E6D0000}"/>
    <cellStyle name="Normalny 40" xfId="27519" xr:uid="{00000000-0005-0000-0000-00007F6D0000}"/>
    <cellStyle name="Normalny 40 2" xfId="38392" xr:uid="{00000000-0005-0000-0000-0000806D0000}"/>
    <cellStyle name="Normalny 41" xfId="27520" xr:uid="{00000000-0005-0000-0000-0000816D0000}"/>
    <cellStyle name="Normalny 41 2" xfId="27521" xr:uid="{00000000-0005-0000-0000-0000826D0000}"/>
    <cellStyle name="Normalny 41 2 2" xfId="38393" xr:uid="{00000000-0005-0000-0000-0000836D0000}"/>
    <cellStyle name="Normalny 41 2 3" xfId="38394" xr:uid="{00000000-0005-0000-0000-0000846D0000}"/>
    <cellStyle name="Normalny 41 3" xfId="38395" xr:uid="{00000000-0005-0000-0000-0000856D0000}"/>
    <cellStyle name="Normalny 41 3 2" xfId="38396" xr:uid="{00000000-0005-0000-0000-0000866D0000}"/>
    <cellStyle name="Normalny 41 4" xfId="38397" xr:uid="{00000000-0005-0000-0000-0000876D0000}"/>
    <cellStyle name="Normalny 41 4 2" xfId="38398" xr:uid="{00000000-0005-0000-0000-0000886D0000}"/>
    <cellStyle name="Normalny 41 5" xfId="38399" xr:uid="{00000000-0005-0000-0000-0000896D0000}"/>
    <cellStyle name="Normalny 41 5 2" xfId="38400" xr:uid="{00000000-0005-0000-0000-00008A6D0000}"/>
    <cellStyle name="Normalny 41 6" xfId="38401" xr:uid="{00000000-0005-0000-0000-00008B6D0000}"/>
    <cellStyle name="Normalny 41 6 2" xfId="38402" xr:uid="{00000000-0005-0000-0000-00008C6D0000}"/>
    <cellStyle name="Normalny 41 7" xfId="38403" xr:uid="{00000000-0005-0000-0000-00008D6D0000}"/>
    <cellStyle name="Normalny 41 8" xfId="38404" xr:uid="{00000000-0005-0000-0000-00008E6D0000}"/>
    <cellStyle name="Normalny 42" xfId="27522" xr:uid="{00000000-0005-0000-0000-00008F6D0000}"/>
    <cellStyle name="Normalny 42 2" xfId="38405" xr:uid="{00000000-0005-0000-0000-0000906D0000}"/>
    <cellStyle name="Normalny 42 3" xfId="38406" xr:uid="{00000000-0005-0000-0000-0000916D0000}"/>
    <cellStyle name="Normalny 43" xfId="27523" xr:uid="{00000000-0005-0000-0000-0000926D0000}"/>
    <cellStyle name="Normalny 43 2" xfId="27524" xr:uid="{00000000-0005-0000-0000-0000936D0000}"/>
    <cellStyle name="Normalny 43 2 2" xfId="38407" xr:uid="{00000000-0005-0000-0000-0000946D0000}"/>
    <cellStyle name="Normalny 43 3" xfId="38408" xr:uid="{00000000-0005-0000-0000-0000956D0000}"/>
    <cellStyle name="Normalny 44" xfId="380" xr:uid="{00000000-0005-0000-0000-0000966D0000}"/>
    <cellStyle name="Normalny 44 2" xfId="38409" xr:uid="{00000000-0005-0000-0000-0000976D0000}"/>
    <cellStyle name="Normalny 44 3" xfId="38410" xr:uid="{00000000-0005-0000-0000-0000986D0000}"/>
    <cellStyle name="Normalny 45" xfId="38411" xr:uid="{00000000-0005-0000-0000-0000996D0000}"/>
    <cellStyle name="Normalny 45 2" xfId="38412" xr:uid="{00000000-0005-0000-0000-00009A6D0000}"/>
    <cellStyle name="Normalny 46" xfId="312" xr:uid="{00000000-0005-0000-0000-00009B6D0000}"/>
    <cellStyle name="Normalny 46 2" xfId="27525" xr:uid="{00000000-0005-0000-0000-00009C6D0000}"/>
    <cellStyle name="Normalny 47" xfId="38413" xr:uid="{00000000-0005-0000-0000-00009D6D0000}"/>
    <cellStyle name="Normalny 48" xfId="38638" xr:uid="{DAF01BEC-0D26-4A6A-9DE1-42E24D81CCED}"/>
    <cellStyle name="Normalny 49" xfId="38681" xr:uid="{E9AF578C-4897-4CBD-A0FA-CB15C221C925}"/>
    <cellStyle name="Normalny 5" xfId="313" xr:uid="{00000000-0005-0000-0000-00009E6D0000}"/>
    <cellStyle name="Normalny 5 10" xfId="27527" xr:uid="{00000000-0005-0000-0000-00009F6D0000}"/>
    <cellStyle name="Normalny 5 10 10" xfId="27528" xr:uid="{00000000-0005-0000-0000-0000A06D0000}"/>
    <cellStyle name="Normalny 5 10 11" xfId="27529" xr:uid="{00000000-0005-0000-0000-0000A16D0000}"/>
    <cellStyle name="Normalny 5 10 12" xfId="27530" xr:uid="{00000000-0005-0000-0000-0000A26D0000}"/>
    <cellStyle name="Normalny 5 10 2" xfId="27531" xr:uid="{00000000-0005-0000-0000-0000A36D0000}"/>
    <cellStyle name="Normalny 5 10 2 10" xfId="27532" xr:uid="{00000000-0005-0000-0000-0000A46D0000}"/>
    <cellStyle name="Normalny 5 10 2 11" xfId="27533" xr:uid="{00000000-0005-0000-0000-0000A56D0000}"/>
    <cellStyle name="Normalny 5 10 2 2" xfId="27534" xr:uid="{00000000-0005-0000-0000-0000A66D0000}"/>
    <cellStyle name="Normalny 5 10 2 2 10" xfId="27535" xr:uid="{00000000-0005-0000-0000-0000A76D0000}"/>
    <cellStyle name="Normalny 5 10 2 2 11" xfId="27536" xr:uid="{00000000-0005-0000-0000-0000A86D0000}"/>
    <cellStyle name="Normalny 5 10 2 2 2" xfId="27537" xr:uid="{00000000-0005-0000-0000-0000A96D0000}"/>
    <cellStyle name="Normalny 5 10 2 2 2 2" xfId="27538" xr:uid="{00000000-0005-0000-0000-0000AA6D0000}"/>
    <cellStyle name="Normalny 5 10 2 2 2 2 2" xfId="27539" xr:uid="{00000000-0005-0000-0000-0000AB6D0000}"/>
    <cellStyle name="Normalny 5 10 2 2 2 2 3" xfId="27540" xr:uid="{00000000-0005-0000-0000-0000AC6D0000}"/>
    <cellStyle name="Normalny 5 10 2 2 2 2 4" xfId="27541" xr:uid="{00000000-0005-0000-0000-0000AD6D0000}"/>
    <cellStyle name="Normalny 5 10 2 2 2 2 5" xfId="27542" xr:uid="{00000000-0005-0000-0000-0000AE6D0000}"/>
    <cellStyle name="Normalny 5 10 2 2 2 2 6" xfId="27543" xr:uid="{00000000-0005-0000-0000-0000AF6D0000}"/>
    <cellStyle name="Normalny 5 10 2 2 2 3" xfId="27544" xr:uid="{00000000-0005-0000-0000-0000B06D0000}"/>
    <cellStyle name="Normalny 5 10 2 2 2 4" xfId="27545" xr:uid="{00000000-0005-0000-0000-0000B16D0000}"/>
    <cellStyle name="Normalny 5 10 2 2 2 5" xfId="27546" xr:uid="{00000000-0005-0000-0000-0000B26D0000}"/>
    <cellStyle name="Normalny 5 10 2 2 2 6" xfId="27547" xr:uid="{00000000-0005-0000-0000-0000B36D0000}"/>
    <cellStyle name="Normalny 5 10 2 2 2 7" xfId="27548" xr:uid="{00000000-0005-0000-0000-0000B46D0000}"/>
    <cellStyle name="Normalny 5 10 2 2 3" xfId="27549" xr:uid="{00000000-0005-0000-0000-0000B56D0000}"/>
    <cellStyle name="Normalny 5 10 2 2 4" xfId="27550" xr:uid="{00000000-0005-0000-0000-0000B66D0000}"/>
    <cellStyle name="Normalny 5 10 2 2 5" xfId="27551" xr:uid="{00000000-0005-0000-0000-0000B76D0000}"/>
    <cellStyle name="Normalny 5 10 2 2 6" xfId="27552" xr:uid="{00000000-0005-0000-0000-0000B86D0000}"/>
    <cellStyle name="Normalny 5 10 2 2 7" xfId="27553" xr:uid="{00000000-0005-0000-0000-0000B96D0000}"/>
    <cellStyle name="Normalny 5 10 2 2 7 2" xfId="27554" xr:uid="{00000000-0005-0000-0000-0000BA6D0000}"/>
    <cellStyle name="Normalny 5 10 2 2 7 3" xfId="27555" xr:uid="{00000000-0005-0000-0000-0000BB6D0000}"/>
    <cellStyle name="Normalny 5 10 2 2 7 4" xfId="27556" xr:uid="{00000000-0005-0000-0000-0000BC6D0000}"/>
    <cellStyle name="Normalny 5 10 2 2 7 5" xfId="27557" xr:uid="{00000000-0005-0000-0000-0000BD6D0000}"/>
    <cellStyle name="Normalny 5 10 2 2 7 6" xfId="27558" xr:uid="{00000000-0005-0000-0000-0000BE6D0000}"/>
    <cellStyle name="Normalny 5 10 2 2 8" xfId="27559" xr:uid="{00000000-0005-0000-0000-0000BF6D0000}"/>
    <cellStyle name="Normalny 5 10 2 2 9" xfId="27560" xr:uid="{00000000-0005-0000-0000-0000C06D0000}"/>
    <cellStyle name="Normalny 5 10 2 3" xfId="27561" xr:uid="{00000000-0005-0000-0000-0000C16D0000}"/>
    <cellStyle name="Normalny 5 10 2 3 2" xfId="27562" xr:uid="{00000000-0005-0000-0000-0000C26D0000}"/>
    <cellStyle name="Normalny 5 10 2 3 2 2" xfId="27563" xr:uid="{00000000-0005-0000-0000-0000C36D0000}"/>
    <cellStyle name="Normalny 5 10 2 3 2 3" xfId="27564" xr:uid="{00000000-0005-0000-0000-0000C46D0000}"/>
    <cellStyle name="Normalny 5 10 2 3 2 4" xfId="27565" xr:uid="{00000000-0005-0000-0000-0000C56D0000}"/>
    <cellStyle name="Normalny 5 10 2 3 2 5" xfId="27566" xr:uid="{00000000-0005-0000-0000-0000C66D0000}"/>
    <cellStyle name="Normalny 5 10 2 3 2 6" xfId="27567" xr:uid="{00000000-0005-0000-0000-0000C76D0000}"/>
    <cellStyle name="Normalny 5 10 2 3 3" xfId="27568" xr:uid="{00000000-0005-0000-0000-0000C86D0000}"/>
    <cellStyle name="Normalny 5 10 2 3 4" xfId="27569" xr:uid="{00000000-0005-0000-0000-0000C96D0000}"/>
    <cellStyle name="Normalny 5 10 2 3 5" xfId="27570" xr:uid="{00000000-0005-0000-0000-0000CA6D0000}"/>
    <cellStyle name="Normalny 5 10 2 3 6" xfId="27571" xr:uid="{00000000-0005-0000-0000-0000CB6D0000}"/>
    <cellStyle name="Normalny 5 10 2 3 7" xfId="27572" xr:uid="{00000000-0005-0000-0000-0000CC6D0000}"/>
    <cellStyle name="Normalny 5 10 2 4" xfId="27573" xr:uid="{00000000-0005-0000-0000-0000CD6D0000}"/>
    <cellStyle name="Normalny 5 10 2 5" xfId="27574" xr:uid="{00000000-0005-0000-0000-0000CE6D0000}"/>
    <cellStyle name="Normalny 5 10 2 6" xfId="27575" xr:uid="{00000000-0005-0000-0000-0000CF6D0000}"/>
    <cellStyle name="Normalny 5 10 2 7" xfId="27576" xr:uid="{00000000-0005-0000-0000-0000D06D0000}"/>
    <cellStyle name="Normalny 5 10 2 7 2" xfId="27577" xr:uid="{00000000-0005-0000-0000-0000D16D0000}"/>
    <cellStyle name="Normalny 5 10 2 7 3" xfId="27578" xr:uid="{00000000-0005-0000-0000-0000D26D0000}"/>
    <cellStyle name="Normalny 5 10 2 7 4" xfId="27579" xr:uid="{00000000-0005-0000-0000-0000D36D0000}"/>
    <cellStyle name="Normalny 5 10 2 7 5" xfId="27580" xr:uid="{00000000-0005-0000-0000-0000D46D0000}"/>
    <cellStyle name="Normalny 5 10 2 7 6" xfId="27581" xr:uid="{00000000-0005-0000-0000-0000D56D0000}"/>
    <cellStyle name="Normalny 5 10 2 8" xfId="27582" xr:uid="{00000000-0005-0000-0000-0000D66D0000}"/>
    <cellStyle name="Normalny 5 10 2 9" xfId="27583" xr:uid="{00000000-0005-0000-0000-0000D76D0000}"/>
    <cellStyle name="Normalny 5 10 3" xfId="27584" xr:uid="{00000000-0005-0000-0000-0000D86D0000}"/>
    <cellStyle name="Normalny 5 10 3 2" xfId="27585" xr:uid="{00000000-0005-0000-0000-0000D96D0000}"/>
    <cellStyle name="Normalny 5 10 3 2 2" xfId="27586" xr:uid="{00000000-0005-0000-0000-0000DA6D0000}"/>
    <cellStyle name="Normalny 5 10 3 2 3" xfId="27587" xr:uid="{00000000-0005-0000-0000-0000DB6D0000}"/>
    <cellStyle name="Normalny 5 10 3 2 4" xfId="27588" xr:uid="{00000000-0005-0000-0000-0000DC6D0000}"/>
    <cellStyle name="Normalny 5 10 3 2 5" xfId="27589" xr:uid="{00000000-0005-0000-0000-0000DD6D0000}"/>
    <cellStyle name="Normalny 5 10 3 2 6" xfId="27590" xr:uid="{00000000-0005-0000-0000-0000DE6D0000}"/>
    <cellStyle name="Normalny 5 10 3 3" xfId="27591" xr:uid="{00000000-0005-0000-0000-0000DF6D0000}"/>
    <cellStyle name="Normalny 5 10 3 4" xfId="27592" xr:uid="{00000000-0005-0000-0000-0000E06D0000}"/>
    <cellStyle name="Normalny 5 10 3 5" xfId="27593" xr:uid="{00000000-0005-0000-0000-0000E16D0000}"/>
    <cellStyle name="Normalny 5 10 3 6" xfId="27594" xr:uid="{00000000-0005-0000-0000-0000E26D0000}"/>
    <cellStyle name="Normalny 5 10 3 7" xfId="27595" xr:uid="{00000000-0005-0000-0000-0000E36D0000}"/>
    <cellStyle name="Normalny 5 10 4" xfId="27596" xr:uid="{00000000-0005-0000-0000-0000E46D0000}"/>
    <cellStyle name="Normalny 5 10 5" xfId="27597" xr:uid="{00000000-0005-0000-0000-0000E56D0000}"/>
    <cellStyle name="Normalny 5 10 6" xfId="27598" xr:uid="{00000000-0005-0000-0000-0000E66D0000}"/>
    <cellStyle name="Normalny 5 10 7" xfId="27599" xr:uid="{00000000-0005-0000-0000-0000E76D0000}"/>
    <cellStyle name="Normalny 5 10 8" xfId="27600" xr:uid="{00000000-0005-0000-0000-0000E86D0000}"/>
    <cellStyle name="Normalny 5 10 8 2" xfId="27601" xr:uid="{00000000-0005-0000-0000-0000E96D0000}"/>
    <cellStyle name="Normalny 5 10 8 3" xfId="27602" xr:uid="{00000000-0005-0000-0000-0000EA6D0000}"/>
    <cellStyle name="Normalny 5 10 8 4" xfId="27603" xr:uid="{00000000-0005-0000-0000-0000EB6D0000}"/>
    <cellStyle name="Normalny 5 10 8 5" xfId="27604" xr:uid="{00000000-0005-0000-0000-0000EC6D0000}"/>
    <cellStyle name="Normalny 5 10 8 6" xfId="27605" xr:uid="{00000000-0005-0000-0000-0000ED6D0000}"/>
    <cellStyle name="Normalny 5 10 9" xfId="27606" xr:uid="{00000000-0005-0000-0000-0000EE6D0000}"/>
    <cellStyle name="Normalny 5 11" xfId="27607" xr:uid="{00000000-0005-0000-0000-0000EF6D0000}"/>
    <cellStyle name="Normalny 5 11 10" xfId="27608" xr:uid="{00000000-0005-0000-0000-0000F06D0000}"/>
    <cellStyle name="Normalny 5 11 11" xfId="27609" xr:uid="{00000000-0005-0000-0000-0000F16D0000}"/>
    <cellStyle name="Normalny 5 11 2" xfId="27610" xr:uid="{00000000-0005-0000-0000-0000F26D0000}"/>
    <cellStyle name="Normalny 5 11 2 2" xfId="27611" xr:uid="{00000000-0005-0000-0000-0000F36D0000}"/>
    <cellStyle name="Normalny 5 11 2 2 2" xfId="27612" xr:uid="{00000000-0005-0000-0000-0000F46D0000}"/>
    <cellStyle name="Normalny 5 11 2 2 3" xfId="27613" xr:uid="{00000000-0005-0000-0000-0000F56D0000}"/>
    <cellStyle name="Normalny 5 11 2 2 4" xfId="27614" xr:uid="{00000000-0005-0000-0000-0000F66D0000}"/>
    <cellStyle name="Normalny 5 11 2 2 5" xfId="27615" xr:uid="{00000000-0005-0000-0000-0000F76D0000}"/>
    <cellStyle name="Normalny 5 11 2 2 6" xfId="27616" xr:uid="{00000000-0005-0000-0000-0000F86D0000}"/>
    <cellStyle name="Normalny 5 11 2 3" xfId="27617" xr:uid="{00000000-0005-0000-0000-0000F96D0000}"/>
    <cellStyle name="Normalny 5 11 2 4" xfId="27618" xr:uid="{00000000-0005-0000-0000-0000FA6D0000}"/>
    <cellStyle name="Normalny 5 11 2 5" xfId="27619" xr:uid="{00000000-0005-0000-0000-0000FB6D0000}"/>
    <cellStyle name="Normalny 5 11 2 6" xfId="27620" xr:uid="{00000000-0005-0000-0000-0000FC6D0000}"/>
    <cellStyle name="Normalny 5 11 2 7" xfId="27621" xr:uid="{00000000-0005-0000-0000-0000FD6D0000}"/>
    <cellStyle name="Normalny 5 11 3" xfId="27622" xr:uid="{00000000-0005-0000-0000-0000FE6D0000}"/>
    <cellStyle name="Normalny 5 11 4" xfId="27623" xr:uid="{00000000-0005-0000-0000-0000FF6D0000}"/>
    <cellStyle name="Normalny 5 11 5" xfId="27624" xr:uid="{00000000-0005-0000-0000-0000006E0000}"/>
    <cellStyle name="Normalny 5 11 6" xfId="27625" xr:uid="{00000000-0005-0000-0000-0000016E0000}"/>
    <cellStyle name="Normalny 5 11 7" xfId="27626" xr:uid="{00000000-0005-0000-0000-0000026E0000}"/>
    <cellStyle name="Normalny 5 11 7 2" xfId="27627" xr:uid="{00000000-0005-0000-0000-0000036E0000}"/>
    <cellStyle name="Normalny 5 11 7 3" xfId="27628" xr:uid="{00000000-0005-0000-0000-0000046E0000}"/>
    <cellStyle name="Normalny 5 11 7 4" xfId="27629" xr:uid="{00000000-0005-0000-0000-0000056E0000}"/>
    <cellStyle name="Normalny 5 11 7 5" xfId="27630" xr:uid="{00000000-0005-0000-0000-0000066E0000}"/>
    <cellStyle name="Normalny 5 11 7 6" xfId="27631" xr:uid="{00000000-0005-0000-0000-0000076E0000}"/>
    <cellStyle name="Normalny 5 11 8" xfId="27632" xr:uid="{00000000-0005-0000-0000-0000086E0000}"/>
    <cellStyle name="Normalny 5 11 9" xfId="27633" xr:uid="{00000000-0005-0000-0000-0000096E0000}"/>
    <cellStyle name="Normalny 5 12" xfId="27634" xr:uid="{00000000-0005-0000-0000-00000A6E0000}"/>
    <cellStyle name="Normalny 5 12 2" xfId="27635" xr:uid="{00000000-0005-0000-0000-00000B6E0000}"/>
    <cellStyle name="Normalny 5 12 2 2" xfId="27636" xr:uid="{00000000-0005-0000-0000-00000C6E0000}"/>
    <cellStyle name="Normalny 5 12 2 3" xfId="27637" xr:uid="{00000000-0005-0000-0000-00000D6E0000}"/>
    <cellStyle name="Normalny 5 12 2 4" xfId="27638" xr:uid="{00000000-0005-0000-0000-00000E6E0000}"/>
    <cellStyle name="Normalny 5 12 2 5" xfId="27639" xr:uid="{00000000-0005-0000-0000-00000F6E0000}"/>
    <cellStyle name="Normalny 5 12 2 6" xfId="27640" xr:uid="{00000000-0005-0000-0000-0000106E0000}"/>
    <cellStyle name="Normalny 5 12 3" xfId="27641" xr:uid="{00000000-0005-0000-0000-0000116E0000}"/>
    <cellStyle name="Normalny 5 12 4" xfId="27642" xr:uid="{00000000-0005-0000-0000-0000126E0000}"/>
    <cellStyle name="Normalny 5 12 5" xfId="27643" xr:uid="{00000000-0005-0000-0000-0000136E0000}"/>
    <cellStyle name="Normalny 5 12 6" xfId="27644" xr:uid="{00000000-0005-0000-0000-0000146E0000}"/>
    <cellStyle name="Normalny 5 12 7" xfId="27645" xr:uid="{00000000-0005-0000-0000-0000156E0000}"/>
    <cellStyle name="Normalny 5 13" xfId="27646" xr:uid="{00000000-0005-0000-0000-0000166E0000}"/>
    <cellStyle name="Normalny 5 14" xfId="27647" xr:uid="{00000000-0005-0000-0000-0000176E0000}"/>
    <cellStyle name="Normalny 5 15" xfId="27648" xr:uid="{00000000-0005-0000-0000-0000186E0000}"/>
    <cellStyle name="Normalny 5 16" xfId="27649" xr:uid="{00000000-0005-0000-0000-0000196E0000}"/>
    <cellStyle name="Normalny 5 17" xfId="27650" xr:uid="{00000000-0005-0000-0000-00001A6E0000}"/>
    <cellStyle name="Normalny 5 18" xfId="27651" xr:uid="{00000000-0005-0000-0000-00001B6E0000}"/>
    <cellStyle name="Normalny 5 18 2" xfId="27652" xr:uid="{00000000-0005-0000-0000-00001C6E0000}"/>
    <cellStyle name="Normalny 5 18 3" xfId="27653" xr:uid="{00000000-0005-0000-0000-00001D6E0000}"/>
    <cellStyle name="Normalny 5 18 4" xfId="27654" xr:uid="{00000000-0005-0000-0000-00001E6E0000}"/>
    <cellStyle name="Normalny 5 18 5" xfId="27655" xr:uid="{00000000-0005-0000-0000-00001F6E0000}"/>
    <cellStyle name="Normalny 5 18 6" xfId="27656" xr:uid="{00000000-0005-0000-0000-0000206E0000}"/>
    <cellStyle name="Normalny 5 19" xfId="27657" xr:uid="{00000000-0005-0000-0000-0000216E0000}"/>
    <cellStyle name="Normalny 5 2" xfId="27658" xr:uid="{00000000-0005-0000-0000-0000226E0000}"/>
    <cellStyle name="Normalny 5 2 10" xfId="27659" xr:uid="{00000000-0005-0000-0000-0000236E0000}"/>
    <cellStyle name="Normalny 5 2 11" xfId="27660" xr:uid="{00000000-0005-0000-0000-0000246E0000}"/>
    <cellStyle name="Normalny 5 2 12" xfId="27661" xr:uid="{00000000-0005-0000-0000-0000256E0000}"/>
    <cellStyle name="Normalny 5 2 13" xfId="27662" xr:uid="{00000000-0005-0000-0000-0000266E0000}"/>
    <cellStyle name="Normalny 5 2 14" xfId="27663" xr:uid="{00000000-0005-0000-0000-0000276E0000}"/>
    <cellStyle name="Normalny 5 2 15" xfId="38414" xr:uid="{00000000-0005-0000-0000-0000286E0000}"/>
    <cellStyle name="Normalny 5 2 2" xfId="27664" xr:uid="{00000000-0005-0000-0000-0000296E0000}"/>
    <cellStyle name="Normalny 5 2 2 10" xfId="27665" xr:uid="{00000000-0005-0000-0000-00002A6E0000}"/>
    <cellStyle name="Normalny 5 2 2 11" xfId="27666" xr:uid="{00000000-0005-0000-0000-00002B6E0000}"/>
    <cellStyle name="Normalny 5 2 2 12" xfId="38415" xr:uid="{00000000-0005-0000-0000-00002C6E0000}"/>
    <cellStyle name="Normalny 5 2 2 2" xfId="27667" xr:uid="{00000000-0005-0000-0000-00002D6E0000}"/>
    <cellStyle name="Normalny 5 2 2 2 10" xfId="27668" xr:uid="{00000000-0005-0000-0000-00002E6E0000}"/>
    <cellStyle name="Normalny 5 2 2 2 11" xfId="38416" xr:uid="{00000000-0005-0000-0000-00002F6E0000}"/>
    <cellStyle name="Normalny 5 2 2 2 2" xfId="27669" xr:uid="{00000000-0005-0000-0000-0000306E0000}"/>
    <cellStyle name="Normalny 5 2 2 2 2 10" xfId="38417" xr:uid="{00000000-0005-0000-0000-0000316E0000}"/>
    <cellStyle name="Normalny 5 2 2 2 2 2" xfId="27670" xr:uid="{00000000-0005-0000-0000-0000326E0000}"/>
    <cellStyle name="Normalny 5 2 2 2 2 2 10" xfId="38418" xr:uid="{00000000-0005-0000-0000-0000336E0000}"/>
    <cellStyle name="Normalny 5 2 2 2 2 2 2" xfId="27671" xr:uid="{00000000-0005-0000-0000-0000346E0000}"/>
    <cellStyle name="Normalny 5 2 2 2 2 2 2 2" xfId="27672" xr:uid="{00000000-0005-0000-0000-0000356E0000}"/>
    <cellStyle name="Normalny 5 2 2 2 2 2 2 2 2" xfId="27673" xr:uid="{00000000-0005-0000-0000-0000366E0000}"/>
    <cellStyle name="Normalny 5 2 2 2 2 2 2 2 3" xfId="27674" xr:uid="{00000000-0005-0000-0000-0000376E0000}"/>
    <cellStyle name="Normalny 5 2 2 2 2 2 2 2 4" xfId="27675" xr:uid="{00000000-0005-0000-0000-0000386E0000}"/>
    <cellStyle name="Normalny 5 2 2 2 2 2 2 3" xfId="27676" xr:uid="{00000000-0005-0000-0000-0000396E0000}"/>
    <cellStyle name="Normalny 5 2 2 2 2 2 2 4" xfId="27677" xr:uid="{00000000-0005-0000-0000-00003A6E0000}"/>
    <cellStyle name="Normalny 5 2 2 2 2 2 2 5" xfId="27678" xr:uid="{00000000-0005-0000-0000-00003B6E0000}"/>
    <cellStyle name="Normalny 5 2 2 2 2 2 3" xfId="27679" xr:uid="{00000000-0005-0000-0000-00003C6E0000}"/>
    <cellStyle name="Normalny 5 2 2 2 2 2 4" xfId="27680" xr:uid="{00000000-0005-0000-0000-00003D6E0000}"/>
    <cellStyle name="Normalny 5 2 2 2 2 2 5" xfId="27681" xr:uid="{00000000-0005-0000-0000-00003E6E0000}"/>
    <cellStyle name="Normalny 5 2 2 2 2 2 6" xfId="27682" xr:uid="{00000000-0005-0000-0000-00003F6E0000}"/>
    <cellStyle name="Normalny 5 2 2 2 2 2 7" xfId="27683" xr:uid="{00000000-0005-0000-0000-0000406E0000}"/>
    <cellStyle name="Normalny 5 2 2 2 2 2 7 2" xfId="27684" xr:uid="{00000000-0005-0000-0000-0000416E0000}"/>
    <cellStyle name="Normalny 5 2 2 2 2 2 7 3" xfId="27685" xr:uid="{00000000-0005-0000-0000-0000426E0000}"/>
    <cellStyle name="Normalny 5 2 2 2 2 2 7 4" xfId="27686" xr:uid="{00000000-0005-0000-0000-0000436E0000}"/>
    <cellStyle name="Normalny 5 2 2 2 2 2 7 5" xfId="27687" xr:uid="{00000000-0005-0000-0000-0000446E0000}"/>
    <cellStyle name="Normalny 5 2 2 2 2 2 7 6" xfId="27688" xr:uid="{00000000-0005-0000-0000-0000456E0000}"/>
    <cellStyle name="Normalny 5 2 2 2 2 2 8" xfId="27689" xr:uid="{00000000-0005-0000-0000-0000466E0000}"/>
    <cellStyle name="Normalny 5 2 2 2 2 2 9" xfId="27690" xr:uid="{00000000-0005-0000-0000-0000476E0000}"/>
    <cellStyle name="Normalny 5 2 2 2 2 3" xfId="27691" xr:uid="{00000000-0005-0000-0000-0000486E0000}"/>
    <cellStyle name="Normalny 5 2 2 2 2 3 2" xfId="27692" xr:uid="{00000000-0005-0000-0000-0000496E0000}"/>
    <cellStyle name="Normalny 5 2 2 2 2 3 2 2" xfId="27693" xr:uid="{00000000-0005-0000-0000-00004A6E0000}"/>
    <cellStyle name="Normalny 5 2 2 2 2 3 2 3" xfId="27694" xr:uid="{00000000-0005-0000-0000-00004B6E0000}"/>
    <cellStyle name="Normalny 5 2 2 2 2 3 2 4" xfId="27695" xr:uid="{00000000-0005-0000-0000-00004C6E0000}"/>
    <cellStyle name="Normalny 5 2 2 2 2 3 2 5" xfId="27696" xr:uid="{00000000-0005-0000-0000-00004D6E0000}"/>
    <cellStyle name="Normalny 5 2 2 2 2 3 2 6" xfId="27697" xr:uid="{00000000-0005-0000-0000-00004E6E0000}"/>
    <cellStyle name="Normalny 5 2 2 2 2 3 3" xfId="27698" xr:uid="{00000000-0005-0000-0000-00004F6E0000}"/>
    <cellStyle name="Normalny 5 2 2 2 2 3 4" xfId="27699" xr:uid="{00000000-0005-0000-0000-0000506E0000}"/>
    <cellStyle name="Normalny 5 2 2 2 2 3 5" xfId="27700" xr:uid="{00000000-0005-0000-0000-0000516E0000}"/>
    <cellStyle name="Normalny 5 2 2 2 2 3 6" xfId="27701" xr:uid="{00000000-0005-0000-0000-0000526E0000}"/>
    <cellStyle name="Normalny 5 2 2 2 2 3 7" xfId="27702" xr:uid="{00000000-0005-0000-0000-0000536E0000}"/>
    <cellStyle name="Normalny 5 2 2 2 2 4" xfId="27703" xr:uid="{00000000-0005-0000-0000-0000546E0000}"/>
    <cellStyle name="Normalny 5 2 2 2 2 5" xfId="27704" xr:uid="{00000000-0005-0000-0000-0000556E0000}"/>
    <cellStyle name="Normalny 5 2 2 2 2 6" xfId="27705" xr:uid="{00000000-0005-0000-0000-0000566E0000}"/>
    <cellStyle name="Normalny 5 2 2 2 2 7" xfId="27706" xr:uid="{00000000-0005-0000-0000-0000576E0000}"/>
    <cellStyle name="Normalny 5 2 2 2 2 7 2" xfId="27707" xr:uid="{00000000-0005-0000-0000-0000586E0000}"/>
    <cellStyle name="Normalny 5 2 2 2 2 7 3" xfId="27708" xr:uid="{00000000-0005-0000-0000-0000596E0000}"/>
    <cellStyle name="Normalny 5 2 2 2 2 7 4" xfId="27709" xr:uid="{00000000-0005-0000-0000-00005A6E0000}"/>
    <cellStyle name="Normalny 5 2 2 2 2 7 5" xfId="27710" xr:uid="{00000000-0005-0000-0000-00005B6E0000}"/>
    <cellStyle name="Normalny 5 2 2 2 2 7 6" xfId="27711" xr:uid="{00000000-0005-0000-0000-00005C6E0000}"/>
    <cellStyle name="Normalny 5 2 2 2 2 8" xfId="27712" xr:uid="{00000000-0005-0000-0000-00005D6E0000}"/>
    <cellStyle name="Normalny 5 2 2 2 2 9" xfId="27713" xr:uid="{00000000-0005-0000-0000-00005E6E0000}"/>
    <cellStyle name="Normalny 5 2 2 2 3" xfId="27714" xr:uid="{00000000-0005-0000-0000-00005F6E0000}"/>
    <cellStyle name="Normalny 5 2 2 2 3 2" xfId="27715" xr:uid="{00000000-0005-0000-0000-0000606E0000}"/>
    <cellStyle name="Normalny 5 2 2 2 3 2 2" xfId="27716" xr:uid="{00000000-0005-0000-0000-0000616E0000}"/>
    <cellStyle name="Normalny 5 2 2 2 3 2 3" xfId="27717" xr:uid="{00000000-0005-0000-0000-0000626E0000}"/>
    <cellStyle name="Normalny 5 2 2 2 3 2 4" xfId="27718" xr:uid="{00000000-0005-0000-0000-0000636E0000}"/>
    <cellStyle name="Normalny 5 2 2 2 3 2 5" xfId="27719" xr:uid="{00000000-0005-0000-0000-0000646E0000}"/>
    <cellStyle name="Normalny 5 2 2 2 3 2 6" xfId="27720" xr:uid="{00000000-0005-0000-0000-0000656E0000}"/>
    <cellStyle name="Normalny 5 2 2 2 3 3" xfId="27721" xr:uid="{00000000-0005-0000-0000-0000666E0000}"/>
    <cellStyle name="Normalny 5 2 2 2 3 4" xfId="27722" xr:uid="{00000000-0005-0000-0000-0000676E0000}"/>
    <cellStyle name="Normalny 5 2 2 2 3 5" xfId="27723" xr:uid="{00000000-0005-0000-0000-0000686E0000}"/>
    <cellStyle name="Normalny 5 2 2 2 3 6" xfId="27724" xr:uid="{00000000-0005-0000-0000-0000696E0000}"/>
    <cellStyle name="Normalny 5 2 2 2 3 7" xfId="27725" xr:uid="{00000000-0005-0000-0000-00006A6E0000}"/>
    <cellStyle name="Normalny 5 2 2 2 3 8" xfId="38419" xr:uid="{00000000-0005-0000-0000-00006B6E0000}"/>
    <cellStyle name="Normalny 5 2 2 2 4" xfId="27726" xr:uid="{00000000-0005-0000-0000-00006C6E0000}"/>
    <cellStyle name="Normalny 5 2 2 2 5" xfId="27727" xr:uid="{00000000-0005-0000-0000-00006D6E0000}"/>
    <cellStyle name="Normalny 5 2 2 2 6" xfId="27728" xr:uid="{00000000-0005-0000-0000-00006E6E0000}"/>
    <cellStyle name="Normalny 5 2 2 2 7" xfId="27729" xr:uid="{00000000-0005-0000-0000-00006F6E0000}"/>
    <cellStyle name="Normalny 5 2 2 2 8" xfId="27730" xr:uid="{00000000-0005-0000-0000-0000706E0000}"/>
    <cellStyle name="Normalny 5 2 2 2 8 2" xfId="27731" xr:uid="{00000000-0005-0000-0000-0000716E0000}"/>
    <cellStyle name="Normalny 5 2 2 2 8 3" xfId="27732" xr:uid="{00000000-0005-0000-0000-0000726E0000}"/>
    <cellStyle name="Normalny 5 2 2 2 8 4" xfId="27733" xr:uid="{00000000-0005-0000-0000-0000736E0000}"/>
    <cellStyle name="Normalny 5 2 2 2 8 5" xfId="27734" xr:uid="{00000000-0005-0000-0000-0000746E0000}"/>
    <cellStyle name="Normalny 5 2 2 2 8 6" xfId="27735" xr:uid="{00000000-0005-0000-0000-0000756E0000}"/>
    <cellStyle name="Normalny 5 2 2 2 9" xfId="27736" xr:uid="{00000000-0005-0000-0000-0000766E0000}"/>
    <cellStyle name="Normalny 5 2 2 3" xfId="27737" xr:uid="{00000000-0005-0000-0000-0000776E0000}"/>
    <cellStyle name="Normalny 5 2 2 3 2" xfId="38420" xr:uid="{00000000-0005-0000-0000-0000786E0000}"/>
    <cellStyle name="Normalny 5 2 2 3 3" xfId="38421" xr:uid="{00000000-0005-0000-0000-0000796E0000}"/>
    <cellStyle name="Normalny 5 2 2 4" xfId="27738" xr:uid="{00000000-0005-0000-0000-00007A6E0000}"/>
    <cellStyle name="Normalny 5 2 2 4 10" xfId="27739" xr:uid="{00000000-0005-0000-0000-00007B6E0000}"/>
    <cellStyle name="Normalny 5 2 2 4 11" xfId="27740" xr:uid="{00000000-0005-0000-0000-00007C6E0000}"/>
    <cellStyle name="Normalny 5 2 2 4 12" xfId="38422" xr:uid="{00000000-0005-0000-0000-00007D6E0000}"/>
    <cellStyle name="Normalny 5 2 2 4 2" xfId="27741" xr:uid="{00000000-0005-0000-0000-00007E6E0000}"/>
    <cellStyle name="Normalny 5 2 2 4 2 2" xfId="27742" xr:uid="{00000000-0005-0000-0000-00007F6E0000}"/>
    <cellStyle name="Normalny 5 2 2 4 2 2 2" xfId="27743" xr:uid="{00000000-0005-0000-0000-0000806E0000}"/>
    <cellStyle name="Normalny 5 2 2 4 2 2 3" xfId="27744" xr:uid="{00000000-0005-0000-0000-0000816E0000}"/>
    <cellStyle name="Normalny 5 2 2 4 2 2 4" xfId="27745" xr:uid="{00000000-0005-0000-0000-0000826E0000}"/>
    <cellStyle name="Normalny 5 2 2 4 2 2 5" xfId="27746" xr:uid="{00000000-0005-0000-0000-0000836E0000}"/>
    <cellStyle name="Normalny 5 2 2 4 2 2 6" xfId="27747" xr:uid="{00000000-0005-0000-0000-0000846E0000}"/>
    <cellStyle name="Normalny 5 2 2 4 2 3" xfId="27748" xr:uid="{00000000-0005-0000-0000-0000856E0000}"/>
    <cellStyle name="Normalny 5 2 2 4 2 4" xfId="27749" xr:uid="{00000000-0005-0000-0000-0000866E0000}"/>
    <cellStyle name="Normalny 5 2 2 4 2 5" xfId="27750" xr:uid="{00000000-0005-0000-0000-0000876E0000}"/>
    <cellStyle name="Normalny 5 2 2 4 2 6" xfId="27751" xr:uid="{00000000-0005-0000-0000-0000886E0000}"/>
    <cellStyle name="Normalny 5 2 2 4 2 7" xfId="27752" xr:uid="{00000000-0005-0000-0000-0000896E0000}"/>
    <cellStyle name="Normalny 5 2 2 4 3" xfId="27753" xr:uid="{00000000-0005-0000-0000-00008A6E0000}"/>
    <cellStyle name="Normalny 5 2 2 4 4" xfId="27754" xr:uid="{00000000-0005-0000-0000-00008B6E0000}"/>
    <cellStyle name="Normalny 5 2 2 4 5" xfId="27755" xr:uid="{00000000-0005-0000-0000-00008C6E0000}"/>
    <cellStyle name="Normalny 5 2 2 4 6" xfId="27756" xr:uid="{00000000-0005-0000-0000-00008D6E0000}"/>
    <cellStyle name="Normalny 5 2 2 4 7" xfId="27757" xr:uid="{00000000-0005-0000-0000-00008E6E0000}"/>
    <cellStyle name="Normalny 5 2 2 4 7 2" xfId="27758" xr:uid="{00000000-0005-0000-0000-00008F6E0000}"/>
    <cellStyle name="Normalny 5 2 2 4 7 3" xfId="27759" xr:uid="{00000000-0005-0000-0000-0000906E0000}"/>
    <cellStyle name="Normalny 5 2 2 4 7 4" xfId="27760" xr:uid="{00000000-0005-0000-0000-0000916E0000}"/>
    <cellStyle name="Normalny 5 2 2 4 7 5" xfId="27761" xr:uid="{00000000-0005-0000-0000-0000926E0000}"/>
    <cellStyle name="Normalny 5 2 2 4 7 6" xfId="27762" xr:uid="{00000000-0005-0000-0000-0000936E0000}"/>
    <cellStyle name="Normalny 5 2 2 4 8" xfId="27763" xr:uid="{00000000-0005-0000-0000-0000946E0000}"/>
    <cellStyle name="Normalny 5 2 2 4 9" xfId="27764" xr:uid="{00000000-0005-0000-0000-0000956E0000}"/>
    <cellStyle name="Normalny 5 2 2 5" xfId="27765" xr:uid="{00000000-0005-0000-0000-0000966E0000}"/>
    <cellStyle name="Normalny 5 2 2 5 2" xfId="27766" xr:uid="{00000000-0005-0000-0000-0000976E0000}"/>
    <cellStyle name="Normalny 5 2 2 5 2 2" xfId="27767" xr:uid="{00000000-0005-0000-0000-0000986E0000}"/>
    <cellStyle name="Normalny 5 2 2 5 2 3" xfId="27768" xr:uid="{00000000-0005-0000-0000-0000996E0000}"/>
    <cellStyle name="Normalny 5 2 2 5 2 4" xfId="27769" xr:uid="{00000000-0005-0000-0000-00009A6E0000}"/>
    <cellStyle name="Normalny 5 2 2 5 2 5" xfId="27770" xr:uid="{00000000-0005-0000-0000-00009B6E0000}"/>
    <cellStyle name="Normalny 5 2 2 5 2 6" xfId="27771" xr:uid="{00000000-0005-0000-0000-00009C6E0000}"/>
    <cellStyle name="Normalny 5 2 2 5 3" xfId="27772" xr:uid="{00000000-0005-0000-0000-00009D6E0000}"/>
    <cellStyle name="Normalny 5 2 2 5 4" xfId="27773" xr:uid="{00000000-0005-0000-0000-00009E6E0000}"/>
    <cellStyle name="Normalny 5 2 2 5 5" xfId="27774" xr:uid="{00000000-0005-0000-0000-00009F6E0000}"/>
    <cellStyle name="Normalny 5 2 2 5 6" xfId="27775" xr:uid="{00000000-0005-0000-0000-0000A06E0000}"/>
    <cellStyle name="Normalny 5 2 2 5 7" xfId="27776" xr:uid="{00000000-0005-0000-0000-0000A16E0000}"/>
    <cellStyle name="Normalny 5 2 2 6" xfId="27777" xr:uid="{00000000-0005-0000-0000-0000A26E0000}"/>
    <cellStyle name="Normalny 5 2 2 7" xfId="27778" xr:uid="{00000000-0005-0000-0000-0000A36E0000}"/>
    <cellStyle name="Normalny 5 2 2 8" xfId="27779" xr:uid="{00000000-0005-0000-0000-0000A46E0000}"/>
    <cellStyle name="Normalny 5 2 2 9" xfId="27780" xr:uid="{00000000-0005-0000-0000-0000A56E0000}"/>
    <cellStyle name="Normalny 5 2 2 9 2" xfId="27781" xr:uid="{00000000-0005-0000-0000-0000A66E0000}"/>
    <cellStyle name="Normalny 5 2 2 9 3" xfId="27782" xr:uid="{00000000-0005-0000-0000-0000A76E0000}"/>
    <cellStyle name="Normalny 5 2 2 9 4" xfId="27783" xr:uid="{00000000-0005-0000-0000-0000A86E0000}"/>
    <cellStyle name="Normalny 5 2 2 9 5" xfId="27784" xr:uid="{00000000-0005-0000-0000-0000A96E0000}"/>
    <cellStyle name="Normalny 5 2 2 9 6" xfId="27785" xr:uid="{00000000-0005-0000-0000-0000AA6E0000}"/>
    <cellStyle name="Normalny 5 2 3" xfId="27786" xr:uid="{00000000-0005-0000-0000-0000AB6E0000}"/>
    <cellStyle name="Normalny 5 2 3 10" xfId="27787" xr:uid="{00000000-0005-0000-0000-0000AC6E0000}"/>
    <cellStyle name="Normalny 5 2 3 11" xfId="27788" xr:uid="{00000000-0005-0000-0000-0000AD6E0000}"/>
    <cellStyle name="Normalny 5 2 3 12" xfId="27789" xr:uid="{00000000-0005-0000-0000-0000AE6E0000}"/>
    <cellStyle name="Normalny 5 2 3 13" xfId="38423" xr:uid="{00000000-0005-0000-0000-0000AF6E0000}"/>
    <cellStyle name="Normalny 5 2 3 2" xfId="27790" xr:uid="{00000000-0005-0000-0000-0000B06E0000}"/>
    <cellStyle name="Normalny 5 2 3 2 10" xfId="27791" xr:uid="{00000000-0005-0000-0000-0000B16E0000}"/>
    <cellStyle name="Normalny 5 2 3 2 11" xfId="27792" xr:uid="{00000000-0005-0000-0000-0000B26E0000}"/>
    <cellStyle name="Normalny 5 2 3 2 12" xfId="38424" xr:uid="{00000000-0005-0000-0000-0000B36E0000}"/>
    <cellStyle name="Normalny 5 2 3 2 2" xfId="27793" xr:uid="{00000000-0005-0000-0000-0000B46E0000}"/>
    <cellStyle name="Normalny 5 2 3 2 2 10" xfId="27794" xr:uid="{00000000-0005-0000-0000-0000B56E0000}"/>
    <cellStyle name="Normalny 5 2 3 2 2 11" xfId="27795" xr:uid="{00000000-0005-0000-0000-0000B66E0000}"/>
    <cellStyle name="Normalny 5 2 3 2 2 12" xfId="38425" xr:uid="{00000000-0005-0000-0000-0000B76E0000}"/>
    <cellStyle name="Normalny 5 2 3 2 2 2" xfId="27796" xr:uid="{00000000-0005-0000-0000-0000B86E0000}"/>
    <cellStyle name="Normalny 5 2 3 2 2 2 2" xfId="27797" xr:uid="{00000000-0005-0000-0000-0000B96E0000}"/>
    <cellStyle name="Normalny 5 2 3 2 2 2 2 2" xfId="27798" xr:uid="{00000000-0005-0000-0000-0000BA6E0000}"/>
    <cellStyle name="Normalny 5 2 3 2 2 2 2 3" xfId="27799" xr:uid="{00000000-0005-0000-0000-0000BB6E0000}"/>
    <cellStyle name="Normalny 5 2 3 2 2 2 2 4" xfId="27800" xr:uid="{00000000-0005-0000-0000-0000BC6E0000}"/>
    <cellStyle name="Normalny 5 2 3 2 2 2 2 5" xfId="27801" xr:uid="{00000000-0005-0000-0000-0000BD6E0000}"/>
    <cellStyle name="Normalny 5 2 3 2 2 2 2 6" xfId="27802" xr:uid="{00000000-0005-0000-0000-0000BE6E0000}"/>
    <cellStyle name="Normalny 5 2 3 2 2 2 3" xfId="27803" xr:uid="{00000000-0005-0000-0000-0000BF6E0000}"/>
    <cellStyle name="Normalny 5 2 3 2 2 2 4" xfId="27804" xr:uid="{00000000-0005-0000-0000-0000C06E0000}"/>
    <cellStyle name="Normalny 5 2 3 2 2 2 5" xfId="27805" xr:uid="{00000000-0005-0000-0000-0000C16E0000}"/>
    <cellStyle name="Normalny 5 2 3 2 2 2 6" xfId="27806" xr:uid="{00000000-0005-0000-0000-0000C26E0000}"/>
    <cellStyle name="Normalny 5 2 3 2 2 2 7" xfId="27807" xr:uid="{00000000-0005-0000-0000-0000C36E0000}"/>
    <cellStyle name="Normalny 5 2 3 2 2 3" xfId="27808" xr:uid="{00000000-0005-0000-0000-0000C46E0000}"/>
    <cellStyle name="Normalny 5 2 3 2 2 4" xfId="27809" xr:uid="{00000000-0005-0000-0000-0000C56E0000}"/>
    <cellStyle name="Normalny 5 2 3 2 2 5" xfId="27810" xr:uid="{00000000-0005-0000-0000-0000C66E0000}"/>
    <cellStyle name="Normalny 5 2 3 2 2 6" xfId="27811" xr:uid="{00000000-0005-0000-0000-0000C76E0000}"/>
    <cellStyle name="Normalny 5 2 3 2 2 7" xfId="27812" xr:uid="{00000000-0005-0000-0000-0000C86E0000}"/>
    <cellStyle name="Normalny 5 2 3 2 2 7 2" xfId="27813" xr:uid="{00000000-0005-0000-0000-0000C96E0000}"/>
    <cellStyle name="Normalny 5 2 3 2 2 7 3" xfId="27814" xr:uid="{00000000-0005-0000-0000-0000CA6E0000}"/>
    <cellStyle name="Normalny 5 2 3 2 2 7 4" xfId="27815" xr:uid="{00000000-0005-0000-0000-0000CB6E0000}"/>
    <cellStyle name="Normalny 5 2 3 2 2 7 5" xfId="27816" xr:uid="{00000000-0005-0000-0000-0000CC6E0000}"/>
    <cellStyle name="Normalny 5 2 3 2 2 7 6" xfId="27817" xr:uid="{00000000-0005-0000-0000-0000CD6E0000}"/>
    <cellStyle name="Normalny 5 2 3 2 2 8" xfId="27818" xr:uid="{00000000-0005-0000-0000-0000CE6E0000}"/>
    <cellStyle name="Normalny 5 2 3 2 2 9" xfId="27819" xr:uid="{00000000-0005-0000-0000-0000CF6E0000}"/>
    <cellStyle name="Normalny 5 2 3 2 3" xfId="27820" xr:uid="{00000000-0005-0000-0000-0000D06E0000}"/>
    <cellStyle name="Normalny 5 2 3 2 3 2" xfId="27821" xr:uid="{00000000-0005-0000-0000-0000D16E0000}"/>
    <cellStyle name="Normalny 5 2 3 2 3 2 2" xfId="27822" xr:uid="{00000000-0005-0000-0000-0000D26E0000}"/>
    <cellStyle name="Normalny 5 2 3 2 3 2 3" xfId="27823" xr:uid="{00000000-0005-0000-0000-0000D36E0000}"/>
    <cellStyle name="Normalny 5 2 3 2 3 2 4" xfId="27824" xr:uid="{00000000-0005-0000-0000-0000D46E0000}"/>
    <cellStyle name="Normalny 5 2 3 2 3 2 5" xfId="27825" xr:uid="{00000000-0005-0000-0000-0000D56E0000}"/>
    <cellStyle name="Normalny 5 2 3 2 3 2 6" xfId="27826" xr:uid="{00000000-0005-0000-0000-0000D66E0000}"/>
    <cellStyle name="Normalny 5 2 3 2 3 3" xfId="27827" xr:uid="{00000000-0005-0000-0000-0000D76E0000}"/>
    <cellStyle name="Normalny 5 2 3 2 3 4" xfId="27828" xr:uid="{00000000-0005-0000-0000-0000D86E0000}"/>
    <cellStyle name="Normalny 5 2 3 2 3 5" xfId="27829" xr:uid="{00000000-0005-0000-0000-0000D96E0000}"/>
    <cellStyle name="Normalny 5 2 3 2 3 6" xfId="27830" xr:uid="{00000000-0005-0000-0000-0000DA6E0000}"/>
    <cellStyle name="Normalny 5 2 3 2 3 7" xfId="27831" xr:uid="{00000000-0005-0000-0000-0000DB6E0000}"/>
    <cellStyle name="Normalny 5 2 3 2 4" xfId="27832" xr:uid="{00000000-0005-0000-0000-0000DC6E0000}"/>
    <cellStyle name="Normalny 5 2 3 2 5" xfId="27833" xr:uid="{00000000-0005-0000-0000-0000DD6E0000}"/>
    <cellStyle name="Normalny 5 2 3 2 6" xfId="27834" xr:uid="{00000000-0005-0000-0000-0000DE6E0000}"/>
    <cellStyle name="Normalny 5 2 3 2 7" xfId="27835" xr:uid="{00000000-0005-0000-0000-0000DF6E0000}"/>
    <cellStyle name="Normalny 5 2 3 2 7 2" xfId="27836" xr:uid="{00000000-0005-0000-0000-0000E06E0000}"/>
    <cellStyle name="Normalny 5 2 3 2 7 3" xfId="27837" xr:uid="{00000000-0005-0000-0000-0000E16E0000}"/>
    <cellStyle name="Normalny 5 2 3 2 7 4" xfId="27838" xr:uid="{00000000-0005-0000-0000-0000E26E0000}"/>
    <cellStyle name="Normalny 5 2 3 2 7 5" xfId="27839" xr:uid="{00000000-0005-0000-0000-0000E36E0000}"/>
    <cellStyle name="Normalny 5 2 3 2 7 6" xfId="27840" xr:uid="{00000000-0005-0000-0000-0000E46E0000}"/>
    <cellStyle name="Normalny 5 2 3 2 8" xfId="27841" xr:uid="{00000000-0005-0000-0000-0000E56E0000}"/>
    <cellStyle name="Normalny 5 2 3 2 9" xfId="27842" xr:uid="{00000000-0005-0000-0000-0000E66E0000}"/>
    <cellStyle name="Normalny 5 2 3 3" xfId="27843" xr:uid="{00000000-0005-0000-0000-0000E76E0000}"/>
    <cellStyle name="Normalny 5 2 3 3 2" xfId="27844" xr:uid="{00000000-0005-0000-0000-0000E86E0000}"/>
    <cellStyle name="Normalny 5 2 3 3 2 2" xfId="27845" xr:uid="{00000000-0005-0000-0000-0000E96E0000}"/>
    <cellStyle name="Normalny 5 2 3 3 2 3" xfId="27846" xr:uid="{00000000-0005-0000-0000-0000EA6E0000}"/>
    <cellStyle name="Normalny 5 2 3 3 2 4" xfId="27847" xr:uid="{00000000-0005-0000-0000-0000EB6E0000}"/>
    <cellStyle name="Normalny 5 2 3 3 2 5" xfId="27848" xr:uid="{00000000-0005-0000-0000-0000EC6E0000}"/>
    <cellStyle name="Normalny 5 2 3 3 2 6" xfId="27849" xr:uid="{00000000-0005-0000-0000-0000ED6E0000}"/>
    <cellStyle name="Normalny 5 2 3 3 3" xfId="27850" xr:uid="{00000000-0005-0000-0000-0000EE6E0000}"/>
    <cellStyle name="Normalny 5 2 3 3 4" xfId="27851" xr:uid="{00000000-0005-0000-0000-0000EF6E0000}"/>
    <cellStyle name="Normalny 5 2 3 3 5" xfId="27852" xr:uid="{00000000-0005-0000-0000-0000F06E0000}"/>
    <cellStyle name="Normalny 5 2 3 3 6" xfId="27853" xr:uid="{00000000-0005-0000-0000-0000F16E0000}"/>
    <cellStyle name="Normalny 5 2 3 3 7" xfId="27854" xr:uid="{00000000-0005-0000-0000-0000F26E0000}"/>
    <cellStyle name="Normalny 5 2 3 3 8" xfId="38426" xr:uid="{00000000-0005-0000-0000-0000F36E0000}"/>
    <cellStyle name="Normalny 5 2 3 4" xfId="27855" xr:uid="{00000000-0005-0000-0000-0000F46E0000}"/>
    <cellStyle name="Normalny 5 2 3 5" xfId="27856" xr:uid="{00000000-0005-0000-0000-0000F56E0000}"/>
    <cellStyle name="Normalny 5 2 3 6" xfId="27857" xr:uid="{00000000-0005-0000-0000-0000F66E0000}"/>
    <cellStyle name="Normalny 5 2 3 7" xfId="27858" xr:uid="{00000000-0005-0000-0000-0000F76E0000}"/>
    <cellStyle name="Normalny 5 2 3 8" xfId="27859" xr:uid="{00000000-0005-0000-0000-0000F86E0000}"/>
    <cellStyle name="Normalny 5 2 3 8 2" xfId="27860" xr:uid="{00000000-0005-0000-0000-0000F96E0000}"/>
    <cellStyle name="Normalny 5 2 3 8 3" xfId="27861" xr:uid="{00000000-0005-0000-0000-0000FA6E0000}"/>
    <cellStyle name="Normalny 5 2 3 8 4" xfId="27862" xr:uid="{00000000-0005-0000-0000-0000FB6E0000}"/>
    <cellStyle name="Normalny 5 2 3 8 5" xfId="27863" xr:uid="{00000000-0005-0000-0000-0000FC6E0000}"/>
    <cellStyle name="Normalny 5 2 3 8 6" xfId="27864" xr:uid="{00000000-0005-0000-0000-0000FD6E0000}"/>
    <cellStyle name="Normalny 5 2 3 9" xfId="27865" xr:uid="{00000000-0005-0000-0000-0000FE6E0000}"/>
    <cellStyle name="Normalny 5 2 4" xfId="27866" xr:uid="{00000000-0005-0000-0000-0000FF6E0000}"/>
    <cellStyle name="Normalny 5 2 4 10" xfId="27867" xr:uid="{00000000-0005-0000-0000-0000006F0000}"/>
    <cellStyle name="Normalny 5 2 4 11" xfId="27868" xr:uid="{00000000-0005-0000-0000-0000016F0000}"/>
    <cellStyle name="Normalny 5 2 4 12" xfId="38427" xr:uid="{00000000-0005-0000-0000-0000026F0000}"/>
    <cellStyle name="Normalny 5 2 4 2" xfId="27869" xr:uid="{00000000-0005-0000-0000-0000036F0000}"/>
    <cellStyle name="Normalny 5 2 4 2 2" xfId="27870" xr:uid="{00000000-0005-0000-0000-0000046F0000}"/>
    <cellStyle name="Normalny 5 2 4 2 2 2" xfId="27871" xr:uid="{00000000-0005-0000-0000-0000056F0000}"/>
    <cellStyle name="Normalny 5 2 4 2 2 3" xfId="27872" xr:uid="{00000000-0005-0000-0000-0000066F0000}"/>
    <cellStyle name="Normalny 5 2 4 2 2 4" xfId="27873" xr:uid="{00000000-0005-0000-0000-0000076F0000}"/>
    <cellStyle name="Normalny 5 2 4 2 2 5" xfId="27874" xr:uid="{00000000-0005-0000-0000-0000086F0000}"/>
    <cellStyle name="Normalny 5 2 4 2 2 6" xfId="27875" xr:uid="{00000000-0005-0000-0000-0000096F0000}"/>
    <cellStyle name="Normalny 5 2 4 2 3" xfId="27876" xr:uid="{00000000-0005-0000-0000-00000A6F0000}"/>
    <cellStyle name="Normalny 5 2 4 2 4" xfId="27877" xr:uid="{00000000-0005-0000-0000-00000B6F0000}"/>
    <cellStyle name="Normalny 5 2 4 2 5" xfId="27878" xr:uid="{00000000-0005-0000-0000-00000C6F0000}"/>
    <cellStyle name="Normalny 5 2 4 2 6" xfId="27879" xr:uid="{00000000-0005-0000-0000-00000D6F0000}"/>
    <cellStyle name="Normalny 5 2 4 2 7" xfId="27880" xr:uid="{00000000-0005-0000-0000-00000E6F0000}"/>
    <cellStyle name="Normalny 5 2 4 2 8" xfId="38428" xr:uid="{00000000-0005-0000-0000-00000F6F0000}"/>
    <cellStyle name="Normalny 5 2 4 3" xfId="27881" xr:uid="{00000000-0005-0000-0000-0000106F0000}"/>
    <cellStyle name="Normalny 5 2 4 4" xfId="27882" xr:uid="{00000000-0005-0000-0000-0000116F0000}"/>
    <cellStyle name="Normalny 5 2 4 5" xfId="27883" xr:uid="{00000000-0005-0000-0000-0000126F0000}"/>
    <cellStyle name="Normalny 5 2 4 6" xfId="27884" xr:uid="{00000000-0005-0000-0000-0000136F0000}"/>
    <cellStyle name="Normalny 5 2 4 7" xfId="27885" xr:uid="{00000000-0005-0000-0000-0000146F0000}"/>
    <cellStyle name="Normalny 5 2 4 7 2" xfId="27886" xr:uid="{00000000-0005-0000-0000-0000156F0000}"/>
    <cellStyle name="Normalny 5 2 4 7 3" xfId="27887" xr:uid="{00000000-0005-0000-0000-0000166F0000}"/>
    <cellStyle name="Normalny 5 2 4 7 4" xfId="27888" xr:uid="{00000000-0005-0000-0000-0000176F0000}"/>
    <cellStyle name="Normalny 5 2 4 7 5" xfId="27889" xr:uid="{00000000-0005-0000-0000-0000186F0000}"/>
    <cellStyle name="Normalny 5 2 4 7 6" xfId="27890" xr:uid="{00000000-0005-0000-0000-0000196F0000}"/>
    <cellStyle name="Normalny 5 2 4 8" xfId="27891" xr:uid="{00000000-0005-0000-0000-00001A6F0000}"/>
    <cellStyle name="Normalny 5 2 4 9" xfId="27892" xr:uid="{00000000-0005-0000-0000-00001B6F0000}"/>
    <cellStyle name="Normalny 5 2 5" xfId="27893" xr:uid="{00000000-0005-0000-0000-00001C6F0000}"/>
    <cellStyle name="Normalny 5 2 5 2" xfId="27894" xr:uid="{00000000-0005-0000-0000-00001D6F0000}"/>
    <cellStyle name="Normalny 5 2 5 2 2" xfId="27895" xr:uid="{00000000-0005-0000-0000-00001E6F0000}"/>
    <cellStyle name="Normalny 5 2 5 2 3" xfId="27896" xr:uid="{00000000-0005-0000-0000-00001F6F0000}"/>
    <cellStyle name="Normalny 5 2 5 2 4" xfId="27897" xr:uid="{00000000-0005-0000-0000-0000206F0000}"/>
    <cellStyle name="Normalny 5 2 5 2 5" xfId="27898" xr:uid="{00000000-0005-0000-0000-0000216F0000}"/>
    <cellStyle name="Normalny 5 2 5 2 6" xfId="27899" xr:uid="{00000000-0005-0000-0000-0000226F0000}"/>
    <cellStyle name="Normalny 5 2 5 3" xfId="27900" xr:uid="{00000000-0005-0000-0000-0000236F0000}"/>
    <cellStyle name="Normalny 5 2 5 4" xfId="27901" xr:uid="{00000000-0005-0000-0000-0000246F0000}"/>
    <cellStyle name="Normalny 5 2 5 5" xfId="27902" xr:uid="{00000000-0005-0000-0000-0000256F0000}"/>
    <cellStyle name="Normalny 5 2 5 6" xfId="27903" xr:uid="{00000000-0005-0000-0000-0000266F0000}"/>
    <cellStyle name="Normalny 5 2 5 7" xfId="27904" xr:uid="{00000000-0005-0000-0000-0000276F0000}"/>
    <cellStyle name="Normalny 5 2 5 8" xfId="38429" xr:uid="{00000000-0005-0000-0000-0000286F0000}"/>
    <cellStyle name="Normalny 5 2 6" xfId="27905" xr:uid="{00000000-0005-0000-0000-0000296F0000}"/>
    <cellStyle name="Normalny 5 2 7" xfId="27906" xr:uid="{00000000-0005-0000-0000-00002A6F0000}"/>
    <cellStyle name="Normalny 5 2 8" xfId="27907" xr:uid="{00000000-0005-0000-0000-00002B6F0000}"/>
    <cellStyle name="Normalny 5 2 9" xfId="27908" xr:uid="{00000000-0005-0000-0000-00002C6F0000}"/>
    <cellStyle name="Normalny 5 2 9 2" xfId="27909" xr:uid="{00000000-0005-0000-0000-00002D6F0000}"/>
    <cellStyle name="Normalny 5 2 9 3" xfId="27910" xr:uid="{00000000-0005-0000-0000-00002E6F0000}"/>
    <cellStyle name="Normalny 5 2 9 4" xfId="27911" xr:uid="{00000000-0005-0000-0000-00002F6F0000}"/>
    <cellStyle name="Normalny 5 2 9 5" xfId="27912" xr:uid="{00000000-0005-0000-0000-0000306F0000}"/>
    <cellStyle name="Normalny 5 2 9 6" xfId="27913" xr:uid="{00000000-0005-0000-0000-0000316F0000}"/>
    <cellStyle name="Normalny 5 20" xfId="27914" xr:uid="{00000000-0005-0000-0000-0000326F0000}"/>
    <cellStyle name="Normalny 5 21" xfId="27915" xr:uid="{00000000-0005-0000-0000-0000336F0000}"/>
    <cellStyle name="Normalny 5 22" xfId="27916" xr:uid="{00000000-0005-0000-0000-0000346F0000}"/>
    <cellStyle name="Normalny 5 23" xfId="27917" xr:uid="{00000000-0005-0000-0000-0000356F0000}"/>
    <cellStyle name="Normalny 5 24" xfId="27526" xr:uid="{00000000-0005-0000-0000-0000366F0000}"/>
    <cellStyle name="Normalny 5 25" xfId="38430" xr:uid="{00000000-0005-0000-0000-0000376F0000}"/>
    <cellStyle name="Normalny 5 26" xfId="38698" xr:uid="{A63D7BFC-9AEE-4748-BB7E-F41DDF245972}"/>
    <cellStyle name="Normalny 5 3" xfId="27918" xr:uid="{00000000-0005-0000-0000-0000386F0000}"/>
    <cellStyle name="Normalny 5 3 10" xfId="27919" xr:uid="{00000000-0005-0000-0000-0000396F0000}"/>
    <cellStyle name="Normalny 5 3 11" xfId="27920" xr:uid="{00000000-0005-0000-0000-00003A6F0000}"/>
    <cellStyle name="Normalny 5 3 12" xfId="27921" xr:uid="{00000000-0005-0000-0000-00003B6F0000}"/>
    <cellStyle name="Normalny 5 3 13" xfId="27922" xr:uid="{00000000-0005-0000-0000-00003C6F0000}"/>
    <cellStyle name="Normalny 5 3 14" xfId="27923" xr:uid="{00000000-0005-0000-0000-00003D6F0000}"/>
    <cellStyle name="Normalny 5 3 15" xfId="27924" xr:uid="{00000000-0005-0000-0000-00003E6F0000}"/>
    <cellStyle name="Normalny 5 3 16" xfId="27925" xr:uid="{00000000-0005-0000-0000-00003F6F0000}"/>
    <cellStyle name="Normalny 5 3 17" xfId="38431" xr:uid="{00000000-0005-0000-0000-0000406F0000}"/>
    <cellStyle name="Normalny 5 3 2" xfId="27926" xr:uid="{00000000-0005-0000-0000-0000416F0000}"/>
    <cellStyle name="Normalny 5 3 2 10" xfId="27927" xr:uid="{00000000-0005-0000-0000-0000426F0000}"/>
    <cellStyle name="Normalny 5 3 2 11" xfId="27928" xr:uid="{00000000-0005-0000-0000-0000436F0000}"/>
    <cellStyle name="Normalny 5 3 2 12" xfId="27929" xr:uid="{00000000-0005-0000-0000-0000446F0000}"/>
    <cellStyle name="Normalny 5 3 2 13" xfId="27930" xr:uid="{00000000-0005-0000-0000-0000456F0000}"/>
    <cellStyle name="Normalny 5 3 2 14" xfId="38432" xr:uid="{00000000-0005-0000-0000-0000466F0000}"/>
    <cellStyle name="Normalny 5 3 2 2" xfId="27931" xr:uid="{00000000-0005-0000-0000-0000476F0000}"/>
    <cellStyle name="Normalny 5 3 2 2 10" xfId="27932" xr:uid="{00000000-0005-0000-0000-0000486F0000}"/>
    <cellStyle name="Normalny 5 3 2 2 11" xfId="27933" xr:uid="{00000000-0005-0000-0000-0000496F0000}"/>
    <cellStyle name="Normalny 5 3 2 2 12" xfId="27934" xr:uid="{00000000-0005-0000-0000-00004A6F0000}"/>
    <cellStyle name="Normalny 5 3 2 2 13" xfId="38433" xr:uid="{00000000-0005-0000-0000-00004B6F0000}"/>
    <cellStyle name="Normalny 5 3 2 2 2" xfId="27935" xr:uid="{00000000-0005-0000-0000-00004C6F0000}"/>
    <cellStyle name="Normalny 5 3 2 2 2 10" xfId="27936" xr:uid="{00000000-0005-0000-0000-00004D6F0000}"/>
    <cellStyle name="Normalny 5 3 2 2 2 11" xfId="27937" xr:uid="{00000000-0005-0000-0000-00004E6F0000}"/>
    <cellStyle name="Normalny 5 3 2 2 2 12" xfId="38434" xr:uid="{00000000-0005-0000-0000-00004F6F0000}"/>
    <cellStyle name="Normalny 5 3 2 2 2 2" xfId="27938" xr:uid="{00000000-0005-0000-0000-0000506F0000}"/>
    <cellStyle name="Normalny 5 3 2 2 2 2 10" xfId="27939" xr:uid="{00000000-0005-0000-0000-0000516F0000}"/>
    <cellStyle name="Normalny 5 3 2 2 2 2 11" xfId="27940" xr:uid="{00000000-0005-0000-0000-0000526F0000}"/>
    <cellStyle name="Normalny 5 3 2 2 2 2 2" xfId="27941" xr:uid="{00000000-0005-0000-0000-0000536F0000}"/>
    <cellStyle name="Normalny 5 3 2 2 2 2 2 2" xfId="27942" xr:uid="{00000000-0005-0000-0000-0000546F0000}"/>
    <cellStyle name="Normalny 5 3 2 2 2 2 2 2 2" xfId="27943" xr:uid="{00000000-0005-0000-0000-0000556F0000}"/>
    <cellStyle name="Normalny 5 3 2 2 2 2 2 2 3" xfId="27944" xr:uid="{00000000-0005-0000-0000-0000566F0000}"/>
    <cellStyle name="Normalny 5 3 2 2 2 2 2 2 4" xfId="27945" xr:uid="{00000000-0005-0000-0000-0000576F0000}"/>
    <cellStyle name="Normalny 5 3 2 2 2 2 2 2 5" xfId="27946" xr:uid="{00000000-0005-0000-0000-0000586F0000}"/>
    <cellStyle name="Normalny 5 3 2 2 2 2 2 2 6" xfId="27947" xr:uid="{00000000-0005-0000-0000-0000596F0000}"/>
    <cellStyle name="Normalny 5 3 2 2 2 2 2 3" xfId="27948" xr:uid="{00000000-0005-0000-0000-00005A6F0000}"/>
    <cellStyle name="Normalny 5 3 2 2 2 2 2 4" xfId="27949" xr:uid="{00000000-0005-0000-0000-00005B6F0000}"/>
    <cellStyle name="Normalny 5 3 2 2 2 2 2 5" xfId="27950" xr:uid="{00000000-0005-0000-0000-00005C6F0000}"/>
    <cellStyle name="Normalny 5 3 2 2 2 2 2 6" xfId="27951" xr:uid="{00000000-0005-0000-0000-00005D6F0000}"/>
    <cellStyle name="Normalny 5 3 2 2 2 2 2 7" xfId="27952" xr:uid="{00000000-0005-0000-0000-00005E6F0000}"/>
    <cellStyle name="Normalny 5 3 2 2 2 2 3" xfId="27953" xr:uid="{00000000-0005-0000-0000-00005F6F0000}"/>
    <cellStyle name="Normalny 5 3 2 2 2 2 4" xfId="27954" xr:uid="{00000000-0005-0000-0000-0000606F0000}"/>
    <cellStyle name="Normalny 5 3 2 2 2 2 5" xfId="27955" xr:uid="{00000000-0005-0000-0000-0000616F0000}"/>
    <cellStyle name="Normalny 5 3 2 2 2 2 6" xfId="27956" xr:uid="{00000000-0005-0000-0000-0000626F0000}"/>
    <cellStyle name="Normalny 5 3 2 2 2 2 7" xfId="27957" xr:uid="{00000000-0005-0000-0000-0000636F0000}"/>
    <cellStyle name="Normalny 5 3 2 2 2 2 7 2" xfId="27958" xr:uid="{00000000-0005-0000-0000-0000646F0000}"/>
    <cellStyle name="Normalny 5 3 2 2 2 2 7 3" xfId="27959" xr:uid="{00000000-0005-0000-0000-0000656F0000}"/>
    <cellStyle name="Normalny 5 3 2 2 2 2 7 4" xfId="27960" xr:uid="{00000000-0005-0000-0000-0000666F0000}"/>
    <cellStyle name="Normalny 5 3 2 2 2 2 7 5" xfId="27961" xr:uid="{00000000-0005-0000-0000-0000676F0000}"/>
    <cellStyle name="Normalny 5 3 2 2 2 2 7 6" xfId="27962" xr:uid="{00000000-0005-0000-0000-0000686F0000}"/>
    <cellStyle name="Normalny 5 3 2 2 2 2 8" xfId="27963" xr:uid="{00000000-0005-0000-0000-0000696F0000}"/>
    <cellStyle name="Normalny 5 3 2 2 2 2 9" xfId="27964" xr:uid="{00000000-0005-0000-0000-00006A6F0000}"/>
    <cellStyle name="Normalny 5 3 2 2 2 3" xfId="27965" xr:uid="{00000000-0005-0000-0000-00006B6F0000}"/>
    <cellStyle name="Normalny 5 3 2 2 2 3 2" xfId="27966" xr:uid="{00000000-0005-0000-0000-00006C6F0000}"/>
    <cellStyle name="Normalny 5 3 2 2 2 3 2 2" xfId="27967" xr:uid="{00000000-0005-0000-0000-00006D6F0000}"/>
    <cellStyle name="Normalny 5 3 2 2 2 3 2 3" xfId="27968" xr:uid="{00000000-0005-0000-0000-00006E6F0000}"/>
    <cellStyle name="Normalny 5 3 2 2 2 3 2 4" xfId="27969" xr:uid="{00000000-0005-0000-0000-00006F6F0000}"/>
    <cellStyle name="Normalny 5 3 2 2 2 3 2 5" xfId="27970" xr:uid="{00000000-0005-0000-0000-0000706F0000}"/>
    <cellStyle name="Normalny 5 3 2 2 2 3 2 6" xfId="27971" xr:uid="{00000000-0005-0000-0000-0000716F0000}"/>
    <cellStyle name="Normalny 5 3 2 2 2 3 3" xfId="27972" xr:uid="{00000000-0005-0000-0000-0000726F0000}"/>
    <cellStyle name="Normalny 5 3 2 2 2 3 4" xfId="27973" xr:uid="{00000000-0005-0000-0000-0000736F0000}"/>
    <cellStyle name="Normalny 5 3 2 2 2 3 5" xfId="27974" xr:uid="{00000000-0005-0000-0000-0000746F0000}"/>
    <cellStyle name="Normalny 5 3 2 2 2 3 6" xfId="27975" xr:uid="{00000000-0005-0000-0000-0000756F0000}"/>
    <cellStyle name="Normalny 5 3 2 2 2 3 7" xfId="27976" xr:uid="{00000000-0005-0000-0000-0000766F0000}"/>
    <cellStyle name="Normalny 5 3 2 2 2 4" xfId="27977" xr:uid="{00000000-0005-0000-0000-0000776F0000}"/>
    <cellStyle name="Normalny 5 3 2 2 2 5" xfId="27978" xr:uid="{00000000-0005-0000-0000-0000786F0000}"/>
    <cellStyle name="Normalny 5 3 2 2 2 6" xfId="27979" xr:uid="{00000000-0005-0000-0000-0000796F0000}"/>
    <cellStyle name="Normalny 5 3 2 2 2 7" xfId="27980" xr:uid="{00000000-0005-0000-0000-00007A6F0000}"/>
    <cellStyle name="Normalny 5 3 2 2 2 7 2" xfId="27981" xr:uid="{00000000-0005-0000-0000-00007B6F0000}"/>
    <cellStyle name="Normalny 5 3 2 2 2 7 3" xfId="27982" xr:uid="{00000000-0005-0000-0000-00007C6F0000}"/>
    <cellStyle name="Normalny 5 3 2 2 2 7 4" xfId="27983" xr:uid="{00000000-0005-0000-0000-00007D6F0000}"/>
    <cellStyle name="Normalny 5 3 2 2 2 7 5" xfId="27984" xr:uid="{00000000-0005-0000-0000-00007E6F0000}"/>
    <cellStyle name="Normalny 5 3 2 2 2 7 6" xfId="27985" xr:uid="{00000000-0005-0000-0000-00007F6F0000}"/>
    <cellStyle name="Normalny 5 3 2 2 2 8" xfId="27986" xr:uid="{00000000-0005-0000-0000-0000806F0000}"/>
    <cellStyle name="Normalny 5 3 2 2 2 9" xfId="27987" xr:uid="{00000000-0005-0000-0000-0000816F0000}"/>
    <cellStyle name="Normalny 5 3 2 2 3" xfId="27988" xr:uid="{00000000-0005-0000-0000-0000826F0000}"/>
    <cellStyle name="Normalny 5 3 2 2 3 2" xfId="27989" xr:uid="{00000000-0005-0000-0000-0000836F0000}"/>
    <cellStyle name="Normalny 5 3 2 2 3 2 2" xfId="27990" xr:uid="{00000000-0005-0000-0000-0000846F0000}"/>
    <cellStyle name="Normalny 5 3 2 2 3 2 3" xfId="27991" xr:uid="{00000000-0005-0000-0000-0000856F0000}"/>
    <cellStyle name="Normalny 5 3 2 2 3 2 4" xfId="27992" xr:uid="{00000000-0005-0000-0000-0000866F0000}"/>
    <cellStyle name="Normalny 5 3 2 2 3 2 5" xfId="27993" xr:uid="{00000000-0005-0000-0000-0000876F0000}"/>
    <cellStyle name="Normalny 5 3 2 2 3 2 6" xfId="27994" xr:uid="{00000000-0005-0000-0000-0000886F0000}"/>
    <cellStyle name="Normalny 5 3 2 2 3 3" xfId="27995" xr:uid="{00000000-0005-0000-0000-0000896F0000}"/>
    <cellStyle name="Normalny 5 3 2 2 3 4" xfId="27996" xr:uid="{00000000-0005-0000-0000-00008A6F0000}"/>
    <cellStyle name="Normalny 5 3 2 2 3 5" xfId="27997" xr:uid="{00000000-0005-0000-0000-00008B6F0000}"/>
    <cellStyle name="Normalny 5 3 2 2 3 6" xfId="27998" xr:uid="{00000000-0005-0000-0000-00008C6F0000}"/>
    <cellStyle name="Normalny 5 3 2 2 3 7" xfId="27999" xr:uid="{00000000-0005-0000-0000-00008D6F0000}"/>
    <cellStyle name="Normalny 5 3 2 2 4" xfId="28000" xr:uid="{00000000-0005-0000-0000-00008E6F0000}"/>
    <cellStyle name="Normalny 5 3 2 2 5" xfId="28001" xr:uid="{00000000-0005-0000-0000-00008F6F0000}"/>
    <cellStyle name="Normalny 5 3 2 2 6" xfId="28002" xr:uid="{00000000-0005-0000-0000-0000906F0000}"/>
    <cellStyle name="Normalny 5 3 2 2 7" xfId="28003" xr:uid="{00000000-0005-0000-0000-0000916F0000}"/>
    <cellStyle name="Normalny 5 3 2 2 8" xfId="28004" xr:uid="{00000000-0005-0000-0000-0000926F0000}"/>
    <cellStyle name="Normalny 5 3 2 2 8 2" xfId="28005" xr:uid="{00000000-0005-0000-0000-0000936F0000}"/>
    <cellStyle name="Normalny 5 3 2 2 8 3" xfId="28006" xr:uid="{00000000-0005-0000-0000-0000946F0000}"/>
    <cellStyle name="Normalny 5 3 2 2 8 4" xfId="28007" xr:uid="{00000000-0005-0000-0000-0000956F0000}"/>
    <cellStyle name="Normalny 5 3 2 2 8 5" xfId="28008" xr:uid="{00000000-0005-0000-0000-0000966F0000}"/>
    <cellStyle name="Normalny 5 3 2 2 8 6" xfId="28009" xr:uid="{00000000-0005-0000-0000-0000976F0000}"/>
    <cellStyle name="Normalny 5 3 2 2 9" xfId="28010" xr:uid="{00000000-0005-0000-0000-0000986F0000}"/>
    <cellStyle name="Normalny 5 3 2 3" xfId="28011" xr:uid="{00000000-0005-0000-0000-0000996F0000}"/>
    <cellStyle name="Normalny 5 3 2 3 2" xfId="38435" xr:uid="{00000000-0005-0000-0000-00009A6F0000}"/>
    <cellStyle name="Normalny 5 3 2 4" xfId="28012" xr:uid="{00000000-0005-0000-0000-00009B6F0000}"/>
    <cellStyle name="Normalny 5 3 2 4 10" xfId="28013" xr:uid="{00000000-0005-0000-0000-00009C6F0000}"/>
    <cellStyle name="Normalny 5 3 2 4 11" xfId="28014" xr:uid="{00000000-0005-0000-0000-00009D6F0000}"/>
    <cellStyle name="Normalny 5 3 2 4 2" xfId="28015" xr:uid="{00000000-0005-0000-0000-00009E6F0000}"/>
    <cellStyle name="Normalny 5 3 2 4 2 2" xfId="28016" xr:uid="{00000000-0005-0000-0000-00009F6F0000}"/>
    <cellStyle name="Normalny 5 3 2 4 2 2 2" xfId="28017" xr:uid="{00000000-0005-0000-0000-0000A06F0000}"/>
    <cellStyle name="Normalny 5 3 2 4 2 2 3" xfId="28018" xr:uid="{00000000-0005-0000-0000-0000A16F0000}"/>
    <cellStyle name="Normalny 5 3 2 4 2 2 4" xfId="28019" xr:uid="{00000000-0005-0000-0000-0000A26F0000}"/>
    <cellStyle name="Normalny 5 3 2 4 2 2 5" xfId="28020" xr:uid="{00000000-0005-0000-0000-0000A36F0000}"/>
    <cellStyle name="Normalny 5 3 2 4 2 2 6" xfId="28021" xr:uid="{00000000-0005-0000-0000-0000A46F0000}"/>
    <cellStyle name="Normalny 5 3 2 4 2 3" xfId="28022" xr:uid="{00000000-0005-0000-0000-0000A56F0000}"/>
    <cellStyle name="Normalny 5 3 2 4 2 4" xfId="28023" xr:uid="{00000000-0005-0000-0000-0000A66F0000}"/>
    <cellStyle name="Normalny 5 3 2 4 2 5" xfId="28024" xr:uid="{00000000-0005-0000-0000-0000A76F0000}"/>
    <cellStyle name="Normalny 5 3 2 4 2 6" xfId="28025" xr:uid="{00000000-0005-0000-0000-0000A86F0000}"/>
    <cellStyle name="Normalny 5 3 2 4 2 7" xfId="28026" xr:uid="{00000000-0005-0000-0000-0000A96F0000}"/>
    <cellStyle name="Normalny 5 3 2 4 3" xfId="28027" xr:uid="{00000000-0005-0000-0000-0000AA6F0000}"/>
    <cellStyle name="Normalny 5 3 2 4 4" xfId="28028" xr:uid="{00000000-0005-0000-0000-0000AB6F0000}"/>
    <cellStyle name="Normalny 5 3 2 4 5" xfId="28029" xr:uid="{00000000-0005-0000-0000-0000AC6F0000}"/>
    <cellStyle name="Normalny 5 3 2 4 6" xfId="28030" xr:uid="{00000000-0005-0000-0000-0000AD6F0000}"/>
    <cellStyle name="Normalny 5 3 2 4 7" xfId="28031" xr:uid="{00000000-0005-0000-0000-0000AE6F0000}"/>
    <cellStyle name="Normalny 5 3 2 4 7 2" xfId="28032" xr:uid="{00000000-0005-0000-0000-0000AF6F0000}"/>
    <cellStyle name="Normalny 5 3 2 4 7 3" xfId="28033" xr:uid="{00000000-0005-0000-0000-0000B06F0000}"/>
    <cellStyle name="Normalny 5 3 2 4 7 4" xfId="28034" xr:uid="{00000000-0005-0000-0000-0000B16F0000}"/>
    <cellStyle name="Normalny 5 3 2 4 7 5" xfId="28035" xr:uid="{00000000-0005-0000-0000-0000B26F0000}"/>
    <cellStyle name="Normalny 5 3 2 4 7 6" xfId="28036" xr:uid="{00000000-0005-0000-0000-0000B36F0000}"/>
    <cellStyle name="Normalny 5 3 2 4 8" xfId="28037" xr:uid="{00000000-0005-0000-0000-0000B46F0000}"/>
    <cellStyle name="Normalny 5 3 2 4 9" xfId="28038" xr:uid="{00000000-0005-0000-0000-0000B56F0000}"/>
    <cellStyle name="Normalny 5 3 2 5" xfId="28039" xr:uid="{00000000-0005-0000-0000-0000B66F0000}"/>
    <cellStyle name="Normalny 5 3 2 5 2" xfId="28040" xr:uid="{00000000-0005-0000-0000-0000B76F0000}"/>
    <cellStyle name="Normalny 5 3 2 5 2 2" xfId="28041" xr:uid="{00000000-0005-0000-0000-0000B86F0000}"/>
    <cellStyle name="Normalny 5 3 2 5 2 3" xfId="28042" xr:uid="{00000000-0005-0000-0000-0000B96F0000}"/>
    <cellStyle name="Normalny 5 3 2 5 2 4" xfId="28043" xr:uid="{00000000-0005-0000-0000-0000BA6F0000}"/>
    <cellStyle name="Normalny 5 3 2 5 2 5" xfId="28044" xr:uid="{00000000-0005-0000-0000-0000BB6F0000}"/>
    <cellStyle name="Normalny 5 3 2 5 2 6" xfId="28045" xr:uid="{00000000-0005-0000-0000-0000BC6F0000}"/>
    <cellStyle name="Normalny 5 3 2 5 3" xfId="28046" xr:uid="{00000000-0005-0000-0000-0000BD6F0000}"/>
    <cellStyle name="Normalny 5 3 2 5 4" xfId="28047" xr:uid="{00000000-0005-0000-0000-0000BE6F0000}"/>
    <cellStyle name="Normalny 5 3 2 5 5" xfId="28048" xr:uid="{00000000-0005-0000-0000-0000BF6F0000}"/>
    <cellStyle name="Normalny 5 3 2 5 6" xfId="28049" xr:uid="{00000000-0005-0000-0000-0000C06F0000}"/>
    <cellStyle name="Normalny 5 3 2 5 7" xfId="28050" xr:uid="{00000000-0005-0000-0000-0000C16F0000}"/>
    <cellStyle name="Normalny 5 3 2 6" xfId="28051" xr:uid="{00000000-0005-0000-0000-0000C26F0000}"/>
    <cellStyle name="Normalny 5 3 2 7" xfId="28052" xr:uid="{00000000-0005-0000-0000-0000C36F0000}"/>
    <cellStyle name="Normalny 5 3 2 8" xfId="28053" xr:uid="{00000000-0005-0000-0000-0000C46F0000}"/>
    <cellStyle name="Normalny 5 3 2 9" xfId="28054" xr:uid="{00000000-0005-0000-0000-0000C56F0000}"/>
    <cellStyle name="Normalny 5 3 2 9 2" xfId="28055" xr:uid="{00000000-0005-0000-0000-0000C66F0000}"/>
    <cellStyle name="Normalny 5 3 2 9 3" xfId="28056" xr:uid="{00000000-0005-0000-0000-0000C76F0000}"/>
    <cellStyle name="Normalny 5 3 2 9 4" xfId="28057" xr:uid="{00000000-0005-0000-0000-0000C86F0000}"/>
    <cellStyle name="Normalny 5 3 2 9 5" xfId="28058" xr:uid="{00000000-0005-0000-0000-0000C96F0000}"/>
    <cellStyle name="Normalny 5 3 2 9 6" xfId="28059" xr:uid="{00000000-0005-0000-0000-0000CA6F0000}"/>
    <cellStyle name="Normalny 5 3 3" xfId="28060" xr:uid="{00000000-0005-0000-0000-0000CB6F0000}"/>
    <cellStyle name="Normalny 5 3 3 10" xfId="28061" xr:uid="{00000000-0005-0000-0000-0000CC6F0000}"/>
    <cellStyle name="Normalny 5 3 3 11" xfId="28062" xr:uid="{00000000-0005-0000-0000-0000CD6F0000}"/>
    <cellStyle name="Normalny 5 3 3 12" xfId="28063" xr:uid="{00000000-0005-0000-0000-0000CE6F0000}"/>
    <cellStyle name="Normalny 5 3 3 13" xfId="38436" xr:uid="{00000000-0005-0000-0000-0000CF6F0000}"/>
    <cellStyle name="Normalny 5 3 3 2" xfId="28064" xr:uid="{00000000-0005-0000-0000-0000D06F0000}"/>
    <cellStyle name="Normalny 5 3 3 2 10" xfId="28065" xr:uid="{00000000-0005-0000-0000-0000D16F0000}"/>
    <cellStyle name="Normalny 5 3 3 2 11" xfId="28066" xr:uid="{00000000-0005-0000-0000-0000D26F0000}"/>
    <cellStyle name="Normalny 5 3 3 2 12" xfId="38437" xr:uid="{00000000-0005-0000-0000-0000D36F0000}"/>
    <cellStyle name="Normalny 5 3 3 2 2" xfId="28067" xr:uid="{00000000-0005-0000-0000-0000D46F0000}"/>
    <cellStyle name="Normalny 5 3 3 2 2 10" xfId="28068" xr:uid="{00000000-0005-0000-0000-0000D56F0000}"/>
    <cellStyle name="Normalny 5 3 3 2 2 11" xfId="28069" xr:uid="{00000000-0005-0000-0000-0000D66F0000}"/>
    <cellStyle name="Normalny 5 3 3 2 2 2" xfId="28070" xr:uid="{00000000-0005-0000-0000-0000D76F0000}"/>
    <cellStyle name="Normalny 5 3 3 2 2 2 2" xfId="28071" xr:uid="{00000000-0005-0000-0000-0000D86F0000}"/>
    <cellStyle name="Normalny 5 3 3 2 2 2 2 2" xfId="28072" xr:uid="{00000000-0005-0000-0000-0000D96F0000}"/>
    <cellStyle name="Normalny 5 3 3 2 2 2 2 3" xfId="28073" xr:uid="{00000000-0005-0000-0000-0000DA6F0000}"/>
    <cellStyle name="Normalny 5 3 3 2 2 2 2 4" xfId="28074" xr:uid="{00000000-0005-0000-0000-0000DB6F0000}"/>
    <cellStyle name="Normalny 5 3 3 2 2 2 2 5" xfId="28075" xr:uid="{00000000-0005-0000-0000-0000DC6F0000}"/>
    <cellStyle name="Normalny 5 3 3 2 2 2 2 6" xfId="28076" xr:uid="{00000000-0005-0000-0000-0000DD6F0000}"/>
    <cellStyle name="Normalny 5 3 3 2 2 2 3" xfId="28077" xr:uid="{00000000-0005-0000-0000-0000DE6F0000}"/>
    <cellStyle name="Normalny 5 3 3 2 2 2 4" xfId="28078" xr:uid="{00000000-0005-0000-0000-0000DF6F0000}"/>
    <cellStyle name="Normalny 5 3 3 2 2 2 5" xfId="28079" xr:uid="{00000000-0005-0000-0000-0000E06F0000}"/>
    <cellStyle name="Normalny 5 3 3 2 2 2 6" xfId="28080" xr:uid="{00000000-0005-0000-0000-0000E16F0000}"/>
    <cellStyle name="Normalny 5 3 3 2 2 2 7" xfId="28081" xr:uid="{00000000-0005-0000-0000-0000E26F0000}"/>
    <cellStyle name="Normalny 5 3 3 2 2 3" xfId="28082" xr:uid="{00000000-0005-0000-0000-0000E36F0000}"/>
    <cellStyle name="Normalny 5 3 3 2 2 4" xfId="28083" xr:uid="{00000000-0005-0000-0000-0000E46F0000}"/>
    <cellStyle name="Normalny 5 3 3 2 2 5" xfId="28084" xr:uid="{00000000-0005-0000-0000-0000E56F0000}"/>
    <cellStyle name="Normalny 5 3 3 2 2 6" xfId="28085" xr:uid="{00000000-0005-0000-0000-0000E66F0000}"/>
    <cellStyle name="Normalny 5 3 3 2 2 7" xfId="28086" xr:uid="{00000000-0005-0000-0000-0000E76F0000}"/>
    <cellStyle name="Normalny 5 3 3 2 2 7 2" xfId="28087" xr:uid="{00000000-0005-0000-0000-0000E86F0000}"/>
    <cellStyle name="Normalny 5 3 3 2 2 7 3" xfId="28088" xr:uid="{00000000-0005-0000-0000-0000E96F0000}"/>
    <cellStyle name="Normalny 5 3 3 2 2 7 4" xfId="28089" xr:uid="{00000000-0005-0000-0000-0000EA6F0000}"/>
    <cellStyle name="Normalny 5 3 3 2 2 7 5" xfId="28090" xr:uid="{00000000-0005-0000-0000-0000EB6F0000}"/>
    <cellStyle name="Normalny 5 3 3 2 2 7 6" xfId="28091" xr:uid="{00000000-0005-0000-0000-0000EC6F0000}"/>
    <cellStyle name="Normalny 5 3 3 2 2 8" xfId="28092" xr:uid="{00000000-0005-0000-0000-0000ED6F0000}"/>
    <cellStyle name="Normalny 5 3 3 2 2 9" xfId="28093" xr:uid="{00000000-0005-0000-0000-0000EE6F0000}"/>
    <cellStyle name="Normalny 5 3 3 2 3" xfId="28094" xr:uid="{00000000-0005-0000-0000-0000EF6F0000}"/>
    <cellStyle name="Normalny 5 3 3 2 3 2" xfId="28095" xr:uid="{00000000-0005-0000-0000-0000F06F0000}"/>
    <cellStyle name="Normalny 5 3 3 2 3 2 2" xfId="28096" xr:uid="{00000000-0005-0000-0000-0000F16F0000}"/>
    <cellStyle name="Normalny 5 3 3 2 3 2 3" xfId="28097" xr:uid="{00000000-0005-0000-0000-0000F26F0000}"/>
    <cellStyle name="Normalny 5 3 3 2 3 2 4" xfId="28098" xr:uid="{00000000-0005-0000-0000-0000F36F0000}"/>
    <cellStyle name="Normalny 5 3 3 2 3 2 5" xfId="28099" xr:uid="{00000000-0005-0000-0000-0000F46F0000}"/>
    <cellStyle name="Normalny 5 3 3 2 3 2 6" xfId="28100" xr:uid="{00000000-0005-0000-0000-0000F56F0000}"/>
    <cellStyle name="Normalny 5 3 3 2 3 3" xfId="28101" xr:uid="{00000000-0005-0000-0000-0000F66F0000}"/>
    <cellStyle name="Normalny 5 3 3 2 3 4" xfId="28102" xr:uid="{00000000-0005-0000-0000-0000F76F0000}"/>
    <cellStyle name="Normalny 5 3 3 2 3 5" xfId="28103" xr:uid="{00000000-0005-0000-0000-0000F86F0000}"/>
    <cellStyle name="Normalny 5 3 3 2 3 6" xfId="28104" xr:uid="{00000000-0005-0000-0000-0000F96F0000}"/>
    <cellStyle name="Normalny 5 3 3 2 3 7" xfId="28105" xr:uid="{00000000-0005-0000-0000-0000FA6F0000}"/>
    <cellStyle name="Normalny 5 3 3 2 4" xfId="28106" xr:uid="{00000000-0005-0000-0000-0000FB6F0000}"/>
    <cellStyle name="Normalny 5 3 3 2 5" xfId="28107" xr:uid="{00000000-0005-0000-0000-0000FC6F0000}"/>
    <cellStyle name="Normalny 5 3 3 2 6" xfId="28108" xr:uid="{00000000-0005-0000-0000-0000FD6F0000}"/>
    <cellStyle name="Normalny 5 3 3 2 7" xfId="28109" xr:uid="{00000000-0005-0000-0000-0000FE6F0000}"/>
    <cellStyle name="Normalny 5 3 3 2 7 2" xfId="28110" xr:uid="{00000000-0005-0000-0000-0000FF6F0000}"/>
    <cellStyle name="Normalny 5 3 3 2 7 3" xfId="28111" xr:uid="{00000000-0005-0000-0000-000000700000}"/>
    <cellStyle name="Normalny 5 3 3 2 7 4" xfId="28112" xr:uid="{00000000-0005-0000-0000-000001700000}"/>
    <cellStyle name="Normalny 5 3 3 2 7 5" xfId="28113" xr:uid="{00000000-0005-0000-0000-000002700000}"/>
    <cellStyle name="Normalny 5 3 3 2 7 6" xfId="28114" xr:uid="{00000000-0005-0000-0000-000003700000}"/>
    <cellStyle name="Normalny 5 3 3 2 8" xfId="28115" xr:uid="{00000000-0005-0000-0000-000004700000}"/>
    <cellStyle name="Normalny 5 3 3 2 9" xfId="28116" xr:uid="{00000000-0005-0000-0000-000005700000}"/>
    <cellStyle name="Normalny 5 3 3 3" xfId="28117" xr:uid="{00000000-0005-0000-0000-000006700000}"/>
    <cellStyle name="Normalny 5 3 3 3 2" xfId="28118" xr:uid="{00000000-0005-0000-0000-000007700000}"/>
    <cellStyle name="Normalny 5 3 3 3 2 2" xfId="28119" xr:uid="{00000000-0005-0000-0000-000008700000}"/>
    <cellStyle name="Normalny 5 3 3 3 2 3" xfId="28120" xr:uid="{00000000-0005-0000-0000-000009700000}"/>
    <cellStyle name="Normalny 5 3 3 3 2 4" xfId="28121" xr:uid="{00000000-0005-0000-0000-00000A700000}"/>
    <cellStyle name="Normalny 5 3 3 3 2 5" xfId="28122" xr:uid="{00000000-0005-0000-0000-00000B700000}"/>
    <cellStyle name="Normalny 5 3 3 3 2 6" xfId="28123" xr:uid="{00000000-0005-0000-0000-00000C700000}"/>
    <cellStyle name="Normalny 5 3 3 3 3" xfId="28124" xr:uid="{00000000-0005-0000-0000-00000D700000}"/>
    <cellStyle name="Normalny 5 3 3 3 4" xfId="28125" xr:uid="{00000000-0005-0000-0000-00000E700000}"/>
    <cellStyle name="Normalny 5 3 3 3 5" xfId="28126" xr:uid="{00000000-0005-0000-0000-00000F700000}"/>
    <cellStyle name="Normalny 5 3 3 3 6" xfId="28127" xr:uid="{00000000-0005-0000-0000-000010700000}"/>
    <cellStyle name="Normalny 5 3 3 3 7" xfId="28128" xr:uid="{00000000-0005-0000-0000-000011700000}"/>
    <cellStyle name="Normalny 5 3 3 4" xfId="28129" xr:uid="{00000000-0005-0000-0000-000012700000}"/>
    <cellStyle name="Normalny 5 3 3 5" xfId="28130" xr:uid="{00000000-0005-0000-0000-000013700000}"/>
    <cellStyle name="Normalny 5 3 3 6" xfId="28131" xr:uid="{00000000-0005-0000-0000-000014700000}"/>
    <cellStyle name="Normalny 5 3 3 7" xfId="28132" xr:uid="{00000000-0005-0000-0000-000015700000}"/>
    <cellStyle name="Normalny 5 3 3 8" xfId="28133" xr:uid="{00000000-0005-0000-0000-000016700000}"/>
    <cellStyle name="Normalny 5 3 3 8 2" xfId="28134" xr:uid="{00000000-0005-0000-0000-000017700000}"/>
    <cellStyle name="Normalny 5 3 3 8 3" xfId="28135" xr:uid="{00000000-0005-0000-0000-000018700000}"/>
    <cellStyle name="Normalny 5 3 3 8 4" xfId="28136" xr:uid="{00000000-0005-0000-0000-000019700000}"/>
    <cellStyle name="Normalny 5 3 3 8 5" xfId="28137" xr:uid="{00000000-0005-0000-0000-00001A700000}"/>
    <cellStyle name="Normalny 5 3 3 8 6" xfId="28138" xr:uid="{00000000-0005-0000-0000-00001B700000}"/>
    <cellStyle name="Normalny 5 3 3 9" xfId="28139" xr:uid="{00000000-0005-0000-0000-00001C700000}"/>
    <cellStyle name="Normalny 5 3 4" xfId="28140" xr:uid="{00000000-0005-0000-0000-00001D700000}"/>
    <cellStyle name="Normalny 5 3 4 10" xfId="28141" xr:uid="{00000000-0005-0000-0000-00001E700000}"/>
    <cellStyle name="Normalny 5 3 4 11" xfId="28142" xr:uid="{00000000-0005-0000-0000-00001F700000}"/>
    <cellStyle name="Normalny 5 3 4 12" xfId="38438" xr:uid="{00000000-0005-0000-0000-000020700000}"/>
    <cellStyle name="Normalny 5 3 4 2" xfId="28143" xr:uid="{00000000-0005-0000-0000-000021700000}"/>
    <cellStyle name="Normalny 5 3 4 2 2" xfId="28144" xr:uid="{00000000-0005-0000-0000-000022700000}"/>
    <cellStyle name="Normalny 5 3 4 2 2 2" xfId="28145" xr:uid="{00000000-0005-0000-0000-000023700000}"/>
    <cellStyle name="Normalny 5 3 4 2 2 3" xfId="28146" xr:uid="{00000000-0005-0000-0000-000024700000}"/>
    <cellStyle name="Normalny 5 3 4 2 2 4" xfId="28147" xr:uid="{00000000-0005-0000-0000-000025700000}"/>
    <cellStyle name="Normalny 5 3 4 2 2 5" xfId="28148" xr:uid="{00000000-0005-0000-0000-000026700000}"/>
    <cellStyle name="Normalny 5 3 4 2 2 6" xfId="28149" xr:uid="{00000000-0005-0000-0000-000027700000}"/>
    <cellStyle name="Normalny 5 3 4 2 3" xfId="28150" xr:uid="{00000000-0005-0000-0000-000028700000}"/>
    <cellStyle name="Normalny 5 3 4 2 4" xfId="28151" xr:uid="{00000000-0005-0000-0000-000029700000}"/>
    <cellStyle name="Normalny 5 3 4 2 5" xfId="28152" xr:uid="{00000000-0005-0000-0000-00002A700000}"/>
    <cellStyle name="Normalny 5 3 4 2 6" xfId="28153" xr:uid="{00000000-0005-0000-0000-00002B700000}"/>
    <cellStyle name="Normalny 5 3 4 2 7" xfId="28154" xr:uid="{00000000-0005-0000-0000-00002C700000}"/>
    <cellStyle name="Normalny 5 3 4 3" xfId="28155" xr:uid="{00000000-0005-0000-0000-00002D700000}"/>
    <cellStyle name="Normalny 5 3 4 4" xfId="28156" xr:uid="{00000000-0005-0000-0000-00002E700000}"/>
    <cellStyle name="Normalny 5 3 4 5" xfId="28157" xr:uid="{00000000-0005-0000-0000-00002F700000}"/>
    <cellStyle name="Normalny 5 3 4 6" xfId="28158" xr:uid="{00000000-0005-0000-0000-000030700000}"/>
    <cellStyle name="Normalny 5 3 4 7" xfId="28159" xr:uid="{00000000-0005-0000-0000-000031700000}"/>
    <cellStyle name="Normalny 5 3 4 7 2" xfId="28160" xr:uid="{00000000-0005-0000-0000-000032700000}"/>
    <cellStyle name="Normalny 5 3 4 7 3" xfId="28161" xr:uid="{00000000-0005-0000-0000-000033700000}"/>
    <cellStyle name="Normalny 5 3 4 7 4" xfId="28162" xr:uid="{00000000-0005-0000-0000-000034700000}"/>
    <cellStyle name="Normalny 5 3 4 7 5" xfId="28163" xr:uid="{00000000-0005-0000-0000-000035700000}"/>
    <cellStyle name="Normalny 5 3 4 7 6" xfId="28164" xr:uid="{00000000-0005-0000-0000-000036700000}"/>
    <cellStyle name="Normalny 5 3 4 8" xfId="28165" xr:uid="{00000000-0005-0000-0000-000037700000}"/>
    <cellStyle name="Normalny 5 3 4 9" xfId="28166" xr:uid="{00000000-0005-0000-0000-000038700000}"/>
    <cellStyle name="Normalny 5 3 5" xfId="28167" xr:uid="{00000000-0005-0000-0000-000039700000}"/>
    <cellStyle name="Normalny 5 3 5 2" xfId="28168" xr:uid="{00000000-0005-0000-0000-00003A700000}"/>
    <cellStyle name="Normalny 5 3 5 2 2" xfId="28169" xr:uid="{00000000-0005-0000-0000-00003B700000}"/>
    <cellStyle name="Normalny 5 3 5 2 3" xfId="28170" xr:uid="{00000000-0005-0000-0000-00003C700000}"/>
    <cellStyle name="Normalny 5 3 5 2 4" xfId="28171" xr:uid="{00000000-0005-0000-0000-00003D700000}"/>
    <cellStyle name="Normalny 5 3 5 2 5" xfId="28172" xr:uid="{00000000-0005-0000-0000-00003E700000}"/>
    <cellStyle name="Normalny 5 3 5 2 6" xfId="28173" xr:uid="{00000000-0005-0000-0000-00003F700000}"/>
    <cellStyle name="Normalny 5 3 5 3" xfId="28174" xr:uid="{00000000-0005-0000-0000-000040700000}"/>
    <cellStyle name="Normalny 5 3 5 4" xfId="28175" xr:uid="{00000000-0005-0000-0000-000041700000}"/>
    <cellStyle name="Normalny 5 3 5 5" xfId="28176" xr:uid="{00000000-0005-0000-0000-000042700000}"/>
    <cellStyle name="Normalny 5 3 5 6" xfId="28177" xr:uid="{00000000-0005-0000-0000-000043700000}"/>
    <cellStyle name="Normalny 5 3 5 7" xfId="28178" xr:uid="{00000000-0005-0000-0000-000044700000}"/>
    <cellStyle name="Normalny 5 3 6" xfId="28179" xr:uid="{00000000-0005-0000-0000-000045700000}"/>
    <cellStyle name="Normalny 5 3 7" xfId="28180" xr:uid="{00000000-0005-0000-0000-000046700000}"/>
    <cellStyle name="Normalny 5 3 8" xfId="28181" xr:uid="{00000000-0005-0000-0000-000047700000}"/>
    <cellStyle name="Normalny 5 3 9" xfId="28182" xr:uid="{00000000-0005-0000-0000-000048700000}"/>
    <cellStyle name="Normalny 5 3 9 2" xfId="28183" xr:uid="{00000000-0005-0000-0000-000049700000}"/>
    <cellStyle name="Normalny 5 3 9 3" xfId="28184" xr:uid="{00000000-0005-0000-0000-00004A700000}"/>
    <cellStyle name="Normalny 5 3 9 4" xfId="28185" xr:uid="{00000000-0005-0000-0000-00004B700000}"/>
    <cellStyle name="Normalny 5 3 9 5" xfId="28186" xr:uid="{00000000-0005-0000-0000-00004C700000}"/>
    <cellStyle name="Normalny 5 3 9 6" xfId="28187" xr:uid="{00000000-0005-0000-0000-00004D700000}"/>
    <cellStyle name="Normalny 5 4" xfId="28188" xr:uid="{00000000-0005-0000-0000-00004E700000}"/>
    <cellStyle name="Normalny 5 4 10" xfId="28189" xr:uid="{00000000-0005-0000-0000-00004F700000}"/>
    <cellStyle name="Normalny 5 4 11" xfId="28190" xr:uid="{00000000-0005-0000-0000-000050700000}"/>
    <cellStyle name="Normalny 5 4 12" xfId="28191" xr:uid="{00000000-0005-0000-0000-000051700000}"/>
    <cellStyle name="Normalny 5 4 13" xfId="28192" xr:uid="{00000000-0005-0000-0000-000052700000}"/>
    <cellStyle name="Normalny 5 4 14" xfId="28193" xr:uid="{00000000-0005-0000-0000-000053700000}"/>
    <cellStyle name="Normalny 5 4 15" xfId="28194" xr:uid="{00000000-0005-0000-0000-000054700000}"/>
    <cellStyle name="Normalny 5 4 16" xfId="28195" xr:uid="{00000000-0005-0000-0000-000055700000}"/>
    <cellStyle name="Normalny 5 4 17" xfId="38439" xr:uid="{00000000-0005-0000-0000-000056700000}"/>
    <cellStyle name="Normalny 5 4 2" xfId="28196" xr:uid="{00000000-0005-0000-0000-000057700000}"/>
    <cellStyle name="Normalny 5 4 2 10" xfId="28197" xr:uid="{00000000-0005-0000-0000-000058700000}"/>
    <cellStyle name="Normalny 5 4 2 11" xfId="28198" xr:uid="{00000000-0005-0000-0000-000059700000}"/>
    <cellStyle name="Normalny 5 4 2 12" xfId="28199" xr:uid="{00000000-0005-0000-0000-00005A700000}"/>
    <cellStyle name="Normalny 5 4 2 13" xfId="38440" xr:uid="{00000000-0005-0000-0000-00005B700000}"/>
    <cellStyle name="Normalny 5 4 2 2" xfId="28200" xr:uid="{00000000-0005-0000-0000-00005C700000}"/>
    <cellStyle name="Normalny 5 4 2 2 10" xfId="28201" xr:uid="{00000000-0005-0000-0000-00005D700000}"/>
    <cellStyle name="Normalny 5 4 2 2 11" xfId="28202" xr:uid="{00000000-0005-0000-0000-00005E700000}"/>
    <cellStyle name="Normalny 5 4 2 2 12" xfId="38441" xr:uid="{00000000-0005-0000-0000-00005F700000}"/>
    <cellStyle name="Normalny 5 4 2 2 2" xfId="28203" xr:uid="{00000000-0005-0000-0000-000060700000}"/>
    <cellStyle name="Normalny 5 4 2 2 2 10" xfId="28204" xr:uid="{00000000-0005-0000-0000-000061700000}"/>
    <cellStyle name="Normalny 5 4 2 2 2 11" xfId="28205" xr:uid="{00000000-0005-0000-0000-000062700000}"/>
    <cellStyle name="Normalny 5 4 2 2 2 2" xfId="28206" xr:uid="{00000000-0005-0000-0000-000063700000}"/>
    <cellStyle name="Normalny 5 4 2 2 2 2 2" xfId="28207" xr:uid="{00000000-0005-0000-0000-000064700000}"/>
    <cellStyle name="Normalny 5 4 2 2 2 2 2 2" xfId="28208" xr:uid="{00000000-0005-0000-0000-000065700000}"/>
    <cellStyle name="Normalny 5 4 2 2 2 2 2 3" xfId="28209" xr:uid="{00000000-0005-0000-0000-000066700000}"/>
    <cellStyle name="Normalny 5 4 2 2 2 2 2 4" xfId="28210" xr:uid="{00000000-0005-0000-0000-000067700000}"/>
    <cellStyle name="Normalny 5 4 2 2 2 2 2 5" xfId="28211" xr:uid="{00000000-0005-0000-0000-000068700000}"/>
    <cellStyle name="Normalny 5 4 2 2 2 2 2 6" xfId="28212" xr:uid="{00000000-0005-0000-0000-000069700000}"/>
    <cellStyle name="Normalny 5 4 2 2 2 2 3" xfId="28213" xr:uid="{00000000-0005-0000-0000-00006A700000}"/>
    <cellStyle name="Normalny 5 4 2 2 2 2 4" xfId="28214" xr:uid="{00000000-0005-0000-0000-00006B700000}"/>
    <cellStyle name="Normalny 5 4 2 2 2 2 5" xfId="28215" xr:uid="{00000000-0005-0000-0000-00006C700000}"/>
    <cellStyle name="Normalny 5 4 2 2 2 2 6" xfId="28216" xr:uid="{00000000-0005-0000-0000-00006D700000}"/>
    <cellStyle name="Normalny 5 4 2 2 2 2 7" xfId="28217" xr:uid="{00000000-0005-0000-0000-00006E700000}"/>
    <cellStyle name="Normalny 5 4 2 2 2 3" xfId="28218" xr:uid="{00000000-0005-0000-0000-00006F700000}"/>
    <cellStyle name="Normalny 5 4 2 2 2 4" xfId="28219" xr:uid="{00000000-0005-0000-0000-000070700000}"/>
    <cellStyle name="Normalny 5 4 2 2 2 5" xfId="28220" xr:uid="{00000000-0005-0000-0000-000071700000}"/>
    <cellStyle name="Normalny 5 4 2 2 2 6" xfId="28221" xr:uid="{00000000-0005-0000-0000-000072700000}"/>
    <cellStyle name="Normalny 5 4 2 2 2 7" xfId="28222" xr:uid="{00000000-0005-0000-0000-000073700000}"/>
    <cellStyle name="Normalny 5 4 2 2 2 7 2" xfId="28223" xr:uid="{00000000-0005-0000-0000-000074700000}"/>
    <cellStyle name="Normalny 5 4 2 2 2 7 3" xfId="28224" xr:uid="{00000000-0005-0000-0000-000075700000}"/>
    <cellStyle name="Normalny 5 4 2 2 2 7 4" xfId="28225" xr:uid="{00000000-0005-0000-0000-000076700000}"/>
    <cellStyle name="Normalny 5 4 2 2 2 7 5" xfId="28226" xr:uid="{00000000-0005-0000-0000-000077700000}"/>
    <cellStyle name="Normalny 5 4 2 2 2 7 6" xfId="28227" xr:uid="{00000000-0005-0000-0000-000078700000}"/>
    <cellStyle name="Normalny 5 4 2 2 2 8" xfId="28228" xr:uid="{00000000-0005-0000-0000-000079700000}"/>
    <cellStyle name="Normalny 5 4 2 2 2 9" xfId="28229" xr:uid="{00000000-0005-0000-0000-00007A700000}"/>
    <cellStyle name="Normalny 5 4 2 2 3" xfId="28230" xr:uid="{00000000-0005-0000-0000-00007B700000}"/>
    <cellStyle name="Normalny 5 4 2 2 3 2" xfId="28231" xr:uid="{00000000-0005-0000-0000-00007C700000}"/>
    <cellStyle name="Normalny 5 4 2 2 3 2 2" xfId="28232" xr:uid="{00000000-0005-0000-0000-00007D700000}"/>
    <cellStyle name="Normalny 5 4 2 2 3 2 3" xfId="28233" xr:uid="{00000000-0005-0000-0000-00007E700000}"/>
    <cellStyle name="Normalny 5 4 2 2 3 2 4" xfId="28234" xr:uid="{00000000-0005-0000-0000-00007F700000}"/>
    <cellStyle name="Normalny 5 4 2 2 3 2 5" xfId="28235" xr:uid="{00000000-0005-0000-0000-000080700000}"/>
    <cellStyle name="Normalny 5 4 2 2 3 2 6" xfId="28236" xr:uid="{00000000-0005-0000-0000-000081700000}"/>
    <cellStyle name="Normalny 5 4 2 2 3 3" xfId="28237" xr:uid="{00000000-0005-0000-0000-000082700000}"/>
    <cellStyle name="Normalny 5 4 2 2 3 4" xfId="28238" xr:uid="{00000000-0005-0000-0000-000083700000}"/>
    <cellStyle name="Normalny 5 4 2 2 3 5" xfId="28239" xr:uid="{00000000-0005-0000-0000-000084700000}"/>
    <cellStyle name="Normalny 5 4 2 2 3 6" xfId="28240" xr:uid="{00000000-0005-0000-0000-000085700000}"/>
    <cellStyle name="Normalny 5 4 2 2 3 7" xfId="28241" xr:uid="{00000000-0005-0000-0000-000086700000}"/>
    <cellStyle name="Normalny 5 4 2 2 4" xfId="28242" xr:uid="{00000000-0005-0000-0000-000087700000}"/>
    <cellStyle name="Normalny 5 4 2 2 5" xfId="28243" xr:uid="{00000000-0005-0000-0000-000088700000}"/>
    <cellStyle name="Normalny 5 4 2 2 6" xfId="28244" xr:uid="{00000000-0005-0000-0000-000089700000}"/>
    <cellStyle name="Normalny 5 4 2 2 7" xfId="28245" xr:uid="{00000000-0005-0000-0000-00008A700000}"/>
    <cellStyle name="Normalny 5 4 2 2 7 2" xfId="28246" xr:uid="{00000000-0005-0000-0000-00008B700000}"/>
    <cellStyle name="Normalny 5 4 2 2 7 3" xfId="28247" xr:uid="{00000000-0005-0000-0000-00008C700000}"/>
    <cellStyle name="Normalny 5 4 2 2 7 4" xfId="28248" xr:uid="{00000000-0005-0000-0000-00008D700000}"/>
    <cellStyle name="Normalny 5 4 2 2 7 5" xfId="28249" xr:uid="{00000000-0005-0000-0000-00008E700000}"/>
    <cellStyle name="Normalny 5 4 2 2 7 6" xfId="28250" xr:uid="{00000000-0005-0000-0000-00008F700000}"/>
    <cellStyle name="Normalny 5 4 2 2 8" xfId="28251" xr:uid="{00000000-0005-0000-0000-000090700000}"/>
    <cellStyle name="Normalny 5 4 2 2 9" xfId="28252" xr:uid="{00000000-0005-0000-0000-000091700000}"/>
    <cellStyle name="Normalny 5 4 2 3" xfId="28253" xr:uid="{00000000-0005-0000-0000-000092700000}"/>
    <cellStyle name="Normalny 5 4 2 3 2" xfId="28254" xr:uid="{00000000-0005-0000-0000-000093700000}"/>
    <cellStyle name="Normalny 5 4 2 3 2 2" xfId="28255" xr:uid="{00000000-0005-0000-0000-000094700000}"/>
    <cellStyle name="Normalny 5 4 2 3 2 3" xfId="28256" xr:uid="{00000000-0005-0000-0000-000095700000}"/>
    <cellStyle name="Normalny 5 4 2 3 2 4" xfId="28257" xr:uid="{00000000-0005-0000-0000-000096700000}"/>
    <cellStyle name="Normalny 5 4 2 3 2 5" xfId="28258" xr:uid="{00000000-0005-0000-0000-000097700000}"/>
    <cellStyle name="Normalny 5 4 2 3 2 6" xfId="28259" xr:uid="{00000000-0005-0000-0000-000098700000}"/>
    <cellStyle name="Normalny 5 4 2 3 3" xfId="28260" xr:uid="{00000000-0005-0000-0000-000099700000}"/>
    <cellStyle name="Normalny 5 4 2 3 4" xfId="28261" xr:uid="{00000000-0005-0000-0000-00009A700000}"/>
    <cellStyle name="Normalny 5 4 2 3 5" xfId="28262" xr:uid="{00000000-0005-0000-0000-00009B700000}"/>
    <cellStyle name="Normalny 5 4 2 3 6" xfId="28263" xr:uid="{00000000-0005-0000-0000-00009C700000}"/>
    <cellStyle name="Normalny 5 4 2 3 7" xfId="28264" xr:uid="{00000000-0005-0000-0000-00009D700000}"/>
    <cellStyle name="Normalny 5 4 2 4" xfId="28265" xr:uid="{00000000-0005-0000-0000-00009E700000}"/>
    <cellStyle name="Normalny 5 4 2 5" xfId="28266" xr:uid="{00000000-0005-0000-0000-00009F700000}"/>
    <cellStyle name="Normalny 5 4 2 6" xfId="28267" xr:uid="{00000000-0005-0000-0000-0000A0700000}"/>
    <cellStyle name="Normalny 5 4 2 7" xfId="28268" xr:uid="{00000000-0005-0000-0000-0000A1700000}"/>
    <cellStyle name="Normalny 5 4 2 8" xfId="28269" xr:uid="{00000000-0005-0000-0000-0000A2700000}"/>
    <cellStyle name="Normalny 5 4 2 8 2" xfId="28270" xr:uid="{00000000-0005-0000-0000-0000A3700000}"/>
    <cellStyle name="Normalny 5 4 2 8 3" xfId="28271" xr:uid="{00000000-0005-0000-0000-0000A4700000}"/>
    <cellStyle name="Normalny 5 4 2 8 4" xfId="28272" xr:uid="{00000000-0005-0000-0000-0000A5700000}"/>
    <cellStyle name="Normalny 5 4 2 8 5" xfId="28273" xr:uid="{00000000-0005-0000-0000-0000A6700000}"/>
    <cellStyle name="Normalny 5 4 2 8 6" xfId="28274" xr:uid="{00000000-0005-0000-0000-0000A7700000}"/>
    <cellStyle name="Normalny 5 4 2 9" xfId="28275" xr:uid="{00000000-0005-0000-0000-0000A8700000}"/>
    <cellStyle name="Normalny 5 4 3" xfId="28276" xr:uid="{00000000-0005-0000-0000-0000A9700000}"/>
    <cellStyle name="Normalny 5 4 3 2" xfId="38442" xr:uid="{00000000-0005-0000-0000-0000AA700000}"/>
    <cellStyle name="Normalny 5 4 4" xfId="28277" xr:uid="{00000000-0005-0000-0000-0000AB700000}"/>
    <cellStyle name="Normalny 5 4 4 10" xfId="28278" xr:uid="{00000000-0005-0000-0000-0000AC700000}"/>
    <cellStyle name="Normalny 5 4 4 11" xfId="28279" xr:uid="{00000000-0005-0000-0000-0000AD700000}"/>
    <cellStyle name="Normalny 5 4 4 2" xfId="28280" xr:uid="{00000000-0005-0000-0000-0000AE700000}"/>
    <cellStyle name="Normalny 5 4 4 2 2" xfId="28281" xr:uid="{00000000-0005-0000-0000-0000AF700000}"/>
    <cellStyle name="Normalny 5 4 4 2 2 2" xfId="28282" xr:uid="{00000000-0005-0000-0000-0000B0700000}"/>
    <cellStyle name="Normalny 5 4 4 2 2 3" xfId="28283" xr:uid="{00000000-0005-0000-0000-0000B1700000}"/>
    <cellStyle name="Normalny 5 4 4 2 2 4" xfId="28284" xr:uid="{00000000-0005-0000-0000-0000B2700000}"/>
    <cellStyle name="Normalny 5 4 4 2 2 5" xfId="28285" xr:uid="{00000000-0005-0000-0000-0000B3700000}"/>
    <cellStyle name="Normalny 5 4 4 2 2 6" xfId="28286" xr:uid="{00000000-0005-0000-0000-0000B4700000}"/>
    <cellStyle name="Normalny 5 4 4 2 3" xfId="28287" xr:uid="{00000000-0005-0000-0000-0000B5700000}"/>
    <cellStyle name="Normalny 5 4 4 2 4" xfId="28288" xr:uid="{00000000-0005-0000-0000-0000B6700000}"/>
    <cellStyle name="Normalny 5 4 4 2 5" xfId="28289" xr:uid="{00000000-0005-0000-0000-0000B7700000}"/>
    <cellStyle name="Normalny 5 4 4 2 6" xfId="28290" xr:uid="{00000000-0005-0000-0000-0000B8700000}"/>
    <cellStyle name="Normalny 5 4 4 2 7" xfId="28291" xr:uid="{00000000-0005-0000-0000-0000B9700000}"/>
    <cellStyle name="Normalny 5 4 4 3" xfId="28292" xr:uid="{00000000-0005-0000-0000-0000BA700000}"/>
    <cellStyle name="Normalny 5 4 4 4" xfId="28293" xr:uid="{00000000-0005-0000-0000-0000BB700000}"/>
    <cellStyle name="Normalny 5 4 4 5" xfId="28294" xr:uid="{00000000-0005-0000-0000-0000BC700000}"/>
    <cellStyle name="Normalny 5 4 4 6" xfId="28295" xr:uid="{00000000-0005-0000-0000-0000BD700000}"/>
    <cellStyle name="Normalny 5 4 4 7" xfId="28296" xr:uid="{00000000-0005-0000-0000-0000BE700000}"/>
    <cellStyle name="Normalny 5 4 4 7 2" xfId="28297" xr:uid="{00000000-0005-0000-0000-0000BF700000}"/>
    <cellStyle name="Normalny 5 4 4 7 3" xfId="28298" xr:uid="{00000000-0005-0000-0000-0000C0700000}"/>
    <cellStyle name="Normalny 5 4 4 7 4" xfId="28299" xr:uid="{00000000-0005-0000-0000-0000C1700000}"/>
    <cellStyle name="Normalny 5 4 4 7 5" xfId="28300" xr:uid="{00000000-0005-0000-0000-0000C2700000}"/>
    <cellStyle name="Normalny 5 4 4 7 6" xfId="28301" xr:uid="{00000000-0005-0000-0000-0000C3700000}"/>
    <cellStyle name="Normalny 5 4 4 8" xfId="28302" xr:uid="{00000000-0005-0000-0000-0000C4700000}"/>
    <cellStyle name="Normalny 5 4 4 9" xfId="28303" xr:uid="{00000000-0005-0000-0000-0000C5700000}"/>
    <cellStyle name="Normalny 5 4 5" xfId="28304" xr:uid="{00000000-0005-0000-0000-0000C6700000}"/>
    <cellStyle name="Normalny 5 4 5 2" xfId="28305" xr:uid="{00000000-0005-0000-0000-0000C7700000}"/>
    <cellStyle name="Normalny 5 4 5 2 2" xfId="28306" xr:uid="{00000000-0005-0000-0000-0000C8700000}"/>
    <cellStyle name="Normalny 5 4 5 2 3" xfId="28307" xr:uid="{00000000-0005-0000-0000-0000C9700000}"/>
    <cellStyle name="Normalny 5 4 5 2 4" xfId="28308" xr:uid="{00000000-0005-0000-0000-0000CA700000}"/>
    <cellStyle name="Normalny 5 4 5 2 5" xfId="28309" xr:uid="{00000000-0005-0000-0000-0000CB700000}"/>
    <cellStyle name="Normalny 5 4 5 2 6" xfId="28310" xr:uid="{00000000-0005-0000-0000-0000CC700000}"/>
    <cellStyle name="Normalny 5 4 5 3" xfId="28311" xr:uid="{00000000-0005-0000-0000-0000CD700000}"/>
    <cellStyle name="Normalny 5 4 5 4" xfId="28312" xr:uid="{00000000-0005-0000-0000-0000CE700000}"/>
    <cellStyle name="Normalny 5 4 5 5" xfId="28313" xr:uid="{00000000-0005-0000-0000-0000CF700000}"/>
    <cellStyle name="Normalny 5 4 5 6" xfId="28314" xr:uid="{00000000-0005-0000-0000-0000D0700000}"/>
    <cellStyle name="Normalny 5 4 5 7" xfId="28315" xr:uid="{00000000-0005-0000-0000-0000D1700000}"/>
    <cellStyle name="Normalny 5 4 6" xfId="28316" xr:uid="{00000000-0005-0000-0000-0000D2700000}"/>
    <cellStyle name="Normalny 5 4 7" xfId="28317" xr:uid="{00000000-0005-0000-0000-0000D3700000}"/>
    <cellStyle name="Normalny 5 4 8" xfId="28318" xr:uid="{00000000-0005-0000-0000-0000D4700000}"/>
    <cellStyle name="Normalny 5 4 9" xfId="28319" xr:uid="{00000000-0005-0000-0000-0000D5700000}"/>
    <cellStyle name="Normalny 5 4 9 2" xfId="28320" xr:uid="{00000000-0005-0000-0000-0000D6700000}"/>
    <cellStyle name="Normalny 5 4 9 3" xfId="28321" xr:uid="{00000000-0005-0000-0000-0000D7700000}"/>
    <cellStyle name="Normalny 5 4 9 4" xfId="28322" xr:uid="{00000000-0005-0000-0000-0000D8700000}"/>
    <cellStyle name="Normalny 5 4 9 5" xfId="28323" xr:uid="{00000000-0005-0000-0000-0000D9700000}"/>
    <cellStyle name="Normalny 5 4 9 6" xfId="28324" xr:uid="{00000000-0005-0000-0000-0000DA700000}"/>
    <cellStyle name="Normalny 5 5" xfId="28325" xr:uid="{00000000-0005-0000-0000-0000DB700000}"/>
    <cellStyle name="Normalny 5 5 2" xfId="28326" xr:uid="{00000000-0005-0000-0000-0000DC700000}"/>
    <cellStyle name="Normalny 5 5 2 2" xfId="38443" xr:uid="{00000000-0005-0000-0000-0000DD700000}"/>
    <cellStyle name="Normalny 5 5 3" xfId="28327" xr:uid="{00000000-0005-0000-0000-0000DE700000}"/>
    <cellStyle name="Normalny 5 5 4" xfId="28328" xr:uid="{00000000-0005-0000-0000-0000DF700000}"/>
    <cellStyle name="Normalny 5 5 5" xfId="38444" xr:uid="{00000000-0005-0000-0000-0000E0700000}"/>
    <cellStyle name="Normalny 5 6" xfId="28329" xr:uid="{00000000-0005-0000-0000-0000E1700000}"/>
    <cellStyle name="Normalny 5 6 2" xfId="28330" xr:uid="{00000000-0005-0000-0000-0000E2700000}"/>
    <cellStyle name="Normalny 5 6 3" xfId="28331" xr:uid="{00000000-0005-0000-0000-0000E3700000}"/>
    <cellStyle name="Normalny 5 6 4" xfId="28332" xr:uid="{00000000-0005-0000-0000-0000E4700000}"/>
    <cellStyle name="Normalny 5 6 5" xfId="38445" xr:uid="{00000000-0005-0000-0000-0000E5700000}"/>
    <cellStyle name="Normalny 5 7" xfId="28333" xr:uid="{00000000-0005-0000-0000-0000E6700000}"/>
    <cellStyle name="Normalny 5 7 2" xfId="28334" xr:uid="{00000000-0005-0000-0000-0000E7700000}"/>
    <cellStyle name="Normalny 5 7 3" xfId="28335" xr:uid="{00000000-0005-0000-0000-0000E8700000}"/>
    <cellStyle name="Normalny 5 7 4" xfId="28336" xr:uid="{00000000-0005-0000-0000-0000E9700000}"/>
    <cellStyle name="Normalny 5 8" xfId="28337" xr:uid="{00000000-0005-0000-0000-0000EA700000}"/>
    <cellStyle name="Normalny 5 8 2" xfId="28338" xr:uid="{00000000-0005-0000-0000-0000EB700000}"/>
    <cellStyle name="Normalny 5 8 3" xfId="28339" xr:uid="{00000000-0005-0000-0000-0000EC700000}"/>
    <cellStyle name="Normalny 5 8 4" xfId="28340" xr:uid="{00000000-0005-0000-0000-0000ED700000}"/>
    <cellStyle name="Normalny 5 9" xfId="28341" xr:uid="{00000000-0005-0000-0000-0000EE700000}"/>
    <cellStyle name="Normalny 50" xfId="38685" xr:uid="{D58563F3-EFFC-4DFF-A2F2-F237E23B4F08}"/>
    <cellStyle name="Normalny 51" xfId="38686" xr:uid="{ECD76F55-41E8-4B24-B968-A6A45090CFDC}"/>
    <cellStyle name="Normalny 52" xfId="38687" xr:uid="{CF9DDAF4-64C6-4587-85C2-1B2E1F402122}"/>
    <cellStyle name="Normalny 53" xfId="38704" xr:uid="{56174ED3-FE3C-4420-8D4C-6DA0AE447E83}"/>
    <cellStyle name="Normalny 54" xfId="28342" xr:uid="{00000000-0005-0000-0000-0000EF700000}"/>
    <cellStyle name="Normalny 55" xfId="38706" xr:uid="{C9737F48-8061-4009-934A-9AC85F71EB36}"/>
    <cellStyle name="Normalny 56" xfId="38709" xr:uid="{CEAF9D3B-F344-4B1E-B60E-3014200E2FF3}"/>
    <cellStyle name="Normalny 57" xfId="28343" xr:uid="{00000000-0005-0000-0000-0000F0700000}"/>
    <cellStyle name="Normalny 58" xfId="28344" xr:uid="{00000000-0005-0000-0000-0000F1700000}"/>
    <cellStyle name="Normalny 59" xfId="28345" xr:uid="{00000000-0005-0000-0000-0000F2700000}"/>
    <cellStyle name="Normalny 6" xfId="28346" xr:uid="{00000000-0005-0000-0000-0000F3700000}"/>
    <cellStyle name="Normalny 6 10" xfId="28347" xr:uid="{00000000-0005-0000-0000-0000F4700000}"/>
    <cellStyle name="Normalny 6 10 10" xfId="28348" xr:uid="{00000000-0005-0000-0000-0000F5700000}"/>
    <cellStyle name="Normalny 6 10 11" xfId="28349" xr:uid="{00000000-0005-0000-0000-0000F6700000}"/>
    <cellStyle name="Normalny 6 10 12" xfId="28350" xr:uid="{00000000-0005-0000-0000-0000F7700000}"/>
    <cellStyle name="Normalny 6 10 2" xfId="28351" xr:uid="{00000000-0005-0000-0000-0000F8700000}"/>
    <cellStyle name="Normalny 6 10 2 10" xfId="28352" xr:uid="{00000000-0005-0000-0000-0000F9700000}"/>
    <cellStyle name="Normalny 6 10 2 11" xfId="28353" xr:uid="{00000000-0005-0000-0000-0000FA700000}"/>
    <cellStyle name="Normalny 6 10 2 2" xfId="28354" xr:uid="{00000000-0005-0000-0000-0000FB700000}"/>
    <cellStyle name="Normalny 6 10 2 2 10" xfId="28355" xr:uid="{00000000-0005-0000-0000-0000FC700000}"/>
    <cellStyle name="Normalny 6 10 2 2 11" xfId="28356" xr:uid="{00000000-0005-0000-0000-0000FD700000}"/>
    <cellStyle name="Normalny 6 10 2 2 2" xfId="28357" xr:uid="{00000000-0005-0000-0000-0000FE700000}"/>
    <cellStyle name="Normalny 6 10 2 2 2 2" xfId="28358" xr:uid="{00000000-0005-0000-0000-0000FF700000}"/>
    <cellStyle name="Normalny 6 10 2 2 2 2 2" xfId="28359" xr:uid="{00000000-0005-0000-0000-000000710000}"/>
    <cellStyle name="Normalny 6 10 2 2 2 2 3" xfId="28360" xr:uid="{00000000-0005-0000-0000-000001710000}"/>
    <cellStyle name="Normalny 6 10 2 2 2 2 4" xfId="28361" xr:uid="{00000000-0005-0000-0000-000002710000}"/>
    <cellStyle name="Normalny 6 10 2 2 2 2 5" xfId="28362" xr:uid="{00000000-0005-0000-0000-000003710000}"/>
    <cellStyle name="Normalny 6 10 2 2 2 2 6" xfId="28363" xr:uid="{00000000-0005-0000-0000-000004710000}"/>
    <cellStyle name="Normalny 6 10 2 2 2 3" xfId="28364" xr:uid="{00000000-0005-0000-0000-000005710000}"/>
    <cellStyle name="Normalny 6 10 2 2 2 4" xfId="28365" xr:uid="{00000000-0005-0000-0000-000006710000}"/>
    <cellStyle name="Normalny 6 10 2 2 2 5" xfId="28366" xr:uid="{00000000-0005-0000-0000-000007710000}"/>
    <cellStyle name="Normalny 6 10 2 2 2 6" xfId="28367" xr:uid="{00000000-0005-0000-0000-000008710000}"/>
    <cellStyle name="Normalny 6 10 2 2 2 7" xfId="28368" xr:uid="{00000000-0005-0000-0000-000009710000}"/>
    <cellStyle name="Normalny 6 10 2 2 3" xfId="28369" xr:uid="{00000000-0005-0000-0000-00000A710000}"/>
    <cellStyle name="Normalny 6 10 2 2 4" xfId="28370" xr:uid="{00000000-0005-0000-0000-00000B710000}"/>
    <cellStyle name="Normalny 6 10 2 2 5" xfId="28371" xr:uid="{00000000-0005-0000-0000-00000C710000}"/>
    <cellStyle name="Normalny 6 10 2 2 6" xfId="28372" xr:uid="{00000000-0005-0000-0000-00000D710000}"/>
    <cellStyle name="Normalny 6 10 2 2 7" xfId="28373" xr:uid="{00000000-0005-0000-0000-00000E710000}"/>
    <cellStyle name="Normalny 6 10 2 2 7 2" xfId="28374" xr:uid="{00000000-0005-0000-0000-00000F710000}"/>
    <cellStyle name="Normalny 6 10 2 2 7 3" xfId="28375" xr:uid="{00000000-0005-0000-0000-000010710000}"/>
    <cellStyle name="Normalny 6 10 2 2 7 4" xfId="28376" xr:uid="{00000000-0005-0000-0000-000011710000}"/>
    <cellStyle name="Normalny 6 10 2 2 7 5" xfId="28377" xr:uid="{00000000-0005-0000-0000-000012710000}"/>
    <cellStyle name="Normalny 6 10 2 2 7 6" xfId="28378" xr:uid="{00000000-0005-0000-0000-000013710000}"/>
    <cellStyle name="Normalny 6 10 2 2 8" xfId="28379" xr:uid="{00000000-0005-0000-0000-000014710000}"/>
    <cellStyle name="Normalny 6 10 2 2 9" xfId="28380" xr:uid="{00000000-0005-0000-0000-000015710000}"/>
    <cellStyle name="Normalny 6 10 2 3" xfId="28381" xr:uid="{00000000-0005-0000-0000-000016710000}"/>
    <cellStyle name="Normalny 6 10 2 3 2" xfId="28382" xr:uid="{00000000-0005-0000-0000-000017710000}"/>
    <cellStyle name="Normalny 6 10 2 3 2 2" xfId="28383" xr:uid="{00000000-0005-0000-0000-000018710000}"/>
    <cellStyle name="Normalny 6 10 2 3 2 3" xfId="28384" xr:uid="{00000000-0005-0000-0000-000019710000}"/>
    <cellStyle name="Normalny 6 10 2 3 2 4" xfId="28385" xr:uid="{00000000-0005-0000-0000-00001A710000}"/>
    <cellStyle name="Normalny 6 10 2 3 2 5" xfId="28386" xr:uid="{00000000-0005-0000-0000-00001B710000}"/>
    <cellStyle name="Normalny 6 10 2 3 2 6" xfId="28387" xr:uid="{00000000-0005-0000-0000-00001C710000}"/>
    <cellStyle name="Normalny 6 10 2 3 3" xfId="28388" xr:uid="{00000000-0005-0000-0000-00001D710000}"/>
    <cellStyle name="Normalny 6 10 2 3 4" xfId="28389" xr:uid="{00000000-0005-0000-0000-00001E710000}"/>
    <cellStyle name="Normalny 6 10 2 3 5" xfId="28390" xr:uid="{00000000-0005-0000-0000-00001F710000}"/>
    <cellStyle name="Normalny 6 10 2 3 6" xfId="28391" xr:uid="{00000000-0005-0000-0000-000020710000}"/>
    <cellStyle name="Normalny 6 10 2 3 7" xfId="28392" xr:uid="{00000000-0005-0000-0000-000021710000}"/>
    <cellStyle name="Normalny 6 10 2 4" xfId="28393" xr:uid="{00000000-0005-0000-0000-000022710000}"/>
    <cellStyle name="Normalny 6 10 2 5" xfId="28394" xr:uid="{00000000-0005-0000-0000-000023710000}"/>
    <cellStyle name="Normalny 6 10 2 6" xfId="28395" xr:uid="{00000000-0005-0000-0000-000024710000}"/>
    <cellStyle name="Normalny 6 10 2 7" xfId="28396" xr:uid="{00000000-0005-0000-0000-000025710000}"/>
    <cellStyle name="Normalny 6 10 2 7 2" xfId="28397" xr:uid="{00000000-0005-0000-0000-000026710000}"/>
    <cellStyle name="Normalny 6 10 2 7 3" xfId="28398" xr:uid="{00000000-0005-0000-0000-000027710000}"/>
    <cellStyle name="Normalny 6 10 2 7 4" xfId="28399" xr:uid="{00000000-0005-0000-0000-000028710000}"/>
    <cellStyle name="Normalny 6 10 2 7 5" xfId="28400" xr:uid="{00000000-0005-0000-0000-000029710000}"/>
    <cellStyle name="Normalny 6 10 2 7 6" xfId="28401" xr:uid="{00000000-0005-0000-0000-00002A710000}"/>
    <cellStyle name="Normalny 6 10 2 8" xfId="28402" xr:uid="{00000000-0005-0000-0000-00002B710000}"/>
    <cellStyle name="Normalny 6 10 2 9" xfId="28403" xr:uid="{00000000-0005-0000-0000-00002C710000}"/>
    <cellStyle name="Normalny 6 10 3" xfId="28404" xr:uid="{00000000-0005-0000-0000-00002D710000}"/>
    <cellStyle name="Normalny 6 10 3 2" xfId="28405" xr:uid="{00000000-0005-0000-0000-00002E710000}"/>
    <cellStyle name="Normalny 6 10 3 2 2" xfId="28406" xr:uid="{00000000-0005-0000-0000-00002F710000}"/>
    <cellStyle name="Normalny 6 10 3 2 3" xfId="28407" xr:uid="{00000000-0005-0000-0000-000030710000}"/>
    <cellStyle name="Normalny 6 10 3 2 4" xfId="28408" xr:uid="{00000000-0005-0000-0000-000031710000}"/>
    <cellStyle name="Normalny 6 10 3 2 5" xfId="28409" xr:uid="{00000000-0005-0000-0000-000032710000}"/>
    <cellStyle name="Normalny 6 10 3 2 6" xfId="28410" xr:uid="{00000000-0005-0000-0000-000033710000}"/>
    <cellStyle name="Normalny 6 10 3 3" xfId="28411" xr:uid="{00000000-0005-0000-0000-000034710000}"/>
    <cellStyle name="Normalny 6 10 3 4" xfId="28412" xr:uid="{00000000-0005-0000-0000-000035710000}"/>
    <cellStyle name="Normalny 6 10 3 5" xfId="28413" xr:uid="{00000000-0005-0000-0000-000036710000}"/>
    <cellStyle name="Normalny 6 10 3 6" xfId="28414" xr:uid="{00000000-0005-0000-0000-000037710000}"/>
    <cellStyle name="Normalny 6 10 3 7" xfId="28415" xr:uid="{00000000-0005-0000-0000-000038710000}"/>
    <cellStyle name="Normalny 6 10 4" xfId="28416" xr:uid="{00000000-0005-0000-0000-000039710000}"/>
    <cellStyle name="Normalny 6 10 5" xfId="28417" xr:uid="{00000000-0005-0000-0000-00003A710000}"/>
    <cellStyle name="Normalny 6 10 6" xfId="28418" xr:uid="{00000000-0005-0000-0000-00003B710000}"/>
    <cellStyle name="Normalny 6 10 7" xfId="28419" xr:uid="{00000000-0005-0000-0000-00003C710000}"/>
    <cellStyle name="Normalny 6 10 8" xfId="28420" xr:uid="{00000000-0005-0000-0000-00003D710000}"/>
    <cellStyle name="Normalny 6 10 8 2" xfId="28421" xr:uid="{00000000-0005-0000-0000-00003E710000}"/>
    <cellStyle name="Normalny 6 10 8 3" xfId="28422" xr:uid="{00000000-0005-0000-0000-00003F710000}"/>
    <cellStyle name="Normalny 6 10 8 4" xfId="28423" xr:uid="{00000000-0005-0000-0000-000040710000}"/>
    <cellStyle name="Normalny 6 10 8 5" xfId="28424" xr:uid="{00000000-0005-0000-0000-000041710000}"/>
    <cellStyle name="Normalny 6 10 8 6" xfId="28425" xr:uid="{00000000-0005-0000-0000-000042710000}"/>
    <cellStyle name="Normalny 6 10 9" xfId="28426" xr:uid="{00000000-0005-0000-0000-000043710000}"/>
    <cellStyle name="Normalny 6 11" xfId="28427" xr:uid="{00000000-0005-0000-0000-000044710000}"/>
    <cellStyle name="Normalny 6 11 10" xfId="28428" xr:uid="{00000000-0005-0000-0000-000045710000}"/>
    <cellStyle name="Normalny 6 11 11" xfId="28429" xr:uid="{00000000-0005-0000-0000-000046710000}"/>
    <cellStyle name="Normalny 6 11 2" xfId="28430" xr:uid="{00000000-0005-0000-0000-000047710000}"/>
    <cellStyle name="Normalny 6 11 2 2" xfId="28431" xr:uid="{00000000-0005-0000-0000-000048710000}"/>
    <cellStyle name="Normalny 6 11 2 2 2" xfId="28432" xr:uid="{00000000-0005-0000-0000-000049710000}"/>
    <cellStyle name="Normalny 6 11 2 2 3" xfId="28433" xr:uid="{00000000-0005-0000-0000-00004A710000}"/>
    <cellStyle name="Normalny 6 11 2 2 4" xfId="28434" xr:uid="{00000000-0005-0000-0000-00004B710000}"/>
    <cellStyle name="Normalny 6 11 2 2 5" xfId="28435" xr:uid="{00000000-0005-0000-0000-00004C710000}"/>
    <cellStyle name="Normalny 6 11 2 2 6" xfId="28436" xr:uid="{00000000-0005-0000-0000-00004D710000}"/>
    <cellStyle name="Normalny 6 11 2 3" xfId="28437" xr:uid="{00000000-0005-0000-0000-00004E710000}"/>
    <cellStyle name="Normalny 6 11 2 4" xfId="28438" xr:uid="{00000000-0005-0000-0000-00004F710000}"/>
    <cellStyle name="Normalny 6 11 2 5" xfId="28439" xr:uid="{00000000-0005-0000-0000-000050710000}"/>
    <cellStyle name="Normalny 6 11 2 6" xfId="28440" xr:uid="{00000000-0005-0000-0000-000051710000}"/>
    <cellStyle name="Normalny 6 11 2 7" xfId="28441" xr:uid="{00000000-0005-0000-0000-000052710000}"/>
    <cellStyle name="Normalny 6 11 3" xfId="28442" xr:uid="{00000000-0005-0000-0000-000053710000}"/>
    <cellStyle name="Normalny 6 11 4" xfId="28443" xr:uid="{00000000-0005-0000-0000-000054710000}"/>
    <cellStyle name="Normalny 6 11 5" xfId="28444" xr:uid="{00000000-0005-0000-0000-000055710000}"/>
    <cellStyle name="Normalny 6 11 6" xfId="28445" xr:uid="{00000000-0005-0000-0000-000056710000}"/>
    <cellStyle name="Normalny 6 11 7" xfId="28446" xr:uid="{00000000-0005-0000-0000-000057710000}"/>
    <cellStyle name="Normalny 6 11 7 2" xfId="28447" xr:uid="{00000000-0005-0000-0000-000058710000}"/>
    <cellStyle name="Normalny 6 11 7 3" xfId="28448" xr:uid="{00000000-0005-0000-0000-000059710000}"/>
    <cellStyle name="Normalny 6 11 7 4" xfId="28449" xr:uid="{00000000-0005-0000-0000-00005A710000}"/>
    <cellStyle name="Normalny 6 11 7 5" xfId="28450" xr:uid="{00000000-0005-0000-0000-00005B710000}"/>
    <cellStyle name="Normalny 6 11 7 6" xfId="28451" xr:uid="{00000000-0005-0000-0000-00005C710000}"/>
    <cellStyle name="Normalny 6 11 8" xfId="28452" xr:uid="{00000000-0005-0000-0000-00005D710000}"/>
    <cellStyle name="Normalny 6 11 9" xfId="28453" xr:uid="{00000000-0005-0000-0000-00005E710000}"/>
    <cellStyle name="Normalny 6 12" xfId="28454" xr:uid="{00000000-0005-0000-0000-00005F710000}"/>
    <cellStyle name="Normalny 6 12 2" xfId="28455" xr:uid="{00000000-0005-0000-0000-000060710000}"/>
    <cellStyle name="Normalny 6 12 2 2" xfId="28456" xr:uid="{00000000-0005-0000-0000-000061710000}"/>
    <cellStyle name="Normalny 6 12 2 3" xfId="28457" xr:uid="{00000000-0005-0000-0000-000062710000}"/>
    <cellStyle name="Normalny 6 12 2 4" xfId="28458" xr:uid="{00000000-0005-0000-0000-000063710000}"/>
    <cellStyle name="Normalny 6 12 2 5" xfId="28459" xr:uid="{00000000-0005-0000-0000-000064710000}"/>
    <cellStyle name="Normalny 6 12 2 6" xfId="28460" xr:uid="{00000000-0005-0000-0000-000065710000}"/>
    <cellStyle name="Normalny 6 12 3" xfId="28461" xr:uid="{00000000-0005-0000-0000-000066710000}"/>
    <cellStyle name="Normalny 6 12 4" xfId="28462" xr:uid="{00000000-0005-0000-0000-000067710000}"/>
    <cellStyle name="Normalny 6 12 5" xfId="28463" xr:uid="{00000000-0005-0000-0000-000068710000}"/>
    <cellStyle name="Normalny 6 12 6" xfId="28464" xr:uid="{00000000-0005-0000-0000-000069710000}"/>
    <cellStyle name="Normalny 6 12 7" xfId="28465" xr:uid="{00000000-0005-0000-0000-00006A710000}"/>
    <cellStyle name="Normalny 6 13" xfId="28466" xr:uid="{00000000-0005-0000-0000-00006B710000}"/>
    <cellStyle name="Normalny 6 14" xfId="28467" xr:uid="{00000000-0005-0000-0000-00006C710000}"/>
    <cellStyle name="Normalny 6 15" xfId="28468" xr:uid="{00000000-0005-0000-0000-00006D710000}"/>
    <cellStyle name="Normalny 6 16" xfId="28469" xr:uid="{00000000-0005-0000-0000-00006E710000}"/>
    <cellStyle name="Normalny 6 17" xfId="28470" xr:uid="{00000000-0005-0000-0000-00006F710000}"/>
    <cellStyle name="Normalny 6 18" xfId="28471" xr:uid="{00000000-0005-0000-0000-000070710000}"/>
    <cellStyle name="Normalny 6 18 2" xfId="28472" xr:uid="{00000000-0005-0000-0000-000071710000}"/>
    <cellStyle name="Normalny 6 18 3" xfId="28473" xr:uid="{00000000-0005-0000-0000-000072710000}"/>
    <cellStyle name="Normalny 6 18 4" xfId="28474" xr:uid="{00000000-0005-0000-0000-000073710000}"/>
    <cellStyle name="Normalny 6 18 5" xfId="28475" xr:uid="{00000000-0005-0000-0000-000074710000}"/>
    <cellStyle name="Normalny 6 18 6" xfId="28476" xr:uid="{00000000-0005-0000-0000-000075710000}"/>
    <cellStyle name="Normalny 6 19" xfId="28477" xr:uid="{00000000-0005-0000-0000-000076710000}"/>
    <cellStyle name="Normalny 6 2" xfId="28478" xr:uid="{00000000-0005-0000-0000-000077710000}"/>
    <cellStyle name="Normalny 6 2 10" xfId="28479" xr:uid="{00000000-0005-0000-0000-000078710000}"/>
    <cellStyle name="Normalny 6 2 11" xfId="28480" xr:uid="{00000000-0005-0000-0000-000079710000}"/>
    <cellStyle name="Normalny 6 2 12" xfId="28481" xr:uid="{00000000-0005-0000-0000-00007A710000}"/>
    <cellStyle name="Normalny 6 2 13" xfId="28482" xr:uid="{00000000-0005-0000-0000-00007B710000}"/>
    <cellStyle name="Normalny 6 2 14" xfId="38446" xr:uid="{00000000-0005-0000-0000-00007C710000}"/>
    <cellStyle name="Normalny 6 2 2" xfId="28483" xr:uid="{00000000-0005-0000-0000-00007D710000}"/>
    <cellStyle name="Normalny 6 2 2 10" xfId="28484" xr:uid="{00000000-0005-0000-0000-00007E710000}"/>
    <cellStyle name="Normalny 6 2 2 11" xfId="28485" xr:uid="{00000000-0005-0000-0000-00007F710000}"/>
    <cellStyle name="Normalny 6 2 2 12" xfId="28486" xr:uid="{00000000-0005-0000-0000-000080710000}"/>
    <cellStyle name="Normalny 6 2 2 13" xfId="38447" xr:uid="{00000000-0005-0000-0000-000081710000}"/>
    <cellStyle name="Normalny 6 2 2 2" xfId="28487" xr:uid="{00000000-0005-0000-0000-000082710000}"/>
    <cellStyle name="Normalny 6 2 2 2 10" xfId="28488" xr:uid="{00000000-0005-0000-0000-000083710000}"/>
    <cellStyle name="Normalny 6 2 2 2 11" xfId="28489" xr:uid="{00000000-0005-0000-0000-000084710000}"/>
    <cellStyle name="Normalny 6 2 2 2 12" xfId="38448" xr:uid="{00000000-0005-0000-0000-000085710000}"/>
    <cellStyle name="Normalny 6 2 2 2 2" xfId="28490" xr:uid="{00000000-0005-0000-0000-000086710000}"/>
    <cellStyle name="Normalny 6 2 2 2 2 10" xfId="28491" xr:uid="{00000000-0005-0000-0000-000087710000}"/>
    <cellStyle name="Normalny 6 2 2 2 2 11" xfId="28492" xr:uid="{00000000-0005-0000-0000-000088710000}"/>
    <cellStyle name="Normalny 6 2 2 2 2 12" xfId="38449" xr:uid="{00000000-0005-0000-0000-000089710000}"/>
    <cellStyle name="Normalny 6 2 2 2 2 2" xfId="28493" xr:uid="{00000000-0005-0000-0000-00008A710000}"/>
    <cellStyle name="Normalny 6 2 2 2 2 2 2" xfId="28494" xr:uid="{00000000-0005-0000-0000-00008B710000}"/>
    <cellStyle name="Normalny 6 2 2 2 2 2 2 2" xfId="28495" xr:uid="{00000000-0005-0000-0000-00008C710000}"/>
    <cellStyle name="Normalny 6 2 2 2 2 2 2 3" xfId="28496" xr:uid="{00000000-0005-0000-0000-00008D710000}"/>
    <cellStyle name="Normalny 6 2 2 2 2 2 2 4" xfId="28497" xr:uid="{00000000-0005-0000-0000-00008E710000}"/>
    <cellStyle name="Normalny 6 2 2 2 2 2 2 5" xfId="28498" xr:uid="{00000000-0005-0000-0000-00008F710000}"/>
    <cellStyle name="Normalny 6 2 2 2 2 2 2 6" xfId="28499" xr:uid="{00000000-0005-0000-0000-000090710000}"/>
    <cellStyle name="Normalny 6 2 2 2 2 2 2 7" xfId="38450" xr:uid="{00000000-0005-0000-0000-000091710000}"/>
    <cellStyle name="Normalny 6 2 2 2 2 2 3" xfId="28500" xr:uid="{00000000-0005-0000-0000-000092710000}"/>
    <cellStyle name="Normalny 6 2 2 2 2 2 4" xfId="28501" xr:uid="{00000000-0005-0000-0000-000093710000}"/>
    <cellStyle name="Normalny 6 2 2 2 2 2 5" xfId="28502" xr:uid="{00000000-0005-0000-0000-000094710000}"/>
    <cellStyle name="Normalny 6 2 2 2 2 2 6" xfId="28503" xr:uid="{00000000-0005-0000-0000-000095710000}"/>
    <cellStyle name="Normalny 6 2 2 2 2 2 7" xfId="28504" xr:uid="{00000000-0005-0000-0000-000096710000}"/>
    <cellStyle name="Normalny 6 2 2 2 2 2 8" xfId="38451" xr:uid="{00000000-0005-0000-0000-000097710000}"/>
    <cellStyle name="Normalny 6 2 2 2 2 3" xfId="28505" xr:uid="{00000000-0005-0000-0000-000098710000}"/>
    <cellStyle name="Normalny 6 2 2 2 2 3 2" xfId="38452" xr:uid="{00000000-0005-0000-0000-000099710000}"/>
    <cellStyle name="Normalny 6 2 2 2 2 4" xfId="28506" xr:uid="{00000000-0005-0000-0000-00009A710000}"/>
    <cellStyle name="Normalny 6 2 2 2 2 5" xfId="28507" xr:uid="{00000000-0005-0000-0000-00009B710000}"/>
    <cellStyle name="Normalny 6 2 2 2 2 6" xfId="28508" xr:uid="{00000000-0005-0000-0000-00009C710000}"/>
    <cellStyle name="Normalny 6 2 2 2 2 7" xfId="28509" xr:uid="{00000000-0005-0000-0000-00009D710000}"/>
    <cellStyle name="Normalny 6 2 2 2 2 7 2" xfId="28510" xr:uid="{00000000-0005-0000-0000-00009E710000}"/>
    <cellStyle name="Normalny 6 2 2 2 2 7 3" xfId="28511" xr:uid="{00000000-0005-0000-0000-00009F710000}"/>
    <cellStyle name="Normalny 6 2 2 2 2 7 4" xfId="28512" xr:uid="{00000000-0005-0000-0000-0000A0710000}"/>
    <cellStyle name="Normalny 6 2 2 2 2 7 5" xfId="28513" xr:uid="{00000000-0005-0000-0000-0000A1710000}"/>
    <cellStyle name="Normalny 6 2 2 2 2 7 6" xfId="28514" xr:uid="{00000000-0005-0000-0000-0000A2710000}"/>
    <cellStyle name="Normalny 6 2 2 2 2 8" xfId="28515" xr:uid="{00000000-0005-0000-0000-0000A3710000}"/>
    <cellStyle name="Normalny 6 2 2 2 2 9" xfId="28516" xr:uid="{00000000-0005-0000-0000-0000A4710000}"/>
    <cellStyle name="Normalny 6 2 2 2 3" xfId="28517" xr:uid="{00000000-0005-0000-0000-0000A5710000}"/>
    <cellStyle name="Normalny 6 2 2 2 3 2" xfId="28518" xr:uid="{00000000-0005-0000-0000-0000A6710000}"/>
    <cellStyle name="Normalny 6 2 2 2 3 2 2" xfId="28519" xr:uid="{00000000-0005-0000-0000-0000A7710000}"/>
    <cellStyle name="Normalny 6 2 2 2 3 2 3" xfId="28520" xr:uid="{00000000-0005-0000-0000-0000A8710000}"/>
    <cellStyle name="Normalny 6 2 2 2 3 2 4" xfId="28521" xr:uid="{00000000-0005-0000-0000-0000A9710000}"/>
    <cellStyle name="Normalny 6 2 2 2 3 2 5" xfId="28522" xr:uid="{00000000-0005-0000-0000-0000AA710000}"/>
    <cellStyle name="Normalny 6 2 2 2 3 2 6" xfId="28523" xr:uid="{00000000-0005-0000-0000-0000AB710000}"/>
    <cellStyle name="Normalny 6 2 2 2 3 2 7" xfId="38453" xr:uid="{00000000-0005-0000-0000-0000AC710000}"/>
    <cellStyle name="Normalny 6 2 2 2 3 3" xfId="28524" xr:uid="{00000000-0005-0000-0000-0000AD710000}"/>
    <cellStyle name="Normalny 6 2 2 2 3 4" xfId="28525" xr:uid="{00000000-0005-0000-0000-0000AE710000}"/>
    <cellStyle name="Normalny 6 2 2 2 3 5" xfId="28526" xr:uid="{00000000-0005-0000-0000-0000AF710000}"/>
    <cellStyle name="Normalny 6 2 2 2 3 6" xfId="28527" xr:uid="{00000000-0005-0000-0000-0000B0710000}"/>
    <cellStyle name="Normalny 6 2 2 2 3 7" xfId="28528" xr:uid="{00000000-0005-0000-0000-0000B1710000}"/>
    <cellStyle name="Normalny 6 2 2 2 3 8" xfId="38454" xr:uid="{00000000-0005-0000-0000-0000B2710000}"/>
    <cellStyle name="Normalny 6 2 2 2 4" xfId="28529" xr:uid="{00000000-0005-0000-0000-0000B3710000}"/>
    <cellStyle name="Normalny 6 2 2 2 4 2" xfId="38455" xr:uid="{00000000-0005-0000-0000-0000B4710000}"/>
    <cellStyle name="Normalny 6 2 2 2 5" xfId="28530" xr:uid="{00000000-0005-0000-0000-0000B5710000}"/>
    <cellStyle name="Normalny 6 2 2 2 6" xfId="28531" xr:uid="{00000000-0005-0000-0000-0000B6710000}"/>
    <cellStyle name="Normalny 6 2 2 2 7" xfId="28532" xr:uid="{00000000-0005-0000-0000-0000B7710000}"/>
    <cellStyle name="Normalny 6 2 2 2 7 2" xfId="28533" xr:uid="{00000000-0005-0000-0000-0000B8710000}"/>
    <cellStyle name="Normalny 6 2 2 2 7 3" xfId="28534" xr:uid="{00000000-0005-0000-0000-0000B9710000}"/>
    <cellStyle name="Normalny 6 2 2 2 7 4" xfId="28535" xr:uid="{00000000-0005-0000-0000-0000BA710000}"/>
    <cellStyle name="Normalny 6 2 2 2 7 5" xfId="28536" xr:uid="{00000000-0005-0000-0000-0000BB710000}"/>
    <cellStyle name="Normalny 6 2 2 2 7 6" xfId="28537" xr:uid="{00000000-0005-0000-0000-0000BC710000}"/>
    <cellStyle name="Normalny 6 2 2 2 8" xfId="28538" xr:uid="{00000000-0005-0000-0000-0000BD710000}"/>
    <cellStyle name="Normalny 6 2 2 2 9" xfId="28539" xr:uid="{00000000-0005-0000-0000-0000BE710000}"/>
    <cellStyle name="Normalny 6 2 2 3" xfId="28540" xr:uid="{00000000-0005-0000-0000-0000BF710000}"/>
    <cellStyle name="Normalny 6 2 2 3 2" xfId="28541" xr:uid="{00000000-0005-0000-0000-0000C0710000}"/>
    <cellStyle name="Normalny 6 2 2 3 2 2" xfId="28542" xr:uid="{00000000-0005-0000-0000-0000C1710000}"/>
    <cellStyle name="Normalny 6 2 2 3 2 2 2" xfId="38456" xr:uid="{00000000-0005-0000-0000-0000C2710000}"/>
    <cellStyle name="Normalny 6 2 2 3 2 3" xfId="28543" xr:uid="{00000000-0005-0000-0000-0000C3710000}"/>
    <cellStyle name="Normalny 6 2 2 3 2 4" xfId="28544" xr:uid="{00000000-0005-0000-0000-0000C4710000}"/>
    <cellStyle name="Normalny 6 2 2 3 2 5" xfId="28545" xr:uid="{00000000-0005-0000-0000-0000C5710000}"/>
    <cellStyle name="Normalny 6 2 2 3 2 6" xfId="28546" xr:uid="{00000000-0005-0000-0000-0000C6710000}"/>
    <cellStyle name="Normalny 6 2 2 3 2 7" xfId="38457" xr:uid="{00000000-0005-0000-0000-0000C7710000}"/>
    <cellStyle name="Normalny 6 2 2 3 3" xfId="28547" xr:uid="{00000000-0005-0000-0000-0000C8710000}"/>
    <cellStyle name="Normalny 6 2 2 3 3 2" xfId="38458" xr:uid="{00000000-0005-0000-0000-0000C9710000}"/>
    <cellStyle name="Normalny 6 2 2 3 4" xfId="28548" xr:uid="{00000000-0005-0000-0000-0000CA710000}"/>
    <cellStyle name="Normalny 6 2 2 3 5" xfId="28549" xr:uid="{00000000-0005-0000-0000-0000CB710000}"/>
    <cellStyle name="Normalny 6 2 2 3 6" xfId="28550" xr:uid="{00000000-0005-0000-0000-0000CC710000}"/>
    <cellStyle name="Normalny 6 2 2 3 7" xfId="28551" xr:uid="{00000000-0005-0000-0000-0000CD710000}"/>
    <cellStyle name="Normalny 6 2 2 3 8" xfId="38459" xr:uid="{00000000-0005-0000-0000-0000CE710000}"/>
    <cellStyle name="Normalny 6 2 2 4" xfId="28552" xr:uid="{00000000-0005-0000-0000-0000CF710000}"/>
    <cellStyle name="Normalny 6 2 2 4 2" xfId="38460" xr:uid="{00000000-0005-0000-0000-0000D0710000}"/>
    <cellStyle name="Normalny 6 2 2 4 3" xfId="38461" xr:uid="{00000000-0005-0000-0000-0000D1710000}"/>
    <cellStyle name="Normalny 6 2 2 5" xfId="28553" xr:uid="{00000000-0005-0000-0000-0000D2710000}"/>
    <cellStyle name="Normalny 6 2 2 5 2" xfId="38462" xr:uid="{00000000-0005-0000-0000-0000D3710000}"/>
    <cellStyle name="Normalny 6 2 2 6" xfId="28554" xr:uid="{00000000-0005-0000-0000-0000D4710000}"/>
    <cellStyle name="Normalny 6 2 2 7" xfId="28555" xr:uid="{00000000-0005-0000-0000-0000D5710000}"/>
    <cellStyle name="Normalny 6 2 2 8" xfId="28556" xr:uid="{00000000-0005-0000-0000-0000D6710000}"/>
    <cellStyle name="Normalny 6 2 2 8 2" xfId="28557" xr:uid="{00000000-0005-0000-0000-0000D7710000}"/>
    <cellStyle name="Normalny 6 2 2 8 3" xfId="28558" xr:uid="{00000000-0005-0000-0000-0000D8710000}"/>
    <cellStyle name="Normalny 6 2 2 8 4" xfId="28559" xr:uid="{00000000-0005-0000-0000-0000D9710000}"/>
    <cellStyle name="Normalny 6 2 2 8 5" xfId="28560" xr:uid="{00000000-0005-0000-0000-0000DA710000}"/>
    <cellStyle name="Normalny 6 2 2 8 6" xfId="28561" xr:uid="{00000000-0005-0000-0000-0000DB710000}"/>
    <cellStyle name="Normalny 6 2 2 9" xfId="28562" xr:uid="{00000000-0005-0000-0000-0000DC710000}"/>
    <cellStyle name="Normalny 6 2 3" xfId="28563" xr:uid="{00000000-0005-0000-0000-0000DD710000}"/>
    <cellStyle name="Normalny 6 2 3 2" xfId="38463" xr:uid="{00000000-0005-0000-0000-0000DE710000}"/>
    <cellStyle name="Normalny 6 2 3 2 2" xfId="38464" xr:uid="{00000000-0005-0000-0000-0000DF710000}"/>
    <cellStyle name="Normalny 6 2 3 2 2 2" xfId="38465" xr:uid="{00000000-0005-0000-0000-0000E0710000}"/>
    <cellStyle name="Normalny 6 2 3 2 3" xfId="38466" xr:uid="{00000000-0005-0000-0000-0000E1710000}"/>
    <cellStyle name="Normalny 6 2 3 3" xfId="38467" xr:uid="{00000000-0005-0000-0000-0000E2710000}"/>
    <cellStyle name="Normalny 6 2 3 3 2" xfId="38468" xr:uid="{00000000-0005-0000-0000-0000E3710000}"/>
    <cellStyle name="Normalny 6 2 3 4" xfId="38469" xr:uid="{00000000-0005-0000-0000-0000E4710000}"/>
    <cellStyle name="Normalny 6 2 3 5" xfId="38470" xr:uid="{00000000-0005-0000-0000-0000E5710000}"/>
    <cellStyle name="Normalny 6 2 4" xfId="28564" xr:uid="{00000000-0005-0000-0000-0000E6710000}"/>
    <cellStyle name="Normalny 6 2 4 10" xfId="28565" xr:uid="{00000000-0005-0000-0000-0000E7710000}"/>
    <cellStyle name="Normalny 6 2 4 11" xfId="28566" xr:uid="{00000000-0005-0000-0000-0000E8710000}"/>
    <cellStyle name="Normalny 6 2 4 12" xfId="38471" xr:uid="{00000000-0005-0000-0000-0000E9710000}"/>
    <cellStyle name="Normalny 6 2 4 2" xfId="28567" xr:uid="{00000000-0005-0000-0000-0000EA710000}"/>
    <cellStyle name="Normalny 6 2 4 2 2" xfId="28568" xr:uid="{00000000-0005-0000-0000-0000EB710000}"/>
    <cellStyle name="Normalny 6 2 4 2 2 2" xfId="28569" xr:uid="{00000000-0005-0000-0000-0000EC710000}"/>
    <cellStyle name="Normalny 6 2 4 2 2 3" xfId="28570" xr:uid="{00000000-0005-0000-0000-0000ED710000}"/>
    <cellStyle name="Normalny 6 2 4 2 2 4" xfId="28571" xr:uid="{00000000-0005-0000-0000-0000EE710000}"/>
    <cellStyle name="Normalny 6 2 4 2 2 5" xfId="28572" xr:uid="{00000000-0005-0000-0000-0000EF710000}"/>
    <cellStyle name="Normalny 6 2 4 2 2 6" xfId="28573" xr:uid="{00000000-0005-0000-0000-0000F0710000}"/>
    <cellStyle name="Normalny 6 2 4 2 2 7" xfId="38472" xr:uid="{00000000-0005-0000-0000-0000F1710000}"/>
    <cellStyle name="Normalny 6 2 4 2 3" xfId="28574" xr:uid="{00000000-0005-0000-0000-0000F2710000}"/>
    <cellStyle name="Normalny 6 2 4 2 4" xfId="28575" xr:uid="{00000000-0005-0000-0000-0000F3710000}"/>
    <cellStyle name="Normalny 6 2 4 2 5" xfId="28576" xr:uid="{00000000-0005-0000-0000-0000F4710000}"/>
    <cellStyle name="Normalny 6 2 4 2 6" xfId="28577" xr:uid="{00000000-0005-0000-0000-0000F5710000}"/>
    <cellStyle name="Normalny 6 2 4 2 7" xfId="28578" xr:uid="{00000000-0005-0000-0000-0000F6710000}"/>
    <cellStyle name="Normalny 6 2 4 2 8" xfId="38473" xr:uid="{00000000-0005-0000-0000-0000F7710000}"/>
    <cellStyle name="Normalny 6 2 4 3" xfId="28579" xr:uid="{00000000-0005-0000-0000-0000F8710000}"/>
    <cellStyle name="Normalny 6 2 4 3 2" xfId="38474" xr:uid="{00000000-0005-0000-0000-0000F9710000}"/>
    <cellStyle name="Normalny 6 2 4 4" xfId="28580" xr:uid="{00000000-0005-0000-0000-0000FA710000}"/>
    <cellStyle name="Normalny 6 2 4 5" xfId="28581" xr:uid="{00000000-0005-0000-0000-0000FB710000}"/>
    <cellStyle name="Normalny 6 2 4 6" xfId="28582" xr:uid="{00000000-0005-0000-0000-0000FC710000}"/>
    <cellStyle name="Normalny 6 2 4 7" xfId="28583" xr:uid="{00000000-0005-0000-0000-0000FD710000}"/>
    <cellStyle name="Normalny 6 2 4 7 2" xfId="28584" xr:uid="{00000000-0005-0000-0000-0000FE710000}"/>
    <cellStyle name="Normalny 6 2 4 7 3" xfId="28585" xr:uid="{00000000-0005-0000-0000-0000FF710000}"/>
    <cellStyle name="Normalny 6 2 4 7 4" xfId="28586" xr:uid="{00000000-0005-0000-0000-000000720000}"/>
    <cellStyle name="Normalny 6 2 4 7 5" xfId="28587" xr:uid="{00000000-0005-0000-0000-000001720000}"/>
    <cellStyle name="Normalny 6 2 4 7 6" xfId="28588" xr:uid="{00000000-0005-0000-0000-000002720000}"/>
    <cellStyle name="Normalny 6 2 4 8" xfId="28589" xr:uid="{00000000-0005-0000-0000-000003720000}"/>
    <cellStyle name="Normalny 6 2 4 9" xfId="28590" xr:uid="{00000000-0005-0000-0000-000004720000}"/>
    <cellStyle name="Normalny 6 2 5" xfId="28591" xr:uid="{00000000-0005-0000-0000-000005720000}"/>
    <cellStyle name="Normalny 6 2 5 2" xfId="28592" xr:uid="{00000000-0005-0000-0000-000006720000}"/>
    <cellStyle name="Normalny 6 2 5 2 2" xfId="28593" xr:uid="{00000000-0005-0000-0000-000007720000}"/>
    <cellStyle name="Normalny 6 2 5 2 3" xfId="28594" xr:uid="{00000000-0005-0000-0000-000008720000}"/>
    <cellStyle name="Normalny 6 2 5 2 4" xfId="28595" xr:uid="{00000000-0005-0000-0000-000009720000}"/>
    <cellStyle name="Normalny 6 2 5 2 5" xfId="28596" xr:uid="{00000000-0005-0000-0000-00000A720000}"/>
    <cellStyle name="Normalny 6 2 5 2 6" xfId="28597" xr:uid="{00000000-0005-0000-0000-00000B720000}"/>
    <cellStyle name="Normalny 6 2 5 2 7" xfId="38475" xr:uid="{00000000-0005-0000-0000-00000C720000}"/>
    <cellStyle name="Normalny 6 2 5 3" xfId="28598" xr:uid="{00000000-0005-0000-0000-00000D720000}"/>
    <cellStyle name="Normalny 6 2 5 4" xfId="28599" xr:uid="{00000000-0005-0000-0000-00000E720000}"/>
    <cellStyle name="Normalny 6 2 5 5" xfId="28600" xr:uid="{00000000-0005-0000-0000-00000F720000}"/>
    <cellStyle name="Normalny 6 2 5 6" xfId="28601" xr:uid="{00000000-0005-0000-0000-000010720000}"/>
    <cellStyle name="Normalny 6 2 5 7" xfId="28602" xr:uid="{00000000-0005-0000-0000-000011720000}"/>
    <cellStyle name="Normalny 6 2 5 8" xfId="38476" xr:uid="{00000000-0005-0000-0000-000012720000}"/>
    <cellStyle name="Normalny 6 2 6" xfId="28603" xr:uid="{00000000-0005-0000-0000-000013720000}"/>
    <cellStyle name="Normalny 6 2 6 2" xfId="38477" xr:uid="{00000000-0005-0000-0000-000014720000}"/>
    <cellStyle name="Normalny 6 2 7" xfId="28604" xr:uid="{00000000-0005-0000-0000-000015720000}"/>
    <cellStyle name="Normalny 6 2 8" xfId="28605" xr:uid="{00000000-0005-0000-0000-000016720000}"/>
    <cellStyle name="Normalny 6 2 9" xfId="28606" xr:uid="{00000000-0005-0000-0000-000017720000}"/>
    <cellStyle name="Normalny 6 2 9 2" xfId="28607" xr:uid="{00000000-0005-0000-0000-000018720000}"/>
    <cellStyle name="Normalny 6 2 9 3" xfId="28608" xr:uid="{00000000-0005-0000-0000-000019720000}"/>
    <cellStyle name="Normalny 6 2 9 4" xfId="28609" xr:uid="{00000000-0005-0000-0000-00001A720000}"/>
    <cellStyle name="Normalny 6 2 9 5" xfId="28610" xr:uid="{00000000-0005-0000-0000-00001B720000}"/>
    <cellStyle name="Normalny 6 2 9 6" xfId="28611" xr:uid="{00000000-0005-0000-0000-00001C720000}"/>
    <cellStyle name="Normalny 6 20" xfId="28612" xr:uid="{00000000-0005-0000-0000-00001D720000}"/>
    <cellStyle name="Normalny 6 21" xfId="28613" xr:uid="{00000000-0005-0000-0000-00001E720000}"/>
    <cellStyle name="Normalny 6 22" xfId="28614" xr:uid="{00000000-0005-0000-0000-00001F720000}"/>
    <cellStyle name="Normalny 6 23" xfId="28615" xr:uid="{00000000-0005-0000-0000-000020720000}"/>
    <cellStyle name="Normalny 6 24" xfId="28616" xr:uid="{00000000-0005-0000-0000-000021720000}"/>
    <cellStyle name="Normalny 6 25" xfId="28617" xr:uid="{00000000-0005-0000-0000-000022720000}"/>
    <cellStyle name="Normalny 6 26" xfId="38478" xr:uid="{00000000-0005-0000-0000-000023720000}"/>
    <cellStyle name="Normalny 6 3" xfId="28618" xr:uid="{00000000-0005-0000-0000-000024720000}"/>
    <cellStyle name="Normalny 6 3 2" xfId="38479" xr:uid="{00000000-0005-0000-0000-000025720000}"/>
    <cellStyle name="Normalny 6 3 2 2" xfId="38480" xr:uid="{00000000-0005-0000-0000-000026720000}"/>
    <cellStyle name="Normalny 6 3 2 2 2" xfId="38481" xr:uid="{00000000-0005-0000-0000-000027720000}"/>
    <cellStyle name="Normalny 6 3 2 2 2 2" xfId="38482" xr:uid="{00000000-0005-0000-0000-000028720000}"/>
    <cellStyle name="Normalny 6 3 2 2 3" xfId="38483" xr:uid="{00000000-0005-0000-0000-000029720000}"/>
    <cellStyle name="Normalny 6 3 2 3" xfId="38484" xr:uid="{00000000-0005-0000-0000-00002A720000}"/>
    <cellStyle name="Normalny 6 3 2 3 2" xfId="38485" xr:uid="{00000000-0005-0000-0000-00002B720000}"/>
    <cellStyle name="Normalny 6 3 2 4" xfId="38486" xr:uid="{00000000-0005-0000-0000-00002C720000}"/>
    <cellStyle name="Normalny 6 3 3" xfId="38487" xr:uid="{00000000-0005-0000-0000-00002D720000}"/>
    <cellStyle name="Normalny 6 3 3 2" xfId="38488" xr:uid="{00000000-0005-0000-0000-00002E720000}"/>
    <cellStyle name="Normalny 6 3 3 2 2" xfId="38489" xr:uid="{00000000-0005-0000-0000-00002F720000}"/>
    <cellStyle name="Normalny 6 3 3 3" xfId="38490" xr:uid="{00000000-0005-0000-0000-000030720000}"/>
    <cellStyle name="Normalny 6 3 4" xfId="38491" xr:uid="{00000000-0005-0000-0000-000031720000}"/>
    <cellStyle name="Normalny 6 3 4 2" xfId="38492" xr:uid="{00000000-0005-0000-0000-000032720000}"/>
    <cellStyle name="Normalny 6 3 5" xfId="38493" xr:uid="{00000000-0005-0000-0000-000033720000}"/>
    <cellStyle name="Normalny 6 3 6" xfId="38494" xr:uid="{00000000-0005-0000-0000-000034720000}"/>
    <cellStyle name="Normalny 6 4" xfId="28619" xr:uid="{00000000-0005-0000-0000-000035720000}"/>
    <cellStyle name="Normalny 6 4 2" xfId="38495" xr:uid="{00000000-0005-0000-0000-000036720000}"/>
    <cellStyle name="Normalny 6 4 2 2" xfId="38496" xr:uid="{00000000-0005-0000-0000-000037720000}"/>
    <cellStyle name="Normalny 6 4 2 2 2" xfId="38497" xr:uid="{00000000-0005-0000-0000-000038720000}"/>
    <cellStyle name="Normalny 6 4 2 3" xfId="38498" xr:uid="{00000000-0005-0000-0000-000039720000}"/>
    <cellStyle name="Normalny 6 4 3" xfId="38499" xr:uid="{00000000-0005-0000-0000-00003A720000}"/>
    <cellStyle name="Normalny 6 4 3 2" xfId="38500" xr:uid="{00000000-0005-0000-0000-00003B720000}"/>
    <cellStyle name="Normalny 6 4 4" xfId="38501" xr:uid="{00000000-0005-0000-0000-00003C720000}"/>
    <cellStyle name="Normalny 6 4 5" xfId="38502" xr:uid="{00000000-0005-0000-0000-00003D720000}"/>
    <cellStyle name="Normalny 6 5" xfId="28620" xr:uid="{00000000-0005-0000-0000-00003E720000}"/>
    <cellStyle name="Normalny 6 5 2" xfId="38503" xr:uid="{00000000-0005-0000-0000-00003F720000}"/>
    <cellStyle name="Normalny 6 5 2 2" xfId="38504" xr:uid="{00000000-0005-0000-0000-000040720000}"/>
    <cellStyle name="Normalny 6 5 3" xfId="38505" xr:uid="{00000000-0005-0000-0000-000041720000}"/>
    <cellStyle name="Normalny 6 5 4" xfId="38506" xr:uid="{00000000-0005-0000-0000-000042720000}"/>
    <cellStyle name="Normalny 6 6" xfId="28621" xr:uid="{00000000-0005-0000-0000-000043720000}"/>
    <cellStyle name="Normalny 6 6 2" xfId="38507" xr:uid="{00000000-0005-0000-0000-000044720000}"/>
    <cellStyle name="Normalny 6 6 3" xfId="38508" xr:uid="{00000000-0005-0000-0000-000045720000}"/>
    <cellStyle name="Normalny 6 7" xfId="28622" xr:uid="{00000000-0005-0000-0000-000046720000}"/>
    <cellStyle name="Normalny 6 7 2" xfId="38509" xr:uid="{00000000-0005-0000-0000-000047720000}"/>
    <cellStyle name="Normalny 6 8" xfId="28623" xr:uid="{00000000-0005-0000-0000-000048720000}"/>
    <cellStyle name="Normalny 6 9" xfId="28624" xr:uid="{00000000-0005-0000-0000-000049720000}"/>
    <cellStyle name="Normalny 60" xfId="38710" xr:uid="{CE290BAD-25FF-481F-BA71-3EB38A8FED68}"/>
    <cellStyle name="Normalny 63" xfId="28625" xr:uid="{00000000-0005-0000-0000-00004A720000}"/>
    <cellStyle name="Normalny 64" xfId="28626" xr:uid="{00000000-0005-0000-0000-00004B720000}"/>
    <cellStyle name="Normalny 65" xfId="28627" xr:uid="{00000000-0005-0000-0000-00004C720000}"/>
    <cellStyle name="Normalny 66" xfId="28628" xr:uid="{00000000-0005-0000-0000-00004D720000}"/>
    <cellStyle name="Normalny 67" xfId="28629" xr:uid="{00000000-0005-0000-0000-00004E720000}"/>
    <cellStyle name="Normalny 68" xfId="28630" xr:uid="{00000000-0005-0000-0000-00004F720000}"/>
    <cellStyle name="Normalny 69" xfId="28631" xr:uid="{00000000-0005-0000-0000-000050720000}"/>
    <cellStyle name="Normalny 7" xfId="28632" xr:uid="{00000000-0005-0000-0000-000051720000}"/>
    <cellStyle name="Normalny 7 2" xfId="28633" xr:uid="{00000000-0005-0000-0000-000052720000}"/>
    <cellStyle name="Normalny 7 2 2" xfId="38510" xr:uid="{00000000-0005-0000-0000-000053720000}"/>
    <cellStyle name="Normalny 7 2 2 2" xfId="38511" xr:uid="{00000000-0005-0000-0000-000054720000}"/>
    <cellStyle name="Normalny 7 2 2 2 2" xfId="38512" xr:uid="{00000000-0005-0000-0000-000055720000}"/>
    <cellStyle name="Normalny 7 2 2 2 2 2" xfId="38513" xr:uid="{00000000-0005-0000-0000-000056720000}"/>
    <cellStyle name="Normalny 7 2 2 2 3" xfId="38514" xr:uid="{00000000-0005-0000-0000-000057720000}"/>
    <cellStyle name="Normalny 7 2 2 3" xfId="38515" xr:uid="{00000000-0005-0000-0000-000058720000}"/>
    <cellStyle name="Normalny 7 2 2 3 2" xfId="38516" xr:uid="{00000000-0005-0000-0000-000059720000}"/>
    <cellStyle name="Normalny 7 2 2 4" xfId="38517" xr:uid="{00000000-0005-0000-0000-00005A720000}"/>
    <cellStyle name="Normalny 7 2 3" xfId="38518" xr:uid="{00000000-0005-0000-0000-00005B720000}"/>
    <cellStyle name="Normalny 7 2 3 2" xfId="38519" xr:uid="{00000000-0005-0000-0000-00005C720000}"/>
    <cellStyle name="Normalny 7 2 3 2 2" xfId="38520" xr:uid="{00000000-0005-0000-0000-00005D720000}"/>
    <cellStyle name="Normalny 7 2 3 3" xfId="38521" xr:uid="{00000000-0005-0000-0000-00005E720000}"/>
    <cellStyle name="Normalny 7 2 4" xfId="38522" xr:uid="{00000000-0005-0000-0000-00005F720000}"/>
    <cellStyle name="Normalny 7 2 4 2" xfId="38523" xr:uid="{00000000-0005-0000-0000-000060720000}"/>
    <cellStyle name="Normalny 7 2 5" xfId="38524" xr:uid="{00000000-0005-0000-0000-000061720000}"/>
    <cellStyle name="Normalny 7 2 6" xfId="38525" xr:uid="{00000000-0005-0000-0000-000062720000}"/>
    <cellStyle name="Normalny 7 3" xfId="28634" xr:uid="{00000000-0005-0000-0000-000063720000}"/>
    <cellStyle name="Normalny 7 3 2" xfId="38526" xr:uid="{00000000-0005-0000-0000-000064720000}"/>
    <cellStyle name="Normalny 7 3 2 2" xfId="38527" xr:uid="{00000000-0005-0000-0000-000065720000}"/>
    <cellStyle name="Normalny 7 3 2 2 2" xfId="38528" xr:uid="{00000000-0005-0000-0000-000066720000}"/>
    <cellStyle name="Normalny 7 3 2 3" xfId="38529" xr:uid="{00000000-0005-0000-0000-000067720000}"/>
    <cellStyle name="Normalny 7 3 3" xfId="38530" xr:uid="{00000000-0005-0000-0000-000068720000}"/>
    <cellStyle name="Normalny 7 3 3 2" xfId="38531" xr:uid="{00000000-0005-0000-0000-000069720000}"/>
    <cellStyle name="Normalny 7 3 4" xfId="38532" xr:uid="{00000000-0005-0000-0000-00006A720000}"/>
    <cellStyle name="Normalny 7 3 5" xfId="38533" xr:uid="{00000000-0005-0000-0000-00006B720000}"/>
    <cellStyle name="Normalny 7 4" xfId="28635" xr:uid="{00000000-0005-0000-0000-00006C720000}"/>
    <cellStyle name="Normalny 7 4 2" xfId="38534" xr:uid="{00000000-0005-0000-0000-00006D720000}"/>
    <cellStyle name="Normalny 7 4 2 2" xfId="38535" xr:uid="{00000000-0005-0000-0000-00006E720000}"/>
    <cellStyle name="Normalny 7 4 3" xfId="38536" xr:uid="{00000000-0005-0000-0000-00006F720000}"/>
    <cellStyle name="Normalny 7 4 4" xfId="38537" xr:uid="{00000000-0005-0000-0000-000070720000}"/>
    <cellStyle name="Normalny 7 5" xfId="28636" xr:uid="{00000000-0005-0000-0000-000071720000}"/>
    <cellStyle name="Normalny 7 5 2" xfId="38538" xr:uid="{00000000-0005-0000-0000-000072720000}"/>
    <cellStyle name="Normalny 7 5 3" xfId="38539" xr:uid="{00000000-0005-0000-0000-000073720000}"/>
    <cellStyle name="Normalny 7 6" xfId="28637" xr:uid="{00000000-0005-0000-0000-000074720000}"/>
    <cellStyle name="Normalny 7 6 2" xfId="38540" xr:uid="{00000000-0005-0000-0000-000075720000}"/>
    <cellStyle name="Normalny 7 7" xfId="28638" xr:uid="{00000000-0005-0000-0000-000076720000}"/>
    <cellStyle name="Normalny 7 8" xfId="38541" xr:uid="{00000000-0005-0000-0000-000077720000}"/>
    <cellStyle name="Normalny 7 9" xfId="38700" xr:uid="{82190930-BBBE-420C-864F-2FC04B270BC4}"/>
    <cellStyle name="Normalny 70" xfId="28639" xr:uid="{00000000-0005-0000-0000-000078720000}"/>
    <cellStyle name="Normalny 71" xfId="28640" xr:uid="{00000000-0005-0000-0000-000079720000}"/>
    <cellStyle name="Normalny 72" xfId="28641" xr:uid="{00000000-0005-0000-0000-00007A720000}"/>
    <cellStyle name="Normalny 73" xfId="28642" xr:uid="{00000000-0005-0000-0000-00007B720000}"/>
    <cellStyle name="Normalny 74" xfId="28643" xr:uid="{00000000-0005-0000-0000-00007C720000}"/>
    <cellStyle name="Normalny 75" xfId="28644" xr:uid="{00000000-0005-0000-0000-00007D720000}"/>
    <cellStyle name="Normalny 76" xfId="28645" xr:uid="{00000000-0005-0000-0000-00007E720000}"/>
    <cellStyle name="Normalny 77" xfId="28646" xr:uid="{00000000-0005-0000-0000-00007F720000}"/>
    <cellStyle name="Normalny 78" xfId="28647" xr:uid="{00000000-0005-0000-0000-000080720000}"/>
    <cellStyle name="Normalny 79" xfId="28648" xr:uid="{00000000-0005-0000-0000-000081720000}"/>
    <cellStyle name="Normalny 8" xfId="28649" xr:uid="{00000000-0005-0000-0000-000082720000}"/>
    <cellStyle name="Normalny 8 10" xfId="38696" xr:uid="{2A2C9E89-320E-4E1C-9374-F7539D01AEC4}"/>
    <cellStyle name="Normalny 8 2" xfId="28650" xr:uid="{00000000-0005-0000-0000-000083720000}"/>
    <cellStyle name="Normalny 8 2 2" xfId="38542" xr:uid="{00000000-0005-0000-0000-000084720000}"/>
    <cellStyle name="Normalny 8 2 2 2" xfId="38543" xr:uid="{00000000-0005-0000-0000-000085720000}"/>
    <cellStyle name="Normalny 8 2 2 2 2" xfId="38544" xr:uid="{00000000-0005-0000-0000-000086720000}"/>
    <cellStyle name="Normalny 8 2 2 2 2 2" xfId="38545" xr:uid="{00000000-0005-0000-0000-000087720000}"/>
    <cellStyle name="Normalny 8 2 2 2 3" xfId="38546" xr:uid="{00000000-0005-0000-0000-000088720000}"/>
    <cellStyle name="Normalny 8 2 2 3" xfId="38547" xr:uid="{00000000-0005-0000-0000-000089720000}"/>
    <cellStyle name="Normalny 8 2 2 3 2" xfId="38548" xr:uid="{00000000-0005-0000-0000-00008A720000}"/>
    <cellStyle name="Normalny 8 2 2 4" xfId="38549" xr:uid="{00000000-0005-0000-0000-00008B720000}"/>
    <cellStyle name="Normalny 8 2 3" xfId="38550" xr:uid="{00000000-0005-0000-0000-00008C720000}"/>
    <cellStyle name="Normalny 8 2 3 2" xfId="38551" xr:uid="{00000000-0005-0000-0000-00008D720000}"/>
    <cellStyle name="Normalny 8 2 3 2 2" xfId="38552" xr:uid="{00000000-0005-0000-0000-00008E720000}"/>
    <cellStyle name="Normalny 8 2 3 3" xfId="38553" xr:uid="{00000000-0005-0000-0000-00008F720000}"/>
    <cellStyle name="Normalny 8 2 4" xfId="38554" xr:uid="{00000000-0005-0000-0000-000090720000}"/>
    <cellStyle name="Normalny 8 2 4 2" xfId="38555" xr:uid="{00000000-0005-0000-0000-000091720000}"/>
    <cellStyle name="Normalny 8 2 5" xfId="38556" xr:uid="{00000000-0005-0000-0000-000092720000}"/>
    <cellStyle name="Normalny 8 2 6" xfId="38557" xr:uid="{00000000-0005-0000-0000-000093720000}"/>
    <cellStyle name="Normalny 8 2 7" xfId="38558" xr:uid="{00000000-0005-0000-0000-000094720000}"/>
    <cellStyle name="Normalny 8 3" xfId="28651" xr:uid="{00000000-0005-0000-0000-000095720000}"/>
    <cellStyle name="Normalny 8 3 2" xfId="38559" xr:uid="{00000000-0005-0000-0000-000096720000}"/>
    <cellStyle name="Normalny 8 3 2 2" xfId="38560" xr:uid="{00000000-0005-0000-0000-000097720000}"/>
    <cellStyle name="Normalny 8 3 2 2 2" xfId="38561" xr:uid="{00000000-0005-0000-0000-000098720000}"/>
    <cellStyle name="Normalny 8 3 2 2 2 2" xfId="38562" xr:uid="{00000000-0005-0000-0000-000099720000}"/>
    <cellStyle name="Normalny 8 3 2 2 3" xfId="38563" xr:uid="{00000000-0005-0000-0000-00009A720000}"/>
    <cellStyle name="Normalny 8 3 2 3" xfId="38564" xr:uid="{00000000-0005-0000-0000-00009B720000}"/>
    <cellStyle name="Normalny 8 3 2 3 2" xfId="38565" xr:uid="{00000000-0005-0000-0000-00009C720000}"/>
    <cellStyle name="Normalny 8 3 2 4" xfId="38566" xr:uid="{00000000-0005-0000-0000-00009D720000}"/>
    <cellStyle name="Normalny 8 3 3" xfId="38567" xr:uid="{00000000-0005-0000-0000-00009E720000}"/>
    <cellStyle name="Normalny 8 3 3 2" xfId="38568" xr:uid="{00000000-0005-0000-0000-00009F720000}"/>
    <cellStyle name="Normalny 8 3 3 2 2" xfId="38569" xr:uid="{00000000-0005-0000-0000-0000A0720000}"/>
    <cellStyle name="Normalny 8 3 3 3" xfId="38570" xr:uid="{00000000-0005-0000-0000-0000A1720000}"/>
    <cellStyle name="Normalny 8 3 4" xfId="38571" xr:uid="{00000000-0005-0000-0000-0000A2720000}"/>
    <cellStyle name="Normalny 8 3 4 2" xfId="38572" xr:uid="{00000000-0005-0000-0000-0000A3720000}"/>
    <cellStyle name="Normalny 8 3 5" xfId="38573" xr:uid="{00000000-0005-0000-0000-0000A4720000}"/>
    <cellStyle name="Normalny 8 3 6" xfId="38574" xr:uid="{00000000-0005-0000-0000-0000A5720000}"/>
    <cellStyle name="Normalny 8 4" xfId="28652" xr:uid="{00000000-0005-0000-0000-0000A6720000}"/>
    <cellStyle name="Normalny 8 4 2" xfId="38575" xr:uid="{00000000-0005-0000-0000-0000A7720000}"/>
    <cellStyle name="Normalny 8 4 2 2" xfId="38576" xr:uid="{00000000-0005-0000-0000-0000A8720000}"/>
    <cellStyle name="Normalny 8 4 2 2 2" xfId="38577" xr:uid="{00000000-0005-0000-0000-0000A9720000}"/>
    <cellStyle name="Normalny 8 4 2 3" xfId="38578" xr:uid="{00000000-0005-0000-0000-0000AA720000}"/>
    <cellStyle name="Normalny 8 4 3" xfId="38579" xr:uid="{00000000-0005-0000-0000-0000AB720000}"/>
    <cellStyle name="Normalny 8 4 3 2" xfId="38580" xr:uid="{00000000-0005-0000-0000-0000AC720000}"/>
    <cellStyle name="Normalny 8 4 4" xfId="38581" xr:uid="{00000000-0005-0000-0000-0000AD720000}"/>
    <cellStyle name="Normalny 8 4 5" xfId="38582" xr:uid="{00000000-0005-0000-0000-0000AE720000}"/>
    <cellStyle name="Normalny 8 5" xfId="28653" xr:uid="{00000000-0005-0000-0000-0000AF720000}"/>
    <cellStyle name="Normalny 8 5 2" xfId="38583" xr:uid="{00000000-0005-0000-0000-0000B0720000}"/>
    <cellStyle name="Normalny 8 5 2 2" xfId="38584" xr:uid="{00000000-0005-0000-0000-0000B1720000}"/>
    <cellStyle name="Normalny 8 5 3" xfId="38585" xr:uid="{00000000-0005-0000-0000-0000B2720000}"/>
    <cellStyle name="Normalny 8 5 4" xfId="38586" xr:uid="{00000000-0005-0000-0000-0000B3720000}"/>
    <cellStyle name="Normalny 8 6" xfId="28654" xr:uid="{00000000-0005-0000-0000-0000B4720000}"/>
    <cellStyle name="Normalny 8 6 2" xfId="38587" xr:uid="{00000000-0005-0000-0000-0000B5720000}"/>
    <cellStyle name="Normalny 8 6 3" xfId="38588" xr:uid="{00000000-0005-0000-0000-0000B6720000}"/>
    <cellStyle name="Normalny 8 7" xfId="28655" xr:uid="{00000000-0005-0000-0000-0000B7720000}"/>
    <cellStyle name="Normalny 8 7 2" xfId="38589" xr:uid="{00000000-0005-0000-0000-0000B8720000}"/>
    <cellStyle name="Normalny 8 8" xfId="28656" xr:uid="{00000000-0005-0000-0000-0000B9720000}"/>
    <cellStyle name="Normalny 8 9" xfId="38590" xr:uid="{00000000-0005-0000-0000-0000BA720000}"/>
    <cellStyle name="Normalny 80" xfId="28657" xr:uid="{00000000-0005-0000-0000-0000BB720000}"/>
    <cellStyle name="Normalny 81" xfId="28658" xr:uid="{00000000-0005-0000-0000-0000BC720000}"/>
    <cellStyle name="Normalny 82" xfId="28659" xr:uid="{00000000-0005-0000-0000-0000BD720000}"/>
    <cellStyle name="Normalny 83" xfId="28660" xr:uid="{00000000-0005-0000-0000-0000BE720000}"/>
    <cellStyle name="Normalny 84" xfId="28661" xr:uid="{00000000-0005-0000-0000-0000BF720000}"/>
    <cellStyle name="Normalny 86" xfId="28662" xr:uid="{00000000-0005-0000-0000-0000C0720000}"/>
    <cellStyle name="Normalny 87" xfId="28663" xr:uid="{00000000-0005-0000-0000-0000C1720000}"/>
    <cellStyle name="Normalny 88" xfId="28664" xr:uid="{00000000-0005-0000-0000-0000C2720000}"/>
    <cellStyle name="Normalny 89" xfId="28665" xr:uid="{00000000-0005-0000-0000-0000C3720000}"/>
    <cellStyle name="Normalny 9" xfId="28666" xr:uid="{00000000-0005-0000-0000-0000C4720000}"/>
    <cellStyle name="Normalny 9 2" xfId="28667" xr:uid="{00000000-0005-0000-0000-0000C5720000}"/>
    <cellStyle name="Normalny 9 2 2" xfId="38591" xr:uid="{00000000-0005-0000-0000-0000C6720000}"/>
    <cellStyle name="Normalny 9 2 2 2" xfId="38592" xr:uid="{00000000-0005-0000-0000-0000C7720000}"/>
    <cellStyle name="Normalny 9 2 2 2 2" xfId="38593" xr:uid="{00000000-0005-0000-0000-0000C8720000}"/>
    <cellStyle name="Normalny 9 2 2 2 2 2" xfId="38594" xr:uid="{00000000-0005-0000-0000-0000C9720000}"/>
    <cellStyle name="Normalny 9 2 2 2 3" xfId="38595" xr:uid="{00000000-0005-0000-0000-0000CA720000}"/>
    <cellStyle name="Normalny 9 2 2 3" xfId="38596" xr:uid="{00000000-0005-0000-0000-0000CB720000}"/>
    <cellStyle name="Normalny 9 2 2 3 2" xfId="38597" xr:uid="{00000000-0005-0000-0000-0000CC720000}"/>
    <cellStyle name="Normalny 9 2 2 4" xfId="38598" xr:uid="{00000000-0005-0000-0000-0000CD720000}"/>
    <cellStyle name="Normalny 9 2 3" xfId="38599" xr:uid="{00000000-0005-0000-0000-0000CE720000}"/>
    <cellStyle name="Normalny 9 2 3 2" xfId="38600" xr:uid="{00000000-0005-0000-0000-0000CF720000}"/>
    <cellStyle name="Normalny 9 2 3 2 2" xfId="38601" xr:uid="{00000000-0005-0000-0000-0000D0720000}"/>
    <cellStyle name="Normalny 9 2 3 3" xfId="38602" xr:uid="{00000000-0005-0000-0000-0000D1720000}"/>
    <cellStyle name="Normalny 9 2 4" xfId="38603" xr:uid="{00000000-0005-0000-0000-0000D2720000}"/>
    <cellStyle name="Normalny 9 2 4 2" xfId="38604" xr:uid="{00000000-0005-0000-0000-0000D3720000}"/>
    <cellStyle name="Normalny 9 2 5" xfId="38605" xr:uid="{00000000-0005-0000-0000-0000D4720000}"/>
    <cellStyle name="Normalny 9 2 6" xfId="38606" xr:uid="{00000000-0005-0000-0000-0000D5720000}"/>
    <cellStyle name="Normalny 9 3" xfId="28668" xr:uid="{00000000-0005-0000-0000-0000D6720000}"/>
    <cellStyle name="Normalny 9 3 2" xfId="38607" xr:uid="{00000000-0005-0000-0000-0000D7720000}"/>
    <cellStyle name="Normalny 9 3 2 2" xfId="38608" xr:uid="{00000000-0005-0000-0000-0000D8720000}"/>
    <cellStyle name="Normalny 9 3 2 2 2" xfId="38609" xr:uid="{00000000-0005-0000-0000-0000D9720000}"/>
    <cellStyle name="Normalny 9 3 2 3" xfId="38610" xr:uid="{00000000-0005-0000-0000-0000DA720000}"/>
    <cellStyle name="Normalny 9 3 3" xfId="38611" xr:uid="{00000000-0005-0000-0000-0000DB720000}"/>
    <cellStyle name="Normalny 9 3 3 2" xfId="38612" xr:uid="{00000000-0005-0000-0000-0000DC720000}"/>
    <cellStyle name="Normalny 9 3 4" xfId="38613" xr:uid="{00000000-0005-0000-0000-0000DD720000}"/>
    <cellStyle name="Normalny 9 3 5" xfId="38614" xr:uid="{00000000-0005-0000-0000-0000DE720000}"/>
    <cellStyle name="Normalny 9 4" xfId="28669" xr:uid="{00000000-0005-0000-0000-0000DF720000}"/>
    <cellStyle name="Normalny 9 4 2" xfId="38615" xr:uid="{00000000-0005-0000-0000-0000E0720000}"/>
    <cellStyle name="Normalny 9 4 2 2" xfId="38616" xr:uid="{00000000-0005-0000-0000-0000E1720000}"/>
    <cellStyle name="Normalny 9 4 3" xfId="38617" xr:uid="{00000000-0005-0000-0000-0000E2720000}"/>
    <cellStyle name="Normalny 9 4 4" xfId="38618" xr:uid="{00000000-0005-0000-0000-0000E3720000}"/>
    <cellStyle name="Normalny 9 5" xfId="28670" xr:uid="{00000000-0005-0000-0000-0000E4720000}"/>
    <cellStyle name="Normalny 9 5 2" xfId="38619" xr:uid="{00000000-0005-0000-0000-0000E5720000}"/>
    <cellStyle name="Normalny 9 5 3" xfId="38620" xr:uid="{00000000-0005-0000-0000-0000E6720000}"/>
    <cellStyle name="Normalny 9 6" xfId="38621" xr:uid="{00000000-0005-0000-0000-0000E7720000}"/>
    <cellStyle name="Normalny 9 7" xfId="38622" xr:uid="{00000000-0005-0000-0000-0000E8720000}"/>
    <cellStyle name="Normalny 9 8" xfId="38623" xr:uid="{00000000-0005-0000-0000-0000E9720000}"/>
    <cellStyle name="Normalny 91" xfId="28671" xr:uid="{00000000-0005-0000-0000-0000EA720000}"/>
    <cellStyle name="Normalny 92" xfId="28672" xr:uid="{00000000-0005-0000-0000-0000EB720000}"/>
    <cellStyle name="Normalny 93" xfId="28673" xr:uid="{00000000-0005-0000-0000-0000EC720000}"/>
    <cellStyle name="Normalny 94" xfId="28674" xr:uid="{00000000-0005-0000-0000-0000ED720000}"/>
    <cellStyle name="Normalny 95" xfId="28675" xr:uid="{00000000-0005-0000-0000-0000EE720000}"/>
    <cellStyle name="Normalny 96" xfId="28676" xr:uid="{00000000-0005-0000-0000-0000EF720000}"/>
    <cellStyle name="Normalny 97" xfId="28677" xr:uid="{00000000-0005-0000-0000-0000F0720000}"/>
    <cellStyle name="Normalny 98" xfId="28678" xr:uid="{00000000-0005-0000-0000-0000F1720000}"/>
    <cellStyle name="Normalny 99" xfId="28679" xr:uid="{00000000-0005-0000-0000-0000F2720000}"/>
    <cellStyle name="Normalny_Wzor budzet na bazie Mazowsza" xfId="314" xr:uid="{00000000-0005-0000-0000-0000F3720000}"/>
    <cellStyle name="Notas" xfId="28680" xr:uid="{00000000-0005-0000-0000-0000F4720000}"/>
    <cellStyle name="Notas 2" xfId="28681" xr:uid="{00000000-0005-0000-0000-0000F5720000}"/>
    <cellStyle name="Note" xfId="28682" xr:uid="{00000000-0005-0000-0000-0000F6720000}"/>
    <cellStyle name="Note 10" xfId="28683" xr:uid="{00000000-0005-0000-0000-0000F7720000}"/>
    <cellStyle name="Note 10 2" xfId="28684" xr:uid="{00000000-0005-0000-0000-0000F8720000}"/>
    <cellStyle name="Note 11" xfId="28685" xr:uid="{00000000-0005-0000-0000-0000F9720000}"/>
    <cellStyle name="Note 2" xfId="28686" xr:uid="{00000000-0005-0000-0000-0000FA720000}"/>
    <cellStyle name="Note 2 2" xfId="28687" xr:uid="{00000000-0005-0000-0000-0000FB720000}"/>
    <cellStyle name="Note 2 2 2" xfId="28688" xr:uid="{00000000-0005-0000-0000-0000FC720000}"/>
    <cellStyle name="Note 2 3" xfId="28689" xr:uid="{00000000-0005-0000-0000-0000FD720000}"/>
    <cellStyle name="Note 3" xfId="28690" xr:uid="{00000000-0005-0000-0000-0000FE720000}"/>
    <cellStyle name="Note 3 10" xfId="28691" xr:uid="{00000000-0005-0000-0000-0000FF720000}"/>
    <cellStyle name="Note 3 10 2" xfId="28692" xr:uid="{00000000-0005-0000-0000-000000730000}"/>
    <cellStyle name="Note 3 10 2 2" xfId="28693" xr:uid="{00000000-0005-0000-0000-000001730000}"/>
    <cellStyle name="Note 3 10 3" xfId="28694" xr:uid="{00000000-0005-0000-0000-000002730000}"/>
    <cellStyle name="Note 3 11" xfId="28695" xr:uid="{00000000-0005-0000-0000-000003730000}"/>
    <cellStyle name="Note 3 11 2" xfId="28696" xr:uid="{00000000-0005-0000-0000-000004730000}"/>
    <cellStyle name="Note 3 11 2 2" xfId="28697" xr:uid="{00000000-0005-0000-0000-000005730000}"/>
    <cellStyle name="Note 3 11 3" xfId="28698" xr:uid="{00000000-0005-0000-0000-000006730000}"/>
    <cellStyle name="Note 3 12" xfId="28699" xr:uid="{00000000-0005-0000-0000-000007730000}"/>
    <cellStyle name="Note 3 12 2" xfId="28700" xr:uid="{00000000-0005-0000-0000-000008730000}"/>
    <cellStyle name="Note 3 13" xfId="28701" xr:uid="{00000000-0005-0000-0000-000009730000}"/>
    <cellStyle name="Note 3 13 2" xfId="28702" xr:uid="{00000000-0005-0000-0000-00000A730000}"/>
    <cellStyle name="Note 3 14" xfId="28703" xr:uid="{00000000-0005-0000-0000-00000B730000}"/>
    <cellStyle name="Note 3 2" xfId="28704" xr:uid="{00000000-0005-0000-0000-00000C730000}"/>
    <cellStyle name="Note 3 2 10" xfId="28705" xr:uid="{00000000-0005-0000-0000-00000D730000}"/>
    <cellStyle name="Note 3 2 10 2" xfId="28706" xr:uid="{00000000-0005-0000-0000-00000E730000}"/>
    <cellStyle name="Note 3 2 10 2 2" xfId="28707" xr:uid="{00000000-0005-0000-0000-00000F730000}"/>
    <cellStyle name="Note 3 2 10 3" xfId="28708" xr:uid="{00000000-0005-0000-0000-000010730000}"/>
    <cellStyle name="Note 3 2 11" xfId="28709" xr:uid="{00000000-0005-0000-0000-000011730000}"/>
    <cellStyle name="Note 3 2 11 2" xfId="28710" xr:uid="{00000000-0005-0000-0000-000012730000}"/>
    <cellStyle name="Note 3 2 11 2 2" xfId="28711" xr:uid="{00000000-0005-0000-0000-000013730000}"/>
    <cellStyle name="Note 3 2 11 3" xfId="28712" xr:uid="{00000000-0005-0000-0000-000014730000}"/>
    <cellStyle name="Note 3 2 12" xfId="28713" xr:uid="{00000000-0005-0000-0000-000015730000}"/>
    <cellStyle name="Note 3 2 12 2" xfId="28714" xr:uid="{00000000-0005-0000-0000-000016730000}"/>
    <cellStyle name="Note 3 2 13" xfId="28715" xr:uid="{00000000-0005-0000-0000-000017730000}"/>
    <cellStyle name="Note 3 2 13 2" xfId="28716" xr:uid="{00000000-0005-0000-0000-000018730000}"/>
    <cellStyle name="Note 3 2 14" xfId="28717" xr:uid="{00000000-0005-0000-0000-000019730000}"/>
    <cellStyle name="Note 3 2 2" xfId="28718" xr:uid="{00000000-0005-0000-0000-00001A730000}"/>
    <cellStyle name="Note 3 2 2 10" xfId="28719" xr:uid="{00000000-0005-0000-0000-00001B730000}"/>
    <cellStyle name="Note 3 2 2 10 2" xfId="28720" xr:uid="{00000000-0005-0000-0000-00001C730000}"/>
    <cellStyle name="Note 3 2 2 10 2 2" xfId="28721" xr:uid="{00000000-0005-0000-0000-00001D730000}"/>
    <cellStyle name="Note 3 2 2 10 3" xfId="28722" xr:uid="{00000000-0005-0000-0000-00001E730000}"/>
    <cellStyle name="Note 3 2 2 11" xfId="28723" xr:uid="{00000000-0005-0000-0000-00001F730000}"/>
    <cellStyle name="Note 3 2 2 11 2" xfId="28724" xr:uid="{00000000-0005-0000-0000-000020730000}"/>
    <cellStyle name="Note 3 2 2 12" xfId="28725" xr:uid="{00000000-0005-0000-0000-000021730000}"/>
    <cellStyle name="Note 3 2 2 12 2" xfId="28726" xr:uid="{00000000-0005-0000-0000-000022730000}"/>
    <cellStyle name="Note 3 2 2 13" xfId="28727" xr:uid="{00000000-0005-0000-0000-000023730000}"/>
    <cellStyle name="Note 3 2 2 2" xfId="28728" xr:uid="{00000000-0005-0000-0000-000024730000}"/>
    <cellStyle name="Note 3 2 2 2 10" xfId="28729" xr:uid="{00000000-0005-0000-0000-000025730000}"/>
    <cellStyle name="Note 3 2 2 2 10 2" xfId="28730" xr:uid="{00000000-0005-0000-0000-000026730000}"/>
    <cellStyle name="Note 3 2 2 2 11" xfId="28731" xr:uid="{00000000-0005-0000-0000-000027730000}"/>
    <cellStyle name="Note 3 2 2 2 11 2" xfId="28732" xr:uid="{00000000-0005-0000-0000-000028730000}"/>
    <cellStyle name="Note 3 2 2 2 12" xfId="28733" xr:uid="{00000000-0005-0000-0000-000029730000}"/>
    <cellStyle name="Note 3 2 2 2 2" xfId="28734" xr:uid="{00000000-0005-0000-0000-00002A730000}"/>
    <cellStyle name="Note 3 2 2 2 2 10" xfId="28735" xr:uid="{00000000-0005-0000-0000-00002B730000}"/>
    <cellStyle name="Note 3 2 2 2 2 10 2" xfId="28736" xr:uid="{00000000-0005-0000-0000-00002C730000}"/>
    <cellStyle name="Note 3 2 2 2 2 11" xfId="28737" xr:uid="{00000000-0005-0000-0000-00002D730000}"/>
    <cellStyle name="Note 3 2 2 2 2 11 2" xfId="28738" xr:uid="{00000000-0005-0000-0000-00002E730000}"/>
    <cellStyle name="Note 3 2 2 2 2 12" xfId="28739" xr:uid="{00000000-0005-0000-0000-00002F730000}"/>
    <cellStyle name="Note 3 2 2 2 2 2" xfId="28740" xr:uid="{00000000-0005-0000-0000-000030730000}"/>
    <cellStyle name="Note 3 2 2 2 2 2 2" xfId="28741" xr:uid="{00000000-0005-0000-0000-000031730000}"/>
    <cellStyle name="Note 3 2 2 2 2 2 2 2" xfId="28742" xr:uid="{00000000-0005-0000-0000-000032730000}"/>
    <cellStyle name="Note 3 2 2 2 2 2 2 2 2" xfId="28743" xr:uid="{00000000-0005-0000-0000-000033730000}"/>
    <cellStyle name="Note 3 2 2 2 2 2 2 2 2 2" xfId="28744" xr:uid="{00000000-0005-0000-0000-000034730000}"/>
    <cellStyle name="Note 3 2 2 2 2 2 2 2 3" xfId="28745" xr:uid="{00000000-0005-0000-0000-000035730000}"/>
    <cellStyle name="Note 3 2 2 2 2 2 2 3" xfId="28746" xr:uid="{00000000-0005-0000-0000-000036730000}"/>
    <cellStyle name="Note 3 2 2 2 2 2 2 3 2" xfId="28747" xr:uid="{00000000-0005-0000-0000-000037730000}"/>
    <cellStyle name="Note 3 2 2 2 2 2 2 3 2 2" xfId="28748" xr:uid="{00000000-0005-0000-0000-000038730000}"/>
    <cellStyle name="Note 3 2 2 2 2 2 2 3 3" xfId="28749" xr:uid="{00000000-0005-0000-0000-000039730000}"/>
    <cellStyle name="Note 3 2 2 2 2 2 2 4" xfId="28750" xr:uid="{00000000-0005-0000-0000-00003A730000}"/>
    <cellStyle name="Note 3 2 2 2 2 2 2 4 2" xfId="28751" xr:uid="{00000000-0005-0000-0000-00003B730000}"/>
    <cellStyle name="Note 3 2 2 2 2 2 2 4 2 2" xfId="28752" xr:uid="{00000000-0005-0000-0000-00003C730000}"/>
    <cellStyle name="Note 3 2 2 2 2 2 2 4 3" xfId="28753" xr:uid="{00000000-0005-0000-0000-00003D730000}"/>
    <cellStyle name="Note 3 2 2 2 2 2 2 5" xfId="28754" xr:uid="{00000000-0005-0000-0000-00003E730000}"/>
    <cellStyle name="Note 3 2 2 2 2 2 2 5 2" xfId="28755" xr:uid="{00000000-0005-0000-0000-00003F730000}"/>
    <cellStyle name="Note 3 2 2 2 2 2 2 6" xfId="28756" xr:uid="{00000000-0005-0000-0000-000040730000}"/>
    <cellStyle name="Note 3 2 2 2 2 2 2 6 2" xfId="28757" xr:uid="{00000000-0005-0000-0000-000041730000}"/>
    <cellStyle name="Note 3 2 2 2 2 2 2 7" xfId="28758" xr:uid="{00000000-0005-0000-0000-000042730000}"/>
    <cellStyle name="Note 3 2 2 2 2 2 3" xfId="28759" xr:uid="{00000000-0005-0000-0000-000043730000}"/>
    <cellStyle name="Note 3 2 2 2 2 2 3 2" xfId="28760" xr:uid="{00000000-0005-0000-0000-000044730000}"/>
    <cellStyle name="Note 3 2 2 2 2 2 3 2 2" xfId="28761" xr:uid="{00000000-0005-0000-0000-000045730000}"/>
    <cellStyle name="Note 3 2 2 2 2 2 3 3" xfId="28762" xr:uid="{00000000-0005-0000-0000-000046730000}"/>
    <cellStyle name="Note 3 2 2 2 2 2 4" xfId="28763" xr:uid="{00000000-0005-0000-0000-000047730000}"/>
    <cellStyle name="Note 3 2 2 2 2 2 4 2" xfId="28764" xr:uid="{00000000-0005-0000-0000-000048730000}"/>
    <cellStyle name="Note 3 2 2 2 2 2 4 2 2" xfId="28765" xr:uid="{00000000-0005-0000-0000-000049730000}"/>
    <cellStyle name="Note 3 2 2 2 2 2 4 3" xfId="28766" xr:uid="{00000000-0005-0000-0000-00004A730000}"/>
    <cellStyle name="Note 3 2 2 2 2 2 5" xfId="28767" xr:uid="{00000000-0005-0000-0000-00004B730000}"/>
    <cellStyle name="Note 3 2 2 2 2 2 5 2" xfId="28768" xr:uid="{00000000-0005-0000-0000-00004C730000}"/>
    <cellStyle name="Note 3 2 2 2 2 2 5 2 2" xfId="28769" xr:uid="{00000000-0005-0000-0000-00004D730000}"/>
    <cellStyle name="Note 3 2 2 2 2 2 5 3" xfId="28770" xr:uid="{00000000-0005-0000-0000-00004E730000}"/>
    <cellStyle name="Note 3 2 2 2 2 2 6" xfId="28771" xr:uid="{00000000-0005-0000-0000-00004F730000}"/>
    <cellStyle name="Note 3 2 2 2 2 2 6 2" xfId="28772" xr:uid="{00000000-0005-0000-0000-000050730000}"/>
    <cellStyle name="Note 3 2 2 2 2 2 7" xfId="28773" xr:uid="{00000000-0005-0000-0000-000051730000}"/>
    <cellStyle name="Note 3 2 2 2 2 2 7 2" xfId="28774" xr:uid="{00000000-0005-0000-0000-000052730000}"/>
    <cellStyle name="Note 3 2 2 2 2 2 8" xfId="28775" xr:uid="{00000000-0005-0000-0000-000053730000}"/>
    <cellStyle name="Note 3 2 2 2 2 3" xfId="28776" xr:uid="{00000000-0005-0000-0000-000054730000}"/>
    <cellStyle name="Note 3 2 2 2 2 3 2" xfId="28777" xr:uid="{00000000-0005-0000-0000-000055730000}"/>
    <cellStyle name="Note 3 2 2 2 2 3 2 2" xfId="28778" xr:uid="{00000000-0005-0000-0000-000056730000}"/>
    <cellStyle name="Note 3 2 2 2 2 3 3" xfId="28779" xr:uid="{00000000-0005-0000-0000-000057730000}"/>
    <cellStyle name="Note 3 2 2 2 2 4" xfId="28780" xr:uid="{00000000-0005-0000-0000-000058730000}"/>
    <cellStyle name="Note 3 2 2 2 2 4 2" xfId="28781" xr:uid="{00000000-0005-0000-0000-000059730000}"/>
    <cellStyle name="Note 3 2 2 2 2 4 2 2" xfId="28782" xr:uid="{00000000-0005-0000-0000-00005A730000}"/>
    <cellStyle name="Note 3 2 2 2 2 4 3" xfId="28783" xr:uid="{00000000-0005-0000-0000-00005B730000}"/>
    <cellStyle name="Note 3 2 2 2 2 5" xfId="28784" xr:uid="{00000000-0005-0000-0000-00005C730000}"/>
    <cellStyle name="Note 3 2 2 2 2 5 2" xfId="28785" xr:uid="{00000000-0005-0000-0000-00005D730000}"/>
    <cellStyle name="Note 3 2 2 2 2 5 2 2" xfId="28786" xr:uid="{00000000-0005-0000-0000-00005E730000}"/>
    <cellStyle name="Note 3 2 2 2 2 5 3" xfId="28787" xr:uid="{00000000-0005-0000-0000-00005F730000}"/>
    <cellStyle name="Note 3 2 2 2 2 6" xfId="28788" xr:uid="{00000000-0005-0000-0000-000060730000}"/>
    <cellStyle name="Note 3 2 2 2 2 6 2" xfId="28789" xr:uid="{00000000-0005-0000-0000-000061730000}"/>
    <cellStyle name="Note 3 2 2 2 2 6 2 2" xfId="28790" xr:uid="{00000000-0005-0000-0000-000062730000}"/>
    <cellStyle name="Note 3 2 2 2 2 6 3" xfId="28791" xr:uid="{00000000-0005-0000-0000-000063730000}"/>
    <cellStyle name="Note 3 2 2 2 2 7" xfId="28792" xr:uid="{00000000-0005-0000-0000-000064730000}"/>
    <cellStyle name="Note 3 2 2 2 2 7 2" xfId="28793" xr:uid="{00000000-0005-0000-0000-000065730000}"/>
    <cellStyle name="Note 3 2 2 2 2 7 2 2" xfId="28794" xr:uid="{00000000-0005-0000-0000-000066730000}"/>
    <cellStyle name="Note 3 2 2 2 2 7 2 2 2" xfId="28795" xr:uid="{00000000-0005-0000-0000-000067730000}"/>
    <cellStyle name="Note 3 2 2 2 2 7 2 3" xfId="28796" xr:uid="{00000000-0005-0000-0000-000068730000}"/>
    <cellStyle name="Note 3 2 2 2 2 7 3" xfId="28797" xr:uid="{00000000-0005-0000-0000-000069730000}"/>
    <cellStyle name="Note 3 2 2 2 2 7 3 2" xfId="28798" xr:uid="{00000000-0005-0000-0000-00006A730000}"/>
    <cellStyle name="Note 3 2 2 2 2 7 3 2 2" xfId="28799" xr:uid="{00000000-0005-0000-0000-00006B730000}"/>
    <cellStyle name="Note 3 2 2 2 2 7 3 3" xfId="28800" xr:uid="{00000000-0005-0000-0000-00006C730000}"/>
    <cellStyle name="Note 3 2 2 2 2 7 4" xfId="28801" xr:uid="{00000000-0005-0000-0000-00006D730000}"/>
    <cellStyle name="Note 3 2 2 2 2 7 4 2" xfId="28802" xr:uid="{00000000-0005-0000-0000-00006E730000}"/>
    <cellStyle name="Note 3 2 2 2 2 7 4 2 2" xfId="28803" xr:uid="{00000000-0005-0000-0000-00006F730000}"/>
    <cellStyle name="Note 3 2 2 2 2 7 4 3" xfId="28804" xr:uid="{00000000-0005-0000-0000-000070730000}"/>
    <cellStyle name="Note 3 2 2 2 2 7 5" xfId="28805" xr:uid="{00000000-0005-0000-0000-000071730000}"/>
    <cellStyle name="Note 3 2 2 2 2 7 5 2" xfId="28806" xr:uid="{00000000-0005-0000-0000-000072730000}"/>
    <cellStyle name="Note 3 2 2 2 2 7 6" xfId="28807" xr:uid="{00000000-0005-0000-0000-000073730000}"/>
    <cellStyle name="Note 3 2 2 2 2 7 6 2" xfId="28808" xr:uid="{00000000-0005-0000-0000-000074730000}"/>
    <cellStyle name="Note 3 2 2 2 2 7 7" xfId="28809" xr:uid="{00000000-0005-0000-0000-000075730000}"/>
    <cellStyle name="Note 3 2 2 2 2 8" xfId="28810" xr:uid="{00000000-0005-0000-0000-000076730000}"/>
    <cellStyle name="Note 3 2 2 2 2 8 2" xfId="28811" xr:uid="{00000000-0005-0000-0000-000077730000}"/>
    <cellStyle name="Note 3 2 2 2 2 8 2 2" xfId="28812" xr:uid="{00000000-0005-0000-0000-000078730000}"/>
    <cellStyle name="Note 3 2 2 2 2 8 3" xfId="28813" xr:uid="{00000000-0005-0000-0000-000079730000}"/>
    <cellStyle name="Note 3 2 2 2 2 9" xfId="28814" xr:uid="{00000000-0005-0000-0000-00007A730000}"/>
    <cellStyle name="Note 3 2 2 2 2 9 2" xfId="28815" xr:uid="{00000000-0005-0000-0000-00007B730000}"/>
    <cellStyle name="Note 3 2 2 2 2 9 2 2" xfId="28816" xr:uid="{00000000-0005-0000-0000-00007C730000}"/>
    <cellStyle name="Note 3 2 2 2 2 9 3" xfId="28817" xr:uid="{00000000-0005-0000-0000-00007D730000}"/>
    <cellStyle name="Note 3 2 2 2 3" xfId="28818" xr:uid="{00000000-0005-0000-0000-00007E730000}"/>
    <cellStyle name="Note 3 2 2 2 3 2" xfId="28819" xr:uid="{00000000-0005-0000-0000-00007F730000}"/>
    <cellStyle name="Note 3 2 2 2 3 2 2" xfId="28820" xr:uid="{00000000-0005-0000-0000-000080730000}"/>
    <cellStyle name="Note 3 2 2 2 3 2 2 2" xfId="28821" xr:uid="{00000000-0005-0000-0000-000081730000}"/>
    <cellStyle name="Note 3 2 2 2 3 2 2 2 2" xfId="28822" xr:uid="{00000000-0005-0000-0000-000082730000}"/>
    <cellStyle name="Note 3 2 2 2 3 2 2 3" xfId="28823" xr:uid="{00000000-0005-0000-0000-000083730000}"/>
    <cellStyle name="Note 3 2 2 2 3 2 3" xfId="28824" xr:uid="{00000000-0005-0000-0000-000084730000}"/>
    <cellStyle name="Note 3 2 2 2 3 2 3 2" xfId="28825" xr:uid="{00000000-0005-0000-0000-000085730000}"/>
    <cellStyle name="Note 3 2 2 2 3 2 3 2 2" xfId="28826" xr:uid="{00000000-0005-0000-0000-000086730000}"/>
    <cellStyle name="Note 3 2 2 2 3 2 3 3" xfId="28827" xr:uid="{00000000-0005-0000-0000-000087730000}"/>
    <cellStyle name="Note 3 2 2 2 3 2 4" xfId="28828" xr:uid="{00000000-0005-0000-0000-000088730000}"/>
    <cellStyle name="Note 3 2 2 2 3 2 4 2" xfId="28829" xr:uid="{00000000-0005-0000-0000-000089730000}"/>
    <cellStyle name="Note 3 2 2 2 3 2 4 2 2" xfId="28830" xr:uid="{00000000-0005-0000-0000-00008A730000}"/>
    <cellStyle name="Note 3 2 2 2 3 2 4 3" xfId="28831" xr:uid="{00000000-0005-0000-0000-00008B730000}"/>
    <cellStyle name="Note 3 2 2 2 3 2 5" xfId="28832" xr:uid="{00000000-0005-0000-0000-00008C730000}"/>
    <cellStyle name="Note 3 2 2 2 3 2 5 2" xfId="28833" xr:uid="{00000000-0005-0000-0000-00008D730000}"/>
    <cellStyle name="Note 3 2 2 2 3 2 6" xfId="28834" xr:uid="{00000000-0005-0000-0000-00008E730000}"/>
    <cellStyle name="Note 3 2 2 2 3 2 6 2" xfId="28835" xr:uid="{00000000-0005-0000-0000-00008F730000}"/>
    <cellStyle name="Note 3 2 2 2 3 2 7" xfId="28836" xr:uid="{00000000-0005-0000-0000-000090730000}"/>
    <cellStyle name="Note 3 2 2 2 3 3" xfId="28837" xr:uid="{00000000-0005-0000-0000-000091730000}"/>
    <cellStyle name="Note 3 2 2 2 3 3 2" xfId="28838" xr:uid="{00000000-0005-0000-0000-000092730000}"/>
    <cellStyle name="Note 3 2 2 2 3 3 2 2" xfId="28839" xr:uid="{00000000-0005-0000-0000-000093730000}"/>
    <cellStyle name="Note 3 2 2 2 3 3 3" xfId="28840" xr:uid="{00000000-0005-0000-0000-000094730000}"/>
    <cellStyle name="Note 3 2 2 2 3 4" xfId="28841" xr:uid="{00000000-0005-0000-0000-000095730000}"/>
    <cellStyle name="Note 3 2 2 2 3 4 2" xfId="28842" xr:uid="{00000000-0005-0000-0000-000096730000}"/>
    <cellStyle name="Note 3 2 2 2 3 4 2 2" xfId="28843" xr:uid="{00000000-0005-0000-0000-000097730000}"/>
    <cellStyle name="Note 3 2 2 2 3 4 3" xfId="28844" xr:uid="{00000000-0005-0000-0000-000098730000}"/>
    <cellStyle name="Note 3 2 2 2 3 5" xfId="28845" xr:uid="{00000000-0005-0000-0000-000099730000}"/>
    <cellStyle name="Note 3 2 2 2 3 5 2" xfId="28846" xr:uid="{00000000-0005-0000-0000-00009A730000}"/>
    <cellStyle name="Note 3 2 2 2 3 5 2 2" xfId="28847" xr:uid="{00000000-0005-0000-0000-00009B730000}"/>
    <cellStyle name="Note 3 2 2 2 3 5 3" xfId="28848" xr:uid="{00000000-0005-0000-0000-00009C730000}"/>
    <cellStyle name="Note 3 2 2 2 3 6" xfId="28849" xr:uid="{00000000-0005-0000-0000-00009D730000}"/>
    <cellStyle name="Note 3 2 2 2 3 6 2" xfId="28850" xr:uid="{00000000-0005-0000-0000-00009E730000}"/>
    <cellStyle name="Note 3 2 2 2 3 7" xfId="28851" xr:uid="{00000000-0005-0000-0000-00009F730000}"/>
    <cellStyle name="Note 3 2 2 2 3 7 2" xfId="28852" xr:uid="{00000000-0005-0000-0000-0000A0730000}"/>
    <cellStyle name="Note 3 2 2 2 3 8" xfId="28853" xr:uid="{00000000-0005-0000-0000-0000A1730000}"/>
    <cellStyle name="Note 3 2 2 2 4" xfId="28854" xr:uid="{00000000-0005-0000-0000-0000A2730000}"/>
    <cellStyle name="Note 3 2 2 2 4 2" xfId="28855" xr:uid="{00000000-0005-0000-0000-0000A3730000}"/>
    <cellStyle name="Note 3 2 2 2 4 2 2" xfId="28856" xr:uid="{00000000-0005-0000-0000-0000A4730000}"/>
    <cellStyle name="Note 3 2 2 2 4 3" xfId="28857" xr:uid="{00000000-0005-0000-0000-0000A5730000}"/>
    <cellStyle name="Note 3 2 2 2 5" xfId="28858" xr:uid="{00000000-0005-0000-0000-0000A6730000}"/>
    <cellStyle name="Note 3 2 2 2 5 2" xfId="28859" xr:uid="{00000000-0005-0000-0000-0000A7730000}"/>
    <cellStyle name="Note 3 2 2 2 5 2 2" xfId="28860" xr:uid="{00000000-0005-0000-0000-0000A8730000}"/>
    <cellStyle name="Note 3 2 2 2 5 3" xfId="28861" xr:uid="{00000000-0005-0000-0000-0000A9730000}"/>
    <cellStyle name="Note 3 2 2 2 6" xfId="28862" xr:uid="{00000000-0005-0000-0000-0000AA730000}"/>
    <cellStyle name="Note 3 2 2 2 6 2" xfId="28863" xr:uid="{00000000-0005-0000-0000-0000AB730000}"/>
    <cellStyle name="Note 3 2 2 2 6 2 2" xfId="28864" xr:uid="{00000000-0005-0000-0000-0000AC730000}"/>
    <cellStyle name="Note 3 2 2 2 6 3" xfId="28865" xr:uid="{00000000-0005-0000-0000-0000AD730000}"/>
    <cellStyle name="Note 3 2 2 2 7" xfId="28866" xr:uid="{00000000-0005-0000-0000-0000AE730000}"/>
    <cellStyle name="Note 3 2 2 2 7 2" xfId="28867" xr:uid="{00000000-0005-0000-0000-0000AF730000}"/>
    <cellStyle name="Note 3 2 2 2 7 2 2" xfId="28868" xr:uid="{00000000-0005-0000-0000-0000B0730000}"/>
    <cellStyle name="Note 3 2 2 2 7 2 2 2" xfId="28869" xr:uid="{00000000-0005-0000-0000-0000B1730000}"/>
    <cellStyle name="Note 3 2 2 2 7 2 3" xfId="28870" xr:uid="{00000000-0005-0000-0000-0000B2730000}"/>
    <cellStyle name="Note 3 2 2 2 7 3" xfId="28871" xr:uid="{00000000-0005-0000-0000-0000B3730000}"/>
    <cellStyle name="Note 3 2 2 2 7 3 2" xfId="28872" xr:uid="{00000000-0005-0000-0000-0000B4730000}"/>
    <cellStyle name="Note 3 2 2 2 7 3 2 2" xfId="28873" xr:uid="{00000000-0005-0000-0000-0000B5730000}"/>
    <cellStyle name="Note 3 2 2 2 7 3 3" xfId="28874" xr:uid="{00000000-0005-0000-0000-0000B6730000}"/>
    <cellStyle name="Note 3 2 2 2 7 4" xfId="28875" xr:uid="{00000000-0005-0000-0000-0000B7730000}"/>
    <cellStyle name="Note 3 2 2 2 7 4 2" xfId="28876" xr:uid="{00000000-0005-0000-0000-0000B8730000}"/>
    <cellStyle name="Note 3 2 2 2 7 4 2 2" xfId="28877" xr:uid="{00000000-0005-0000-0000-0000B9730000}"/>
    <cellStyle name="Note 3 2 2 2 7 4 3" xfId="28878" xr:uid="{00000000-0005-0000-0000-0000BA730000}"/>
    <cellStyle name="Note 3 2 2 2 7 5" xfId="28879" xr:uid="{00000000-0005-0000-0000-0000BB730000}"/>
    <cellStyle name="Note 3 2 2 2 7 5 2" xfId="28880" xr:uid="{00000000-0005-0000-0000-0000BC730000}"/>
    <cellStyle name="Note 3 2 2 2 7 6" xfId="28881" xr:uid="{00000000-0005-0000-0000-0000BD730000}"/>
    <cellStyle name="Note 3 2 2 2 7 6 2" xfId="28882" xr:uid="{00000000-0005-0000-0000-0000BE730000}"/>
    <cellStyle name="Note 3 2 2 2 7 7" xfId="28883" xr:uid="{00000000-0005-0000-0000-0000BF730000}"/>
    <cellStyle name="Note 3 2 2 2 8" xfId="28884" xr:uid="{00000000-0005-0000-0000-0000C0730000}"/>
    <cellStyle name="Note 3 2 2 2 8 2" xfId="28885" xr:uid="{00000000-0005-0000-0000-0000C1730000}"/>
    <cellStyle name="Note 3 2 2 2 8 2 2" xfId="28886" xr:uid="{00000000-0005-0000-0000-0000C2730000}"/>
    <cellStyle name="Note 3 2 2 2 8 3" xfId="28887" xr:uid="{00000000-0005-0000-0000-0000C3730000}"/>
    <cellStyle name="Note 3 2 2 2 9" xfId="28888" xr:uid="{00000000-0005-0000-0000-0000C4730000}"/>
    <cellStyle name="Note 3 2 2 2 9 2" xfId="28889" xr:uid="{00000000-0005-0000-0000-0000C5730000}"/>
    <cellStyle name="Note 3 2 2 2 9 2 2" xfId="28890" xr:uid="{00000000-0005-0000-0000-0000C6730000}"/>
    <cellStyle name="Note 3 2 2 2 9 3" xfId="28891" xr:uid="{00000000-0005-0000-0000-0000C7730000}"/>
    <cellStyle name="Note 3 2 2 3" xfId="28892" xr:uid="{00000000-0005-0000-0000-0000C8730000}"/>
    <cellStyle name="Note 3 2 2 3 2" xfId="28893" xr:uid="{00000000-0005-0000-0000-0000C9730000}"/>
    <cellStyle name="Note 3 2 2 3 2 2" xfId="28894" xr:uid="{00000000-0005-0000-0000-0000CA730000}"/>
    <cellStyle name="Note 3 2 2 3 2 2 2" xfId="28895" xr:uid="{00000000-0005-0000-0000-0000CB730000}"/>
    <cellStyle name="Note 3 2 2 3 2 2 2 2" xfId="28896" xr:uid="{00000000-0005-0000-0000-0000CC730000}"/>
    <cellStyle name="Note 3 2 2 3 2 2 3" xfId="28897" xr:uid="{00000000-0005-0000-0000-0000CD730000}"/>
    <cellStyle name="Note 3 2 2 3 2 3" xfId="28898" xr:uid="{00000000-0005-0000-0000-0000CE730000}"/>
    <cellStyle name="Note 3 2 2 3 2 3 2" xfId="28899" xr:uid="{00000000-0005-0000-0000-0000CF730000}"/>
    <cellStyle name="Note 3 2 2 3 2 3 2 2" xfId="28900" xr:uid="{00000000-0005-0000-0000-0000D0730000}"/>
    <cellStyle name="Note 3 2 2 3 2 3 3" xfId="28901" xr:uid="{00000000-0005-0000-0000-0000D1730000}"/>
    <cellStyle name="Note 3 2 2 3 2 4" xfId="28902" xr:uid="{00000000-0005-0000-0000-0000D2730000}"/>
    <cellStyle name="Note 3 2 2 3 2 4 2" xfId="28903" xr:uid="{00000000-0005-0000-0000-0000D3730000}"/>
    <cellStyle name="Note 3 2 2 3 2 4 2 2" xfId="28904" xr:uid="{00000000-0005-0000-0000-0000D4730000}"/>
    <cellStyle name="Note 3 2 2 3 2 4 3" xfId="28905" xr:uid="{00000000-0005-0000-0000-0000D5730000}"/>
    <cellStyle name="Note 3 2 2 3 2 5" xfId="28906" xr:uid="{00000000-0005-0000-0000-0000D6730000}"/>
    <cellStyle name="Note 3 2 2 3 2 5 2" xfId="28907" xr:uid="{00000000-0005-0000-0000-0000D7730000}"/>
    <cellStyle name="Note 3 2 2 3 2 6" xfId="28908" xr:uid="{00000000-0005-0000-0000-0000D8730000}"/>
    <cellStyle name="Note 3 2 2 3 2 6 2" xfId="28909" xr:uid="{00000000-0005-0000-0000-0000D9730000}"/>
    <cellStyle name="Note 3 2 2 3 2 7" xfId="28910" xr:uid="{00000000-0005-0000-0000-0000DA730000}"/>
    <cellStyle name="Note 3 2 2 3 3" xfId="28911" xr:uid="{00000000-0005-0000-0000-0000DB730000}"/>
    <cellStyle name="Note 3 2 2 3 3 2" xfId="28912" xr:uid="{00000000-0005-0000-0000-0000DC730000}"/>
    <cellStyle name="Note 3 2 2 3 3 2 2" xfId="28913" xr:uid="{00000000-0005-0000-0000-0000DD730000}"/>
    <cellStyle name="Note 3 2 2 3 3 3" xfId="28914" xr:uid="{00000000-0005-0000-0000-0000DE730000}"/>
    <cellStyle name="Note 3 2 2 3 4" xfId="28915" xr:uid="{00000000-0005-0000-0000-0000DF730000}"/>
    <cellStyle name="Note 3 2 2 3 4 2" xfId="28916" xr:uid="{00000000-0005-0000-0000-0000E0730000}"/>
    <cellStyle name="Note 3 2 2 3 4 2 2" xfId="28917" xr:uid="{00000000-0005-0000-0000-0000E1730000}"/>
    <cellStyle name="Note 3 2 2 3 4 3" xfId="28918" xr:uid="{00000000-0005-0000-0000-0000E2730000}"/>
    <cellStyle name="Note 3 2 2 3 5" xfId="28919" xr:uid="{00000000-0005-0000-0000-0000E3730000}"/>
    <cellStyle name="Note 3 2 2 3 5 2" xfId="28920" xr:uid="{00000000-0005-0000-0000-0000E4730000}"/>
    <cellStyle name="Note 3 2 2 3 5 2 2" xfId="28921" xr:uid="{00000000-0005-0000-0000-0000E5730000}"/>
    <cellStyle name="Note 3 2 2 3 5 3" xfId="28922" xr:uid="{00000000-0005-0000-0000-0000E6730000}"/>
    <cellStyle name="Note 3 2 2 3 6" xfId="28923" xr:uid="{00000000-0005-0000-0000-0000E7730000}"/>
    <cellStyle name="Note 3 2 2 3 6 2" xfId="28924" xr:uid="{00000000-0005-0000-0000-0000E8730000}"/>
    <cellStyle name="Note 3 2 2 3 7" xfId="28925" xr:uid="{00000000-0005-0000-0000-0000E9730000}"/>
    <cellStyle name="Note 3 2 2 3 7 2" xfId="28926" xr:uid="{00000000-0005-0000-0000-0000EA730000}"/>
    <cellStyle name="Note 3 2 2 3 8" xfId="28927" xr:uid="{00000000-0005-0000-0000-0000EB730000}"/>
    <cellStyle name="Note 3 2 2 4" xfId="28928" xr:uid="{00000000-0005-0000-0000-0000EC730000}"/>
    <cellStyle name="Note 3 2 2 4 2" xfId="28929" xr:uid="{00000000-0005-0000-0000-0000ED730000}"/>
    <cellStyle name="Note 3 2 2 4 2 2" xfId="28930" xr:uid="{00000000-0005-0000-0000-0000EE730000}"/>
    <cellStyle name="Note 3 2 2 4 3" xfId="28931" xr:uid="{00000000-0005-0000-0000-0000EF730000}"/>
    <cellStyle name="Note 3 2 2 5" xfId="28932" xr:uid="{00000000-0005-0000-0000-0000F0730000}"/>
    <cellStyle name="Note 3 2 2 5 2" xfId="28933" xr:uid="{00000000-0005-0000-0000-0000F1730000}"/>
    <cellStyle name="Note 3 2 2 5 2 2" xfId="28934" xr:uid="{00000000-0005-0000-0000-0000F2730000}"/>
    <cellStyle name="Note 3 2 2 5 3" xfId="28935" xr:uid="{00000000-0005-0000-0000-0000F3730000}"/>
    <cellStyle name="Note 3 2 2 6" xfId="28936" xr:uid="{00000000-0005-0000-0000-0000F4730000}"/>
    <cellStyle name="Note 3 2 2 6 2" xfId="28937" xr:uid="{00000000-0005-0000-0000-0000F5730000}"/>
    <cellStyle name="Note 3 2 2 6 2 2" xfId="28938" xr:uid="{00000000-0005-0000-0000-0000F6730000}"/>
    <cellStyle name="Note 3 2 2 6 3" xfId="28939" xr:uid="{00000000-0005-0000-0000-0000F7730000}"/>
    <cellStyle name="Note 3 2 2 7" xfId="28940" xr:uid="{00000000-0005-0000-0000-0000F8730000}"/>
    <cellStyle name="Note 3 2 2 7 2" xfId="28941" xr:uid="{00000000-0005-0000-0000-0000F9730000}"/>
    <cellStyle name="Note 3 2 2 7 2 2" xfId="28942" xr:uid="{00000000-0005-0000-0000-0000FA730000}"/>
    <cellStyle name="Note 3 2 2 7 3" xfId="28943" xr:uid="{00000000-0005-0000-0000-0000FB730000}"/>
    <cellStyle name="Note 3 2 2 8" xfId="28944" xr:uid="{00000000-0005-0000-0000-0000FC730000}"/>
    <cellStyle name="Note 3 2 2 8 2" xfId="28945" xr:uid="{00000000-0005-0000-0000-0000FD730000}"/>
    <cellStyle name="Note 3 2 2 8 2 2" xfId="28946" xr:uid="{00000000-0005-0000-0000-0000FE730000}"/>
    <cellStyle name="Note 3 2 2 8 2 2 2" xfId="28947" xr:uid="{00000000-0005-0000-0000-0000FF730000}"/>
    <cellStyle name="Note 3 2 2 8 2 3" xfId="28948" xr:uid="{00000000-0005-0000-0000-000000740000}"/>
    <cellStyle name="Note 3 2 2 8 3" xfId="28949" xr:uid="{00000000-0005-0000-0000-000001740000}"/>
    <cellStyle name="Note 3 2 2 8 3 2" xfId="28950" xr:uid="{00000000-0005-0000-0000-000002740000}"/>
    <cellStyle name="Note 3 2 2 8 3 2 2" xfId="28951" xr:uid="{00000000-0005-0000-0000-000003740000}"/>
    <cellStyle name="Note 3 2 2 8 3 3" xfId="28952" xr:uid="{00000000-0005-0000-0000-000004740000}"/>
    <cellStyle name="Note 3 2 2 8 4" xfId="28953" xr:uid="{00000000-0005-0000-0000-000005740000}"/>
    <cellStyle name="Note 3 2 2 8 4 2" xfId="28954" xr:uid="{00000000-0005-0000-0000-000006740000}"/>
    <cellStyle name="Note 3 2 2 8 4 2 2" xfId="28955" xr:uid="{00000000-0005-0000-0000-000007740000}"/>
    <cellStyle name="Note 3 2 2 8 4 3" xfId="28956" xr:uid="{00000000-0005-0000-0000-000008740000}"/>
    <cellStyle name="Note 3 2 2 8 5" xfId="28957" xr:uid="{00000000-0005-0000-0000-000009740000}"/>
    <cellStyle name="Note 3 2 2 8 5 2" xfId="28958" xr:uid="{00000000-0005-0000-0000-00000A740000}"/>
    <cellStyle name="Note 3 2 2 8 6" xfId="28959" xr:uid="{00000000-0005-0000-0000-00000B740000}"/>
    <cellStyle name="Note 3 2 2 8 6 2" xfId="28960" xr:uid="{00000000-0005-0000-0000-00000C740000}"/>
    <cellStyle name="Note 3 2 2 8 7" xfId="28961" xr:uid="{00000000-0005-0000-0000-00000D740000}"/>
    <cellStyle name="Note 3 2 2 9" xfId="28962" xr:uid="{00000000-0005-0000-0000-00000E740000}"/>
    <cellStyle name="Note 3 2 2 9 2" xfId="28963" xr:uid="{00000000-0005-0000-0000-00000F740000}"/>
    <cellStyle name="Note 3 2 2 9 2 2" xfId="28964" xr:uid="{00000000-0005-0000-0000-000010740000}"/>
    <cellStyle name="Note 3 2 2 9 3" xfId="28965" xr:uid="{00000000-0005-0000-0000-000011740000}"/>
    <cellStyle name="Note 3 2 3" xfId="28966" xr:uid="{00000000-0005-0000-0000-000012740000}"/>
    <cellStyle name="Note 3 2 3 2" xfId="28967" xr:uid="{00000000-0005-0000-0000-000013740000}"/>
    <cellStyle name="Note 3 2 3 2 2" xfId="28968" xr:uid="{00000000-0005-0000-0000-000014740000}"/>
    <cellStyle name="Note 3 2 3 3" xfId="28969" xr:uid="{00000000-0005-0000-0000-000015740000}"/>
    <cellStyle name="Note 3 2 4" xfId="28970" xr:uid="{00000000-0005-0000-0000-000016740000}"/>
    <cellStyle name="Note 3 2 4 10" xfId="28971" xr:uid="{00000000-0005-0000-0000-000017740000}"/>
    <cellStyle name="Note 3 2 4 10 2" xfId="28972" xr:uid="{00000000-0005-0000-0000-000018740000}"/>
    <cellStyle name="Note 3 2 4 11" xfId="28973" xr:uid="{00000000-0005-0000-0000-000019740000}"/>
    <cellStyle name="Note 3 2 4 11 2" xfId="28974" xr:uid="{00000000-0005-0000-0000-00001A740000}"/>
    <cellStyle name="Note 3 2 4 12" xfId="28975" xr:uid="{00000000-0005-0000-0000-00001B740000}"/>
    <cellStyle name="Note 3 2 4 2" xfId="28976" xr:uid="{00000000-0005-0000-0000-00001C740000}"/>
    <cellStyle name="Note 3 2 4 2 2" xfId="28977" xr:uid="{00000000-0005-0000-0000-00001D740000}"/>
    <cellStyle name="Note 3 2 4 2 2 2" xfId="28978" xr:uid="{00000000-0005-0000-0000-00001E740000}"/>
    <cellStyle name="Note 3 2 4 2 2 2 2" xfId="28979" xr:uid="{00000000-0005-0000-0000-00001F740000}"/>
    <cellStyle name="Note 3 2 4 2 2 2 2 2" xfId="28980" xr:uid="{00000000-0005-0000-0000-000020740000}"/>
    <cellStyle name="Note 3 2 4 2 2 2 3" xfId="28981" xr:uid="{00000000-0005-0000-0000-000021740000}"/>
    <cellStyle name="Note 3 2 4 2 2 3" xfId="28982" xr:uid="{00000000-0005-0000-0000-000022740000}"/>
    <cellStyle name="Note 3 2 4 2 2 3 2" xfId="28983" xr:uid="{00000000-0005-0000-0000-000023740000}"/>
    <cellStyle name="Note 3 2 4 2 2 3 2 2" xfId="28984" xr:uid="{00000000-0005-0000-0000-000024740000}"/>
    <cellStyle name="Note 3 2 4 2 2 3 3" xfId="28985" xr:uid="{00000000-0005-0000-0000-000025740000}"/>
    <cellStyle name="Note 3 2 4 2 2 4" xfId="28986" xr:uid="{00000000-0005-0000-0000-000026740000}"/>
    <cellStyle name="Note 3 2 4 2 2 4 2" xfId="28987" xr:uid="{00000000-0005-0000-0000-000027740000}"/>
    <cellStyle name="Note 3 2 4 2 2 4 2 2" xfId="28988" xr:uid="{00000000-0005-0000-0000-000028740000}"/>
    <cellStyle name="Note 3 2 4 2 2 4 3" xfId="28989" xr:uid="{00000000-0005-0000-0000-000029740000}"/>
    <cellStyle name="Note 3 2 4 2 2 5" xfId="28990" xr:uid="{00000000-0005-0000-0000-00002A740000}"/>
    <cellStyle name="Note 3 2 4 2 2 5 2" xfId="28991" xr:uid="{00000000-0005-0000-0000-00002B740000}"/>
    <cellStyle name="Note 3 2 4 2 2 6" xfId="28992" xr:uid="{00000000-0005-0000-0000-00002C740000}"/>
    <cellStyle name="Note 3 2 4 2 2 6 2" xfId="28993" xr:uid="{00000000-0005-0000-0000-00002D740000}"/>
    <cellStyle name="Note 3 2 4 2 2 7" xfId="28994" xr:uid="{00000000-0005-0000-0000-00002E740000}"/>
    <cellStyle name="Note 3 2 4 2 3" xfId="28995" xr:uid="{00000000-0005-0000-0000-00002F740000}"/>
    <cellStyle name="Note 3 2 4 2 3 2" xfId="28996" xr:uid="{00000000-0005-0000-0000-000030740000}"/>
    <cellStyle name="Note 3 2 4 2 3 2 2" xfId="28997" xr:uid="{00000000-0005-0000-0000-000031740000}"/>
    <cellStyle name="Note 3 2 4 2 3 3" xfId="28998" xr:uid="{00000000-0005-0000-0000-000032740000}"/>
    <cellStyle name="Note 3 2 4 2 4" xfId="28999" xr:uid="{00000000-0005-0000-0000-000033740000}"/>
    <cellStyle name="Note 3 2 4 2 4 2" xfId="29000" xr:uid="{00000000-0005-0000-0000-000034740000}"/>
    <cellStyle name="Note 3 2 4 2 4 2 2" xfId="29001" xr:uid="{00000000-0005-0000-0000-000035740000}"/>
    <cellStyle name="Note 3 2 4 2 4 3" xfId="29002" xr:uid="{00000000-0005-0000-0000-000036740000}"/>
    <cellStyle name="Note 3 2 4 2 5" xfId="29003" xr:uid="{00000000-0005-0000-0000-000037740000}"/>
    <cellStyle name="Note 3 2 4 2 5 2" xfId="29004" xr:uid="{00000000-0005-0000-0000-000038740000}"/>
    <cellStyle name="Note 3 2 4 2 5 2 2" xfId="29005" xr:uid="{00000000-0005-0000-0000-000039740000}"/>
    <cellStyle name="Note 3 2 4 2 5 3" xfId="29006" xr:uid="{00000000-0005-0000-0000-00003A740000}"/>
    <cellStyle name="Note 3 2 4 2 6" xfId="29007" xr:uid="{00000000-0005-0000-0000-00003B740000}"/>
    <cellStyle name="Note 3 2 4 2 6 2" xfId="29008" xr:uid="{00000000-0005-0000-0000-00003C740000}"/>
    <cellStyle name="Note 3 2 4 2 7" xfId="29009" xr:uid="{00000000-0005-0000-0000-00003D740000}"/>
    <cellStyle name="Note 3 2 4 2 7 2" xfId="29010" xr:uid="{00000000-0005-0000-0000-00003E740000}"/>
    <cellStyle name="Note 3 2 4 2 8" xfId="29011" xr:uid="{00000000-0005-0000-0000-00003F740000}"/>
    <cellStyle name="Note 3 2 4 3" xfId="29012" xr:uid="{00000000-0005-0000-0000-000040740000}"/>
    <cellStyle name="Note 3 2 4 3 2" xfId="29013" xr:uid="{00000000-0005-0000-0000-000041740000}"/>
    <cellStyle name="Note 3 2 4 3 2 2" xfId="29014" xr:uid="{00000000-0005-0000-0000-000042740000}"/>
    <cellStyle name="Note 3 2 4 3 3" xfId="29015" xr:uid="{00000000-0005-0000-0000-000043740000}"/>
    <cellStyle name="Note 3 2 4 4" xfId="29016" xr:uid="{00000000-0005-0000-0000-000044740000}"/>
    <cellStyle name="Note 3 2 4 4 2" xfId="29017" xr:uid="{00000000-0005-0000-0000-000045740000}"/>
    <cellStyle name="Note 3 2 4 4 2 2" xfId="29018" xr:uid="{00000000-0005-0000-0000-000046740000}"/>
    <cellStyle name="Note 3 2 4 4 3" xfId="29019" xr:uid="{00000000-0005-0000-0000-000047740000}"/>
    <cellStyle name="Note 3 2 4 5" xfId="29020" xr:uid="{00000000-0005-0000-0000-000048740000}"/>
    <cellStyle name="Note 3 2 4 5 2" xfId="29021" xr:uid="{00000000-0005-0000-0000-000049740000}"/>
    <cellStyle name="Note 3 2 4 5 2 2" xfId="29022" xr:uid="{00000000-0005-0000-0000-00004A740000}"/>
    <cellStyle name="Note 3 2 4 5 3" xfId="29023" xr:uid="{00000000-0005-0000-0000-00004B740000}"/>
    <cellStyle name="Note 3 2 4 6" xfId="29024" xr:uid="{00000000-0005-0000-0000-00004C740000}"/>
    <cellStyle name="Note 3 2 4 6 2" xfId="29025" xr:uid="{00000000-0005-0000-0000-00004D740000}"/>
    <cellStyle name="Note 3 2 4 6 2 2" xfId="29026" xr:uid="{00000000-0005-0000-0000-00004E740000}"/>
    <cellStyle name="Note 3 2 4 6 3" xfId="29027" xr:uid="{00000000-0005-0000-0000-00004F740000}"/>
    <cellStyle name="Note 3 2 4 7" xfId="29028" xr:uid="{00000000-0005-0000-0000-000050740000}"/>
    <cellStyle name="Note 3 2 4 7 2" xfId="29029" xr:uid="{00000000-0005-0000-0000-000051740000}"/>
    <cellStyle name="Note 3 2 4 7 2 2" xfId="29030" xr:uid="{00000000-0005-0000-0000-000052740000}"/>
    <cellStyle name="Note 3 2 4 7 2 2 2" xfId="29031" xr:uid="{00000000-0005-0000-0000-000053740000}"/>
    <cellStyle name="Note 3 2 4 7 2 3" xfId="29032" xr:uid="{00000000-0005-0000-0000-000054740000}"/>
    <cellStyle name="Note 3 2 4 7 3" xfId="29033" xr:uid="{00000000-0005-0000-0000-000055740000}"/>
    <cellStyle name="Note 3 2 4 7 3 2" xfId="29034" xr:uid="{00000000-0005-0000-0000-000056740000}"/>
    <cellStyle name="Note 3 2 4 7 3 2 2" xfId="29035" xr:uid="{00000000-0005-0000-0000-000057740000}"/>
    <cellStyle name="Note 3 2 4 7 3 3" xfId="29036" xr:uid="{00000000-0005-0000-0000-000058740000}"/>
    <cellStyle name="Note 3 2 4 7 4" xfId="29037" xr:uid="{00000000-0005-0000-0000-000059740000}"/>
    <cellStyle name="Note 3 2 4 7 4 2" xfId="29038" xr:uid="{00000000-0005-0000-0000-00005A740000}"/>
    <cellStyle name="Note 3 2 4 7 4 2 2" xfId="29039" xr:uid="{00000000-0005-0000-0000-00005B740000}"/>
    <cellStyle name="Note 3 2 4 7 4 3" xfId="29040" xr:uid="{00000000-0005-0000-0000-00005C740000}"/>
    <cellStyle name="Note 3 2 4 7 5" xfId="29041" xr:uid="{00000000-0005-0000-0000-00005D740000}"/>
    <cellStyle name="Note 3 2 4 7 5 2" xfId="29042" xr:uid="{00000000-0005-0000-0000-00005E740000}"/>
    <cellStyle name="Note 3 2 4 7 6" xfId="29043" xr:uid="{00000000-0005-0000-0000-00005F740000}"/>
    <cellStyle name="Note 3 2 4 7 6 2" xfId="29044" xr:uid="{00000000-0005-0000-0000-000060740000}"/>
    <cellStyle name="Note 3 2 4 7 7" xfId="29045" xr:uid="{00000000-0005-0000-0000-000061740000}"/>
    <cellStyle name="Note 3 2 4 8" xfId="29046" xr:uid="{00000000-0005-0000-0000-000062740000}"/>
    <cellStyle name="Note 3 2 4 8 2" xfId="29047" xr:uid="{00000000-0005-0000-0000-000063740000}"/>
    <cellStyle name="Note 3 2 4 8 2 2" xfId="29048" xr:uid="{00000000-0005-0000-0000-000064740000}"/>
    <cellStyle name="Note 3 2 4 8 3" xfId="29049" xr:uid="{00000000-0005-0000-0000-000065740000}"/>
    <cellStyle name="Note 3 2 4 9" xfId="29050" xr:uid="{00000000-0005-0000-0000-000066740000}"/>
    <cellStyle name="Note 3 2 4 9 2" xfId="29051" xr:uid="{00000000-0005-0000-0000-000067740000}"/>
    <cellStyle name="Note 3 2 4 9 2 2" xfId="29052" xr:uid="{00000000-0005-0000-0000-000068740000}"/>
    <cellStyle name="Note 3 2 4 9 3" xfId="29053" xr:uid="{00000000-0005-0000-0000-000069740000}"/>
    <cellStyle name="Note 3 2 5" xfId="29054" xr:uid="{00000000-0005-0000-0000-00006A740000}"/>
    <cellStyle name="Note 3 2 5 2" xfId="29055" xr:uid="{00000000-0005-0000-0000-00006B740000}"/>
    <cellStyle name="Note 3 2 5 2 2" xfId="29056" xr:uid="{00000000-0005-0000-0000-00006C740000}"/>
    <cellStyle name="Note 3 2 5 2 2 2" xfId="29057" xr:uid="{00000000-0005-0000-0000-00006D740000}"/>
    <cellStyle name="Note 3 2 5 2 2 2 2" xfId="29058" xr:uid="{00000000-0005-0000-0000-00006E740000}"/>
    <cellStyle name="Note 3 2 5 2 2 3" xfId="29059" xr:uid="{00000000-0005-0000-0000-00006F740000}"/>
    <cellStyle name="Note 3 2 5 2 3" xfId="29060" xr:uid="{00000000-0005-0000-0000-000070740000}"/>
    <cellStyle name="Note 3 2 5 2 3 2" xfId="29061" xr:uid="{00000000-0005-0000-0000-000071740000}"/>
    <cellStyle name="Note 3 2 5 2 3 2 2" xfId="29062" xr:uid="{00000000-0005-0000-0000-000072740000}"/>
    <cellStyle name="Note 3 2 5 2 3 3" xfId="29063" xr:uid="{00000000-0005-0000-0000-000073740000}"/>
    <cellStyle name="Note 3 2 5 2 4" xfId="29064" xr:uid="{00000000-0005-0000-0000-000074740000}"/>
    <cellStyle name="Note 3 2 5 2 4 2" xfId="29065" xr:uid="{00000000-0005-0000-0000-000075740000}"/>
    <cellStyle name="Note 3 2 5 2 4 2 2" xfId="29066" xr:uid="{00000000-0005-0000-0000-000076740000}"/>
    <cellStyle name="Note 3 2 5 2 4 3" xfId="29067" xr:uid="{00000000-0005-0000-0000-000077740000}"/>
    <cellStyle name="Note 3 2 5 2 5" xfId="29068" xr:uid="{00000000-0005-0000-0000-000078740000}"/>
    <cellStyle name="Note 3 2 5 2 5 2" xfId="29069" xr:uid="{00000000-0005-0000-0000-000079740000}"/>
    <cellStyle name="Note 3 2 5 2 6" xfId="29070" xr:uid="{00000000-0005-0000-0000-00007A740000}"/>
    <cellStyle name="Note 3 2 5 2 6 2" xfId="29071" xr:uid="{00000000-0005-0000-0000-00007B740000}"/>
    <cellStyle name="Note 3 2 5 2 7" xfId="29072" xr:uid="{00000000-0005-0000-0000-00007C740000}"/>
    <cellStyle name="Note 3 2 5 3" xfId="29073" xr:uid="{00000000-0005-0000-0000-00007D740000}"/>
    <cellStyle name="Note 3 2 5 3 2" xfId="29074" xr:uid="{00000000-0005-0000-0000-00007E740000}"/>
    <cellStyle name="Note 3 2 5 3 2 2" xfId="29075" xr:uid="{00000000-0005-0000-0000-00007F740000}"/>
    <cellStyle name="Note 3 2 5 3 3" xfId="29076" xr:uid="{00000000-0005-0000-0000-000080740000}"/>
    <cellStyle name="Note 3 2 5 4" xfId="29077" xr:uid="{00000000-0005-0000-0000-000081740000}"/>
    <cellStyle name="Note 3 2 5 4 2" xfId="29078" xr:uid="{00000000-0005-0000-0000-000082740000}"/>
    <cellStyle name="Note 3 2 5 4 2 2" xfId="29079" xr:uid="{00000000-0005-0000-0000-000083740000}"/>
    <cellStyle name="Note 3 2 5 4 3" xfId="29080" xr:uid="{00000000-0005-0000-0000-000084740000}"/>
    <cellStyle name="Note 3 2 5 5" xfId="29081" xr:uid="{00000000-0005-0000-0000-000085740000}"/>
    <cellStyle name="Note 3 2 5 5 2" xfId="29082" xr:uid="{00000000-0005-0000-0000-000086740000}"/>
    <cellStyle name="Note 3 2 5 5 2 2" xfId="29083" xr:uid="{00000000-0005-0000-0000-000087740000}"/>
    <cellStyle name="Note 3 2 5 5 3" xfId="29084" xr:uid="{00000000-0005-0000-0000-000088740000}"/>
    <cellStyle name="Note 3 2 5 6" xfId="29085" xr:uid="{00000000-0005-0000-0000-000089740000}"/>
    <cellStyle name="Note 3 2 5 6 2" xfId="29086" xr:uid="{00000000-0005-0000-0000-00008A740000}"/>
    <cellStyle name="Note 3 2 5 7" xfId="29087" xr:uid="{00000000-0005-0000-0000-00008B740000}"/>
    <cellStyle name="Note 3 2 5 7 2" xfId="29088" xr:uid="{00000000-0005-0000-0000-00008C740000}"/>
    <cellStyle name="Note 3 2 5 8" xfId="29089" xr:uid="{00000000-0005-0000-0000-00008D740000}"/>
    <cellStyle name="Note 3 2 6" xfId="29090" xr:uid="{00000000-0005-0000-0000-00008E740000}"/>
    <cellStyle name="Note 3 2 6 2" xfId="29091" xr:uid="{00000000-0005-0000-0000-00008F740000}"/>
    <cellStyle name="Note 3 2 6 2 2" xfId="29092" xr:uid="{00000000-0005-0000-0000-000090740000}"/>
    <cellStyle name="Note 3 2 6 3" xfId="29093" xr:uid="{00000000-0005-0000-0000-000091740000}"/>
    <cellStyle name="Note 3 2 7" xfId="29094" xr:uid="{00000000-0005-0000-0000-000092740000}"/>
    <cellStyle name="Note 3 2 7 2" xfId="29095" xr:uid="{00000000-0005-0000-0000-000093740000}"/>
    <cellStyle name="Note 3 2 7 2 2" xfId="29096" xr:uid="{00000000-0005-0000-0000-000094740000}"/>
    <cellStyle name="Note 3 2 7 3" xfId="29097" xr:uid="{00000000-0005-0000-0000-000095740000}"/>
    <cellStyle name="Note 3 2 8" xfId="29098" xr:uid="{00000000-0005-0000-0000-000096740000}"/>
    <cellStyle name="Note 3 2 8 2" xfId="29099" xr:uid="{00000000-0005-0000-0000-000097740000}"/>
    <cellStyle name="Note 3 2 8 2 2" xfId="29100" xr:uid="{00000000-0005-0000-0000-000098740000}"/>
    <cellStyle name="Note 3 2 8 3" xfId="29101" xr:uid="{00000000-0005-0000-0000-000099740000}"/>
    <cellStyle name="Note 3 2 9" xfId="29102" xr:uid="{00000000-0005-0000-0000-00009A740000}"/>
    <cellStyle name="Note 3 2 9 2" xfId="29103" xr:uid="{00000000-0005-0000-0000-00009B740000}"/>
    <cellStyle name="Note 3 2 9 2 2" xfId="29104" xr:uid="{00000000-0005-0000-0000-00009C740000}"/>
    <cellStyle name="Note 3 2 9 2 2 2" xfId="29105" xr:uid="{00000000-0005-0000-0000-00009D740000}"/>
    <cellStyle name="Note 3 2 9 2 3" xfId="29106" xr:uid="{00000000-0005-0000-0000-00009E740000}"/>
    <cellStyle name="Note 3 2 9 3" xfId="29107" xr:uid="{00000000-0005-0000-0000-00009F740000}"/>
    <cellStyle name="Note 3 2 9 3 2" xfId="29108" xr:uid="{00000000-0005-0000-0000-0000A0740000}"/>
    <cellStyle name="Note 3 2 9 3 2 2" xfId="29109" xr:uid="{00000000-0005-0000-0000-0000A1740000}"/>
    <cellStyle name="Note 3 2 9 3 3" xfId="29110" xr:uid="{00000000-0005-0000-0000-0000A2740000}"/>
    <cellStyle name="Note 3 2 9 4" xfId="29111" xr:uid="{00000000-0005-0000-0000-0000A3740000}"/>
    <cellStyle name="Note 3 2 9 4 2" xfId="29112" xr:uid="{00000000-0005-0000-0000-0000A4740000}"/>
    <cellStyle name="Note 3 2 9 4 2 2" xfId="29113" xr:uid="{00000000-0005-0000-0000-0000A5740000}"/>
    <cellStyle name="Note 3 2 9 4 3" xfId="29114" xr:uid="{00000000-0005-0000-0000-0000A6740000}"/>
    <cellStyle name="Note 3 2 9 5" xfId="29115" xr:uid="{00000000-0005-0000-0000-0000A7740000}"/>
    <cellStyle name="Note 3 2 9 5 2" xfId="29116" xr:uid="{00000000-0005-0000-0000-0000A8740000}"/>
    <cellStyle name="Note 3 2 9 6" xfId="29117" xr:uid="{00000000-0005-0000-0000-0000A9740000}"/>
    <cellStyle name="Note 3 2 9 6 2" xfId="29118" xr:uid="{00000000-0005-0000-0000-0000AA740000}"/>
    <cellStyle name="Note 3 2 9 7" xfId="29119" xr:uid="{00000000-0005-0000-0000-0000AB740000}"/>
    <cellStyle name="Note 3 3" xfId="29120" xr:uid="{00000000-0005-0000-0000-0000AC740000}"/>
    <cellStyle name="Note 3 3 10" xfId="29121" xr:uid="{00000000-0005-0000-0000-0000AD740000}"/>
    <cellStyle name="Note 3 3 10 2" xfId="29122" xr:uid="{00000000-0005-0000-0000-0000AE740000}"/>
    <cellStyle name="Note 3 3 10 2 2" xfId="29123" xr:uid="{00000000-0005-0000-0000-0000AF740000}"/>
    <cellStyle name="Note 3 3 10 3" xfId="29124" xr:uid="{00000000-0005-0000-0000-0000B0740000}"/>
    <cellStyle name="Note 3 3 11" xfId="29125" xr:uid="{00000000-0005-0000-0000-0000B1740000}"/>
    <cellStyle name="Note 3 3 11 2" xfId="29126" xr:uid="{00000000-0005-0000-0000-0000B2740000}"/>
    <cellStyle name="Note 3 3 12" xfId="29127" xr:uid="{00000000-0005-0000-0000-0000B3740000}"/>
    <cellStyle name="Note 3 3 12 2" xfId="29128" xr:uid="{00000000-0005-0000-0000-0000B4740000}"/>
    <cellStyle name="Note 3 3 13" xfId="29129" xr:uid="{00000000-0005-0000-0000-0000B5740000}"/>
    <cellStyle name="Note 3 3 2" xfId="29130" xr:uid="{00000000-0005-0000-0000-0000B6740000}"/>
    <cellStyle name="Note 3 3 2 10" xfId="29131" xr:uid="{00000000-0005-0000-0000-0000B7740000}"/>
    <cellStyle name="Note 3 3 2 10 2" xfId="29132" xr:uid="{00000000-0005-0000-0000-0000B8740000}"/>
    <cellStyle name="Note 3 3 2 11" xfId="29133" xr:uid="{00000000-0005-0000-0000-0000B9740000}"/>
    <cellStyle name="Note 3 3 2 11 2" xfId="29134" xr:uid="{00000000-0005-0000-0000-0000BA740000}"/>
    <cellStyle name="Note 3 3 2 12" xfId="29135" xr:uid="{00000000-0005-0000-0000-0000BB740000}"/>
    <cellStyle name="Note 3 3 2 2" xfId="29136" xr:uid="{00000000-0005-0000-0000-0000BC740000}"/>
    <cellStyle name="Note 3 3 2 2 10" xfId="29137" xr:uid="{00000000-0005-0000-0000-0000BD740000}"/>
    <cellStyle name="Note 3 3 2 2 10 2" xfId="29138" xr:uid="{00000000-0005-0000-0000-0000BE740000}"/>
    <cellStyle name="Note 3 3 2 2 11" xfId="29139" xr:uid="{00000000-0005-0000-0000-0000BF740000}"/>
    <cellStyle name="Note 3 3 2 2 11 2" xfId="29140" xr:uid="{00000000-0005-0000-0000-0000C0740000}"/>
    <cellStyle name="Note 3 3 2 2 12" xfId="29141" xr:uid="{00000000-0005-0000-0000-0000C1740000}"/>
    <cellStyle name="Note 3 3 2 2 2" xfId="29142" xr:uid="{00000000-0005-0000-0000-0000C2740000}"/>
    <cellStyle name="Note 3 3 2 2 2 2" xfId="29143" xr:uid="{00000000-0005-0000-0000-0000C3740000}"/>
    <cellStyle name="Note 3 3 2 2 2 2 2" xfId="29144" xr:uid="{00000000-0005-0000-0000-0000C4740000}"/>
    <cellStyle name="Note 3 3 2 2 2 2 2 2" xfId="29145" xr:uid="{00000000-0005-0000-0000-0000C5740000}"/>
    <cellStyle name="Note 3 3 2 2 2 2 2 2 2" xfId="29146" xr:uid="{00000000-0005-0000-0000-0000C6740000}"/>
    <cellStyle name="Note 3 3 2 2 2 2 2 3" xfId="29147" xr:uid="{00000000-0005-0000-0000-0000C7740000}"/>
    <cellStyle name="Note 3 3 2 2 2 2 3" xfId="29148" xr:uid="{00000000-0005-0000-0000-0000C8740000}"/>
    <cellStyle name="Note 3 3 2 2 2 2 3 2" xfId="29149" xr:uid="{00000000-0005-0000-0000-0000C9740000}"/>
    <cellStyle name="Note 3 3 2 2 2 2 3 2 2" xfId="29150" xr:uid="{00000000-0005-0000-0000-0000CA740000}"/>
    <cellStyle name="Note 3 3 2 2 2 2 3 3" xfId="29151" xr:uid="{00000000-0005-0000-0000-0000CB740000}"/>
    <cellStyle name="Note 3 3 2 2 2 2 4" xfId="29152" xr:uid="{00000000-0005-0000-0000-0000CC740000}"/>
    <cellStyle name="Note 3 3 2 2 2 2 4 2" xfId="29153" xr:uid="{00000000-0005-0000-0000-0000CD740000}"/>
    <cellStyle name="Note 3 3 2 2 2 2 4 2 2" xfId="29154" xr:uid="{00000000-0005-0000-0000-0000CE740000}"/>
    <cellStyle name="Note 3 3 2 2 2 2 4 3" xfId="29155" xr:uid="{00000000-0005-0000-0000-0000CF740000}"/>
    <cellStyle name="Note 3 3 2 2 2 2 5" xfId="29156" xr:uid="{00000000-0005-0000-0000-0000D0740000}"/>
    <cellStyle name="Note 3 3 2 2 2 2 5 2" xfId="29157" xr:uid="{00000000-0005-0000-0000-0000D1740000}"/>
    <cellStyle name="Note 3 3 2 2 2 2 6" xfId="29158" xr:uid="{00000000-0005-0000-0000-0000D2740000}"/>
    <cellStyle name="Note 3 3 2 2 2 2 6 2" xfId="29159" xr:uid="{00000000-0005-0000-0000-0000D3740000}"/>
    <cellStyle name="Note 3 3 2 2 2 2 7" xfId="29160" xr:uid="{00000000-0005-0000-0000-0000D4740000}"/>
    <cellStyle name="Note 3 3 2 2 2 3" xfId="29161" xr:uid="{00000000-0005-0000-0000-0000D5740000}"/>
    <cellStyle name="Note 3 3 2 2 2 3 2" xfId="29162" xr:uid="{00000000-0005-0000-0000-0000D6740000}"/>
    <cellStyle name="Note 3 3 2 2 2 3 2 2" xfId="29163" xr:uid="{00000000-0005-0000-0000-0000D7740000}"/>
    <cellStyle name="Note 3 3 2 2 2 3 3" xfId="29164" xr:uid="{00000000-0005-0000-0000-0000D8740000}"/>
    <cellStyle name="Note 3 3 2 2 2 4" xfId="29165" xr:uid="{00000000-0005-0000-0000-0000D9740000}"/>
    <cellStyle name="Note 3 3 2 2 2 4 2" xfId="29166" xr:uid="{00000000-0005-0000-0000-0000DA740000}"/>
    <cellStyle name="Note 3 3 2 2 2 4 2 2" xfId="29167" xr:uid="{00000000-0005-0000-0000-0000DB740000}"/>
    <cellStyle name="Note 3 3 2 2 2 4 3" xfId="29168" xr:uid="{00000000-0005-0000-0000-0000DC740000}"/>
    <cellStyle name="Note 3 3 2 2 2 5" xfId="29169" xr:uid="{00000000-0005-0000-0000-0000DD740000}"/>
    <cellStyle name="Note 3 3 2 2 2 5 2" xfId="29170" xr:uid="{00000000-0005-0000-0000-0000DE740000}"/>
    <cellStyle name="Note 3 3 2 2 2 5 2 2" xfId="29171" xr:uid="{00000000-0005-0000-0000-0000DF740000}"/>
    <cellStyle name="Note 3 3 2 2 2 5 3" xfId="29172" xr:uid="{00000000-0005-0000-0000-0000E0740000}"/>
    <cellStyle name="Note 3 3 2 2 2 6" xfId="29173" xr:uid="{00000000-0005-0000-0000-0000E1740000}"/>
    <cellStyle name="Note 3 3 2 2 2 6 2" xfId="29174" xr:uid="{00000000-0005-0000-0000-0000E2740000}"/>
    <cellStyle name="Note 3 3 2 2 2 7" xfId="29175" xr:uid="{00000000-0005-0000-0000-0000E3740000}"/>
    <cellStyle name="Note 3 3 2 2 2 7 2" xfId="29176" xr:uid="{00000000-0005-0000-0000-0000E4740000}"/>
    <cellStyle name="Note 3 3 2 2 2 8" xfId="29177" xr:uid="{00000000-0005-0000-0000-0000E5740000}"/>
    <cellStyle name="Note 3 3 2 2 3" xfId="29178" xr:uid="{00000000-0005-0000-0000-0000E6740000}"/>
    <cellStyle name="Note 3 3 2 2 3 2" xfId="29179" xr:uid="{00000000-0005-0000-0000-0000E7740000}"/>
    <cellStyle name="Note 3 3 2 2 3 2 2" xfId="29180" xr:uid="{00000000-0005-0000-0000-0000E8740000}"/>
    <cellStyle name="Note 3 3 2 2 3 3" xfId="29181" xr:uid="{00000000-0005-0000-0000-0000E9740000}"/>
    <cellStyle name="Note 3 3 2 2 4" xfId="29182" xr:uid="{00000000-0005-0000-0000-0000EA740000}"/>
    <cellStyle name="Note 3 3 2 2 4 2" xfId="29183" xr:uid="{00000000-0005-0000-0000-0000EB740000}"/>
    <cellStyle name="Note 3 3 2 2 4 2 2" xfId="29184" xr:uid="{00000000-0005-0000-0000-0000EC740000}"/>
    <cellStyle name="Note 3 3 2 2 4 3" xfId="29185" xr:uid="{00000000-0005-0000-0000-0000ED740000}"/>
    <cellStyle name="Note 3 3 2 2 5" xfId="29186" xr:uid="{00000000-0005-0000-0000-0000EE740000}"/>
    <cellStyle name="Note 3 3 2 2 5 2" xfId="29187" xr:uid="{00000000-0005-0000-0000-0000EF740000}"/>
    <cellStyle name="Note 3 3 2 2 5 2 2" xfId="29188" xr:uid="{00000000-0005-0000-0000-0000F0740000}"/>
    <cellStyle name="Note 3 3 2 2 5 3" xfId="29189" xr:uid="{00000000-0005-0000-0000-0000F1740000}"/>
    <cellStyle name="Note 3 3 2 2 6" xfId="29190" xr:uid="{00000000-0005-0000-0000-0000F2740000}"/>
    <cellStyle name="Note 3 3 2 2 6 2" xfId="29191" xr:uid="{00000000-0005-0000-0000-0000F3740000}"/>
    <cellStyle name="Note 3 3 2 2 6 2 2" xfId="29192" xr:uid="{00000000-0005-0000-0000-0000F4740000}"/>
    <cellStyle name="Note 3 3 2 2 6 3" xfId="29193" xr:uid="{00000000-0005-0000-0000-0000F5740000}"/>
    <cellStyle name="Note 3 3 2 2 7" xfId="29194" xr:uid="{00000000-0005-0000-0000-0000F6740000}"/>
    <cellStyle name="Note 3 3 2 2 7 2" xfId="29195" xr:uid="{00000000-0005-0000-0000-0000F7740000}"/>
    <cellStyle name="Note 3 3 2 2 7 2 2" xfId="29196" xr:uid="{00000000-0005-0000-0000-0000F8740000}"/>
    <cellStyle name="Note 3 3 2 2 7 2 2 2" xfId="29197" xr:uid="{00000000-0005-0000-0000-0000F9740000}"/>
    <cellStyle name="Note 3 3 2 2 7 2 3" xfId="29198" xr:uid="{00000000-0005-0000-0000-0000FA740000}"/>
    <cellStyle name="Note 3 3 2 2 7 3" xfId="29199" xr:uid="{00000000-0005-0000-0000-0000FB740000}"/>
    <cellStyle name="Note 3 3 2 2 7 3 2" xfId="29200" xr:uid="{00000000-0005-0000-0000-0000FC740000}"/>
    <cellStyle name="Note 3 3 2 2 7 3 2 2" xfId="29201" xr:uid="{00000000-0005-0000-0000-0000FD740000}"/>
    <cellStyle name="Note 3 3 2 2 7 3 3" xfId="29202" xr:uid="{00000000-0005-0000-0000-0000FE740000}"/>
    <cellStyle name="Note 3 3 2 2 7 4" xfId="29203" xr:uid="{00000000-0005-0000-0000-0000FF740000}"/>
    <cellStyle name="Note 3 3 2 2 7 4 2" xfId="29204" xr:uid="{00000000-0005-0000-0000-000000750000}"/>
    <cellStyle name="Note 3 3 2 2 7 4 2 2" xfId="29205" xr:uid="{00000000-0005-0000-0000-000001750000}"/>
    <cellStyle name="Note 3 3 2 2 7 4 3" xfId="29206" xr:uid="{00000000-0005-0000-0000-000002750000}"/>
    <cellStyle name="Note 3 3 2 2 7 5" xfId="29207" xr:uid="{00000000-0005-0000-0000-000003750000}"/>
    <cellStyle name="Note 3 3 2 2 7 5 2" xfId="29208" xr:uid="{00000000-0005-0000-0000-000004750000}"/>
    <cellStyle name="Note 3 3 2 2 7 6" xfId="29209" xr:uid="{00000000-0005-0000-0000-000005750000}"/>
    <cellStyle name="Note 3 3 2 2 7 6 2" xfId="29210" xr:uid="{00000000-0005-0000-0000-000006750000}"/>
    <cellStyle name="Note 3 3 2 2 7 7" xfId="29211" xr:uid="{00000000-0005-0000-0000-000007750000}"/>
    <cellStyle name="Note 3 3 2 2 8" xfId="29212" xr:uid="{00000000-0005-0000-0000-000008750000}"/>
    <cellStyle name="Note 3 3 2 2 8 2" xfId="29213" xr:uid="{00000000-0005-0000-0000-000009750000}"/>
    <cellStyle name="Note 3 3 2 2 8 2 2" xfId="29214" xr:uid="{00000000-0005-0000-0000-00000A750000}"/>
    <cellStyle name="Note 3 3 2 2 8 3" xfId="29215" xr:uid="{00000000-0005-0000-0000-00000B750000}"/>
    <cellStyle name="Note 3 3 2 2 9" xfId="29216" xr:uid="{00000000-0005-0000-0000-00000C750000}"/>
    <cellStyle name="Note 3 3 2 2 9 2" xfId="29217" xr:uid="{00000000-0005-0000-0000-00000D750000}"/>
    <cellStyle name="Note 3 3 2 2 9 2 2" xfId="29218" xr:uid="{00000000-0005-0000-0000-00000E750000}"/>
    <cellStyle name="Note 3 3 2 2 9 3" xfId="29219" xr:uid="{00000000-0005-0000-0000-00000F750000}"/>
    <cellStyle name="Note 3 3 2 3" xfId="29220" xr:uid="{00000000-0005-0000-0000-000010750000}"/>
    <cellStyle name="Note 3 3 2 3 2" xfId="29221" xr:uid="{00000000-0005-0000-0000-000011750000}"/>
    <cellStyle name="Note 3 3 2 3 2 2" xfId="29222" xr:uid="{00000000-0005-0000-0000-000012750000}"/>
    <cellStyle name="Note 3 3 2 3 2 2 2" xfId="29223" xr:uid="{00000000-0005-0000-0000-000013750000}"/>
    <cellStyle name="Note 3 3 2 3 2 2 2 2" xfId="29224" xr:uid="{00000000-0005-0000-0000-000014750000}"/>
    <cellStyle name="Note 3 3 2 3 2 2 3" xfId="29225" xr:uid="{00000000-0005-0000-0000-000015750000}"/>
    <cellStyle name="Note 3 3 2 3 2 3" xfId="29226" xr:uid="{00000000-0005-0000-0000-000016750000}"/>
    <cellStyle name="Note 3 3 2 3 2 3 2" xfId="29227" xr:uid="{00000000-0005-0000-0000-000017750000}"/>
    <cellStyle name="Note 3 3 2 3 2 3 2 2" xfId="29228" xr:uid="{00000000-0005-0000-0000-000018750000}"/>
    <cellStyle name="Note 3 3 2 3 2 3 3" xfId="29229" xr:uid="{00000000-0005-0000-0000-000019750000}"/>
    <cellStyle name="Note 3 3 2 3 2 4" xfId="29230" xr:uid="{00000000-0005-0000-0000-00001A750000}"/>
    <cellStyle name="Note 3 3 2 3 2 4 2" xfId="29231" xr:uid="{00000000-0005-0000-0000-00001B750000}"/>
    <cellStyle name="Note 3 3 2 3 2 4 2 2" xfId="29232" xr:uid="{00000000-0005-0000-0000-00001C750000}"/>
    <cellStyle name="Note 3 3 2 3 2 4 3" xfId="29233" xr:uid="{00000000-0005-0000-0000-00001D750000}"/>
    <cellStyle name="Note 3 3 2 3 2 5" xfId="29234" xr:uid="{00000000-0005-0000-0000-00001E750000}"/>
    <cellStyle name="Note 3 3 2 3 2 5 2" xfId="29235" xr:uid="{00000000-0005-0000-0000-00001F750000}"/>
    <cellStyle name="Note 3 3 2 3 2 6" xfId="29236" xr:uid="{00000000-0005-0000-0000-000020750000}"/>
    <cellStyle name="Note 3 3 2 3 2 6 2" xfId="29237" xr:uid="{00000000-0005-0000-0000-000021750000}"/>
    <cellStyle name="Note 3 3 2 3 2 7" xfId="29238" xr:uid="{00000000-0005-0000-0000-000022750000}"/>
    <cellStyle name="Note 3 3 2 3 3" xfId="29239" xr:uid="{00000000-0005-0000-0000-000023750000}"/>
    <cellStyle name="Note 3 3 2 3 3 2" xfId="29240" xr:uid="{00000000-0005-0000-0000-000024750000}"/>
    <cellStyle name="Note 3 3 2 3 3 2 2" xfId="29241" xr:uid="{00000000-0005-0000-0000-000025750000}"/>
    <cellStyle name="Note 3 3 2 3 3 3" xfId="29242" xr:uid="{00000000-0005-0000-0000-000026750000}"/>
    <cellStyle name="Note 3 3 2 3 4" xfId="29243" xr:uid="{00000000-0005-0000-0000-000027750000}"/>
    <cellStyle name="Note 3 3 2 3 4 2" xfId="29244" xr:uid="{00000000-0005-0000-0000-000028750000}"/>
    <cellStyle name="Note 3 3 2 3 4 2 2" xfId="29245" xr:uid="{00000000-0005-0000-0000-000029750000}"/>
    <cellStyle name="Note 3 3 2 3 4 3" xfId="29246" xr:uid="{00000000-0005-0000-0000-00002A750000}"/>
    <cellStyle name="Note 3 3 2 3 5" xfId="29247" xr:uid="{00000000-0005-0000-0000-00002B750000}"/>
    <cellStyle name="Note 3 3 2 3 5 2" xfId="29248" xr:uid="{00000000-0005-0000-0000-00002C750000}"/>
    <cellStyle name="Note 3 3 2 3 5 2 2" xfId="29249" xr:uid="{00000000-0005-0000-0000-00002D750000}"/>
    <cellStyle name="Note 3 3 2 3 5 3" xfId="29250" xr:uid="{00000000-0005-0000-0000-00002E750000}"/>
    <cellStyle name="Note 3 3 2 3 6" xfId="29251" xr:uid="{00000000-0005-0000-0000-00002F750000}"/>
    <cellStyle name="Note 3 3 2 3 6 2" xfId="29252" xr:uid="{00000000-0005-0000-0000-000030750000}"/>
    <cellStyle name="Note 3 3 2 3 7" xfId="29253" xr:uid="{00000000-0005-0000-0000-000031750000}"/>
    <cellStyle name="Note 3 3 2 3 7 2" xfId="29254" xr:uid="{00000000-0005-0000-0000-000032750000}"/>
    <cellStyle name="Note 3 3 2 3 8" xfId="29255" xr:uid="{00000000-0005-0000-0000-000033750000}"/>
    <cellStyle name="Note 3 3 2 4" xfId="29256" xr:uid="{00000000-0005-0000-0000-000034750000}"/>
    <cellStyle name="Note 3 3 2 4 2" xfId="29257" xr:uid="{00000000-0005-0000-0000-000035750000}"/>
    <cellStyle name="Note 3 3 2 4 2 2" xfId="29258" xr:uid="{00000000-0005-0000-0000-000036750000}"/>
    <cellStyle name="Note 3 3 2 4 3" xfId="29259" xr:uid="{00000000-0005-0000-0000-000037750000}"/>
    <cellStyle name="Note 3 3 2 5" xfId="29260" xr:uid="{00000000-0005-0000-0000-000038750000}"/>
    <cellStyle name="Note 3 3 2 5 2" xfId="29261" xr:uid="{00000000-0005-0000-0000-000039750000}"/>
    <cellStyle name="Note 3 3 2 5 2 2" xfId="29262" xr:uid="{00000000-0005-0000-0000-00003A750000}"/>
    <cellStyle name="Note 3 3 2 5 3" xfId="29263" xr:uid="{00000000-0005-0000-0000-00003B750000}"/>
    <cellStyle name="Note 3 3 2 6" xfId="29264" xr:uid="{00000000-0005-0000-0000-00003C750000}"/>
    <cellStyle name="Note 3 3 2 6 2" xfId="29265" xr:uid="{00000000-0005-0000-0000-00003D750000}"/>
    <cellStyle name="Note 3 3 2 6 2 2" xfId="29266" xr:uid="{00000000-0005-0000-0000-00003E750000}"/>
    <cellStyle name="Note 3 3 2 6 3" xfId="29267" xr:uid="{00000000-0005-0000-0000-00003F750000}"/>
    <cellStyle name="Note 3 3 2 7" xfId="29268" xr:uid="{00000000-0005-0000-0000-000040750000}"/>
    <cellStyle name="Note 3 3 2 7 2" xfId="29269" xr:uid="{00000000-0005-0000-0000-000041750000}"/>
    <cellStyle name="Note 3 3 2 7 2 2" xfId="29270" xr:uid="{00000000-0005-0000-0000-000042750000}"/>
    <cellStyle name="Note 3 3 2 7 2 2 2" xfId="29271" xr:uid="{00000000-0005-0000-0000-000043750000}"/>
    <cellStyle name="Note 3 3 2 7 2 3" xfId="29272" xr:uid="{00000000-0005-0000-0000-000044750000}"/>
    <cellStyle name="Note 3 3 2 7 3" xfId="29273" xr:uid="{00000000-0005-0000-0000-000045750000}"/>
    <cellStyle name="Note 3 3 2 7 3 2" xfId="29274" xr:uid="{00000000-0005-0000-0000-000046750000}"/>
    <cellStyle name="Note 3 3 2 7 3 2 2" xfId="29275" xr:uid="{00000000-0005-0000-0000-000047750000}"/>
    <cellStyle name="Note 3 3 2 7 3 3" xfId="29276" xr:uid="{00000000-0005-0000-0000-000048750000}"/>
    <cellStyle name="Note 3 3 2 7 4" xfId="29277" xr:uid="{00000000-0005-0000-0000-000049750000}"/>
    <cellStyle name="Note 3 3 2 7 4 2" xfId="29278" xr:uid="{00000000-0005-0000-0000-00004A750000}"/>
    <cellStyle name="Note 3 3 2 7 4 2 2" xfId="29279" xr:uid="{00000000-0005-0000-0000-00004B750000}"/>
    <cellStyle name="Note 3 3 2 7 4 3" xfId="29280" xr:uid="{00000000-0005-0000-0000-00004C750000}"/>
    <cellStyle name="Note 3 3 2 7 5" xfId="29281" xr:uid="{00000000-0005-0000-0000-00004D750000}"/>
    <cellStyle name="Note 3 3 2 7 5 2" xfId="29282" xr:uid="{00000000-0005-0000-0000-00004E750000}"/>
    <cellStyle name="Note 3 3 2 7 6" xfId="29283" xr:uid="{00000000-0005-0000-0000-00004F750000}"/>
    <cellStyle name="Note 3 3 2 7 6 2" xfId="29284" xr:uid="{00000000-0005-0000-0000-000050750000}"/>
    <cellStyle name="Note 3 3 2 7 7" xfId="29285" xr:uid="{00000000-0005-0000-0000-000051750000}"/>
    <cellStyle name="Note 3 3 2 8" xfId="29286" xr:uid="{00000000-0005-0000-0000-000052750000}"/>
    <cellStyle name="Note 3 3 2 8 2" xfId="29287" xr:uid="{00000000-0005-0000-0000-000053750000}"/>
    <cellStyle name="Note 3 3 2 8 2 2" xfId="29288" xr:uid="{00000000-0005-0000-0000-000054750000}"/>
    <cellStyle name="Note 3 3 2 8 3" xfId="29289" xr:uid="{00000000-0005-0000-0000-000055750000}"/>
    <cellStyle name="Note 3 3 2 9" xfId="29290" xr:uid="{00000000-0005-0000-0000-000056750000}"/>
    <cellStyle name="Note 3 3 2 9 2" xfId="29291" xr:uid="{00000000-0005-0000-0000-000057750000}"/>
    <cellStyle name="Note 3 3 2 9 2 2" xfId="29292" xr:uid="{00000000-0005-0000-0000-000058750000}"/>
    <cellStyle name="Note 3 3 2 9 3" xfId="29293" xr:uid="{00000000-0005-0000-0000-000059750000}"/>
    <cellStyle name="Note 3 3 3" xfId="29294" xr:uid="{00000000-0005-0000-0000-00005A750000}"/>
    <cellStyle name="Note 3 3 3 2" xfId="29295" xr:uid="{00000000-0005-0000-0000-00005B750000}"/>
    <cellStyle name="Note 3 3 3 2 2" xfId="29296" xr:uid="{00000000-0005-0000-0000-00005C750000}"/>
    <cellStyle name="Note 3 3 3 2 2 2" xfId="29297" xr:uid="{00000000-0005-0000-0000-00005D750000}"/>
    <cellStyle name="Note 3 3 3 2 2 2 2" xfId="29298" xr:uid="{00000000-0005-0000-0000-00005E750000}"/>
    <cellStyle name="Note 3 3 3 2 2 3" xfId="29299" xr:uid="{00000000-0005-0000-0000-00005F750000}"/>
    <cellStyle name="Note 3 3 3 2 3" xfId="29300" xr:uid="{00000000-0005-0000-0000-000060750000}"/>
    <cellStyle name="Note 3 3 3 2 3 2" xfId="29301" xr:uid="{00000000-0005-0000-0000-000061750000}"/>
    <cellStyle name="Note 3 3 3 2 3 2 2" xfId="29302" xr:uid="{00000000-0005-0000-0000-000062750000}"/>
    <cellStyle name="Note 3 3 3 2 3 3" xfId="29303" xr:uid="{00000000-0005-0000-0000-000063750000}"/>
    <cellStyle name="Note 3 3 3 2 4" xfId="29304" xr:uid="{00000000-0005-0000-0000-000064750000}"/>
    <cellStyle name="Note 3 3 3 2 4 2" xfId="29305" xr:uid="{00000000-0005-0000-0000-000065750000}"/>
    <cellStyle name="Note 3 3 3 2 4 2 2" xfId="29306" xr:uid="{00000000-0005-0000-0000-000066750000}"/>
    <cellStyle name="Note 3 3 3 2 4 3" xfId="29307" xr:uid="{00000000-0005-0000-0000-000067750000}"/>
    <cellStyle name="Note 3 3 3 2 5" xfId="29308" xr:uid="{00000000-0005-0000-0000-000068750000}"/>
    <cellStyle name="Note 3 3 3 2 5 2" xfId="29309" xr:uid="{00000000-0005-0000-0000-000069750000}"/>
    <cellStyle name="Note 3 3 3 2 6" xfId="29310" xr:uid="{00000000-0005-0000-0000-00006A750000}"/>
    <cellStyle name="Note 3 3 3 2 6 2" xfId="29311" xr:uid="{00000000-0005-0000-0000-00006B750000}"/>
    <cellStyle name="Note 3 3 3 2 7" xfId="29312" xr:uid="{00000000-0005-0000-0000-00006C750000}"/>
    <cellStyle name="Note 3 3 3 3" xfId="29313" xr:uid="{00000000-0005-0000-0000-00006D750000}"/>
    <cellStyle name="Note 3 3 3 3 2" xfId="29314" xr:uid="{00000000-0005-0000-0000-00006E750000}"/>
    <cellStyle name="Note 3 3 3 3 2 2" xfId="29315" xr:uid="{00000000-0005-0000-0000-00006F750000}"/>
    <cellStyle name="Note 3 3 3 3 3" xfId="29316" xr:uid="{00000000-0005-0000-0000-000070750000}"/>
    <cellStyle name="Note 3 3 3 4" xfId="29317" xr:uid="{00000000-0005-0000-0000-000071750000}"/>
    <cellStyle name="Note 3 3 3 4 2" xfId="29318" xr:uid="{00000000-0005-0000-0000-000072750000}"/>
    <cellStyle name="Note 3 3 3 4 2 2" xfId="29319" xr:uid="{00000000-0005-0000-0000-000073750000}"/>
    <cellStyle name="Note 3 3 3 4 3" xfId="29320" xr:uid="{00000000-0005-0000-0000-000074750000}"/>
    <cellStyle name="Note 3 3 3 5" xfId="29321" xr:uid="{00000000-0005-0000-0000-000075750000}"/>
    <cellStyle name="Note 3 3 3 5 2" xfId="29322" xr:uid="{00000000-0005-0000-0000-000076750000}"/>
    <cellStyle name="Note 3 3 3 5 2 2" xfId="29323" xr:uid="{00000000-0005-0000-0000-000077750000}"/>
    <cellStyle name="Note 3 3 3 5 3" xfId="29324" xr:uid="{00000000-0005-0000-0000-000078750000}"/>
    <cellStyle name="Note 3 3 3 6" xfId="29325" xr:uid="{00000000-0005-0000-0000-000079750000}"/>
    <cellStyle name="Note 3 3 3 6 2" xfId="29326" xr:uid="{00000000-0005-0000-0000-00007A750000}"/>
    <cellStyle name="Note 3 3 3 7" xfId="29327" xr:uid="{00000000-0005-0000-0000-00007B750000}"/>
    <cellStyle name="Note 3 3 3 7 2" xfId="29328" xr:uid="{00000000-0005-0000-0000-00007C750000}"/>
    <cellStyle name="Note 3 3 3 8" xfId="29329" xr:uid="{00000000-0005-0000-0000-00007D750000}"/>
    <cellStyle name="Note 3 3 4" xfId="29330" xr:uid="{00000000-0005-0000-0000-00007E750000}"/>
    <cellStyle name="Note 3 3 4 2" xfId="29331" xr:uid="{00000000-0005-0000-0000-00007F750000}"/>
    <cellStyle name="Note 3 3 4 2 2" xfId="29332" xr:uid="{00000000-0005-0000-0000-000080750000}"/>
    <cellStyle name="Note 3 3 4 3" xfId="29333" xr:uid="{00000000-0005-0000-0000-000081750000}"/>
    <cellStyle name="Note 3 3 5" xfId="29334" xr:uid="{00000000-0005-0000-0000-000082750000}"/>
    <cellStyle name="Note 3 3 5 2" xfId="29335" xr:uid="{00000000-0005-0000-0000-000083750000}"/>
    <cellStyle name="Note 3 3 5 2 2" xfId="29336" xr:uid="{00000000-0005-0000-0000-000084750000}"/>
    <cellStyle name="Note 3 3 5 3" xfId="29337" xr:uid="{00000000-0005-0000-0000-000085750000}"/>
    <cellStyle name="Note 3 3 6" xfId="29338" xr:uid="{00000000-0005-0000-0000-000086750000}"/>
    <cellStyle name="Note 3 3 6 2" xfId="29339" xr:uid="{00000000-0005-0000-0000-000087750000}"/>
    <cellStyle name="Note 3 3 6 2 2" xfId="29340" xr:uid="{00000000-0005-0000-0000-000088750000}"/>
    <cellStyle name="Note 3 3 6 3" xfId="29341" xr:uid="{00000000-0005-0000-0000-000089750000}"/>
    <cellStyle name="Note 3 3 7" xfId="29342" xr:uid="{00000000-0005-0000-0000-00008A750000}"/>
    <cellStyle name="Note 3 3 7 2" xfId="29343" xr:uid="{00000000-0005-0000-0000-00008B750000}"/>
    <cellStyle name="Note 3 3 7 2 2" xfId="29344" xr:uid="{00000000-0005-0000-0000-00008C750000}"/>
    <cellStyle name="Note 3 3 7 3" xfId="29345" xr:uid="{00000000-0005-0000-0000-00008D750000}"/>
    <cellStyle name="Note 3 3 8" xfId="29346" xr:uid="{00000000-0005-0000-0000-00008E750000}"/>
    <cellStyle name="Note 3 3 8 2" xfId="29347" xr:uid="{00000000-0005-0000-0000-00008F750000}"/>
    <cellStyle name="Note 3 3 8 2 2" xfId="29348" xr:uid="{00000000-0005-0000-0000-000090750000}"/>
    <cellStyle name="Note 3 3 8 2 2 2" xfId="29349" xr:uid="{00000000-0005-0000-0000-000091750000}"/>
    <cellStyle name="Note 3 3 8 2 3" xfId="29350" xr:uid="{00000000-0005-0000-0000-000092750000}"/>
    <cellStyle name="Note 3 3 8 3" xfId="29351" xr:uid="{00000000-0005-0000-0000-000093750000}"/>
    <cellStyle name="Note 3 3 8 3 2" xfId="29352" xr:uid="{00000000-0005-0000-0000-000094750000}"/>
    <cellStyle name="Note 3 3 8 3 2 2" xfId="29353" xr:uid="{00000000-0005-0000-0000-000095750000}"/>
    <cellStyle name="Note 3 3 8 3 3" xfId="29354" xr:uid="{00000000-0005-0000-0000-000096750000}"/>
    <cellStyle name="Note 3 3 8 4" xfId="29355" xr:uid="{00000000-0005-0000-0000-000097750000}"/>
    <cellStyle name="Note 3 3 8 4 2" xfId="29356" xr:uid="{00000000-0005-0000-0000-000098750000}"/>
    <cellStyle name="Note 3 3 8 4 2 2" xfId="29357" xr:uid="{00000000-0005-0000-0000-000099750000}"/>
    <cellStyle name="Note 3 3 8 4 3" xfId="29358" xr:uid="{00000000-0005-0000-0000-00009A750000}"/>
    <cellStyle name="Note 3 3 8 5" xfId="29359" xr:uid="{00000000-0005-0000-0000-00009B750000}"/>
    <cellStyle name="Note 3 3 8 5 2" xfId="29360" xr:uid="{00000000-0005-0000-0000-00009C750000}"/>
    <cellStyle name="Note 3 3 8 6" xfId="29361" xr:uid="{00000000-0005-0000-0000-00009D750000}"/>
    <cellStyle name="Note 3 3 8 6 2" xfId="29362" xr:uid="{00000000-0005-0000-0000-00009E750000}"/>
    <cellStyle name="Note 3 3 8 7" xfId="29363" xr:uid="{00000000-0005-0000-0000-00009F750000}"/>
    <cellStyle name="Note 3 3 9" xfId="29364" xr:uid="{00000000-0005-0000-0000-0000A0750000}"/>
    <cellStyle name="Note 3 3 9 2" xfId="29365" xr:uid="{00000000-0005-0000-0000-0000A1750000}"/>
    <cellStyle name="Note 3 3 9 2 2" xfId="29366" xr:uid="{00000000-0005-0000-0000-0000A2750000}"/>
    <cellStyle name="Note 3 3 9 3" xfId="29367" xr:uid="{00000000-0005-0000-0000-0000A3750000}"/>
    <cellStyle name="Note 3 4" xfId="29368" xr:uid="{00000000-0005-0000-0000-0000A4750000}"/>
    <cellStyle name="Note 3 4 10" xfId="29369" xr:uid="{00000000-0005-0000-0000-0000A5750000}"/>
    <cellStyle name="Note 3 4 10 2" xfId="29370" xr:uid="{00000000-0005-0000-0000-0000A6750000}"/>
    <cellStyle name="Note 3 4 11" xfId="29371" xr:uid="{00000000-0005-0000-0000-0000A7750000}"/>
    <cellStyle name="Note 3 4 11 2" xfId="29372" xr:uid="{00000000-0005-0000-0000-0000A8750000}"/>
    <cellStyle name="Note 3 4 12" xfId="29373" xr:uid="{00000000-0005-0000-0000-0000A9750000}"/>
    <cellStyle name="Note 3 4 2" xfId="29374" xr:uid="{00000000-0005-0000-0000-0000AA750000}"/>
    <cellStyle name="Note 3 4 2 2" xfId="29375" xr:uid="{00000000-0005-0000-0000-0000AB750000}"/>
    <cellStyle name="Note 3 4 2 2 2" xfId="29376" xr:uid="{00000000-0005-0000-0000-0000AC750000}"/>
    <cellStyle name="Note 3 4 2 2 2 2" xfId="29377" xr:uid="{00000000-0005-0000-0000-0000AD750000}"/>
    <cellStyle name="Note 3 4 2 2 2 2 2" xfId="29378" xr:uid="{00000000-0005-0000-0000-0000AE750000}"/>
    <cellStyle name="Note 3 4 2 2 2 3" xfId="29379" xr:uid="{00000000-0005-0000-0000-0000AF750000}"/>
    <cellStyle name="Note 3 4 2 2 3" xfId="29380" xr:uid="{00000000-0005-0000-0000-0000B0750000}"/>
    <cellStyle name="Note 3 4 2 2 3 2" xfId="29381" xr:uid="{00000000-0005-0000-0000-0000B1750000}"/>
    <cellStyle name="Note 3 4 2 2 3 2 2" xfId="29382" xr:uid="{00000000-0005-0000-0000-0000B2750000}"/>
    <cellStyle name="Note 3 4 2 2 3 3" xfId="29383" xr:uid="{00000000-0005-0000-0000-0000B3750000}"/>
    <cellStyle name="Note 3 4 2 2 4" xfId="29384" xr:uid="{00000000-0005-0000-0000-0000B4750000}"/>
    <cellStyle name="Note 3 4 2 2 4 2" xfId="29385" xr:uid="{00000000-0005-0000-0000-0000B5750000}"/>
    <cellStyle name="Note 3 4 2 2 4 2 2" xfId="29386" xr:uid="{00000000-0005-0000-0000-0000B6750000}"/>
    <cellStyle name="Note 3 4 2 2 4 3" xfId="29387" xr:uid="{00000000-0005-0000-0000-0000B7750000}"/>
    <cellStyle name="Note 3 4 2 2 5" xfId="29388" xr:uid="{00000000-0005-0000-0000-0000B8750000}"/>
    <cellStyle name="Note 3 4 2 2 5 2" xfId="29389" xr:uid="{00000000-0005-0000-0000-0000B9750000}"/>
    <cellStyle name="Note 3 4 2 2 6" xfId="29390" xr:uid="{00000000-0005-0000-0000-0000BA750000}"/>
    <cellStyle name="Note 3 4 2 2 6 2" xfId="29391" xr:uid="{00000000-0005-0000-0000-0000BB750000}"/>
    <cellStyle name="Note 3 4 2 2 7" xfId="29392" xr:uid="{00000000-0005-0000-0000-0000BC750000}"/>
    <cellStyle name="Note 3 4 2 3" xfId="29393" xr:uid="{00000000-0005-0000-0000-0000BD750000}"/>
    <cellStyle name="Note 3 4 2 3 2" xfId="29394" xr:uid="{00000000-0005-0000-0000-0000BE750000}"/>
    <cellStyle name="Note 3 4 2 3 2 2" xfId="29395" xr:uid="{00000000-0005-0000-0000-0000BF750000}"/>
    <cellStyle name="Note 3 4 2 3 3" xfId="29396" xr:uid="{00000000-0005-0000-0000-0000C0750000}"/>
    <cellStyle name="Note 3 4 2 4" xfId="29397" xr:uid="{00000000-0005-0000-0000-0000C1750000}"/>
    <cellStyle name="Note 3 4 2 4 2" xfId="29398" xr:uid="{00000000-0005-0000-0000-0000C2750000}"/>
    <cellStyle name="Note 3 4 2 4 2 2" xfId="29399" xr:uid="{00000000-0005-0000-0000-0000C3750000}"/>
    <cellStyle name="Note 3 4 2 4 3" xfId="29400" xr:uid="{00000000-0005-0000-0000-0000C4750000}"/>
    <cellStyle name="Note 3 4 2 5" xfId="29401" xr:uid="{00000000-0005-0000-0000-0000C5750000}"/>
    <cellStyle name="Note 3 4 2 5 2" xfId="29402" xr:uid="{00000000-0005-0000-0000-0000C6750000}"/>
    <cellStyle name="Note 3 4 2 5 2 2" xfId="29403" xr:uid="{00000000-0005-0000-0000-0000C7750000}"/>
    <cellStyle name="Note 3 4 2 5 3" xfId="29404" xr:uid="{00000000-0005-0000-0000-0000C8750000}"/>
    <cellStyle name="Note 3 4 2 6" xfId="29405" xr:uid="{00000000-0005-0000-0000-0000C9750000}"/>
    <cellStyle name="Note 3 4 2 6 2" xfId="29406" xr:uid="{00000000-0005-0000-0000-0000CA750000}"/>
    <cellStyle name="Note 3 4 2 7" xfId="29407" xr:uid="{00000000-0005-0000-0000-0000CB750000}"/>
    <cellStyle name="Note 3 4 2 7 2" xfId="29408" xr:uid="{00000000-0005-0000-0000-0000CC750000}"/>
    <cellStyle name="Note 3 4 2 8" xfId="29409" xr:uid="{00000000-0005-0000-0000-0000CD750000}"/>
    <cellStyle name="Note 3 4 3" xfId="29410" xr:uid="{00000000-0005-0000-0000-0000CE750000}"/>
    <cellStyle name="Note 3 4 3 2" xfId="29411" xr:uid="{00000000-0005-0000-0000-0000CF750000}"/>
    <cellStyle name="Note 3 4 3 2 2" xfId="29412" xr:uid="{00000000-0005-0000-0000-0000D0750000}"/>
    <cellStyle name="Note 3 4 3 3" xfId="29413" xr:uid="{00000000-0005-0000-0000-0000D1750000}"/>
    <cellStyle name="Note 3 4 4" xfId="29414" xr:uid="{00000000-0005-0000-0000-0000D2750000}"/>
    <cellStyle name="Note 3 4 4 2" xfId="29415" xr:uid="{00000000-0005-0000-0000-0000D3750000}"/>
    <cellStyle name="Note 3 4 4 2 2" xfId="29416" xr:uid="{00000000-0005-0000-0000-0000D4750000}"/>
    <cellStyle name="Note 3 4 4 3" xfId="29417" xr:uid="{00000000-0005-0000-0000-0000D5750000}"/>
    <cellStyle name="Note 3 4 5" xfId="29418" xr:uid="{00000000-0005-0000-0000-0000D6750000}"/>
    <cellStyle name="Note 3 4 5 2" xfId="29419" xr:uid="{00000000-0005-0000-0000-0000D7750000}"/>
    <cellStyle name="Note 3 4 5 2 2" xfId="29420" xr:uid="{00000000-0005-0000-0000-0000D8750000}"/>
    <cellStyle name="Note 3 4 5 3" xfId="29421" xr:uid="{00000000-0005-0000-0000-0000D9750000}"/>
    <cellStyle name="Note 3 4 6" xfId="29422" xr:uid="{00000000-0005-0000-0000-0000DA750000}"/>
    <cellStyle name="Note 3 4 6 2" xfId="29423" xr:uid="{00000000-0005-0000-0000-0000DB750000}"/>
    <cellStyle name="Note 3 4 6 2 2" xfId="29424" xr:uid="{00000000-0005-0000-0000-0000DC750000}"/>
    <cellStyle name="Note 3 4 6 3" xfId="29425" xr:uid="{00000000-0005-0000-0000-0000DD750000}"/>
    <cellStyle name="Note 3 4 7" xfId="29426" xr:uid="{00000000-0005-0000-0000-0000DE750000}"/>
    <cellStyle name="Note 3 4 7 2" xfId="29427" xr:uid="{00000000-0005-0000-0000-0000DF750000}"/>
    <cellStyle name="Note 3 4 7 2 2" xfId="29428" xr:uid="{00000000-0005-0000-0000-0000E0750000}"/>
    <cellStyle name="Note 3 4 7 2 2 2" xfId="29429" xr:uid="{00000000-0005-0000-0000-0000E1750000}"/>
    <cellStyle name="Note 3 4 7 2 3" xfId="29430" xr:uid="{00000000-0005-0000-0000-0000E2750000}"/>
    <cellStyle name="Note 3 4 7 3" xfId="29431" xr:uid="{00000000-0005-0000-0000-0000E3750000}"/>
    <cellStyle name="Note 3 4 7 3 2" xfId="29432" xr:uid="{00000000-0005-0000-0000-0000E4750000}"/>
    <cellStyle name="Note 3 4 7 3 2 2" xfId="29433" xr:uid="{00000000-0005-0000-0000-0000E5750000}"/>
    <cellStyle name="Note 3 4 7 3 3" xfId="29434" xr:uid="{00000000-0005-0000-0000-0000E6750000}"/>
    <cellStyle name="Note 3 4 7 4" xfId="29435" xr:uid="{00000000-0005-0000-0000-0000E7750000}"/>
    <cellStyle name="Note 3 4 7 4 2" xfId="29436" xr:uid="{00000000-0005-0000-0000-0000E8750000}"/>
    <cellStyle name="Note 3 4 7 4 2 2" xfId="29437" xr:uid="{00000000-0005-0000-0000-0000E9750000}"/>
    <cellStyle name="Note 3 4 7 4 3" xfId="29438" xr:uid="{00000000-0005-0000-0000-0000EA750000}"/>
    <cellStyle name="Note 3 4 7 5" xfId="29439" xr:uid="{00000000-0005-0000-0000-0000EB750000}"/>
    <cellStyle name="Note 3 4 7 5 2" xfId="29440" xr:uid="{00000000-0005-0000-0000-0000EC750000}"/>
    <cellStyle name="Note 3 4 7 6" xfId="29441" xr:uid="{00000000-0005-0000-0000-0000ED750000}"/>
    <cellStyle name="Note 3 4 7 6 2" xfId="29442" xr:uid="{00000000-0005-0000-0000-0000EE750000}"/>
    <cellStyle name="Note 3 4 7 7" xfId="29443" xr:uid="{00000000-0005-0000-0000-0000EF750000}"/>
    <cellStyle name="Note 3 4 8" xfId="29444" xr:uid="{00000000-0005-0000-0000-0000F0750000}"/>
    <cellStyle name="Note 3 4 8 2" xfId="29445" xr:uid="{00000000-0005-0000-0000-0000F1750000}"/>
    <cellStyle name="Note 3 4 8 2 2" xfId="29446" xr:uid="{00000000-0005-0000-0000-0000F2750000}"/>
    <cellStyle name="Note 3 4 8 3" xfId="29447" xr:uid="{00000000-0005-0000-0000-0000F3750000}"/>
    <cellStyle name="Note 3 4 9" xfId="29448" xr:uid="{00000000-0005-0000-0000-0000F4750000}"/>
    <cellStyle name="Note 3 4 9 2" xfId="29449" xr:uid="{00000000-0005-0000-0000-0000F5750000}"/>
    <cellStyle name="Note 3 4 9 2 2" xfId="29450" xr:uid="{00000000-0005-0000-0000-0000F6750000}"/>
    <cellStyle name="Note 3 4 9 3" xfId="29451" xr:uid="{00000000-0005-0000-0000-0000F7750000}"/>
    <cellStyle name="Note 3 5" xfId="29452" xr:uid="{00000000-0005-0000-0000-0000F8750000}"/>
    <cellStyle name="Note 3 5 2" xfId="29453" xr:uid="{00000000-0005-0000-0000-0000F9750000}"/>
    <cellStyle name="Note 3 5 2 2" xfId="29454" xr:uid="{00000000-0005-0000-0000-0000FA750000}"/>
    <cellStyle name="Note 3 5 2 2 2" xfId="29455" xr:uid="{00000000-0005-0000-0000-0000FB750000}"/>
    <cellStyle name="Note 3 5 2 2 2 2" xfId="29456" xr:uid="{00000000-0005-0000-0000-0000FC750000}"/>
    <cellStyle name="Note 3 5 2 2 3" xfId="29457" xr:uid="{00000000-0005-0000-0000-0000FD750000}"/>
    <cellStyle name="Note 3 5 2 3" xfId="29458" xr:uid="{00000000-0005-0000-0000-0000FE750000}"/>
    <cellStyle name="Note 3 5 2 3 2" xfId="29459" xr:uid="{00000000-0005-0000-0000-0000FF750000}"/>
    <cellStyle name="Note 3 5 2 3 2 2" xfId="29460" xr:uid="{00000000-0005-0000-0000-000000760000}"/>
    <cellStyle name="Note 3 5 2 3 3" xfId="29461" xr:uid="{00000000-0005-0000-0000-000001760000}"/>
    <cellStyle name="Note 3 5 2 4" xfId="29462" xr:uid="{00000000-0005-0000-0000-000002760000}"/>
    <cellStyle name="Note 3 5 2 4 2" xfId="29463" xr:uid="{00000000-0005-0000-0000-000003760000}"/>
    <cellStyle name="Note 3 5 2 4 2 2" xfId="29464" xr:uid="{00000000-0005-0000-0000-000004760000}"/>
    <cellStyle name="Note 3 5 2 4 3" xfId="29465" xr:uid="{00000000-0005-0000-0000-000005760000}"/>
    <cellStyle name="Note 3 5 2 5" xfId="29466" xr:uid="{00000000-0005-0000-0000-000006760000}"/>
    <cellStyle name="Note 3 5 2 5 2" xfId="29467" xr:uid="{00000000-0005-0000-0000-000007760000}"/>
    <cellStyle name="Note 3 5 2 6" xfId="29468" xr:uid="{00000000-0005-0000-0000-000008760000}"/>
    <cellStyle name="Note 3 5 2 6 2" xfId="29469" xr:uid="{00000000-0005-0000-0000-000009760000}"/>
    <cellStyle name="Note 3 5 2 7" xfId="29470" xr:uid="{00000000-0005-0000-0000-00000A760000}"/>
    <cellStyle name="Note 3 5 3" xfId="29471" xr:uid="{00000000-0005-0000-0000-00000B760000}"/>
    <cellStyle name="Note 3 5 3 2" xfId="29472" xr:uid="{00000000-0005-0000-0000-00000C760000}"/>
    <cellStyle name="Note 3 5 3 2 2" xfId="29473" xr:uid="{00000000-0005-0000-0000-00000D760000}"/>
    <cellStyle name="Note 3 5 3 3" xfId="29474" xr:uid="{00000000-0005-0000-0000-00000E760000}"/>
    <cellStyle name="Note 3 5 4" xfId="29475" xr:uid="{00000000-0005-0000-0000-00000F760000}"/>
    <cellStyle name="Note 3 5 4 2" xfId="29476" xr:uid="{00000000-0005-0000-0000-000010760000}"/>
    <cellStyle name="Note 3 5 4 2 2" xfId="29477" xr:uid="{00000000-0005-0000-0000-000011760000}"/>
    <cellStyle name="Note 3 5 4 3" xfId="29478" xr:uid="{00000000-0005-0000-0000-000012760000}"/>
    <cellStyle name="Note 3 5 5" xfId="29479" xr:uid="{00000000-0005-0000-0000-000013760000}"/>
    <cellStyle name="Note 3 5 5 2" xfId="29480" xr:uid="{00000000-0005-0000-0000-000014760000}"/>
    <cellStyle name="Note 3 5 5 2 2" xfId="29481" xr:uid="{00000000-0005-0000-0000-000015760000}"/>
    <cellStyle name="Note 3 5 5 3" xfId="29482" xr:uid="{00000000-0005-0000-0000-000016760000}"/>
    <cellStyle name="Note 3 5 6" xfId="29483" xr:uid="{00000000-0005-0000-0000-000017760000}"/>
    <cellStyle name="Note 3 5 6 2" xfId="29484" xr:uid="{00000000-0005-0000-0000-000018760000}"/>
    <cellStyle name="Note 3 5 7" xfId="29485" xr:uid="{00000000-0005-0000-0000-000019760000}"/>
    <cellStyle name="Note 3 5 7 2" xfId="29486" xr:uid="{00000000-0005-0000-0000-00001A760000}"/>
    <cellStyle name="Note 3 5 8" xfId="29487" xr:uid="{00000000-0005-0000-0000-00001B760000}"/>
    <cellStyle name="Note 3 6" xfId="29488" xr:uid="{00000000-0005-0000-0000-00001C760000}"/>
    <cellStyle name="Note 3 6 2" xfId="29489" xr:uid="{00000000-0005-0000-0000-00001D760000}"/>
    <cellStyle name="Note 3 6 2 2" xfId="29490" xr:uid="{00000000-0005-0000-0000-00001E760000}"/>
    <cellStyle name="Note 3 6 3" xfId="29491" xr:uid="{00000000-0005-0000-0000-00001F760000}"/>
    <cellStyle name="Note 3 7" xfId="29492" xr:uid="{00000000-0005-0000-0000-000020760000}"/>
    <cellStyle name="Note 3 7 2" xfId="29493" xr:uid="{00000000-0005-0000-0000-000021760000}"/>
    <cellStyle name="Note 3 7 2 2" xfId="29494" xr:uid="{00000000-0005-0000-0000-000022760000}"/>
    <cellStyle name="Note 3 7 3" xfId="29495" xr:uid="{00000000-0005-0000-0000-000023760000}"/>
    <cellStyle name="Note 3 8" xfId="29496" xr:uid="{00000000-0005-0000-0000-000024760000}"/>
    <cellStyle name="Note 3 8 2" xfId="29497" xr:uid="{00000000-0005-0000-0000-000025760000}"/>
    <cellStyle name="Note 3 8 2 2" xfId="29498" xr:uid="{00000000-0005-0000-0000-000026760000}"/>
    <cellStyle name="Note 3 8 3" xfId="29499" xr:uid="{00000000-0005-0000-0000-000027760000}"/>
    <cellStyle name="Note 3 9" xfId="29500" xr:uid="{00000000-0005-0000-0000-000028760000}"/>
    <cellStyle name="Note 3 9 2" xfId="29501" xr:uid="{00000000-0005-0000-0000-000029760000}"/>
    <cellStyle name="Note 3 9 2 2" xfId="29502" xr:uid="{00000000-0005-0000-0000-00002A760000}"/>
    <cellStyle name="Note 3 9 2 2 2" xfId="29503" xr:uid="{00000000-0005-0000-0000-00002B760000}"/>
    <cellStyle name="Note 3 9 2 3" xfId="29504" xr:uid="{00000000-0005-0000-0000-00002C760000}"/>
    <cellStyle name="Note 3 9 3" xfId="29505" xr:uid="{00000000-0005-0000-0000-00002D760000}"/>
    <cellStyle name="Note 3 9 3 2" xfId="29506" xr:uid="{00000000-0005-0000-0000-00002E760000}"/>
    <cellStyle name="Note 3 9 3 2 2" xfId="29507" xr:uid="{00000000-0005-0000-0000-00002F760000}"/>
    <cellStyle name="Note 3 9 3 3" xfId="29508" xr:uid="{00000000-0005-0000-0000-000030760000}"/>
    <cellStyle name="Note 3 9 4" xfId="29509" xr:uid="{00000000-0005-0000-0000-000031760000}"/>
    <cellStyle name="Note 3 9 4 2" xfId="29510" xr:uid="{00000000-0005-0000-0000-000032760000}"/>
    <cellStyle name="Note 3 9 4 2 2" xfId="29511" xr:uid="{00000000-0005-0000-0000-000033760000}"/>
    <cellStyle name="Note 3 9 4 3" xfId="29512" xr:uid="{00000000-0005-0000-0000-000034760000}"/>
    <cellStyle name="Note 3 9 5" xfId="29513" xr:uid="{00000000-0005-0000-0000-000035760000}"/>
    <cellStyle name="Note 3 9 5 2" xfId="29514" xr:uid="{00000000-0005-0000-0000-000036760000}"/>
    <cellStyle name="Note 3 9 6" xfId="29515" xr:uid="{00000000-0005-0000-0000-000037760000}"/>
    <cellStyle name="Note 3 9 6 2" xfId="29516" xr:uid="{00000000-0005-0000-0000-000038760000}"/>
    <cellStyle name="Note 3 9 7" xfId="29517" xr:uid="{00000000-0005-0000-0000-000039760000}"/>
    <cellStyle name="Note 4" xfId="29518" xr:uid="{00000000-0005-0000-0000-00003A760000}"/>
    <cellStyle name="Note 4 2" xfId="29519" xr:uid="{00000000-0005-0000-0000-00003B760000}"/>
    <cellStyle name="Note 4 2 2" xfId="29520" xr:uid="{00000000-0005-0000-0000-00003C760000}"/>
    <cellStyle name="Note 4 3" xfId="29521" xr:uid="{00000000-0005-0000-0000-00003D760000}"/>
    <cellStyle name="Note 5" xfId="29522" xr:uid="{00000000-0005-0000-0000-00003E760000}"/>
    <cellStyle name="Note 5 2" xfId="29523" xr:uid="{00000000-0005-0000-0000-00003F760000}"/>
    <cellStyle name="Note 5 2 2" xfId="29524" xr:uid="{00000000-0005-0000-0000-000040760000}"/>
    <cellStyle name="Note 5 3" xfId="29525" xr:uid="{00000000-0005-0000-0000-000041760000}"/>
    <cellStyle name="Note 6" xfId="29526" xr:uid="{00000000-0005-0000-0000-000042760000}"/>
    <cellStyle name="Note 6 2" xfId="29527" xr:uid="{00000000-0005-0000-0000-000043760000}"/>
    <cellStyle name="Note 6 2 2" xfId="29528" xr:uid="{00000000-0005-0000-0000-000044760000}"/>
    <cellStyle name="Note 6 3" xfId="29529" xr:uid="{00000000-0005-0000-0000-000045760000}"/>
    <cellStyle name="Note 7" xfId="29530" xr:uid="{00000000-0005-0000-0000-000046760000}"/>
    <cellStyle name="Note 7 2" xfId="29531" xr:uid="{00000000-0005-0000-0000-000047760000}"/>
    <cellStyle name="Note 7 2 2" xfId="29532" xr:uid="{00000000-0005-0000-0000-000048760000}"/>
    <cellStyle name="Note 7 3" xfId="29533" xr:uid="{00000000-0005-0000-0000-000049760000}"/>
    <cellStyle name="Note 8" xfId="29534" xr:uid="{00000000-0005-0000-0000-00004A760000}"/>
    <cellStyle name="Note 8 2" xfId="29535" xr:uid="{00000000-0005-0000-0000-00004B760000}"/>
    <cellStyle name="Note 8 2 2" xfId="29536" xr:uid="{00000000-0005-0000-0000-00004C760000}"/>
    <cellStyle name="Note 8 3" xfId="29537" xr:uid="{00000000-0005-0000-0000-00004D760000}"/>
    <cellStyle name="Note 9" xfId="29538" xr:uid="{00000000-0005-0000-0000-00004E760000}"/>
    <cellStyle name="Note 9 2" xfId="29539" xr:uid="{00000000-0005-0000-0000-00004F760000}"/>
    <cellStyle name="Note 9 2 2" xfId="29540" xr:uid="{00000000-0005-0000-0000-000050760000}"/>
    <cellStyle name="Note 9 3" xfId="29541" xr:uid="{00000000-0005-0000-0000-000051760000}"/>
    <cellStyle name="Note_PGE Rzeszów Budget" xfId="38676" xr:uid="{14A604D1-5A06-4599-A4F7-8CF17A6F8846}"/>
    <cellStyle name="Obliczenia 1" xfId="29542" xr:uid="{00000000-0005-0000-0000-000052760000}"/>
    <cellStyle name="Obliczenia 1 2" xfId="29543" xr:uid="{00000000-0005-0000-0000-000053760000}"/>
    <cellStyle name="Obliczenia 1 2 2" xfId="29544" xr:uid="{00000000-0005-0000-0000-000054760000}"/>
    <cellStyle name="Obliczenia 1 3" xfId="29545" xr:uid="{00000000-0005-0000-0000-000055760000}"/>
    <cellStyle name="Obliczenia 10" xfId="29546" xr:uid="{00000000-0005-0000-0000-000056760000}"/>
    <cellStyle name="Obliczenia 10 2" xfId="29547" xr:uid="{00000000-0005-0000-0000-000057760000}"/>
    <cellStyle name="Obliczenia 10 2 2" xfId="29548" xr:uid="{00000000-0005-0000-0000-000058760000}"/>
    <cellStyle name="Obliczenia 10 3" xfId="29549" xr:uid="{00000000-0005-0000-0000-000059760000}"/>
    <cellStyle name="Obliczenia 11" xfId="29550" xr:uid="{00000000-0005-0000-0000-00005A760000}"/>
    <cellStyle name="Obliczenia 11 2" xfId="29551" xr:uid="{00000000-0005-0000-0000-00005B760000}"/>
    <cellStyle name="Obliczenia 11 2 2" xfId="29552" xr:uid="{00000000-0005-0000-0000-00005C760000}"/>
    <cellStyle name="Obliczenia 11 3" xfId="29553" xr:uid="{00000000-0005-0000-0000-00005D760000}"/>
    <cellStyle name="Obliczenia 12" xfId="29554" xr:uid="{00000000-0005-0000-0000-00005E760000}"/>
    <cellStyle name="Obliczenia 12 2" xfId="29555" xr:uid="{00000000-0005-0000-0000-00005F760000}"/>
    <cellStyle name="Obliczenia 12 2 2" xfId="29556" xr:uid="{00000000-0005-0000-0000-000060760000}"/>
    <cellStyle name="Obliczenia 12 3" xfId="29557" xr:uid="{00000000-0005-0000-0000-000061760000}"/>
    <cellStyle name="Obliczenia 13" xfId="29558" xr:uid="{00000000-0005-0000-0000-000062760000}"/>
    <cellStyle name="Obliczenia 13 2" xfId="29559" xr:uid="{00000000-0005-0000-0000-000063760000}"/>
    <cellStyle name="Obliczenia 13 2 2" xfId="29560" xr:uid="{00000000-0005-0000-0000-000064760000}"/>
    <cellStyle name="Obliczenia 13 3" xfId="29561" xr:uid="{00000000-0005-0000-0000-000065760000}"/>
    <cellStyle name="Obliczenia 14" xfId="29562" xr:uid="{00000000-0005-0000-0000-000066760000}"/>
    <cellStyle name="Obliczenia 14 2" xfId="29563" xr:uid="{00000000-0005-0000-0000-000067760000}"/>
    <cellStyle name="Obliczenia 14 2 2" xfId="29564" xr:uid="{00000000-0005-0000-0000-000068760000}"/>
    <cellStyle name="Obliczenia 14 3" xfId="29565" xr:uid="{00000000-0005-0000-0000-000069760000}"/>
    <cellStyle name="Obliczenia 15" xfId="29566" xr:uid="{00000000-0005-0000-0000-00006A760000}"/>
    <cellStyle name="Obliczenia 15 2" xfId="29567" xr:uid="{00000000-0005-0000-0000-00006B760000}"/>
    <cellStyle name="Obliczenia 15 2 2" xfId="29568" xr:uid="{00000000-0005-0000-0000-00006C760000}"/>
    <cellStyle name="Obliczenia 15 3" xfId="29569" xr:uid="{00000000-0005-0000-0000-00006D760000}"/>
    <cellStyle name="Obliczenia 16" xfId="29570" xr:uid="{00000000-0005-0000-0000-00006E760000}"/>
    <cellStyle name="Obliczenia 16 2" xfId="29571" xr:uid="{00000000-0005-0000-0000-00006F760000}"/>
    <cellStyle name="Obliczenia 16 2 2" xfId="29572" xr:uid="{00000000-0005-0000-0000-000070760000}"/>
    <cellStyle name="Obliczenia 16 3" xfId="29573" xr:uid="{00000000-0005-0000-0000-000071760000}"/>
    <cellStyle name="Obliczenia 17" xfId="29574" xr:uid="{00000000-0005-0000-0000-000072760000}"/>
    <cellStyle name="Obliczenia 17 2" xfId="29575" xr:uid="{00000000-0005-0000-0000-000073760000}"/>
    <cellStyle name="Obliczenia 17 2 2" xfId="29576" xr:uid="{00000000-0005-0000-0000-000074760000}"/>
    <cellStyle name="Obliczenia 17 3" xfId="29577" xr:uid="{00000000-0005-0000-0000-000075760000}"/>
    <cellStyle name="Obliczenia 18" xfId="29578" xr:uid="{00000000-0005-0000-0000-000076760000}"/>
    <cellStyle name="Obliczenia 18 2" xfId="29579" xr:uid="{00000000-0005-0000-0000-000077760000}"/>
    <cellStyle name="Obliczenia 18 2 2" xfId="29580" xr:uid="{00000000-0005-0000-0000-000078760000}"/>
    <cellStyle name="Obliczenia 18 3" xfId="29581" xr:uid="{00000000-0005-0000-0000-000079760000}"/>
    <cellStyle name="Obliczenia 19" xfId="29582" xr:uid="{00000000-0005-0000-0000-00007A760000}"/>
    <cellStyle name="Obliczenia 19 2" xfId="29583" xr:uid="{00000000-0005-0000-0000-00007B760000}"/>
    <cellStyle name="Obliczenia 19 2 2" xfId="29584" xr:uid="{00000000-0005-0000-0000-00007C760000}"/>
    <cellStyle name="Obliczenia 19 3" xfId="29585" xr:uid="{00000000-0005-0000-0000-00007D760000}"/>
    <cellStyle name="Obliczenia 2" xfId="315" xr:uid="{00000000-0005-0000-0000-00007E760000}"/>
    <cellStyle name="Obliczenia 2 10" xfId="29587" xr:uid="{00000000-0005-0000-0000-00007F760000}"/>
    <cellStyle name="Obliczenia 2 10 2" xfId="29588" xr:uid="{00000000-0005-0000-0000-000080760000}"/>
    <cellStyle name="Obliczenia 2 10 2 2" xfId="29589" xr:uid="{00000000-0005-0000-0000-000081760000}"/>
    <cellStyle name="Obliczenia 2 10 3" xfId="29590" xr:uid="{00000000-0005-0000-0000-000082760000}"/>
    <cellStyle name="Obliczenia 2 11" xfId="29591" xr:uid="{00000000-0005-0000-0000-000083760000}"/>
    <cellStyle name="Obliczenia 2 11 2" xfId="29592" xr:uid="{00000000-0005-0000-0000-000084760000}"/>
    <cellStyle name="Obliczenia 2 11 2 2" xfId="29593" xr:uid="{00000000-0005-0000-0000-000085760000}"/>
    <cellStyle name="Obliczenia 2 11 3" xfId="29594" xr:uid="{00000000-0005-0000-0000-000086760000}"/>
    <cellStyle name="Obliczenia 2 12" xfId="29595" xr:uid="{00000000-0005-0000-0000-000087760000}"/>
    <cellStyle name="Obliczenia 2 12 2" xfId="29596" xr:uid="{00000000-0005-0000-0000-000088760000}"/>
    <cellStyle name="Obliczenia 2 12 2 2" xfId="29597" xr:uid="{00000000-0005-0000-0000-000089760000}"/>
    <cellStyle name="Obliczenia 2 12 3" xfId="29598" xr:uid="{00000000-0005-0000-0000-00008A760000}"/>
    <cellStyle name="Obliczenia 2 13" xfId="29599" xr:uid="{00000000-0005-0000-0000-00008B760000}"/>
    <cellStyle name="Obliczenia 2 13 10" xfId="29600" xr:uid="{00000000-0005-0000-0000-00008C760000}"/>
    <cellStyle name="Obliczenia 2 13 10 2" xfId="29601" xr:uid="{00000000-0005-0000-0000-00008D760000}"/>
    <cellStyle name="Obliczenia 2 13 10 2 2" xfId="29602" xr:uid="{00000000-0005-0000-0000-00008E760000}"/>
    <cellStyle name="Obliczenia 2 13 10 3" xfId="29603" xr:uid="{00000000-0005-0000-0000-00008F760000}"/>
    <cellStyle name="Obliczenia 2 13 11" xfId="29604" xr:uid="{00000000-0005-0000-0000-000090760000}"/>
    <cellStyle name="Obliczenia 2 13 11 2" xfId="29605" xr:uid="{00000000-0005-0000-0000-000091760000}"/>
    <cellStyle name="Obliczenia 2 13 12" xfId="29606" xr:uid="{00000000-0005-0000-0000-000092760000}"/>
    <cellStyle name="Obliczenia 2 13 12 2" xfId="29607" xr:uid="{00000000-0005-0000-0000-000093760000}"/>
    <cellStyle name="Obliczenia 2 13 13" xfId="29608" xr:uid="{00000000-0005-0000-0000-000094760000}"/>
    <cellStyle name="Obliczenia 2 13 2" xfId="29609" xr:uid="{00000000-0005-0000-0000-000095760000}"/>
    <cellStyle name="Obliczenia 2 13 2 10" xfId="29610" xr:uid="{00000000-0005-0000-0000-000096760000}"/>
    <cellStyle name="Obliczenia 2 13 2 10 2" xfId="29611" xr:uid="{00000000-0005-0000-0000-000097760000}"/>
    <cellStyle name="Obliczenia 2 13 2 11" xfId="29612" xr:uid="{00000000-0005-0000-0000-000098760000}"/>
    <cellStyle name="Obliczenia 2 13 2 11 2" xfId="29613" xr:uid="{00000000-0005-0000-0000-000099760000}"/>
    <cellStyle name="Obliczenia 2 13 2 12" xfId="29614" xr:uid="{00000000-0005-0000-0000-00009A760000}"/>
    <cellStyle name="Obliczenia 2 13 2 2" xfId="29615" xr:uid="{00000000-0005-0000-0000-00009B760000}"/>
    <cellStyle name="Obliczenia 2 13 2 2 10" xfId="29616" xr:uid="{00000000-0005-0000-0000-00009C760000}"/>
    <cellStyle name="Obliczenia 2 13 2 2 10 2" xfId="29617" xr:uid="{00000000-0005-0000-0000-00009D760000}"/>
    <cellStyle name="Obliczenia 2 13 2 2 11" xfId="29618" xr:uid="{00000000-0005-0000-0000-00009E760000}"/>
    <cellStyle name="Obliczenia 2 13 2 2 11 2" xfId="29619" xr:uid="{00000000-0005-0000-0000-00009F760000}"/>
    <cellStyle name="Obliczenia 2 13 2 2 12" xfId="29620" xr:uid="{00000000-0005-0000-0000-0000A0760000}"/>
    <cellStyle name="Obliczenia 2 13 2 2 2" xfId="29621" xr:uid="{00000000-0005-0000-0000-0000A1760000}"/>
    <cellStyle name="Obliczenia 2 13 2 2 2 2" xfId="29622" xr:uid="{00000000-0005-0000-0000-0000A2760000}"/>
    <cellStyle name="Obliczenia 2 13 2 2 2 2 2" xfId="29623" xr:uid="{00000000-0005-0000-0000-0000A3760000}"/>
    <cellStyle name="Obliczenia 2 13 2 2 2 2 2 2" xfId="29624" xr:uid="{00000000-0005-0000-0000-0000A4760000}"/>
    <cellStyle name="Obliczenia 2 13 2 2 2 2 2 2 2" xfId="29625" xr:uid="{00000000-0005-0000-0000-0000A5760000}"/>
    <cellStyle name="Obliczenia 2 13 2 2 2 2 2 3" xfId="29626" xr:uid="{00000000-0005-0000-0000-0000A6760000}"/>
    <cellStyle name="Obliczenia 2 13 2 2 2 2 3" xfId="29627" xr:uid="{00000000-0005-0000-0000-0000A7760000}"/>
    <cellStyle name="Obliczenia 2 13 2 2 2 2 3 2" xfId="29628" xr:uid="{00000000-0005-0000-0000-0000A8760000}"/>
    <cellStyle name="Obliczenia 2 13 2 2 2 2 3 2 2" xfId="29629" xr:uid="{00000000-0005-0000-0000-0000A9760000}"/>
    <cellStyle name="Obliczenia 2 13 2 2 2 2 3 3" xfId="29630" xr:uid="{00000000-0005-0000-0000-0000AA760000}"/>
    <cellStyle name="Obliczenia 2 13 2 2 2 2 4" xfId="29631" xr:uid="{00000000-0005-0000-0000-0000AB760000}"/>
    <cellStyle name="Obliczenia 2 13 2 2 2 2 4 2" xfId="29632" xr:uid="{00000000-0005-0000-0000-0000AC760000}"/>
    <cellStyle name="Obliczenia 2 13 2 2 2 2 4 2 2" xfId="29633" xr:uid="{00000000-0005-0000-0000-0000AD760000}"/>
    <cellStyle name="Obliczenia 2 13 2 2 2 2 4 3" xfId="29634" xr:uid="{00000000-0005-0000-0000-0000AE760000}"/>
    <cellStyle name="Obliczenia 2 13 2 2 2 2 5" xfId="29635" xr:uid="{00000000-0005-0000-0000-0000AF760000}"/>
    <cellStyle name="Obliczenia 2 13 2 2 2 2 5 2" xfId="29636" xr:uid="{00000000-0005-0000-0000-0000B0760000}"/>
    <cellStyle name="Obliczenia 2 13 2 2 2 2 6" xfId="29637" xr:uid="{00000000-0005-0000-0000-0000B1760000}"/>
    <cellStyle name="Obliczenia 2 13 2 2 2 2 6 2" xfId="29638" xr:uid="{00000000-0005-0000-0000-0000B2760000}"/>
    <cellStyle name="Obliczenia 2 13 2 2 2 2 7" xfId="29639" xr:uid="{00000000-0005-0000-0000-0000B3760000}"/>
    <cellStyle name="Obliczenia 2 13 2 2 2 3" xfId="29640" xr:uid="{00000000-0005-0000-0000-0000B4760000}"/>
    <cellStyle name="Obliczenia 2 13 2 2 2 3 2" xfId="29641" xr:uid="{00000000-0005-0000-0000-0000B5760000}"/>
    <cellStyle name="Obliczenia 2 13 2 2 2 3 2 2" xfId="29642" xr:uid="{00000000-0005-0000-0000-0000B6760000}"/>
    <cellStyle name="Obliczenia 2 13 2 2 2 3 3" xfId="29643" xr:uid="{00000000-0005-0000-0000-0000B7760000}"/>
    <cellStyle name="Obliczenia 2 13 2 2 2 4" xfId="29644" xr:uid="{00000000-0005-0000-0000-0000B8760000}"/>
    <cellStyle name="Obliczenia 2 13 2 2 2 4 2" xfId="29645" xr:uid="{00000000-0005-0000-0000-0000B9760000}"/>
    <cellStyle name="Obliczenia 2 13 2 2 2 4 2 2" xfId="29646" xr:uid="{00000000-0005-0000-0000-0000BA760000}"/>
    <cellStyle name="Obliczenia 2 13 2 2 2 4 3" xfId="29647" xr:uid="{00000000-0005-0000-0000-0000BB760000}"/>
    <cellStyle name="Obliczenia 2 13 2 2 2 5" xfId="29648" xr:uid="{00000000-0005-0000-0000-0000BC760000}"/>
    <cellStyle name="Obliczenia 2 13 2 2 2 5 2" xfId="29649" xr:uid="{00000000-0005-0000-0000-0000BD760000}"/>
    <cellStyle name="Obliczenia 2 13 2 2 2 5 2 2" xfId="29650" xr:uid="{00000000-0005-0000-0000-0000BE760000}"/>
    <cellStyle name="Obliczenia 2 13 2 2 2 5 3" xfId="29651" xr:uid="{00000000-0005-0000-0000-0000BF760000}"/>
    <cellStyle name="Obliczenia 2 13 2 2 2 6" xfId="29652" xr:uid="{00000000-0005-0000-0000-0000C0760000}"/>
    <cellStyle name="Obliczenia 2 13 2 2 2 6 2" xfId="29653" xr:uid="{00000000-0005-0000-0000-0000C1760000}"/>
    <cellStyle name="Obliczenia 2 13 2 2 2 7" xfId="29654" xr:uid="{00000000-0005-0000-0000-0000C2760000}"/>
    <cellStyle name="Obliczenia 2 13 2 2 2 7 2" xfId="29655" xr:uid="{00000000-0005-0000-0000-0000C3760000}"/>
    <cellStyle name="Obliczenia 2 13 2 2 2 8" xfId="29656" xr:uid="{00000000-0005-0000-0000-0000C4760000}"/>
    <cellStyle name="Obliczenia 2 13 2 2 3" xfId="29657" xr:uid="{00000000-0005-0000-0000-0000C5760000}"/>
    <cellStyle name="Obliczenia 2 13 2 2 3 2" xfId="29658" xr:uid="{00000000-0005-0000-0000-0000C6760000}"/>
    <cellStyle name="Obliczenia 2 13 2 2 3 2 2" xfId="29659" xr:uid="{00000000-0005-0000-0000-0000C7760000}"/>
    <cellStyle name="Obliczenia 2 13 2 2 3 3" xfId="29660" xr:uid="{00000000-0005-0000-0000-0000C8760000}"/>
    <cellStyle name="Obliczenia 2 13 2 2 4" xfId="29661" xr:uid="{00000000-0005-0000-0000-0000C9760000}"/>
    <cellStyle name="Obliczenia 2 13 2 2 4 2" xfId="29662" xr:uid="{00000000-0005-0000-0000-0000CA760000}"/>
    <cellStyle name="Obliczenia 2 13 2 2 4 2 2" xfId="29663" xr:uid="{00000000-0005-0000-0000-0000CB760000}"/>
    <cellStyle name="Obliczenia 2 13 2 2 4 3" xfId="29664" xr:uid="{00000000-0005-0000-0000-0000CC760000}"/>
    <cellStyle name="Obliczenia 2 13 2 2 5" xfId="29665" xr:uid="{00000000-0005-0000-0000-0000CD760000}"/>
    <cellStyle name="Obliczenia 2 13 2 2 5 2" xfId="29666" xr:uid="{00000000-0005-0000-0000-0000CE760000}"/>
    <cellStyle name="Obliczenia 2 13 2 2 5 2 2" xfId="29667" xr:uid="{00000000-0005-0000-0000-0000CF760000}"/>
    <cellStyle name="Obliczenia 2 13 2 2 5 3" xfId="29668" xr:uid="{00000000-0005-0000-0000-0000D0760000}"/>
    <cellStyle name="Obliczenia 2 13 2 2 6" xfId="29669" xr:uid="{00000000-0005-0000-0000-0000D1760000}"/>
    <cellStyle name="Obliczenia 2 13 2 2 6 2" xfId="29670" xr:uid="{00000000-0005-0000-0000-0000D2760000}"/>
    <cellStyle name="Obliczenia 2 13 2 2 6 2 2" xfId="29671" xr:uid="{00000000-0005-0000-0000-0000D3760000}"/>
    <cellStyle name="Obliczenia 2 13 2 2 6 3" xfId="29672" xr:uid="{00000000-0005-0000-0000-0000D4760000}"/>
    <cellStyle name="Obliczenia 2 13 2 2 7" xfId="29673" xr:uid="{00000000-0005-0000-0000-0000D5760000}"/>
    <cellStyle name="Obliczenia 2 13 2 2 7 2" xfId="29674" xr:uid="{00000000-0005-0000-0000-0000D6760000}"/>
    <cellStyle name="Obliczenia 2 13 2 2 7 2 2" xfId="29675" xr:uid="{00000000-0005-0000-0000-0000D7760000}"/>
    <cellStyle name="Obliczenia 2 13 2 2 7 2 2 2" xfId="29676" xr:uid="{00000000-0005-0000-0000-0000D8760000}"/>
    <cellStyle name="Obliczenia 2 13 2 2 7 2 3" xfId="29677" xr:uid="{00000000-0005-0000-0000-0000D9760000}"/>
    <cellStyle name="Obliczenia 2 13 2 2 7 3" xfId="29678" xr:uid="{00000000-0005-0000-0000-0000DA760000}"/>
    <cellStyle name="Obliczenia 2 13 2 2 7 3 2" xfId="29679" xr:uid="{00000000-0005-0000-0000-0000DB760000}"/>
    <cellStyle name="Obliczenia 2 13 2 2 7 3 2 2" xfId="29680" xr:uid="{00000000-0005-0000-0000-0000DC760000}"/>
    <cellStyle name="Obliczenia 2 13 2 2 7 3 3" xfId="29681" xr:uid="{00000000-0005-0000-0000-0000DD760000}"/>
    <cellStyle name="Obliczenia 2 13 2 2 7 4" xfId="29682" xr:uid="{00000000-0005-0000-0000-0000DE760000}"/>
    <cellStyle name="Obliczenia 2 13 2 2 7 4 2" xfId="29683" xr:uid="{00000000-0005-0000-0000-0000DF760000}"/>
    <cellStyle name="Obliczenia 2 13 2 2 7 4 2 2" xfId="29684" xr:uid="{00000000-0005-0000-0000-0000E0760000}"/>
    <cellStyle name="Obliczenia 2 13 2 2 7 4 3" xfId="29685" xr:uid="{00000000-0005-0000-0000-0000E1760000}"/>
    <cellStyle name="Obliczenia 2 13 2 2 7 5" xfId="29686" xr:uid="{00000000-0005-0000-0000-0000E2760000}"/>
    <cellStyle name="Obliczenia 2 13 2 2 7 5 2" xfId="29687" xr:uid="{00000000-0005-0000-0000-0000E3760000}"/>
    <cellStyle name="Obliczenia 2 13 2 2 7 6" xfId="29688" xr:uid="{00000000-0005-0000-0000-0000E4760000}"/>
    <cellStyle name="Obliczenia 2 13 2 2 7 6 2" xfId="29689" xr:uid="{00000000-0005-0000-0000-0000E5760000}"/>
    <cellStyle name="Obliczenia 2 13 2 2 7 7" xfId="29690" xr:uid="{00000000-0005-0000-0000-0000E6760000}"/>
    <cellStyle name="Obliczenia 2 13 2 2 8" xfId="29691" xr:uid="{00000000-0005-0000-0000-0000E7760000}"/>
    <cellStyle name="Obliczenia 2 13 2 2 8 2" xfId="29692" xr:uid="{00000000-0005-0000-0000-0000E8760000}"/>
    <cellStyle name="Obliczenia 2 13 2 2 8 2 2" xfId="29693" xr:uid="{00000000-0005-0000-0000-0000E9760000}"/>
    <cellStyle name="Obliczenia 2 13 2 2 8 3" xfId="29694" xr:uid="{00000000-0005-0000-0000-0000EA760000}"/>
    <cellStyle name="Obliczenia 2 13 2 2 9" xfId="29695" xr:uid="{00000000-0005-0000-0000-0000EB760000}"/>
    <cellStyle name="Obliczenia 2 13 2 2 9 2" xfId="29696" xr:uid="{00000000-0005-0000-0000-0000EC760000}"/>
    <cellStyle name="Obliczenia 2 13 2 2 9 2 2" xfId="29697" xr:uid="{00000000-0005-0000-0000-0000ED760000}"/>
    <cellStyle name="Obliczenia 2 13 2 2 9 3" xfId="29698" xr:uid="{00000000-0005-0000-0000-0000EE760000}"/>
    <cellStyle name="Obliczenia 2 13 2 3" xfId="29699" xr:uid="{00000000-0005-0000-0000-0000EF760000}"/>
    <cellStyle name="Obliczenia 2 13 2 3 2" xfId="29700" xr:uid="{00000000-0005-0000-0000-0000F0760000}"/>
    <cellStyle name="Obliczenia 2 13 2 3 2 2" xfId="29701" xr:uid="{00000000-0005-0000-0000-0000F1760000}"/>
    <cellStyle name="Obliczenia 2 13 2 3 2 2 2" xfId="29702" xr:uid="{00000000-0005-0000-0000-0000F2760000}"/>
    <cellStyle name="Obliczenia 2 13 2 3 2 2 2 2" xfId="29703" xr:uid="{00000000-0005-0000-0000-0000F3760000}"/>
    <cellStyle name="Obliczenia 2 13 2 3 2 2 3" xfId="29704" xr:uid="{00000000-0005-0000-0000-0000F4760000}"/>
    <cellStyle name="Obliczenia 2 13 2 3 2 3" xfId="29705" xr:uid="{00000000-0005-0000-0000-0000F5760000}"/>
    <cellStyle name="Obliczenia 2 13 2 3 2 3 2" xfId="29706" xr:uid="{00000000-0005-0000-0000-0000F6760000}"/>
    <cellStyle name="Obliczenia 2 13 2 3 2 3 2 2" xfId="29707" xr:uid="{00000000-0005-0000-0000-0000F7760000}"/>
    <cellStyle name="Obliczenia 2 13 2 3 2 3 3" xfId="29708" xr:uid="{00000000-0005-0000-0000-0000F8760000}"/>
    <cellStyle name="Obliczenia 2 13 2 3 2 4" xfId="29709" xr:uid="{00000000-0005-0000-0000-0000F9760000}"/>
    <cellStyle name="Obliczenia 2 13 2 3 2 4 2" xfId="29710" xr:uid="{00000000-0005-0000-0000-0000FA760000}"/>
    <cellStyle name="Obliczenia 2 13 2 3 2 4 2 2" xfId="29711" xr:uid="{00000000-0005-0000-0000-0000FB760000}"/>
    <cellStyle name="Obliczenia 2 13 2 3 2 4 3" xfId="29712" xr:uid="{00000000-0005-0000-0000-0000FC760000}"/>
    <cellStyle name="Obliczenia 2 13 2 3 2 5" xfId="29713" xr:uid="{00000000-0005-0000-0000-0000FD760000}"/>
    <cellStyle name="Obliczenia 2 13 2 3 2 5 2" xfId="29714" xr:uid="{00000000-0005-0000-0000-0000FE760000}"/>
    <cellStyle name="Obliczenia 2 13 2 3 2 6" xfId="29715" xr:uid="{00000000-0005-0000-0000-0000FF760000}"/>
    <cellStyle name="Obliczenia 2 13 2 3 2 6 2" xfId="29716" xr:uid="{00000000-0005-0000-0000-000000770000}"/>
    <cellStyle name="Obliczenia 2 13 2 3 2 7" xfId="29717" xr:uid="{00000000-0005-0000-0000-000001770000}"/>
    <cellStyle name="Obliczenia 2 13 2 3 3" xfId="29718" xr:uid="{00000000-0005-0000-0000-000002770000}"/>
    <cellStyle name="Obliczenia 2 13 2 3 3 2" xfId="29719" xr:uid="{00000000-0005-0000-0000-000003770000}"/>
    <cellStyle name="Obliczenia 2 13 2 3 3 2 2" xfId="29720" xr:uid="{00000000-0005-0000-0000-000004770000}"/>
    <cellStyle name="Obliczenia 2 13 2 3 3 3" xfId="29721" xr:uid="{00000000-0005-0000-0000-000005770000}"/>
    <cellStyle name="Obliczenia 2 13 2 3 4" xfId="29722" xr:uid="{00000000-0005-0000-0000-000006770000}"/>
    <cellStyle name="Obliczenia 2 13 2 3 4 2" xfId="29723" xr:uid="{00000000-0005-0000-0000-000007770000}"/>
    <cellStyle name="Obliczenia 2 13 2 3 4 2 2" xfId="29724" xr:uid="{00000000-0005-0000-0000-000008770000}"/>
    <cellStyle name="Obliczenia 2 13 2 3 4 3" xfId="29725" xr:uid="{00000000-0005-0000-0000-000009770000}"/>
    <cellStyle name="Obliczenia 2 13 2 3 5" xfId="29726" xr:uid="{00000000-0005-0000-0000-00000A770000}"/>
    <cellStyle name="Obliczenia 2 13 2 3 5 2" xfId="29727" xr:uid="{00000000-0005-0000-0000-00000B770000}"/>
    <cellStyle name="Obliczenia 2 13 2 3 5 2 2" xfId="29728" xr:uid="{00000000-0005-0000-0000-00000C770000}"/>
    <cellStyle name="Obliczenia 2 13 2 3 5 3" xfId="29729" xr:uid="{00000000-0005-0000-0000-00000D770000}"/>
    <cellStyle name="Obliczenia 2 13 2 3 6" xfId="29730" xr:uid="{00000000-0005-0000-0000-00000E770000}"/>
    <cellStyle name="Obliczenia 2 13 2 3 6 2" xfId="29731" xr:uid="{00000000-0005-0000-0000-00000F770000}"/>
    <cellStyle name="Obliczenia 2 13 2 3 7" xfId="29732" xr:uid="{00000000-0005-0000-0000-000010770000}"/>
    <cellStyle name="Obliczenia 2 13 2 3 7 2" xfId="29733" xr:uid="{00000000-0005-0000-0000-000011770000}"/>
    <cellStyle name="Obliczenia 2 13 2 3 8" xfId="29734" xr:uid="{00000000-0005-0000-0000-000012770000}"/>
    <cellStyle name="Obliczenia 2 13 2 4" xfId="29735" xr:uid="{00000000-0005-0000-0000-000013770000}"/>
    <cellStyle name="Obliczenia 2 13 2 4 2" xfId="29736" xr:uid="{00000000-0005-0000-0000-000014770000}"/>
    <cellStyle name="Obliczenia 2 13 2 4 2 2" xfId="29737" xr:uid="{00000000-0005-0000-0000-000015770000}"/>
    <cellStyle name="Obliczenia 2 13 2 4 3" xfId="29738" xr:uid="{00000000-0005-0000-0000-000016770000}"/>
    <cellStyle name="Obliczenia 2 13 2 5" xfId="29739" xr:uid="{00000000-0005-0000-0000-000017770000}"/>
    <cellStyle name="Obliczenia 2 13 2 5 2" xfId="29740" xr:uid="{00000000-0005-0000-0000-000018770000}"/>
    <cellStyle name="Obliczenia 2 13 2 5 2 2" xfId="29741" xr:uid="{00000000-0005-0000-0000-000019770000}"/>
    <cellStyle name="Obliczenia 2 13 2 5 3" xfId="29742" xr:uid="{00000000-0005-0000-0000-00001A770000}"/>
    <cellStyle name="Obliczenia 2 13 2 6" xfId="29743" xr:uid="{00000000-0005-0000-0000-00001B770000}"/>
    <cellStyle name="Obliczenia 2 13 2 6 2" xfId="29744" xr:uid="{00000000-0005-0000-0000-00001C770000}"/>
    <cellStyle name="Obliczenia 2 13 2 6 2 2" xfId="29745" xr:uid="{00000000-0005-0000-0000-00001D770000}"/>
    <cellStyle name="Obliczenia 2 13 2 6 3" xfId="29746" xr:uid="{00000000-0005-0000-0000-00001E770000}"/>
    <cellStyle name="Obliczenia 2 13 2 7" xfId="29747" xr:uid="{00000000-0005-0000-0000-00001F770000}"/>
    <cellStyle name="Obliczenia 2 13 2 7 2" xfId="29748" xr:uid="{00000000-0005-0000-0000-000020770000}"/>
    <cellStyle name="Obliczenia 2 13 2 7 2 2" xfId="29749" xr:uid="{00000000-0005-0000-0000-000021770000}"/>
    <cellStyle name="Obliczenia 2 13 2 7 2 2 2" xfId="29750" xr:uid="{00000000-0005-0000-0000-000022770000}"/>
    <cellStyle name="Obliczenia 2 13 2 7 2 3" xfId="29751" xr:uid="{00000000-0005-0000-0000-000023770000}"/>
    <cellStyle name="Obliczenia 2 13 2 7 3" xfId="29752" xr:uid="{00000000-0005-0000-0000-000024770000}"/>
    <cellStyle name="Obliczenia 2 13 2 7 3 2" xfId="29753" xr:uid="{00000000-0005-0000-0000-000025770000}"/>
    <cellStyle name="Obliczenia 2 13 2 7 3 2 2" xfId="29754" xr:uid="{00000000-0005-0000-0000-000026770000}"/>
    <cellStyle name="Obliczenia 2 13 2 7 3 3" xfId="29755" xr:uid="{00000000-0005-0000-0000-000027770000}"/>
    <cellStyle name="Obliczenia 2 13 2 7 4" xfId="29756" xr:uid="{00000000-0005-0000-0000-000028770000}"/>
    <cellStyle name="Obliczenia 2 13 2 7 4 2" xfId="29757" xr:uid="{00000000-0005-0000-0000-000029770000}"/>
    <cellStyle name="Obliczenia 2 13 2 7 4 2 2" xfId="29758" xr:uid="{00000000-0005-0000-0000-00002A770000}"/>
    <cellStyle name="Obliczenia 2 13 2 7 4 3" xfId="29759" xr:uid="{00000000-0005-0000-0000-00002B770000}"/>
    <cellStyle name="Obliczenia 2 13 2 7 5" xfId="29760" xr:uid="{00000000-0005-0000-0000-00002C770000}"/>
    <cellStyle name="Obliczenia 2 13 2 7 5 2" xfId="29761" xr:uid="{00000000-0005-0000-0000-00002D770000}"/>
    <cellStyle name="Obliczenia 2 13 2 7 6" xfId="29762" xr:uid="{00000000-0005-0000-0000-00002E770000}"/>
    <cellStyle name="Obliczenia 2 13 2 7 6 2" xfId="29763" xr:uid="{00000000-0005-0000-0000-00002F770000}"/>
    <cellStyle name="Obliczenia 2 13 2 7 7" xfId="29764" xr:uid="{00000000-0005-0000-0000-000030770000}"/>
    <cellStyle name="Obliczenia 2 13 2 8" xfId="29765" xr:uid="{00000000-0005-0000-0000-000031770000}"/>
    <cellStyle name="Obliczenia 2 13 2 8 2" xfId="29766" xr:uid="{00000000-0005-0000-0000-000032770000}"/>
    <cellStyle name="Obliczenia 2 13 2 8 2 2" xfId="29767" xr:uid="{00000000-0005-0000-0000-000033770000}"/>
    <cellStyle name="Obliczenia 2 13 2 8 3" xfId="29768" xr:uid="{00000000-0005-0000-0000-000034770000}"/>
    <cellStyle name="Obliczenia 2 13 2 9" xfId="29769" xr:uid="{00000000-0005-0000-0000-000035770000}"/>
    <cellStyle name="Obliczenia 2 13 2 9 2" xfId="29770" xr:uid="{00000000-0005-0000-0000-000036770000}"/>
    <cellStyle name="Obliczenia 2 13 2 9 2 2" xfId="29771" xr:uid="{00000000-0005-0000-0000-000037770000}"/>
    <cellStyle name="Obliczenia 2 13 2 9 3" xfId="29772" xr:uid="{00000000-0005-0000-0000-000038770000}"/>
    <cellStyle name="Obliczenia 2 13 3" xfId="29773" xr:uid="{00000000-0005-0000-0000-000039770000}"/>
    <cellStyle name="Obliczenia 2 13 3 2" xfId="29774" xr:uid="{00000000-0005-0000-0000-00003A770000}"/>
    <cellStyle name="Obliczenia 2 13 3 2 2" xfId="29775" xr:uid="{00000000-0005-0000-0000-00003B770000}"/>
    <cellStyle name="Obliczenia 2 13 3 2 2 2" xfId="29776" xr:uid="{00000000-0005-0000-0000-00003C770000}"/>
    <cellStyle name="Obliczenia 2 13 3 2 2 2 2" xfId="29777" xr:uid="{00000000-0005-0000-0000-00003D770000}"/>
    <cellStyle name="Obliczenia 2 13 3 2 2 3" xfId="29778" xr:uid="{00000000-0005-0000-0000-00003E770000}"/>
    <cellStyle name="Obliczenia 2 13 3 2 3" xfId="29779" xr:uid="{00000000-0005-0000-0000-00003F770000}"/>
    <cellStyle name="Obliczenia 2 13 3 2 3 2" xfId="29780" xr:uid="{00000000-0005-0000-0000-000040770000}"/>
    <cellStyle name="Obliczenia 2 13 3 2 3 2 2" xfId="29781" xr:uid="{00000000-0005-0000-0000-000041770000}"/>
    <cellStyle name="Obliczenia 2 13 3 2 3 3" xfId="29782" xr:uid="{00000000-0005-0000-0000-000042770000}"/>
    <cellStyle name="Obliczenia 2 13 3 2 4" xfId="29783" xr:uid="{00000000-0005-0000-0000-000043770000}"/>
    <cellStyle name="Obliczenia 2 13 3 2 4 2" xfId="29784" xr:uid="{00000000-0005-0000-0000-000044770000}"/>
    <cellStyle name="Obliczenia 2 13 3 2 4 2 2" xfId="29785" xr:uid="{00000000-0005-0000-0000-000045770000}"/>
    <cellStyle name="Obliczenia 2 13 3 2 4 3" xfId="29786" xr:uid="{00000000-0005-0000-0000-000046770000}"/>
    <cellStyle name="Obliczenia 2 13 3 2 5" xfId="29787" xr:uid="{00000000-0005-0000-0000-000047770000}"/>
    <cellStyle name="Obliczenia 2 13 3 2 5 2" xfId="29788" xr:uid="{00000000-0005-0000-0000-000048770000}"/>
    <cellStyle name="Obliczenia 2 13 3 2 6" xfId="29789" xr:uid="{00000000-0005-0000-0000-000049770000}"/>
    <cellStyle name="Obliczenia 2 13 3 2 6 2" xfId="29790" xr:uid="{00000000-0005-0000-0000-00004A770000}"/>
    <cellStyle name="Obliczenia 2 13 3 2 7" xfId="29791" xr:uid="{00000000-0005-0000-0000-00004B770000}"/>
    <cellStyle name="Obliczenia 2 13 3 3" xfId="29792" xr:uid="{00000000-0005-0000-0000-00004C770000}"/>
    <cellStyle name="Obliczenia 2 13 3 3 2" xfId="29793" xr:uid="{00000000-0005-0000-0000-00004D770000}"/>
    <cellStyle name="Obliczenia 2 13 3 3 2 2" xfId="29794" xr:uid="{00000000-0005-0000-0000-00004E770000}"/>
    <cellStyle name="Obliczenia 2 13 3 3 3" xfId="29795" xr:uid="{00000000-0005-0000-0000-00004F770000}"/>
    <cellStyle name="Obliczenia 2 13 3 4" xfId="29796" xr:uid="{00000000-0005-0000-0000-000050770000}"/>
    <cellStyle name="Obliczenia 2 13 3 4 2" xfId="29797" xr:uid="{00000000-0005-0000-0000-000051770000}"/>
    <cellStyle name="Obliczenia 2 13 3 4 2 2" xfId="29798" xr:uid="{00000000-0005-0000-0000-000052770000}"/>
    <cellStyle name="Obliczenia 2 13 3 4 3" xfId="29799" xr:uid="{00000000-0005-0000-0000-000053770000}"/>
    <cellStyle name="Obliczenia 2 13 3 5" xfId="29800" xr:uid="{00000000-0005-0000-0000-000054770000}"/>
    <cellStyle name="Obliczenia 2 13 3 5 2" xfId="29801" xr:uid="{00000000-0005-0000-0000-000055770000}"/>
    <cellStyle name="Obliczenia 2 13 3 5 2 2" xfId="29802" xr:uid="{00000000-0005-0000-0000-000056770000}"/>
    <cellStyle name="Obliczenia 2 13 3 5 3" xfId="29803" xr:uid="{00000000-0005-0000-0000-000057770000}"/>
    <cellStyle name="Obliczenia 2 13 3 6" xfId="29804" xr:uid="{00000000-0005-0000-0000-000058770000}"/>
    <cellStyle name="Obliczenia 2 13 3 6 2" xfId="29805" xr:uid="{00000000-0005-0000-0000-000059770000}"/>
    <cellStyle name="Obliczenia 2 13 3 7" xfId="29806" xr:uid="{00000000-0005-0000-0000-00005A770000}"/>
    <cellStyle name="Obliczenia 2 13 3 7 2" xfId="29807" xr:uid="{00000000-0005-0000-0000-00005B770000}"/>
    <cellStyle name="Obliczenia 2 13 3 8" xfId="29808" xr:uid="{00000000-0005-0000-0000-00005C770000}"/>
    <cellStyle name="Obliczenia 2 13 4" xfId="29809" xr:uid="{00000000-0005-0000-0000-00005D770000}"/>
    <cellStyle name="Obliczenia 2 13 4 2" xfId="29810" xr:uid="{00000000-0005-0000-0000-00005E770000}"/>
    <cellStyle name="Obliczenia 2 13 4 2 2" xfId="29811" xr:uid="{00000000-0005-0000-0000-00005F770000}"/>
    <cellStyle name="Obliczenia 2 13 4 3" xfId="29812" xr:uid="{00000000-0005-0000-0000-000060770000}"/>
    <cellStyle name="Obliczenia 2 13 5" xfId="29813" xr:uid="{00000000-0005-0000-0000-000061770000}"/>
    <cellStyle name="Obliczenia 2 13 5 2" xfId="29814" xr:uid="{00000000-0005-0000-0000-000062770000}"/>
    <cellStyle name="Obliczenia 2 13 5 2 2" xfId="29815" xr:uid="{00000000-0005-0000-0000-000063770000}"/>
    <cellStyle name="Obliczenia 2 13 5 3" xfId="29816" xr:uid="{00000000-0005-0000-0000-000064770000}"/>
    <cellStyle name="Obliczenia 2 13 6" xfId="29817" xr:uid="{00000000-0005-0000-0000-000065770000}"/>
    <cellStyle name="Obliczenia 2 13 6 2" xfId="29818" xr:uid="{00000000-0005-0000-0000-000066770000}"/>
    <cellStyle name="Obliczenia 2 13 6 2 2" xfId="29819" xr:uid="{00000000-0005-0000-0000-000067770000}"/>
    <cellStyle name="Obliczenia 2 13 6 3" xfId="29820" xr:uid="{00000000-0005-0000-0000-000068770000}"/>
    <cellStyle name="Obliczenia 2 13 7" xfId="29821" xr:uid="{00000000-0005-0000-0000-000069770000}"/>
    <cellStyle name="Obliczenia 2 13 7 2" xfId="29822" xr:uid="{00000000-0005-0000-0000-00006A770000}"/>
    <cellStyle name="Obliczenia 2 13 7 2 2" xfId="29823" xr:uid="{00000000-0005-0000-0000-00006B770000}"/>
    <cellStyle name="Obliczenia 2 13 7 3" xfId="29824" xr:uid="{00000000-0005-0000-0000-00006C770000}"/>
    <cellStyle name="Obliczenia 2 13 8" xfId="29825" xr:uid="{00000000-0005-0000-0000-00006D770000}"/>
    <cellStyle name="Obliczenia 2 13 8 2" xfId="29826" xr:uid="{00000000-0005-0000-0000-00006E770000}"/>
    <cellStyle name="Obliczenia 2 13 8 2 2" xfId="29827" xr:uid="{00000000-0005-0000-0000-00006F770000}"/>
    <cellStyle name="Obliczenia 2 13 8 2 2 2" xfId="29828" xr:uid="{00000000-0005-0000-0000-000070770000}"/>
    <cellStyle name="Obliczenia 2 13 8 2 3" xfId="29829" xr:uid="{00000000-0005-0000-0000-000071770000}"/>
    <cellStyle name="Obliczenia 2 13 8 3" xfId="29830" xr:uid="{00000000-0005-0000-0000-000072770000}"/>
    <cellStyle name="Obliczenia 2 13 8 3 2" xfId="29831" xr:uid="{00000000-0005-0000-0000-000073770000}"/>
    <cellStyle name="Obliczenia 2 13 8 3 2 2" xfId="29832" xr:uid="{00000000-0005-0000-0000-000074770000}"/>
    <cellStyle name="Obliczenia 2 13 8 3 3" xfId="29833" xr:uid="{00000000-0005-0000-0000-000075770000}"/>
    <cellStyle name="Obliczenia 2 13 8 4" xfId="29834" xr:uid="{00000000-0005-0000-0000-000076770000}"/>
    <cellStyle name="Obliczenia 2 13 8 4 2" xfId="29835" xr:uid="{00000000-0005-0000-0000-000077770000}"/>
    <cellStyle name="Obliczenia 2 13 8 4 2 2" xfId="29836" xr:uid="{00000000-0005-0000-0000-000078770000}"/>
    <cellStyle name="Obliczenia 2 13 8 4 3" xfId="29837" xr:uid="{00000000-0005-0000-0000-000079770000}"/>
    <cellStyle name="Obliczenia 2 13 8 5" xfId="29838" xr:uid="{00000000-0005-0000-0000-00007A770000}"/>
    <cellStyle name="Obliczenia 2 13 8 5 2" xfId="29839" xr:uid="{00000000-0005-0000-0000-00007B770000}"/>
    <cellStyle name="Obliczenia 2 13 8 6" xfId="29840" xr:uid="{00000000-0005-0000-0000-00007C770000}"/>
    <cellStyle name="Obliczenia 2 13 8 6 2" xfId="29841" xr:uid="{00000000-0005-0000-0000-00007D770000}"/>
    <cellStyle name="Obliczenia 2 13 8 7" xfId="29842" xr:uid="{00000000-0005-0000-0000-00007E770000}"/>
    <cellStyle name="Obliczenia 2 13 9" xfId="29843" xr:uid="{00000000-0005-0000-0000-00007F770000}"/>
    <cellStyle name="Obliczenia 2 13 9 2" xfId="29844" xr:uid="{00000000-0005-0000-0000-000080770000}"/>
    <cellStyle name="Obliczenia 2 13 9 2 2" xfId="29845" xr:uid="{00000000-0005-0000-0000-000081770000}"/>
    <cellStyle name="Obliczenia 2 13 9 3" xfId="29846" xr:uid="{00000000-0005-0000-0000-000082770000}"/>
    <cellStyle name="Obliczenia 2 14" xfId="29847" xr:uid="{00000000-0005-0000-0000-000083770000}"/>
    <cellStyle name="Obliczenia 2 14 10" xfId="29848" xr:uid="{00000000-0005-0000-0000-000084770000}"/>
    <cellStyle name="Obliczenia 2 14 10 2" xfId="29849" xr:uid="{00000000-0005-0000-0000-000085770000}"/>
    <cellStyle name="Obliczenia 2 14 11" xfId="29850" xr:uid="{00000000-0005-0000-0000-000086770000}"/>
    <cellStyle name="Obliczenia 2 14 11 2" xfId="29851" xr:uid="{00000000-0005-0000-0000-000087770000}"/>
    <cellStyle name="Obliczenia 2 14 12" xfId="29852" xr:uid="{00000000-0005-0000-0000-000088770000}"/>
    <cellStyle name="Obliczenia 2 14 2" xfId="29853" xr:uid="{00000000-0005-0000-0000-000089770000}"/>
    <cellStyle name="Obliczenia 2 14 2 2" xfId="29854" xr:uid="{00000000-0005-0000-0000-00008A770000}"/>
    <cellStyle name="Obliczenia 2 14 2 2 2" xfId="29855" xr:uid="{00000000-0005-0000-0000-00008B770000}"/>
    <cellStyle name="Obliczenia 2 14 2 2 2 2" xfId="29856" xr:uid="{00000000-0005-0000-0000-00008C770000}"/>
    <cellStyle name="Obliczenia 2 14 2 2 2 2 2" xfId="29857" xr:uid="{00000000-0005-0000-0000-00008D770000}"/>
    <cellStyle name="Obliczenia 2 14 2 2 2 3" xfId="29858" xr:uid="{00000000-0005-0000-0000-00008E770000}"/>
    <cellStyle name="Obliczenia 2 14 2 2 3" xfId="29859" xr:uid="{00000000-0005-0000-0000-00008F770000}"/>
    <cellStyle name="Obliczenia 2 14 2 2 3 2" xfId="29860" xr:uid="{00000000-0005-0000-0000-000090770000}"/>
    <cellStyle name="Obliczenia 2 14 2 2 3 2 2" xfId="29861" xr:uid="{00000000-0005-0000-0000-000091770000}"/>
    <cellStyle name="Obliczenia 2 14 2 2 3 3" xfId="29862" xr:uid="{00000000-0005-0000-0000-000092770000}"/>
    <cellStyle name="Obliczenia 2 14 2 2 4" xfId="29863" xr:uid="{00000000-0005-0000-0000-000093770000}"/>
    <cellStyle name="Obliczenia 2 14 2 2 4 2" xfId="29864" xr:uid="{00000000-0005-0000-0000-000094770000}"/>
    <cellStyle name="Obliczenia 2 14 2 2 4 2 2" xfId="29865" xr:uid="{00000000-0005-0000-0000-000095770000}"/>
    <cellStyle name="Obliczenia 2 14 2 2 4 3" xfId="29866" xr:uid="{00000000-0005-0000-0000-000096770000}"/>
    <cellStyle name="Obliczenia 2 14 2 2 5" xfId="29867" xr:uid="{00000000-0005-0000-0000-000097770000}"/>
    <cellStyle name="Obliczenia 2 14 2 2 5 2" xfId="29868" xr:uid="{00000000-0005-0000-0000-000098770000}"/>
    <cellStyle name="Obliczenia 2 14 2 2 6" xfId="29869" xr:uid="{00000000-0005-0000-0000-000099770000}"/>
    <cellStyle name="Obliczenia 2 14 2 2 6 2" xfId="29870" xr:uid="{00000000-0005-0000-0000-00009A770000}"/>
    <cellStyle name="Obliczenia 2 14 2 2 7" xfId="29871" xr:uid="{00000000-0005-0000-0000-00009B770000}"/>
    <cellStyle name="Obliczenia 2 14 2 3" xfId="29872" xr:uid="{00000000-0005-0000-0000-00009C770000}"/>
    <cellStyle name="Obliczenia 2 14 2 3 2" xfId="29873" xr:uid="{00000000-0005-0000-0000-00009D770000}"/>
    <cellStyle name="Obliczenia 2 14 2 3 2 2" xfId="29874" xr:uid="{00000000-0005-0000-0000-00009E770000}"/>
    <cellStyle name="Obliczenia 2 14 2 3 3" xfId="29875" xr:uid="{00000000-0005-0000-0000-00009F770000}"/>
    <cellStyle name="Obliczenia 2 14 2 4" xfId="29876" xr:uid="{00000000-0005-0000-0000-0000A0770000}"/>
    <cellStyle name="Obliczenia 2 14 2 4 2" xfId="29877" xr:uid="{00000000-0005-0000-0000-0000A1770000}"/>
    <cellStyle name="Obliczenia 2 14 2 4 2 2" xfId="29878" xr:uid="{00000000-0005-0000-0000-0000A2770000}"/>
    <cellStyle name="Obliczenia 2 14 2 4 3" xfId="29879" xr:uid="{00000000-0005-0000-0000-0000A3770000}"/>
    <cellStyle name="Obliczenia 2 14 2 5" xfId="29880" xr:uid="{00000000-0005-0000-0000-0000A4770000}"/>
    <cellStyle name="Obliczenia 2 14 2 5 2" xfId="29881" xr:uid="{00000000-0005-0000-0000-0000A5770000}"/>
    <cellStyle name="Obliczenia 2 14 2 5 2 2" xfId="29882" xr:uid="{00000000-0005-0000-0000-0000A6770000}"/>
    <cellStyle name="Obliczenia 2 14 2 5 3" xfId="29883" xr:uid="{00000000-0005-0000-0000-0000A7770000}"/>
    <cellStyle name="Obliczenia 2 14 2 6" xfId="29884" xr:uid="{00000000-0005-0000-0000-0000A8770000}"/>
    <cellStyle name="Obliczenia 2 14 2 6 2" xfId="29885" xr:uid="{00000000-0005-0000-0000-0000A9770000}"/>
    <cellStyle name="Obliczenia 2 14 2 7" xfId="29886" xr:uid="{00000000-0005-0000-0000-0000AA770000}"/>
    <cellStyle name="Obliczenia 2 14 2 7 2" xfId="29887" xr:uid="{00000000-0005-0000-0000-0000AB770000}"/>
    <cellStyle name="Obliczenia 2 14 2 8" xfId="29888" xr:uid="{00000000-0005-0000-0000-0000AC770000}"/>
    <cellStyle name="Obliczenia 2 14 3" xfId="29889" xr:uid="{00000000-0005-0000-0000-0000AD770000}"/>
    <cellStyle name="Obliczenia 2 14 3 2" xfId="29890" xr:uid="{00000000-0005-0000-0000-0000AE770000}"/>
    <cellStyle name="Obliczenia 2 14 3 2 2" xfId="29891" xr:uid="{00000000-0005-0000-0000-0000AF770000}"/>
    <cellStyle name="Obliczenia 2 14 3 3" xfId="29892" xr:uid="{00000000-0005-0000-0000-0000B0770000}"/>
    <cellStyle name="Obliczenia 2 14 4" xfId="29893" xr:uid="{00000000-0005-0000-0000-0000B1770000}"/>
    <cellStyle name="Obliczenia 2 14 4 2" xfId="29894" xr:uid="{00000000-0005-0000-0000-0000B2770000}"/>
    <cellStyle name="Obliczenia 2 14 4 2 2" xfId="29895" xr:uid="{00000000-0005-0000-0000-0000B3770000}"/>
    <cellStyle name="Obliczenia 2 14 4 3" xfId="29896" xr:uid="{00000000-0005-0000-0000-0000B4770000}"/>
    <cellStyle name="Obliczenia 2 14 5" xfId="29897" xr:uid="{00000000-0005-0000-0000-0000B5770000}"/>
    <cellStyle name="Obliczenia 2 14 5 2" xfId="29898" xr:uid="{00000000-0005-0000-0000-0000B6770000}"/>
    <cellStyle name="Obliczenia 2 14 5 2 2" xfId="29899" xr:uid="{00000000-0005-0000-0000-0000B7770000}"/>
    <cellStyle name="Obliczenia 2 14 5 3" xfId="29900" xr:uid="{00000000-0005-0000-0000-0000B8770000}"/>
    <cellStyle name="Obliczenia 2 14 6" xfId="29901" xr:uid="{00000000-0005-0000-0000-0000B9770000}"/>
    <cellStyle name="Obliczenia 2 14 6 2" xfId="29902" xr:uid="{00000000-0005-0000-0000-0000BA770000}"/>
    <cellStyle name="Obliczenia 2 14 6 2 2" xfId="29903" xr:uid="{00000000-0005-0000-0000-0000BB770000}"/>
    <cellStyle name="Obliczenia 2 14 6 3" xfId="29904" xr:uid="{00000000-0005-0000-0000-0000BC770000}"/>
    <cellStyle name="Obliczenia 2 14 7" xfId="29905" xr:uid="{00000000-0005-0000-0000-0000BD770000}"/>
    <cellStyle name="Obliczenia 2 14 7 2" xfId="29906" xr:uid="{00000000-0005-0000-0000-0000BE770000}"/>
    <cellStyle name="Obliczenia 2 14 7 2 2" xfId="29907" xr:uid="{00000000-0005-0000-0000-0000BF770000}"/>
    <cellStyle name="Obliczenia 2 14 7 2 2 2" xfId="29908" xr:uid="{00000000-0005-0000-0000-0000C0770000}"/>
    <cellStyle name="Obliczenia 2 14 7 2 3" xfId="29909" xr:uid="{00000000-0005-0000-0000-0000C1770000}"/>
    <cellStyle name="Obliczenia 2 14 7 3" xfId="29910" xr:uid="{00000000-0005-0000-0000-0000C2770000}"/>
    <cellStyle name="Obliczenia 2 14 7 3 2" xfId="29911" xr:uid="{00000000-0005-0000-0000-0000C3770000}"/>
    <cellStyle name="Obliczenia 2 14 7 3 2 2" xfId="29912" xr:uid="{00000000-0005-0000-0000-0000C4770000}"/>
    <cellStyle name="Obliczenia 2 14 7 3 3" xfId="29913" xr:uid="{00000000-0005-0000-0000-0000C5770000}"/>
    <cellStyle name="Obliczenia 2 14 7 4" xfId="29914" xr:uid="{00000000-0005-0000-0000-0000C6770000}"/>
    <cellStyle name="Obliczenia 2 14 7 4 2" xfId="29915" xr:uid="{00000000-0005-0000-0000-0000C7770000}"/>
    <cellStyle name="Obliczenia 2 14 7 4 2 2" xfId="29916" xr:uid="{00000000-0005-0000-0000-0000C8770000}"/>
    <cellStyle name="Obliczenia 2 14 7 4 3" xfId="29917" xr:uid="{00000000-0005-0000-0000-0000C9770000}"/>
    <cellStyle name="Obliczenia 2 14 7 5" xfId="29918" xr:uid="{00000000-0005-0000-0000-0000CA770000}"/>
    <cellStyle name="Obliczenia 2 14 7 5 2" xfId="29919" xr:uid="{00000000-0005-0000-0000-0000CB770000}"/>
    <cellStyle name="Obliczenia 2 14 7 6" xfId="29920" xr:uid="{00000000-0005-0000-0000-0000CC770000}"/>
    <cellStyle name="Obliczenia 2 14 7 6 2" xfId="29921" xr:uid="{00000000-0005-0000-0000-0000CD770000}"/>
    <cellStyle name="Obliczenia 2 14 7 7" xfId="29922" xr:uid="{00000000-0005-0000-0000-0000CE770000}"/>
    <cellStyle name="Obliczenia 2 14 8" xfId="29923" xr:uid="{00000000-0005-0000-0000-0000CF770000}"/>
    <cellStyle name="Obliczenia 2 14 8 2" xfId="29924" xr:uid="{00000000-0005-0000-0000-0000D0770000}"/>
    <cellStyle name="Obliczenia 2 14 8 2 2" xfId="29925" xr:uid="{00000000-0005-0000-0000-0000D1770000}"/>
    <cellStyle name="Obliczenia 2 14 8 3" xfId="29926" xr:uid="{00000000-0005-0000-0000-0000D2770000}"/>
    <cellStyle name="Obliczenia 2 14 9" xfId="29927" xr:uid="{00000000-0005-0000-0000-0000D3770000}"/>
    <cellStyle name="Obliczenia 2 14 9 2" xfId="29928" xr:uid="{00000000-0005-0000-0000-0000D4770000}"/>
    <cellStyle name="Obliczenia 2 14 9 2 2" xfId="29929" xr:uid="{00000000-0005-0000-0000-0000D5770000}"/>
    <cellStyle name="Obliczenia 2 14 9 3" xfId="29930" xr:uid="{00000000-0005-0000-0000-0000D6770000}"/>
    <cellStyle name="Obliczenia 2 15" xfId="29931" xr:uid="{00000000-0005-0000-0000-0000D7770000}"/>
    <cellStyle name="Obliczenia 2 15 2" xfId="29932" xr:uid="{00000000-0005-0000-0000-0000D8770000}"/>
    <cellStyle name="Obliczenia 2 15 2 2" xfId="29933" xr:uid="{00000000-0005-0000-0000-0000D9770000}"/>
    <cellStyle name="Obliczenia 2 15 2 2 2" xfId="29934" xr:uid="{00000000-0005-0000-0000-0000DA770000}"/>
    <cellStyle name="Obliczenia 2 15 2 2 2 2" xfId="29935" xr:uid="{00000000-0005-0000-0000-0000DB770000}"/>
    <cellStyle name="Obliczenia 2 15 2 2 3" xfId="29936" xr:uid="{00000000-0005-0000-0000-0000DC770000}"/>
    <cellStyle name="Obliczenia 2 15 2 3" xfId="29937" xr:uid="{00000000-0005-0000-0000-0000DD770000}"/>
    <cellStyle name="Obliczenia 2 15 2 3 2" xfId="29938" xr:uid="{00000000-0005-0000-0000-0000DE770000}"/>
    <cellStyle name="Obliczenia 2 15 2 3 2 2" xfId="29939" xr:uid="{00000000-0005-0000-0000-0000DF770000}"/>
    <cellStyle name="Obliczenia 2 15 2 3 3" xfId="29940" xr:uid="{00000000-0005-0000-0000-0000E0770000}"/>
    <cellStyle name="Obliczenia 2 15 2 4" xfId="29941" xr:uid="{00000000-0005-0000-0000-0000E1770000}"/>
    <cellStyle name="Obliczenia 2 15 2 4 2" xfId="29942" xr:uid="{00000000-0005-0000-0000-0000E2770000}"/>
    <cellStyle name="Obliczenia 2 15 2 4 2 2" xfId="29943" xr:uid="{00000000-0005-0000-0000-0000E3770000}"/>
    <cellStyle name="Obliczenia 2 15 2 4 3" xfId="29944" xr:uid="{00000000-0005-0000-0000-0000E4770000}"/>
    <cellStyle name="Obliczenia 2 15 2 5" xfId="29945" xr:uid="{00000000-0005-0000-0000-0000E5770000}"/>
    <cellStyle name="Obliczenia 2 15 2 5 2" xfId="29946" xr:uid="{00000000-0005-0000-0000-0000E6770000}"/>
    <cellStyle name="Obliczenia 2 15 2 6" xfId="29947" xr:uid="{00000000-0005-0000-0000-0000E7770000}"/>
    <cellStyle name="Obliczenia 2 15 2 6 2" xfId="29948" xr:uid="{00000000-0005-0000-0000-0000E8770000}"/>
    <cellStyle name="Obliczenia 2 15 2 7" xfId="29949" xr:uid="{00000000-0005-0000-0000-0000E9770000}"/>
    <cellStyle name="Obliczenia 2 15 3" xfId="29950" xr:uid="{00000000-0005-0000-0000-0000EA770000}"/>
    <cellStyle name="Obliczenia 2 15 3 2" xfId="29951" xr:uid="{00000000-0005-0000-0000-0000EB770000}"/>
    <cellStyle name="Obliczenia 2 15 3 2 2" xfId="29952" xr:uid="{00000000-0005-0000-0000-0000EC770000}"/>
    <cellStyle name="Obliczenia 2 15 3 3" xfId="29953" xr:uid="{00000000-0005-0000-0000-0000ED770000}"/>
    <cellStyle name="Obliczenia 2 15 4" xfId="29954" xr:uid="{00000000-0005-0000-0000-0000EE770000}"/>
    <cellStyle name="Obliczenia 2 15 4 2" xfId="29955" xr:uid="{00000000-0005-0000-0000-0000EF770000}"/>
    <cellStyle name="Obliczenia 2 15 4 2 2" xfId="29956" xr:uid="{00000000-0005-0000-0000-0000F0770000}"/>
    <cellStyle name="Obliczenia 2 15 4 3" xfId="29957" xr:uid="{00000000-0005-0000-0000-0000F1770000}"/>
    <cellStyle name="Obliczenia 2 15 5" xfId="29958" xr:uid="{00000000-0005-0000-0000-0000F2770000}"/>
    <cellStyle name="Obliczenia 2 15 5 2" xfId="29959" xr:uid="{00000000-0005-0000-0000-0000F3770000}"/>
    <cellStyle name="Obliczenia 2 15 5 2 2" xfId="29960" xr:uid="{00000000-0005-0000-0000-0000F4770000}"/>
    <cellStyle name="Obliczenia 2 15 5 3" xfId="29961" xr:uid="{00000000-0005-0000-0000-0000F5770000}"/>
    <cellStyle name="Obliczenia 2 15 6" xfId="29962" xr:uid="{00000000-0005-0000-0000-0000F6770000}"/>
    <cellStyle name="Obliczenia 2 15 6 2" xfId="29963" xr:uid="{00000000-0005-0000-0000-0000F7770000}"/>
    <cellStyle name="Obliczenia 2 15 7" xfId="29964" xr:uid="{00000000-0005-0000-0000-0000F8770000}"/>
    <cellStyle name="Obliczenia 2 15 7 2" xfId="29965" xr:uid="{00000000-0005-0000-0000-0000F9770000}"/>
    <cellStyle name="Obliczenia 2 15 8" xfId="29966" xr:uid="{00000000-0005-0000-0000-0000FA770000}"/>
    <cellStyle name="Obliczenia 2 16" xfId="29967" xr:uid="{00000000-0005-0000-0000-0000FB770000}"/>
    <cellStyle name="Obliczenia 2 16 2" xfId="29968" xr:uid="{00000000-0005-0000-0000-0000FC770000}"/>
    <cellStyle name="Obliczenia 2 16 2 2" xfId="29969" xr:uid="{00000000-0005-0000-0000-0000FD770000}"/>
    <cellStyle name="Obliczenia 2 16 3" xfId="29970" xr:uid="{00000000-0005-0000-0000-0000FE770000}"/>
    <cellStyle name="Obliczenia 2 17" xfId="29971" xr:uid="{00000000-0005-0000-0000-0000FF770000}"/>
    <cellStyle name="Obliczenia 2 17 2" xfId="29972" xr:uid="{00000000-0005-0000-0000-000000780000}"/>
    <cellStyle name="Obliczenia 2 17 2 2" xfId="29973" xr:uid="{00000000-0005-0000-0000-000001780000}"/>
    <cellStyle name="Obliczenia 2 17 3" xfId="29974" xr:uid="{00000000-0005-0000-0000-000002780000}"/>
    <cellStyle name="Obliczenia 2 18" xfId="29975" xr:uid="{00000000-0005-0000-0000-000003780000}"/>
    <cellStyle name="Obliczenia 2 18 2" xfId="29976" xr:uid="{00000000-0005-0000-0000-000004780000}"/>
    <cellStyle name="Obliczenia 2 18 2 2" xfId="29977" xr:uid="{00000000-0005-0000-0000-000005780000}"/>
    <cellStyle name="Obliczenia 2 18 3" xfId="29978" xr:uid="{00000000-0005-0000-0000-000006780000}"/>
    <cellStyle name="Obliczenia 2 19" xfId="29979" xr:uid="{00000000-0005-0000-0000-000007780000}"/>
    <cellStyle name="Obliczenia 2 19 2" xfId="29980" xr:uid="{00000000-0005-0000-0000-000008780000}"/>
    <cellStyle name="Obliczenia 2 19 2 2" xfId="29981" xr:uid="{00000000-0005-0000-0000-000009780000}"/>
    <cellStyle name="Obliczenia 2 19 3" xfId="29982" xr:uid="{00000000-0005-0000-0000-00000A780000}"/>
    <cellStyle name="Obliczenia 2 2" xfId="29983" xr:uid="{00000000-0005-0000-0000-00000B780000}"/>
    <cellStyle name="Obliczenia 2 2 10" xfId="29984" xr:uid="{00000000-0005-0000-0000-00000C780000}"/>
    <cellStyle name="Obliczenia 2 2 10 10" xfId="29985" xr:uid="{00000000-0005-0000-0000-00000D780000}"/>
    <cellStyle name="Obliczenia 2 2 10 10 2" xfId="29986" xr:uid="{00000000-0005-0000-0000-00000E780000}"/>
    <cellStyle name="Obliczenia 2 2 10 10 2 2" xfId="29987" xr:uid="{00000000-0005-0000-0000-00000F780000}"/>
    <cellStyle name="Obliczenia 2 2 10 10 3" xfId="29988" xr:uid="{00000000-0005-0000-0000-000010780000}"/>
    <cellStyle name="Obliczenia 2 2 10 11" xfId="29989" xr:uid="{00000000-0005-0000-0000-000011780000}"/>
    <cellStyle name="Obliczenia 2 2 10 11 2" xfId="29990" xr:uid="{00000000-0005-0000-0000-000012780000}"/>
    <cellStyle name="Obliczenia 2 2 10 12" xfId="29991" xr:uid="{00000000-0005-0000-0000-000013780000}"/>
    <cellStyle name="Obliczenia 2 2 10 12 2" xfId="29992" xr:uid="{00000000-0005-0000-0000-000014780000}"/>
    <cellStyle name="Obliczenia 2 2 10 13" xfId="29993" xr:uid="{00000000-0005-0000-0000-000015780000}"/>
    <cellStyle name="Obliczenia 2 2 10 2" xfId="29994" xr:uid="{00000000-0005-0000-0000-000016780000}"/>
    <cellStyle name="Obliczenia 2 2 10 2 10" xfId="29995" xr:uid="{00000000-0005-0000-0000-000017780000}"/>
    <cellStyle name="Obliczenia 2 2 10 2 10 2" xfId="29996" xr:uid="{00000000-0005-0000-0000-000018780000}"/>
    <cellStyle name="Obliczenia 2 2 10 2 11" xfId="29997" xr:uid="{00000000-0005-0000-0000-000019780000}"/>
    <cellStyle name="Obliczenia 2 2 10 2 11 2" xfId="29998" xr:uid="{00000000-0005-0000-0000-00001A780000}"/>
    <cellStyle name="Obliczenia 2 2 10 2 12" xfId="29999" xr:uid="{00000000-0005-0000-0000-00001B780000}"/>
    <cellStyle name="Obliczenia 2 2 10 2 2" xfId="30000" xr:uid="{00000000-0005-0000-0000-00001C780000}"/>
    <cellStyle name="Obliczenia 2 2 10 2 2 10" xfId="30001" xr:uid="{00000000-0005-0000-0000-00001D780000}"/>
    <cellStyle name="Obliczenia 2 2 10 2 2 10 2" xfId="30002" xr:uid="{00000000-0005-0000-0000-00001E780000}"/>
    <cellStyle name="Obliczenia 2 2 10 2 2 11" xfId="30003" xr:uid="{00000000-0005-0000-0000-00001F780000}"/>
    <cellStyle name="Obliczenia 2 2 10 2 2 11 2" xfId="30004" xr:uid="{00000000-0005-0000-0000-000020780000}"/>
    <cellStyle name="Obliczenia 2 2 10 2 2 12" xfId="30005" xr:uid="{00000000-0005-0000-0000-000021780000}"/>
    <cellStyle name="Obliczenia 2 2 10 2 2 2" xfId="30006" xr:uid="{00000000-0005-0000-0000-000022780000}"/>
    <cellStyle name="Obliczenia 2 2 10 2 2 2 2" xfId="30007" xr:uid="{00000000-0005-0000-0000-000023780000}"/>
    <cellStyle name="Obliczenia 2 2 10 2 2 2 2 2" xfId="30008" xr:uid="{00000000-0005-0000-0000-000024780000}"/>
    <cellStyle name="Obliczenia 2 2 10 2 2 2 2 2 2" xfId="30009" xr:uid="{00000000-0005-0000-0000-000025780000}"/>
    <cellStyle name="Obliczenia 2 2 10 2 2 2 2 2 2 2" xfId="30010" xr:uid="{00000000-0005-0000-0000-000026780000}"/>
    <cellStyle name="Obliczenia 2 2 10 2 2 2 2 2 3" xfId="30011" xr:uid="{00000000-0005-0000-0000-000027780000}"/>
    <cellStyle name="Obliczenia 2 2 10 2 2 2 2 3" xfId="30012" xr:uid="{00000000-0005-0000-0000-000028780000}"/>
    <cellStyle name="Obliczenia 2 2 10 2 2 2 2 3 2" xfId="30013" xr:uid="{00000000-0005-0000-0000-000029780000}"/>
    <cellStyle name="Obliczenia 2 2 10 2 2 2 2 3 2 2" xfId="30014" xr:uid="{00000000-0005-0000-0000-00002A780000}"/>
    <cellStyle name="Obliczenia 2 2 10 2 2 2 2 3 3" xfId="30015" xr:uid="{00000000-0005-0000-0000-00002B780000}"/>
    <cellStyle name="Obliczenia 2 2 10 2 2 2 2 4" xfId="30016" xr:uid="{00000000-0005-0000-0000-00002C780000}"/>
    <cellStyle name="Obliczenia 2 2 10 2 2 2 2 4 2" xfId="30017" xr:uid="{00000000-0005-0000-0000-00002D780000}"/>
    <cellStyle name="Obliczenia 2 2 10 2 2 2 2 4 2 2" xfId="30018" xr:uid="{00000000-0005-0000-0000-00002E780000}"/>
    <cellStyle name="Obliczenia 2 2 10 2 2 2 2 4 3" xfId="30019" xr:uid="{00000000-0005-0000-0000-00002F780000}"/>
    <cellStyle name="Obliczenia 2 2 10 2 2 2 2 5" xfId="30020" xr:uid="{00000000-0005-0000-0000-000030780000}"/>
    <cellStyle name="Obliczenia 2 2 10 2 2 2 2 5 2" xfId="30021" xr:uid="{00000000-0005-0000-0000-000031780000}"/>
    <cellStyle name="Obliczenia 2 2 10 2 2 2 2 6" xfId="30022" xr:uid="{00000000-0005-0000-0000-000032780000}"/>
    <cellStyle name="Obliczenia 2 2 10 2 2 2 2 6 2" xfId="30023" xr:uid="{00000000-0005-0000-0000-000033780000}"/>
    <cellStyle name="Obliczenia 2 2 10 2 2 2 2 7" xfId="30024" xr:uid="{00000000-0005-0000-0000-000034780000}"/>
    <cellStyle name="Obliczenia 2 2 10 2 2 2 3" xfId="30025" xr:uid="{00000000-0005-0000-0000-000035780000}"/>
    <cellStyle name="Obliczenia 2 2 10 2 2 2 3 2" xfId="30026" xr:uid="{00000000-0005-0000-0000-000036780000}"/>
    <cellStyle name="Obliczenia 2 2 10 2 2 2 3 2 2" xfId="30027" xr:uid="{00000000-0005-0000-0000-000037780000}"/>
    <cellStyle name="Obliczenia 2 2 10 2 2 2 3 3" xfId="30028" xr:uid="{00000000-0005-0000-0000-000038780000}"/>
    <cellStyle name="Obliczenia 2 2 10 2 2 2 4" xfId="30029" xr:uid="{00000000-0005-0000-0000-000039780000}"/>
    <cellStyle name="Obliczenia 2 2 10 2 2 2 4 2" xfId="30030" xr:uid="{00000000-0005-0000-0000-00003A780000}"/>
    <cellStyle name="Obliczenia 2 2 10 2 2 2 4 2 2" xfId="30031" xr:uid="{00000000-0005-0000-0000-00003B780000}"/>
    <cellStyle name="Obliczenia 2 2 10 2 2 2 4 3" xfId="30032" xr:uid="{00000000-0005-0000-0000-00003C780000}"/>
    <cellStyle name="Obliczenia 2 2 10 2 2 2 5" xfId="30033" xr:uid="{00000000-0005-0000-0000-00003D780000}"/>
    <cellStyle name="Obliczenia 2 2 10 2 2 2 5 2" xfId="30034" xr:uid="{00000000-0005-0000-0000-00003E780000}"/>
    <cellStyle name="Obliczenia 2 2 10 2 2 2 5 2 2" xfId="30035" xr:uid="{00000000-0005-0000-0000-00003F780000}"/>
    <cellStyle name="Obliczenia 2 2 10 2 2 2 5 3" xfId="30036" xr:uid="{00000000-0005-0000-0000-000040780000}"/>
    <cellStyle name="Obliczenia 2 2 10 2 2 2 6" xfId="30037" xr:uid="{00000000-0005-0000-0000-000041780000}"/>
    <cellStyle name="Obliczenia 2 2 10 2 2 2 6 2" xfId="30038" xr:uid="{00000000-0005-0000-0000-000042780000}"/>
    <cellStyle name="Obliczenia 2 2 10 2 2 2 7" xfId="30039" xr:uid="{00000000-0005-0000-0000-000043780000}"/>
    <cellStyle name="Obliczenia 2 2 10 2 2 2 7 2" xfId="30040" xr:uid="{00000000-0005-0000-0000-000044780000}"/>
    <cellStyle name="Obliczenia 2 2 10 2 2 2 8" xfId="30041" xr:uid="{00000000-0005-0000-0000-000045780000}"/>
    <cellStyle name="Obliczenia 2 2 10 2 2 3" xfId="30042" xr:uid="{00000000-0005-0000-0000-000046780000}"/>
    <cellStyle name="Obliczenia 2 2 10 2 2 3 2" xfId="30043" xr:uid="{00000000-0005-0000-0000-000047780000}"/>
    <cellStyle name="Obliczenia 2 2 10 2 2 3 2 2" xfId="30044" xr:uid="{00000000-0005-0000-0000-000048780000}"/>
    <cellStyle name="Obliczenia 2 2 10 2 2 3 3" xfId="30045" xr:uid="{00000000-0005-0000-0000-000049780000}"/>
    <cellStyle name="Obliczenia 2 2 10 2 2 4" xfId="30046" xr:uid="{00000000-0005-0000-0000-00004A780000}"/>
    <cellStyle name="Obliczenia 2 2 10 2 2 4 2" xfId="30047" xr:uid="{00000000-0005-0000-0000-00004B780000}"/>
    <cellStyle name="Obliczenia 2 2 10 2 2 4 2 2" xfId="30048" xr:uid="{00000000-0005-0000-0000-00004C780000}"/>
    <cellStyle name="Obliczenia 2 2 10 2 2 4 3" xfId="30049" xr:uid="{00000000-0005-0000-0000-00004D780000}"/>
    <cellStyle name="Obliczenia 2 2 10 2 2 5" xfId="30050" xr:uid="{00000000-0005-0000-0000-00004E780000}"/>
    <cellStyle name="Obliczenia 2 2 10 2 2 5 2" xfId="30051" xr:uid="{00000000-0005-0000-0000-00004F780000}"/>
    <cellStyle name="Obliczenia 2 2 10 2 2 5 2 2" xfId="30052" xr:uid="{00000000-0005-0000-0000-000050780000}"/>
    <cellStyle name="Obliczenia 2 2 10 2 2 5 3" xfId="30053" xr:uid="{00000000-0005-0000-0000-000051780000}"/>
    <cellStyle name="Obliczenia 2 2 10 2 2 6" xfId="30054" xr:uid="{00000000-0005-0000-0000-000052780000}"/>
    <cellStyle name="Obliczenia 2 2 10 2 2 6 2" xfId="30055" xr:uid="{00000000-0005-0000-0000-000053780000}"/>
    <cellStyle name="Obliczenia 2 2 10 2 2 6 2 2" xfId="30056" xr:uid="{00000000-0005-0000-0000-000054780000}"/>
    <cellStyle name="Obliczenia 2 2 10 2 2 6 3" xfId="30057" xr:uid="{00000000-0005-0000-0000-000055780000}"/>
    <cellStyle name="Obliczenia 2 2 10 2 2 7" xfId="30058" xr:uid="{00000000-0005-0000-0000-000056780000}"/>
    <cellStyle name="Obliczenia 2 2 10 2 2 7 2" xfId="30059" xr:uid="{00000000-0005-0000-0000-000057780000}"/>
    <cellStyle name="Obliczenia 2 2 10 2 2 7 2 2" xfId="30060" xr:uid="{00000000-0005-0000-0000-000058780000}"/>
    <cellStyle name="Obliczenia 2 2 10 2 2 7 2 2 2" xfId="30061" xr:uid="{00000000-0005-0000-0000-000059780000}"/>
    <cellStyle name="Obliczenia 2 2 10 2 2 7 2 3" xfId="30062" xr:uid="{00000000-0005-0000-0000-00005A780000}"/>
    <cellStyle name="Obliczenia 2 2 10 2 2 7 3" xfId="30063" xr:uid="{00000000-0005-0000-0000-00005B780000}"/>
    <cellStyle name="Obliczenia 2 2 10 2 2 7 3 2" xfId="30064" xr:uid="{00000000-0005-0000-0000-00005C780000}"/>
    <cellStyle name="Obliczenia 2 2 10 2 2 7 3 2 2" xfId="30065" xr:uid="{00000000-0005-0000-0000-00005D780000}"/>
    <cellStyle name="Obliczenia 2 2 10 2 2 7 3 3" xfId="30066" xr:uid="{00000000-0005-0000-0000-00005E780000}"/>
    <cellStyle name="Obliczenia 2 2 10 2 2 7 4" xfId="30067" xr:uid="{00000000-0005-0000-0000-00005F780000}"/>
    <cellStyle name="Obliczenia 2 2 10 2 2 7 4 2" xfId="30068" xr:uid="{00000000-0005-0000-0000-000060780000}"/>
    <cellStyle name="Obliczenia 2 2 10 2 2 7 4 2 2" xfId="30069" xr:uid="{00000000-0005-0000-0000-000061780000}"/>
    <cellStyle name="Obliczenia 2 2 10 2 2 7 4 3" xfId="30070" xr:uid="{00000000-0005-0000-0000-000062780000}"/>
    <cellStyle name="Obliczenia 2 2 10 2 2 7 5" xfId="30071" xr:uid="{00000000-0005-0000-0000-000063780000}"/>
    <cellStyle name="Obliczenia 2 2 10 2 2 7 5 2" xfId="30072" xr:uid="{00000000-0005-0000-0000-000064780000}"/>
    <cellStyle name="Obliczenia 2 2 10 2 2 7 6" xfId="30073" xr:uid="{00000000-0005-0000-0000-000065780000}"/>
    <cellStyle name="Obliczenia 2 2 10 2 2 7 6 2" xfId="30074" xr:uid="{00000000-0005-0000-0000-000066780000}"/>
    <cellStyle name="Obliczenia 2 2 10 2 2 7 7" xfId="30075" xr:uid="{00000000-0005-0000-0000-000067780000}"/>
    <cellStyle name="Obliczenia 2 2 10 2 2 8" xfId="30076" xr:uid="{00000000-0005-0000-0000-000068780000}"/>
    <cellStyle name="Obliczenia 2 2 10 2 2 8 2" xfId="30077" xr:uid="{00000000-0005-0000-0000-000069780000}"/>
    <cellStyle name="Obliczenia 2 2 10 2 2 8 2 2" xfId="30078" xr:uid="{00000000-0005-0000-0000-00006A780000}"/>
    <cellStyle name="Obliczenia 2 2 10 2 2 8 3" xfId="30079" xr:uid="{00000000-0005-0000-0000-00006B780000}"/>
    <cellStyle name="Obliczenia 2 2 10 2 2 9" xfId="30080" xr:uid="{00000000-0005-0000-0000-00006C780000}"/>
    <cellStyle name="Obliczenia 2 2 10 2 2 9 2" xfId="30081" xr:uid="{00000000-0005-0000-0000-00006D780000}"/>
    <cellStyle name="Obliczenia 2 2 10 2 2 9 2 2" xfId="30082" xr:uid="{00000000-0005-0000-0000-00006E780000}"/>
    <cellStyle name="Obliczenia 2 2 10 2 2 9 3" xfId="30083" xr:uid="{00000000-0005-0000-0000-00006F780000}"/>
    <cellStyle name="Obliczenia 2 2 10 2 3" xfId="30084" xr:uid="{00000000-0005-0000-0000-000070780000}"/>
    <cellStyle name="Obliczenia 2 2 10 2 3 2" xfId="30085" xr:uid="{00000000-0005-0000-0000-000071780000}"/>
    <cellStyle name="Obliczenia 2 2 10 2 3 2 2" xfId="30086" xr:uid="{00000000-0005-0000-0000-000072780000}"/>
    <cellStyle name="Obliczenia 2 2 10 2 3 2 2 2" xfId="30087" xr:uid="{00000000-0005-0000-0000-000073780000}"/>
    <cellStyle name="Obliczenia 2 2 10 2 3 2 2 2 2" xfId="30088" xr:uid="{00000000-0005-0000-0000-000074780000}"/>
    <cellStyle name="Obliczenia 2 2 10 2 3 2 2 3" xfId="30089" xr:uid="{00000000-0005-0000-0000-000075780000}"/>
    <cellStyle name="Obliczenia 2 2 10 2 3 2 3" xfId="30090" xr:uid="{00000000-0005-0000-0000-000076780000}"/>
    <cellStyle name="Obliczenia 2 2 10 2 3 2 3 2" xfId="30091" xr:uid="{00000000-0005-0000-0000-000077780000}"/>
    <cellStyle name="Obliczenia 2 2 10 2 3 2 3 2 2" xfId="30092" xr:uid="{00000000-0005-0000-0000-000078780000}"/>
    <cellStyle name="Obliczenia 2 2 10 2 3 2 3 3" xfId="30093" xr:uid="{00000000-0005-0000-0000-000079780000}"/>
    <cellStyle name="Obliczenia 2 2 10 2 3 2 4" xfId="30094" xr:uid="{00000000-0005-0000-0000-00007A780000}"/>
    <cellStyle name="Obliczenia 2 2 10 2 3 2 4 2" xfId="30095" xr:uid="{00000000-0005-0000-0000-00007B780000}"/>
    <cellStyle name="Obliczenia 2 2 10 2 3 2 4 2 2" xfId="30096" xr:uid="{00000000-0005-0000-0000-00007C780000}"/>
    <cellStyle name="Obliczenia 2 2 10 2 3 2 4 3" xfId="30097" xr:uid="{00000000-0005-0000-0000-00007D780000}"/>
    <cellStyle name="Obliczenia 2 2 10 2 3 2 5" xfId="30098" xr:uid="{00000000-0005-0000-0000-00007E780000}"/>
    <cellStyle name="Obliczenia 2 2 10 2 3 2 5 2" xfId="30099" xr:uid="{00000000-0005-0000-0000-00007F780000}"/>
    <cellStyle name="Obliczenia 2 2 10 2 3 2 6" xfId="30100" xr:uid="{00000000-0005-0000-0000-000080780000}"/>
    <cellStyle name="Obliczenia 2 2 10 2 3 2 6 2" xfId="30101" xr:uid="{00000000-0005-0000-0000-000081780000}"/>
    <cellStyle name="Obliczenia 2 2 10 2 3 2 7" xfId="30102" xr:uid="{00000000-0005-0000-0000-000082780000}"/>
    <cellStyle name="Obliczenia 2 2 10 2 3 3" xfId="30103" xr:uid="{00000000-0005-0000-0000-000083780000}"/>
    <cellStyle name="Obliczenia 2 2 10 2 3 3 2" xfId="30104" xr:uid="{00000000-0005-0000-0000-000084780000}"/>
    <cellStyle name="Obliczenia 2 2 10 2 3 3 2 2" xfId="30105" xr:uid="{00000000-0005-0000-0000-000085780000}"/>
    <cellStyle name="Obliczenia 2 2 10 2 3 3 3" xfId="30106" xr:uid="{00000000-0005-0000-0000-000086780000}"/>
    <cellStyle name="Obliczenia 2 2 10 2 3 4" xfId="30107" xr:uid="{00000000-0005-0000-0000-000087780000}"/>
    <cellStyle name="Obliczenia 2 2 10 2 3 4 2" xfId="30108" xr:uid="{00000000-0005-0000-0000-000088780000}"/>
    <cellStyle name="Obliczenia 2 2 10 2 3 4 2 2" xfId="30109" xr:uid="{00000000-0005-0000-0000-000089780000}"/>
    <cellStyle name="Obliczenia 2 2 10 2 3 4 3" xfId="30110" xr:uid="{00000000-0005-0000-0000-00008A780000}"/>
    <cellStyle name="Obliczenia 2 2 10 2 3 5" xfId="30111" xr:uid="{00000000-0005-0000-0000-00008B780000}"/>
    <cellStyle name="Obliczenia 2 2 10 2 3 5 2" xfId="30112" xr:uid="{00000000-0005-0000-0000-00008C780000}"/>
    <cellStyle name="Obliczenia 2 2 10 2 3 5 2 2" xfId="30113" xr:uid="{00000000-0005-0000-0000-00008D780000}"/>
    <cellStyle name="Obliczenia 2 2 10 2 3 5 3" xfId="30114" xr:uid="{00000000-0005-0000-0000-00008E780000}"/>
    <cellStyle name="Obliczenia 2 2 10 2 3 6" xfId="30115" xr:uid="{00000000-0005-0000-0000-00008F780000}"/>
    <cellStyle name="Obliczenia 2 2 10 2 3 6 2" xfId="30116" xr:uid="{00000000-0005-0000-0000-000090780000}"/>
    <cellStyle name="Obliczenia 2 2 10 2 3 7" xfId="30117" xr:uid="{00000000-0005-0000-0000-000091780000}"/>
    <cellStyle name="Obliczenia 2 2 10 2 3 7 2" xfId="30118" xr:uid="{00000000-0005-0000-0000-000092780000}"/>
    <cellStyle name="Obliczenia 2 2 10 2 3 8" xfId="30119" xr:uid="{00000000-0005-0000-0000-000093780000}"/>
    <cellStyle name="Obliczenia 2 2 10 2 4" xfId="30120" xr:uid="{00000000-0005-0000-0000-000094780000}"/>
    <cellStyle name="Obliczenia 2 2 10 2 4 2" xfId="30121" xr:uid="{00000000-0005-0000-0000-000095780000}"/>
    <cellStyle name="Obliczenia 2 2 10 2 4 2 2" xfId="30122" xr:uid="{00000000-0005-0000-0000-000096780000}"/>
    <cellStyle name="Obliczenia 2 2 10 2 4 3" xfId="30123" xr:uid="{00000000-0005-0000-0000-000097780000}"/>
    <cellStyle name="Obliczenia 2 2 10 2 5" xfId="30124" xr:uid="{00000000-0005-0000-0000-000098780000}"/>
    <cellStyle name="Obliczenia 2 2 10 2 5 2" xfId="30125" xr:uid="{00000000-0005-0000-0000-000099780000}"/>
    <cellStyle name="Obliczenia 2 2 10 2 5 2 2" xfId="30126" xr:uid="{00000000-0005-0000-0000-00009A780000}"/>
    <cellStyle name="Obliczenia 2 2 10 2 5 3" xfId="30127" xr:uid="{00000000-0005-0000-0000-00009B780000}"/>
    <cellStyle name="Obliczenia 2 2 10 2 6" xfId="30128" xr:uid="{00000000-0005-0000-0000-00009C780000}"/>
    <cellStyle name="Obliczenia 2 2 10 2 6 2" xfId="30129" xr:uid="{00000000-0005-0000-0000-00009D780000}"/>
    <cellStyle name="Obliczenia 2 2 10 2 6 2 2" xfId="30130" xr:uid="{00000000-0005-0000-0000-00009E780000}"/>
    <cellStyle name="Obliczenia 2 2 10 2 6 3" xfId="30131" xr:uid="{00000000-0005-0000-0000-00009F780000}"/>
    <cellStyle name="Obliczenia 2 2 10 2 7" xfId="30132" xr:uid="{00000000-0005-0000-0000-0000A0780000}"/>
    <cellStyle name="Obliczenia 2 2 10 2 7 2" xfId="30133" xr:uid="{00000000-0005-0000-0000-0000A1780000}"/>
    <cellStyle name="Obliczenia 2 2 10 2 7 2 2" xfId="30134" xr:uid="{00000000-0005-0000-0000-0000A2780000}"/>
    <cellStyle name="Obliczenia 2 2 10 2 7 2 2 2" xfId="30135" xr:uid="{00000000-0005-0000-0000-0000A3780000}"/>
    <cellStyle name="Obliczenia 2 2 10 2 7 2 3" xfId="30136" xr:uid="{00000000-0005-0000-0000-0000A4780000}"/>
    <cellStyle name="Obliczenia 2 2 10 2 7 3" xfId="30137" xr:uid="{00000000-0005-0000-0000-0000A5780000}"/>
    <cellStyle name="Obliczenia 2 2 10 2 7 3 2" xfId="30138" xr:uid="{00000000-0005-0000-0000-0000A6780000}"/>
    <cellStyle name="Obliczenia 2 2 10 2 7 3 2 2" xfId="30139" xr:uid="{00000000-0005-0000-0000-0000A7780000}"/>
    <cellStyle name="Obliczenia 2 2 10 2 7 3 3" xfId="30140" xr:uid="{00000000-0005-0000-0000-0000A8780000}"/>
    <cellStyle name="Obliczenia 2 2 10 2 7 4" xfId="30141" xr:uid="{00000000-0005-0000-0000-0000A9780000}"/>
    <cellStyle name="Obliczenia 2 2 10 2 7 4 2" xfId="30142" xr:uid="{00000000-0005-0000-0000-0000AA780000}"/>
    <cellStyle name="Obliczenia 2 2 10 2 7 4 2 2" xfId="30143" xr:uid="{00000000-0005-0000-0000-0000AB780000}"/>
    <cellStyle name="Obliczenia 2 2 10 2 7 4 3" xfId="30144" xr:uid="{00000000-0005-0000-0000-0000AC780000}"/>
    <cellStyle name="Obliczenia 2 2 10 2 7 5" xfId="30145" xr:uid="{00000000-0005-0000-0000-0000AD780000}"/>
    <cellStyle name="Obliczenia 2 2 10 2 7 5 2" xfId="30146" xr:uid="{00000000-0005-0000-0000-0000AE780000}"/>
    <cellStyle name="Obliczenia 2 2 10 2 7 6" xfId="30147" xr:uid="{00000000-0005-0000-0000-0000AF780000}"/>
    <cellStyle name="Obliczenia 2 2 10 2 7 6 2" xfId="30148" xr:uid="{00000000-0005-0000-0000-0000B0780000}"/>
    <cellStyle name="Obliczenia 2 2 10 2 7 7" xfId="30149" xr:uid="{00000000-0005-0000-0000-0000B1780000}"/>
    <cellStyle name="Obliczenia 2 2 10 2 8" xfId="30150" xr:uid="{00000000-0005-0000-0000-0000B2780000}"/>
    <cellStyle name="Obliczenia 2 2 10 2 8 2" xfId="30151" xr:uid="{00000000-0005-0000-0000-0000B3780000}"/>
    <cellStyle name="Obliczenia 2 2 10 2 8 2 2" xfId="30152" xr:uid="{00000000-0005-0000-0000-0000B4780000}"/>
    <cellStyle name="Obliczenia 2 2 10 2 8 3" xfId="30153" xr:uid="{00000000-0005-0000-0000-0000B5780000}"/>
    <cellStyle name="Obliczenia 2 2 10 2 9" xfId="30154" xr:uid="{00000000-0005-0000-0000-0000B6780000}"/>
    <cellStyle name="Obliczenia 2 2 10 2 9 2" xfId="30155" xr:uid="{00000000-0005-0000-0000-0000B7780000}"/>
    <cellStyle name="Obliczenia 2 2 10 2 9 2 2" xfId="30156" xr:uid="{00000000-0005-0000-0000-0000B8780000}"/>
    <cellStyle name="Obliczenia 2 2 10 2 9 3" xfId="30157" xr:uid="{00000000-0005-0000-0000-0000B9780000}"/>
    <cellStyle name="Obliczenia 2 2 10 3" xfId="30158" xr:uid="{00000000-0005-0000-0000-0000BA780000}"/>
    <cellStyle name="Obliczenia 2 2 10 3 2" xfId="30159" xr:uid="{00000000-0005-0000-0000-0000BB780000}"/>
    <cellStyle name="Obliczenia 2 2 10 3 2 2" xfId="30160" xr:uid="{00000000-0005-0000-0000-0000BC780000}"/>
    <cellStyle name="Obliczenia 2 2 10 3 2 2 2" xfId="30161" xr:uid="{00000000-0005-0000-0000-0000BD780000}"/>
    <cellStyle name="Obliczenia 2 2 10 3 2 2 2 2" xfId="30162" xr:uid="{00000000-0005-0000-0000-0000BE780000}"/>
    <cellStyle name="Obliczenia 2 2 10 3 2 2 3" xfId="30163" xr:uid="{00000000-0005-0000-0000-0000BF780000}"/>
    <cellStyle name="Obliczenia 2 2 10 3 2 3" xfId="30164" xr:uid="{00000000-0005-0000-0000-0000C0780000}"/>
    <cellStyle name="Obliczenia 2 2 10 3 2 3 2" xfId="30165" xr:uid="{00000000-0005-0000-0000-0000C1780000}"/>
    <cellStyle name="Obliczenia 2 2 10 3 2 3 2 2" xfId="30166" xr:uid="{00000000-0005-0000-0000-0000C2780000}"/>
    <cellStyle name="Obliczenia 2 2 10 3 2 3 3" xfId="30167" xr:uid="{00000000-0005-0000-0000-0000C3780000}"/>
    <cellStyle name="Obliczenia 2 2 10 3 2 4" xfId="30168" xr:uid="{00000000-0005-0000-0000-0000C4780000}"/>
    <cellStyle name="Obliczenia 2 2 10 3 2 4 2" xfId="30169" xr:uid="{00000000-0005-0000-0000-0000C5780000}"/>
    <cellStyle name="Obliczenia 2 2 10 3 2 4 2 2" xfId="30170" xr:uid="{00000000-0005-0000-0000-0000C6780000}"/>
    <cellStyle name="Obliczenia 2 2 10 3 2 4 3" xfId="30171" xr:uid="{00000000-0005-0000-0000-0000C7780000}"/>
    <cellStyle name="Obliczenia 2 2 10 3 2 5" xfId="30172" xr:uid="{00000000-0005-0000-0000-0000C8780000}"/>
    <cellStyle name="Obliczenia 2 2 10 3 2 5 2" xfId="30173" xr:uid="{00000000-0005-0000-0000-0000C9780000}"/>
    <cellStyle name="Obliczenia 2 2 10 3 2 6" xfId="30174" xr:uid="{00000000-0005-0000-0000-0000CA780000}"/>
    <cellStyle name="Obliczenia 2 2 10 3 2 6 2" xfId="30175" xr:uid="{00000000-0005-0000-0000-0000CB780000}"/>
    <cellStyle name="Obliczenia 2 2 10 3 2 7" xfId="30176" xr:uid="{00000000-0005-0000-0000-0000CC780000}"/>
    <cellStyle name="Obliczenia 2 2 10 3 3" xfId="30177" xr:uid="{00000000-0005-0000-0000-0000CD780000}"/>
    <cellStyle name="Obliczenia 2 2 10 3 3 2" xfId="30178" xr:uid="{00000000-0005-0000-0000-0000CE780000}"/>
    <cellStyle name="Obliczenia 2 2 10 3 3 2 2" xfId="30179" xr:uid="{00000000-0005-0000-0000-0000CF780000}"/>
    <cellStyle name="Obliczenia 2 2 10 3 3 3" xfId="30180" xr:uid="{00000000-0005-0000-0000-0000D0780000}"/>
    <cellStyle name="Obliczenia 2 2 10 3 4" xfId="30181" xr:uid="{00000000-0005-0000-0000-0000D1780000}"/>
    <cellStyle name="Obliczenia 2 2 10 3 4 2" xfId="30182" xr:uid="{00000000-0005-0000-0000-0000D2780000}"/>
    <cellStyle name="Obliczenia 2 2 10 3 4 2 2" xfId="30183" xr:uid="{00000000-0005-0000-0000-0000D3780000}"/>
    <cellStyle name="Obliczenia 2 2 10 3 4 3" xfId="30184" xr:uid="{00000000-0005-0000-0000-0000D4780000}"/>
    <cellStyle name="Obliczenia 2 2 10 3 5" xfId="30185" xr:uid="{00000000-0005-0000-0000-0000D5780000}"/>
    <cellStyle name="Obliczenia 2 2 10 3 5 2" xfId="30186" xr:uid="{00000000-0005-0000-0000-0000D6780000}"/>
    <cellStyle name="Obliczenia 2 2 10 3 5 2 2" xfId="30187" xr:uid="{00000000-0005-0000-0000-0000D7780000}"/>
    <cellStyle name="Obliczenia 2 2 10 3 5 3" xfId="30188" xr:uid="{00000000-0005-0000-0000-0000D8780000}"/>
    <cellStyle name="Obliczenia 2 2 10 3 6" xfId="30189" xr:uid="{00000000-0005-0000-0000-0000D9780000}"/>
    <cellStyle name="Obliczenia 2 2 10 3 6 2" xfId="30190" xr:uid="{00000000-0005-0000-0000-0000DA780000}"/>
    <cellStyle name="Obliczenia 2 2 10 3 7" xfId="30191" xr:uid="{00000000-0005-0000-0000-0000DB780000}"/>
    <cellStyle name="Obliczenia 2 2 10 3 7 2" xfId="30192" xr:uid="{00000000-0005-0000-0000-0000DC780000}"/>
    <cellStyle name="Obliczenia 2 2 10 3 8" xfId="30193" xr:uid="{00000000-0005-0000-0000-0000DD780000}"/>
    <cellStyle name="Obliczenia 2 2 10 4" xfId="30194" xr:uid="{00000000-0005-0000-0000-0000DE780000}"/>
    <cellStyle name="Obliczenia 2 2 10 4 2" xfId="30195" xr:uid="{00000000-0005-0000-0000-0000DF780000}"/>
    <cellStyle name="Obliczenia 2 2 10 4 2 2" xfId="30196" xr:uid="{00000000-0005-0000-0000-0000E0780000}"/>
    <cellStyle name="Obliczenia 2 2 10 4 3" xfId="30197" xr:uid="{00000000-0005-0000-0000-0000E1780000}"/>
    <cellStyle name="Obliczenia 2 2 10 5" xfId="30198" xr:uid="{00000000-0005-0000-0000-0000E2780000}"/>
    <cellStyle name="Obliczenia 2 2 10 5 2" xfId="30199" xr:uid="{00000000-0005-0000-0000-0000E3780000}"/>
    <cellStyle name="Obliczenia 2 2 10 5 2 2" xfId="30200" xr:uid="{00000000-0005-0000-0000-0000E4780000}"/>
    <cellStyle name="Obliczenia 2 2 10 5 3" xfId="30201" xr:uid="{00000000-0005-0000-0000-0000E5780000}"/>
    <cellStyle name="Obliczenia 2 2 10 6" xfId="30202" xr:uid="{00000000-0005-0000-0000-0000E6780000}"/>
    <cellStyle name="Obliczenia 2 2 10 6 2" xfId="30203" xr:uid="{00000000-0005-0000-0000-0000E7780000}"/>
    <cellStyle name="Obliczenia 2 2 10 6 2 2" xfId="30204" xr:uid="{00000000-0005-0000-0000-0000E8780000}"/>
    <cellStyle name="Obliczenia 2 2 10 6 3" xfId="30205" xr:uid="{00000000-0005-0000-0000-0000E9780000}"/>
    <cellStyle name="Obliczenia 2 2 10 7" xfId="30206" xr:uid="{00000000-0005-0000-0000-0000EA780000}"/>
    <cellStyle name="Obliczenia 2 2 10 7 2" xfId="30207" xr:uid="{00000000-0005-0000-0000-0000EB780000}"/>
    <cellStyle name="Obliczenia 2 2 10 7 2 2" xfId="30208" xr:uid="{00000000-0005-0000-0000-0000EC780000}"/>
    <cellStyle name="Obliczenia 2 2 10 7 3" xfId="30209" xr:uid="{00000000-0005-0000-0000-0000ED780000}"/>
    <cellStyle name="Obliczenia 2 2 10 8" xfId="30210" xr:uid="{00000000-0005-0000-0000-0000EE780000}"/>
    <cellStyle name="Obliczenia 2 2 10 8 2" xfId="30211" xr:uid="{00000000-0005-0000-0000-0000EF780000}"/>
    <cellStyle name="Obliczenia 2 2 10 8 2 2" xfId="30212" xr:uid="{00000000-0005-0000-0000-0000F0780000}"/>
    <cellStyle name="Obliczenia 2 2 10 8 2 2 2" xfId="30213" xr:uid="{00000000-0005-0000-0000-0000F1780000}"/>
    <cellStyle name="Obliczenia 2 2 10 8 2 3" xfId="30214" xr:uid="{00000000-0005-0000-0000-0000F2780000}"/>
    <cellStyle name="Obliczenia 2 2 10 8 3" xfId="30215" xr:uid="{00000000-0005-0000-0000-0000F3780000}"/>
    <cellStyle name="Obliczenia 2 2 10 8 3 2" xfId="30216" xr:uid="{00000000-0005-0000-0000-0000F4780000}"/>
    <cellStyle name="Obliczenia 2 2 10 8 3 2 2" xfId="30217" xr:uid="{00000000-0005-0000-0000-0000F5780000}"/>
    <cellStyle name="Obliczenia 2 2 10 8 3 3" xfId="30218" xr:uid="{00000000-0005-0000-0000-0000F6780000}"/>
    <cellStyle name="Obliczenia 2 2 10 8 4" xfId="30219" xr:uid="{00000000-0005-0000-0000-0000F7780000}"/>
    <cellStyle name="Obliczenia 2 2 10 8 4 2" xfId="30220" xr:uid="{00000000-0005-0000-0000-0000F8780000}"/>
    <cellStyle name="Obliczenia 2 2 10 8 4 2 2" xfId="30221" xr:uid="{00000000-0005-0000-0000-0000F9780000}"/>
    <cellStyle name="Obliczenia 2 2 10 8 4 3" xfId="30222" xr:uid="{00000000-0005-0000-0000-0000FA780000}"/>
    <cellStyle name="Obliczenia 2 2 10 8 5" xfId="30223" xr:uid="{00000000-0005-0000-0000-0000FB780000}"/>
    <cellStyle name="Obliczenia 2 2 10 8 5 2" xfId="30224" xr:uid="{00000000-0005-0000-0000-0000FC780000}"/>
    <cellStyle name="Obliczenia 2 2 10 8 6" xfId="30225" xr:uid="{00000000-0005-0000-0000-0000FD780000}"/>
    <cellStyle name="Obliczenia 2 2 10 8 6 2" xfId="30226" xr:uid="{00000000-0005-0000-0000-0000FE780000}"/>
    <cellStyle name="Obliczenia 2 2 10 8 7" xfId="30227" xr:uid="{00000000-0005-0000-0000-0000FF780000}"/>
    <cellStyle name="Obliczenia 2 2 10 9" xfId="30228" xr:uid="{00000000-0005-0000-0000-000000790000}"/>
    <cellStyle name="Obliczenia 2 2 10 9 2" xfId="30229" xr:uid="{00000000-0005-0000-0000-000001790000}"/>
    <cellStyle name="Obliczenia 2 2 10 9 2 2" xfId="30230" xr:uid="{00000000-0005-0000-0000-000002790000}"/>
    <cellStyle name="Obliczenia 2 2 10 9 3" xfId="30231" xr:uid="{00000000-0005-0000-0000-000003790000}"/>
    <cellStyle name="Obliczenia 2 2 11" xfId="30232" xr:uid="{00000000-0005-0000-0000-000004790000}"/>
    <cellStyle name="Obliczenia 2 2 11 10" xfId="30233" xr:uid="{00000000-0005-0000-0000-000005790000}"/>
    <cellStyle name="Obliczenia 2 2 11 10 2" xfId="30234" xr:uid="{00000000-0005-0000-0000-000006790000}"/>
    <cellStyle name="Obliczenia 2 2 11 11" xfId="30235" xr:uid="{00000000-0005-0000-0000-000007790000}"/>
    <cellStyle name="Obliczenia 2 2 11 11 2" xfId="30236" xr:uid="{00000000-0005-0000-0000-000008790000}"/>
    <cellStyle name="Obliczenia 2 2 11 12" xfId="30237" xr:uid="{00000000-0005-0000-0000-000009790000}"/>
    <cellStyle name="Obliczenia 2 2 11 2" xfId="30238" xr:uid="{00000000-0005-0000-0000-00000A790000}"/>
    <cellStyle name="Obliczenia 2 2 11 2 2" xfId="30239" xr:uid="{00000000-0005-0000-0000-00000B790000}"/>
    <cellStyle name="Obliczenia 2 2 11 2 2 2" xfId="30240" xr:uid="{00000000-0005-0000-0000-00000C790000}"/>
    <cellStyle name="Obliczenia 2 2 11 2 2 2 2" xfId="30241" xr:uid="{00000000-0005-0000-0000-00000D790000}"/>
    <cellStyle name="Obliczenia 2 2 11 2 2 2 2 2" xfId="30242" xr:uid="{00000000-0005-0000-0000-00000E790000}"/>
    <cellStyle name="Obliczenia 2 2 11 2 2 2 3" xfId="30243" xr:uid="{00000000-0005-0000-0000-00000F790000}"/>
    <cellStyle name="Obliczenia 2 2 11 2 2 3" xfId="30244" xr:uid="{00000000-0005-0000-0000-000010790000}"/>
    <cellStyle name="Obliczenia 2 2 11 2 2 3 2" xfId="30245" xr:uid="{00000000-0005-0000-0000-000011790000}"/>
    <cellStyle name="Obliczenia 2 2 11 2 2 3 2 2" xfId="30246" xr:uid="{00000000-0005-0000-0000-000012790000}"/>
    <cellStyle name="Obliczenia 2 2 11 2 2 3 3" xfId="30247" xr:uid="{00000000-0005-0000-0000-000013790000}"/>
    <cellStyle name="Obliczenia 2 2 11 2 2 4" xfId="30248" xr:uid="{00000000-0005-0000-0000-000014790000}"/>
    <cellStyle name="Obliczenia 2 2 11 2 2 4 2" xfId="30249" xr:uid="{00000000-0005-0000-0000-000015790000}"/>
    <cellStyle name="Obliczenia 2 2 11 2 2 4 2 2" xfId="30250" xr:uid="{00000000-0005-0000-0000-000016790000}"/>
    <cellStyle name="Obliczenia 2 2 11 2 2 4 3" xfId="30251" xr:uid="{00000000-0005-0000-0000-000017790000}"/>
    <cellStyle name="Obliczenia 2 2 11 2 2 5" xfId="30252" xr:uid="{00000000-0005-0000-0000-000018790000}"/>
    <cellStyle name="Obliczenia 2 2 11 2 2 5 2" xfId="30253" xr:uid="{00000000-0005-0000-0000-000019790000}"/>
    <cellStyle name="Obliczenia 2 2 11 2 2 6" xfId="30254" xr:uid="{00000000-0005-0000-0000-00001A790000}"/>
    <cellStyle name="Obliczenia 2 2 11 2 2 6 2" xfId="30255" xr:uid="{00000000-0005-0000-0000-00001B790000}"/>
    <cellStyle name="Obliczenia 2 2 11 2 2 7" xfId="30256" xr:uid="{00000000-0005-0000-0000-00001C790000}"/>
    <cellStyle name="Obliczenia 2 2 11 2 3" xfId="30257" xr:uid="{00000000-0005-0000-0000-00001D790000}"/>
    <cellStyle name="Obliczenia 2 2 11 2 3 2" xfId="30258" xr:uid="{00000000-0005-0000-0000-00001E790000}"/>
    <cellStyle name="Obliczenia 2 2 11 2 3 2 2" xfId="30259" xr:uid="{00000000-0005-0000-0000-00001F790000}"/>
    <cellStyle name="Obliczenia 2 2 11 2 3 3" xfId="30260" xr:uid="{00000000-0005-0000-0000-000020790000}"/>
    <cellStyle name="Obliczenia 2 2 11 2 4" xfId="30261" xr:uid="{00000000-0005-0000-0000-000021790000}"/>
    <cellStyle name="Obliczenia 2 2 11 2 4 2" xfId="30262" xr:uid="{00000000-0005-0000-0000-000022790000}"/>
    <cellStyle name="Obliczenia 2 2 11 2 4 2 2" xfId="30263" xr:uid="{00000000-0005-0000-0000-000023790000}"/>
    <cellStyle name="Obliczenia 2 2 11 2 4 3" xfId="30264" xr:uid="{00000000-0005-0000-0000-000024790000}"/>
    <cellStyle name="Obliczenia 2 2 11 2 5" xfId="30265" xr:uid="{00000000-0005-0000-0000-000025790000}"/>
    <cellStyle name="Obliczenia 2 2 11 2 5 2" xfId="30266" xr:uid="{00000000-0005-0000-0000-000026790000}"/>
    <cellStyle name="Obliczenia 2 2 11 2 5 2 2" xfId="30267" xr:uid="{00000000-0005-0000-0000-000027790000}"/>
    <cellStyle name="Obliczenia 2 2 11 2 5 3" xfId="30268" xr:uid="{00000000-0005-0000-0000-000028790000}"/>
    <cellStyle name="Obliczenia 2 2 11 2 6" xfId="30269" xr:uid="{00000000-0005-0000-0000-000029790000}"/>
    <cellStyle name="Obliczenia 2 2 11 2 6 2" xfId="30270" xr:uid="{00000000-0005-0000-0000-00002A790000}"/>
    <cellStyle name="Obliczenia 2 2 11 2 7" xfId="30271" xr:uid="{00000000-0005-0000-0000-00002B790000}"/>
    <cellStyle name="Obliczenia 2 2 11 2 7 2" xfId="30272" xr:uid="{00000000-0005-0000-0000-00002C790000}"/>
    <cellStyle name="Obliczenia 2 2 11 2 8" xfId="30273" xr:uid="{00000000-0005-0000-0000-00002D790000}"/>
    <cellStyle name="Obliczenia 2 2 11 3" xfId="30274" xr:uid="{00000000-0005-0000-0000-00002E790000}"/>
    <cellStyle name="Obliczenia 2 2 11 3 2" xfId="30275" xr:uid="{00000000-0005-0000-0000-00002F790000}"/>
    <cellStyle name="Obliczenia 2 2 11 3 2 2" xfId="30276" xr:uid="{00000000-0005-0000-0000-000030790000}"/>
    <cellStyle name="Obliczenia 2 2 11 3 3" xfId="30277" xr:uid="{00000000-0005-0000-0000-000031790000}"/>
    <cellStyle name="Obliczenia 2 2 11 4" xfId="30278" xr:uid="{00000000-0005-0000-0000-000032790000}"/>
    <cellStyle name="Obliczenia 2 2 11 4 2" xfId="30279" xr:uid="{00000000-0005-0000-0000-000033790000}"/>
    <cellStyle name="Obliczenia 2 2 11 4 2 2" xfId="30280" xr:uid="{00000000-0005-0000-0000-000034790000}"/>
    <cellStyle name="Obliczenia 2 2 11 4 3" xfId="30281" xr:uid="{00000000-0005-0000-0000-000035790000}"/>
    <cellStyle name="Obliczenia 2 2 11 5" xfId="30282" xr:uid="{00000000-0005-0000-0000-000036790000}"/>
    <cellStyle name="Obliczenia 2 2 11 5 2" xfId="30283" xr:uid="{00000000-0005-0000-0000-000037790000}"/>
    <cellStyle name="Obliczenia 2 2 11 5 2 2" xfId="30284" xr:uid="{00000000-0005-0000-0000-000038790000}"/>
    <cellStyle name="Obliczenia 2 2 11 5 3" xfId="30285" xr:uid="{00000000-0005-0000-0000-000039790000}"/>
    <cellStyle name="Obliczenia 2 2 11 6" xfId="30286" xr:uid="{00000000-0005-0000-0000-00003A790000}"/>
    <cellStyle name="Obliczenia 2 2 11 6 2" xfId="30287" xr:uid="{00000000-0005-0000-0000-00003B790000}"/>
    <cellStyle name="Obliczenia 2 2 11 6 2 2" xfId="30288" xr:uid="{00000000-0005-0000-0000-00003C790000}"/>
    <cellStyle name="Obliczenia 2 2 11 6 3" xfId="30289" xr:uid="{00000000-0005-0000-0000-00003D790000}"/>
    <cellStyle name="Obliczenia 2 2 11 7" xfId="30290" xr:uid="{00000000-0005-0000-0000-00003E790000}"/>
    <cellStyle name="Obliczenia 2 2 11 7 2" xfId="30291" xr:uid="{00000000-0005-0000-0000-00003F790000}"/>
    <cellStyle name="Obliczenia 2 2 11 7 2 2" xfId="30292" xr:uid="{00000000-0005-0000-0000-000040790000}"/>
    <cellStyle name="Obliczenia 2 2 11 7 2 2 2" xfId="30293" xr:uid="{00000000-0005-0000-0000-000041790000}"/>
    <cellStyle name="Obliczenia 2 2 11 7 2 3" xfId="30294" xr:uid="{00000000-0005-0000-0000-000042790000}"/>
    <cellStyle name="Obliczenia 2 2 11 7 3" xfId="30295" xr:uid="{00000000-0005-0000-0000-000043790000}"/>
    <cellStyle name="Obliczenia 2 2 11 7 3 2" xfId="30296" xr:uid="{00000000-0005-0000-0000-000044790000}"/>
    <cellStyle name="Obliczenia 2 2 11 7 3 2 2" xfId="30297" xr:uid="{00000000-0005-0000-0000-000045790000}"/>
    <cellStyle name="Obliczenia 2 2 11 7 3 3" xfId="30298" xr:uid="{00000000-0005-0000-0000-000046790000}"/>
    <cellStyle name="Obliczenia 2 2 11 7 4" xfId="30299" xr:uid="{00000000-0005-0000-0000-000047790000}"/>
    <cellStyle name="Obliczenia 2 2 11 7 4 2" xfId="30300" xr:uid="{00000000-0005-0000-0000-000048790000}"/>
    <cellStyle name="Obliczenia 2 2 11 7 4 2 2" xfId="30301" xr:uid="{00000000-0005-0000-0000-000049790000}"/>
    <cellStyle name="Obliczenia 2 2 11 7 4 3" xfId="30302" xr:uid="{00000000-0005-0000-0000-00004A790000}"/>
    <cellStyle name="Obliczenia 2 2 11 7 5" xfId="30303" xr:uid="{00000000-0005-0000-0000-00004B790000}"/>
    <cellStyle name="Obliczenia 2 2 11 7 5 2" xfId="30304" xr:uid="{00000000-0005-0000-0000-00004C790000}"/>
    <cellStyle name="Obliczenia 2 2 11 7 6" xfId="30305" xr:uid="{00000000-0005-0000-0000-00004D790000}"/>
    <cellStyle name="Obliczenia 2 2 11 7 6 2" xfId="30306" xr:uid="{00000000-0005-0000-0000-00004E790000}"/>
    <cellStyle name="Obliczenia 2 2 11 7 7" xfId="30307" xr:uid="{00000000-0005-0000-0000-00004F790000}"/>
    <cellStyle name="Obliczenia 2 2 11 8" xfId="30308" xr:uid="{00000000-0005-0000-0000-000050790000}"/>
    <cellStyle name="Obliczenia 2 2 11 8 2" xfId="30309" xr:uid="{00000000-0005-0000-0000-000051790000}"/>
    <cellStyle name="Obliczenia 2 2 11 8 2 2" xfId="30310" xr:uid="{00000000-0005-0000-0000-000052790000}"/>
    <cellStyle name="Obliczenia 2 2 11 8 3" xfId="30311" xr:uid="{00000000-0005-0000-0000-000053790000}"/>
    <cellStyle name="Obliczenia 2 2 11 9" xfId="30312" xr:uid="{00000000-0005-0000-0000-000054790000}"/>
    <cellStyle name="Obliczenia 2 2 11 9 2" xfId="30313" xr:uid="{00000000-0005-0000-0000-000055790000}"/>
    <cellStyle name="Obliczenia 2 2 11 9 2 2" xfId="30314" xr:uid="{00000000-0005-0000-0000-000056790000}"/>
    <cellStyle name="Obliczenia 2 2 11 9 3" xfId="30315" xr:uid="{00000000-0005-0000-0000-000057790000}"/>
    <cellStyle name="Obliczenia 2 2 12" xfId="30316" xr:uid="{00000000-0005-0000-0000-000058790000}"/>
    <cellStyle name="Obliczenia 2 2 12 2" xfId="30317" xr:uid="{00000000-0005-0000-0000-000059790000}"/>
    <cellStyle name="Obliczenia 2 2 12 2 2" xfId="30318" xr:uid="{00000000-0005-0000-0000-00005A790000}"/>
    <cellStyle name="Obliczenia 2 2 12 2 2 2" xfId="30319" xr:uid="{00000000-0005-0000-0000-00005B790000}"/>
    <cellStyle name="Obliczenia 2 2 12 2 2 2 2" xfId="30320" xr:uid="{00000000-0005-0000-0000-00005C790000}"/>
    <cellStyle name="Obliczenia 2 2 12 2 2 3" xfId="30321" xr:uid="{00000000-0005-0000-0000-00005D790000}"/>
    <cellStyle name="Obliczenia 2 2 12 2 3" xfId="30322" xr:uid="{00000000-0005-0000-0000-00005E790000}"/>
    <cellStyle name="Obliczenia 2 2 12 2 3 2" xfId="30323" xr:uid="{00000000-0005-0000-0000-00005F790000}"/>
    <cellStyle name="Obliczenia 2 2 12 2 3 2 2" xfId="30324" xr:uid="{00000000-0005-0000-0000-000060790000}"/>
    <cellStyle name="Obliczenia 2 2 12 2 3 3" xfId="30325" xr:uid="{00000000-0005-0000-0000-000061790000}"/>
    <cellStyle name="Obliczenia 2 2 12 2 4" xfId="30326" xr:uid="{00000000-0005-0000-0000-000062790000}"/>
    <cellStyle name="Obliczenia 2 2 12 2 4 2" xfId="30327" xr:uid="{00000000-0005-0000-0000-000063790000}"/>
    <cellStyle name="Obliczenia 2 2 12 2 4 2 2" xfId="30328" xr:uid="{00000000-0005-0000-0000-000064790000}"/>
    <cellStyle name="Obliczenia 2 2 12 2 4 3" xfId="30329" xr:uid="{00000000-0005-0000-0000-000065790000}"/>
    <cellStyle name="Obliczenia 2 2 12 2 5" xfId="30330" xr:uid="{00000000-0005-0000-0000-000066790000}"/>
    <cellStyle name="Obliczenia 2 2 12 2 5 2" xfId="30331" xr:uid="{00000000-0005-0000-0000-000067790000}"/>
    <cellStyle name="Obliczenia 2 2 12 2 6" xfId="30332" xr:uid="{00000000-0005-0000-0000-000068790000}"/>
    <cellStyle name="Obliczenia 2 2 12 2 6 2" xfId="30333" xr:uid="{00000000-0005-0000-0000-000069790000}"/>
    <cellStyle name="Obliczenia 2 2 12 2 7" xfId="30334" xr:uid="{00000000-0005-0000-0000-00006A790000}"/>
    <cellStyle name="Obliczenia 2 2 12 3" xfId="30335" xr:uid="{00000000-0005-0000-0000-00006B790000}"/>
    <cellStyle name="Obliczenia 2 2 12 3 2" xfId="30336" xr:uid="{00000000-0005-0000-0000-00006C790000}"/>
    <cellStyle name="Obliczenia 2 2 12 3 2 2" xfId="30337" xr:uid="{00000000-0005-0000-0000-00006D790000}"/>
    <cellStyle name="Obliczenia 2 2 12 3 3" xfId="30338" xr:uid="{00000000-0005-0000-0000-00006E790000}"/>
    <cellStyle name="Obliczenia 2 2 12 4" xfId="30339" xr:uid="{00000000-0005-0000-0000-00006F790000}"/>
    <cellStyle name="Obliczenia 2 2 12 4 2" xfId="30340" xr:uid="{00000000-0005-0000-0000-000070790000}"/>
    <cellStyle name="Obliczenia 2 2 12 4 2 2" xfId="30341" xr:uid="{00000000-0005-0000-0000-000071790000}"/>
    <cellStyle name="Obliczenia 2 2 12 4 3" xfId="30342" xr:uid="{00000000-0005-0000-0000-000072790000}"/>
    <cellStyle name="Obliczenia 2 2 12 5" xfId="30343" xr:uid="{00000000-0005-0000-0000-000073790000}"/>
    <cellStyle name="Obliczenia 2 2 12 5 2" xfId="30344" xr:uid="{00000000-0005-0000-0000-000074790000}"/>
    <cellStyle name="Obliczenia 2 2 12 5 2 2" xfId="30345" xr:uid="{00000000-0005-0000-0000-000075790000}"/>
    <cellStyle name="Obliczenia 2 2 12 5 3" xfId="30346" xr:uid="{00000000-0005-0000-0000-000076790000}"/>
    <cellStyle name="Obliczenia 2 2 12 6" xfId="30347" xr:uid="{00000000-0005-0000-0000-000077790000}"/>
    <cellStyle name="Obliczenia 2 2 12 6 2" xfId="30348" xr:uid="{00000000-0005-0000-0000-000078790000}"/>
    <cellStyle name="Obliczenia 2 2 12 7" xfId="30349" xr:uid="{00000000-0005-0000-0000-000079790000}"/>
    <cellStyle name="Obliczenia 2 2 12 7 2" xfId="30350" xr:uid="{00000000-0005-0000-0000-00007A790000}"/>
    <cellStyle name="Obliczenia 2 2 12 8" xfId="30351" xr:uid="{00000000-0005-0000-0000-00007B790000}"/>
    <cellStyle name="Obliczenia 2 2 13" xfId="30352" xr:uid="{00000000-0005-0000-0000-00007C790000}"/>
    <cellStyle name="Obliczenia 2 2 13 2" xfId="30353" xr:uid="{00000000-0005-0000-0000-00007D790000}"/>
    <cellStyle name="Obliczenia 2 2 13 2 2" xfId="30354" xr:uid="{00000000-0005-0000-0000-00007E790000}"/>
    <cellStyle name="Obliczenia 2 2 13 3" xfId="30355" xr:uid="{00000000-0005-0000-0000-00007F790000}"/>
    <cellStyle name="Obliczenia 2 2 14" xfId="30356" xr:uid="{00000000-0005-0000-0000-000080790000}"/>
    <cellStyle name="Obliczenia 2 2 14 2" xfId="30357" xr:uid="{00000000-0005-0000-0000-000081790000}"/>
    <cellStyle name="Obliczenia 2 2 14 2 2" xfId="30358" xr:uid="{00000000-0005-0000-0000-000082790000}"/>
    <cellStyle name="Obliczenia 2 2 14 3" xfId="30359" xr:uid="{00000000-0005-0000-0000-000083790000}"/>
    <cellStyle name="Obliczenia 2 2 15" xfId="30360" xr:uid="{00000000-0005-0000-0000-000084790000}"/>
    <cellStyle name="Obliczenia 2 2 15 2" xfId="30361" xr:uid="{00000000-0005-0000-0000-000085790000}"/>
    <cellStyle name="Obliczenia 2 2 15 2 2" xfId="30362" xr:uid="{00000000-0005-0000-0000-000086790000}"/>
    <cellStyle name="Obliczenia 2 2 15 3" xfId="30363" xr:uid="{00000000-0005-0000-0000-000087790000}"/>
    <cellStyle name="Obliczenia 2 2 16" xfId="30364" xr:uid="{00000000-0005-0000-0000-000088790000}"/>
    <cellStyle name="Obliczenia 2 2 16 2" xfId="30365" xr:uid="{00000000-0005-0000-0000-000089790000}"/>
    <cellStyle name="Obliczenia 2 2 16 2 2" xfId="30366" xr:uid="{00000000-0005-0000-0000-00008A790000}"/>
    <cellStyle name="Obliczenia 2 2 16 3" xfId="30367" xr:uid="{00000000-0005-0000-0000-00008B790000}"/>
    <cellStyle name="Obliczenia 2 2 17" xfId="30368" xr:uid="{00000000-0005-0000-0000-00008C790000}"/>
    <cellStyle name="Obliczenia 2 2 17 2" xfId="30369" xr:uid="{00000000-0005-0000-0000-00008D790000}"/>
    <cellStyle name="Obliczenia 2 2 17 2 2" xfId="30370" xr:uid="{00000000-0005-0000-0000-00008E790000}"/>
    <cellStyle name="Obliczenia 2 2 17 3" xfId="30371" xr:uid="{00000000-0005-0000-0000-00008F790000}"/>
    <cellStyle name="Obliczenia 2 2 18" xfId="30372" xr:uid="{00000000-0005-0000-0000-000090790000}"/>
    <cellStyle name="Obliczenia 2 2 18 2" xfId="30373" xr:uid="{00000000-0005-0000-0000-000091790000}"/>
    <cellStyle name="Obliczenia 2 2 18 2 2" xfId="30374" xr:uid="{00000000-0005-0000-0000-000092790000}"/>
    <cellStyle name="Obliczenia 2 2 18 2 2 2" xfId="30375" xr:uid="{00000000-0005-0000-0000-000093790000}"/>
    <cellStyle name="Obliczenia 2 2 18 2 3" xfId="30376" xr:uid="{00000000-0005-0000-0000-000094790000}"/>
    <cellStyle name="Obliczenia 2 2 18 3" xfId="30377" xr:uid="{00000000-0005-0000-0000-000095790000}"/>
    <cellStyle name="Obliczenia 2 2 18 3 2" xfId="30378" xr:uid="{00000000-0005-0000-0000-000096790000}"/>
    <cellStyle name="Obliczenia 2 2 18 3 2 2" xfId="30379" xr:uid="{00000000-0005-0000-0000-000097790000}"/>
    <cellStyle name="Obliczenia 2 2 18 3 3" xfId="30380" xr:uid="{00000000-0005-0000-0000-000098790000}"/>
    <cellStyle name="Obliczenia 2 2 18 4" xfId="30381" xr:uid="{00000000-0005-0000-0000-000099790000}"/>
    <cellStyle name="Obliczenia 2 2 18 4 2" xfId="30382" xr:uid="{00000000-0005-0000-0000-00009A790000}"/>
    <cellStyle name="Obliczenia 2 2 18 4 2 2" xfId="30383" xr:uid="{00000000-0005-0000-0000-00009B790000}"/>
    <cellStyle name="Obliczenia 2 2 18 4 3" xfId="30384" xr:uid="{00000000-0005-0000-0000-00009C790000}"/>
    <cellStyle name="Obliczenia 2 2 18 5" xfId="30385" xr:uid="{00000000-0005-0000-0000-00009D790000}"/>
    <cellStyle name="Obliczenia 2 2 18 5 2" xfId="30386" xr:uid="{00000000-0005-0000-0000-00009E790000}"/>
    <cellStyle name="Obliczenia 2 2 18 6" xfId="30387" xr:uid="{00000000-0005-0000-0000-00009F790000}"/>
    <cellStyle name="Obliczenia 2 2 18 6 2" xfId="30388" xr:uid="{00000000-0005-0000-0000-0000A0790000}"/>
    <cellStyle name="Obliczenia 2 2 18 7" xfId="30389" xr:uid="{00000000-0005-0000-0000-0000A1790000}"/>
    <cellStyle name="Obliczenia 2 2 19" xfId="30390" xr:uid="{00000000-0005-0000-0000-0000A2790000}"/>
    <cellStyle name="Obliczenia 2 2 19 2" xfId="30391" xr:uid="{00000000-0005-0000-0000-0000A3790000}"/>
    <cellStyle name="Obliczenia 2 2 19 2 2" xfId="30392" xr:uid="{00000000-0005-0000-0000-0000A4790000}"/>
    <cellStyle name="Obliczenia 2 2 19 3" xfId="30393" xr:uid="{00000000-0005-0000-0000-0000A5790000}"/>
    <cellStyle name="Obliczenia 2 2 2" xfId="30394" xr:uid="{00000000-0005-0000-0000-0000A6790000}"/>
    <cellStyle name="Obliczenia 2 2 2 10" xfId="30395" xr:uid="{00000000-0005-0000-0000-0000A7790000}"/>
    <cellStyle name="Obliczenia 2 2 2 10 2" xfId="30396" xr:uid="{00000000-0005-0000-0000-0000A8790000}"/>
    <cellStyle name="Obliczenia 2 2 2 10 2 2" xfId="30397" xr:uid="{00000000-0005-0000-0000-0000A9790000}"/>
    <cellStyle name="Obliczenia 2 2 2 10 3" xfId="30398" xr:uid="{00000000-0005-0000-0000-0000AA790000}"/>
    <cellStyle name="Obliczenia 2 2 2 11" xfId="30399" xr:uid="{00000000-0005-0000-0000-0000AB790000}"/>
    <cellStyle name="Obliczenia 2 2 2 11 2" xfId="30400" xr:uid="{00000000-0005-0000-0000-0000AC790000}"/>
    <cellStyle name="Obliczenia 2 2 2 11 2 2" xfId="30401" xr:uid="{00000000-0005-0000-0000-0000AD790000}"/>
    <cellStyle name="Obliczenia 2 2 2 11 3" xfId="30402" xr:uid="{00000000-0005-0000-0000-0000AE790000}"/>
    <cellStyle name="Obliczenia 2 2 2 12" xfId="30403" xr:uid="{00000000-0005-0000-0000-0000AF790000}"/>
    <cellStyle name="Obliczenia 2 2 2 12 2" xfId="30404" xr:uid="{00000000-0005-0000-0000-0000B0790000}"/>
    <cellStyle name="Obliczenia 2 2 2 13" xfId="30405" xr:uid="{00000000-0005-0000-0000-0000B1790000}"/>
    <cellStyle name="Obliczenia 2 2 2 2" xfId="30406" xr:uid="{00000000-0005-0000-0000-0000B2790000}"/>
    <cellStyle name="Obliczenia 2 2 2 2 10" xfId="30407" xr:uid="{00000000-0005-0000-0000-0000B3790000}"/>
    <cellStyle name="Obliczenia 2 2 2 2 10 2" xfId="30408" xr:uid="{00000000-0005-0000-0000-0000B4790000}"/>
    <cellStyle name="Obliczenia 2 2 2 2 10 2 2" xfId="30409" xr:uid="{00000000-0005-0000-0000-0000B5790000}"/>
    <cellStyle name="Obliczenia 2 2 2 2 10 3" xfId="30410" xr:uid="{00000000-0005-0000-0000-0000B6790000}"/>
    <cellStyle name="Obliczenia 2 2 2 2 11" xfId="30411" xr:uid="{00000000-0005-0000-0000-0000B7790000}"/>
    <cellStyle name="Obliczenia 2 2 2 2 11 2" xfId="30412" xr:uid="{00000000-0005-0000-0000-0000B8790000}"/>
    <cellStyle name="Obliczenia 2 2 2 2 12" xfId="30413" xr:uid="{00000000-0005-0000-0000-0000B9790000}"/>
    <cellStyle name="Obliczenia 2 2 2 2 2" xfId="30414" xr:uid="{00000000-0005-0000-0000-0000BA790000}"/>
    <cellStyle name="Obliczenia 2 2 2 2 2 10" xfId="30415" xr:uid="{00000000-0005-0000-0000-0000BB790000}"/>
    <cellStyle name="Obliczenia 2 2 2 2 2 10 2" xfId="30416" xr:uid="{00000000-0005-0000-0000-0000BC790000}"/>
    <cellStyle name="Obliczenia 2 2 2 2 2 11" xfId="30417" xr:uid="{00000000-0005-0000-0000-0000BD790000}"/>
    <cellStyle name="Obliczenia 2 2 2 2 2 2" xfId="30418" xr:uid="{00000000-0005-0000-0000-0000BE790000}"/>
    <cellStyle name="Obliczenia 2 2 2 2 2 2 10" xfId="30419" xr:uid="{00000000-0005-0000-0000-0000BF790000}"/>
    <cellStyle name="Obliczenia 2 2 2 2 2 2 10 2" xfId="30420" xr:uid="{00000000-0005-0000-0000-0000C0790000}"/>
    <cellStyle name="Obliczenia 2 2 2 2 2 2 11" xfId="30421" xr:uid="{00000000-0005-0000-0000-0000C1790000}"/>
    <cellStyle name="Obliczenia 2 2 2 2 2 2 2" xfId="30422" xr:uid="{00000000-0005-0000-0000-0000C2790000}"/>
    <cellStyle name="Obliczenia 2 2 2 2 2 2 2 2" xfId="30423" xr:uid="{00000000-0005-0000-0000-0000C3790000}"/>
    <cellStyle name="Obliczenia 2 2 2 2 2 2 2 2 2" xfId="30424" xr:uid="{00000000-0005-0000-0000-0000C4790000}"/>
    <cellStyle name="Obliczenia 2 2 2 2 2 2 2 2 2 2" xfId="30425" xr:uid="{00000000-0005-0000-0000-0000C5790000}"/>
    <cellStyle name="Obliczenia 2 2 2 2 2 2 2 2 2 2 2" xfId="30426" xr:uid="{00000000-0005-0000-0000-0000C6790000}"/>
    <cellStyle name="Obliczenia 2 2 2 2 2 2 2 2 2 3" xfId="30427" xr:uid="{00000000-0005-0000-0000-0000C7790000}"/>
    <cellStyle name="Obliczenia 2 2 2 2 2 2 2 2 3" xfId="30428" xr:uid="{00000000-0005-0000-0000-0000C8790000}"/>
    <cellStyle name="Obliczenia 2 2 2 2 2 2 2 2 3 2" xfId="30429" xr:uid="{00000000-0005-0000-0000-0000C9790000}"/>
    <cellStyle name="Obliczenia 2 2 2 2 2 2 2 2 3 2 2" xfId="30430" xr:uid="{00000000-0005-0000-0000-0000CA790000}"/>
    <cellStyle name="Obliczenia 2 2 2 2 2 2 2 2 3 3" xfId="30431" xr:uid="{00000000-0005-0000-0000-0000CB790000}"/>
    <cellStyle name="Obliczenia 2 2 2 2 2 2 2 2 4" xfId="30432" xr:uid="{00000000-0005-0000-0000-0000CC790000}"/>
    <cellStyle name="Obliczenia 2 2 2 2 2 2 2 2 4 2" xfId="30433" xr:uid="{00000000-0005-0000-0000-0000CD790000}"/>
    <cellStyle name="Obliczenia 2 2 2 2 2 2 2 2 4 2 2" xfId="30434" xr:uid="{00000000-0005-0000-0000-0000CE790000}"/>
    <cellStyle name="Obliczenia 2 2 2 2 2 2 2 2 4 3" xfId="30435" xr:uid="{00000000-0005-0000-0000-0000CF790000}"/>
    <cellStyle name="Obliczenia 2 2 2 2 2 2 2 2 5" xfId="30436" xr:uid="{00000000-0005-0000-0000-0000D0790000}"/>
    <cellStyle name="Obliczenia 2 2 2 2 2 2 2 2 5 2" xfId="30437" xr:uid="{00000000-0005-0000-0000-0000D1790000}"/>
    <cellStyle name="Obliczenia 2 2 2 2 2 2 2 2 6" xfId="30438" xr:uid="{00000000-0005-0000-0000-0000D2790000}"/>
    <cellStyle name="Obliczenia 2 2 2 2 2 2 2 3" xfId="30439" xr:uid="{00000000-0005-0000-0000-0000D3790000}"/>
    <cellStyle name="Obliczenia 2 2 2 2 2 2 2 3 2" xfId="30440" xr:uid="{00000000-0005-0000-0000-0000D4790000}"/>
    <cellStyle name="Obliczenia 2 2 2 2 2 2 2 3 2 2" xfId="30441" xr:uid="{00000000-0005-0000-0000-0000D5790000}"/>
    <cellStyle name="Obliczenia 2 2 2 2 2 2 2 3 3" xfId="30442" xr:uid="{00000000-0005-0000-0000-0000D6790000}"/>
    <cellStyle name="Obliczenia 2 2 2 2 2 2 2 4" xfId="30443" xr:uid="{00000000-0005-0000-0000-0000D7790000}"/>
    <cellStyle name="Obliczenia 2 2 2 2 2 2 2 4 2" xfId="30444" xr:uid="{00000000-0005-0000-0000-0000D8790000}"/>
    <cellStyle name="Obliczenia 2 2 2 2 2 2 2 4 2 2" xfId="30445" xr:uid="{00000000-0005-0000-0000-0000D9790000}"/>
    <cellStyle name="Obliczenia 2 2 2 2 2 2 2 4 3" xfId="30446" xr:uid="{00000000-0005-0000-0000-0000DA790000}"/>
    <cellStyle name="Obliczenia 2 2 2 2 2 2 2 5" xfId="30447" xr:uid="{00000000-0005-0000-0000-0000DB790000}"/>
    <cellStyle name="Obliczenia 2 2 2 2 2 2 2 5 2" xfId="30448" xr:uid="{00000000-0005-0000-0000-0000DC790000}"/>
    <cellStyle name="Obliczenia 2 2 2 2 2 2 2 5 2 2" xfId="30449" xr:uid="{00000000-0005-0000-0000-0000DD790000}"/>
    <cellStyle name="Obliczenia 2 2 2 2 2 2 2 5 3" xfId="30450" xr:uid="{00000000-0005-0000-0000-0000DE790000}"/>
    <cellStyle name="Obliczenia 2 2 2 2 2 2 2 6" xfId="30451" xr:uid="{00000000-0005-0000-0000-0000DF790000}"/>
    <cellStyle name="Obliczenia 2 2 2 2 2 2 2 6 2" xfId="30452" xr:uid="{00000000-0005-0000-0000-0000E0790000}"/>
    <cellStyle name="Obliczenia 2 2 2 2 2 2 2 7" xfId="30453" xr:uid="{00000000-0005-0000-0000-0000E1790000}"/>
    <cellStyle name="Obliczenia 2 2 2 2 2 2 3" xfId="30454" xr:uid="{00000000-0005-0000-0000-0000E2790000}"/>
    <cellStyle name="Obliczenia 2 2 2 2 2 2 3 2" xfId="30455" xr:uid="{00000000-0005-0000-0000-0000E3790000}"/>
    <cellStyle name="Obliczenia 2 2 2 2 2 2 3 2 2" xfId="30456" xr:uid="{00000000-0005-0000-0000-0000E4790000}"/>
    <cellStyle name="Obliczenia 2 2 2 2 2 2 3 3" xfId="30457" xr:uid="{00000000-0005-0000-0000-0000E5790000}"/>
    <cellStyle name="Obliczenia 2 2 2 2 2 2 4" xfId="30458" xr:uid="{00000000-0005-0000-0000-0000E6790000}"/>
    <cellStyle name="Obliczenia 2 2 2 2 2 2 4 2" xfId="30459" xr:uid="{00000000-0005-0000-0000-0000E7790000}"/>
    <cellStyle name="Obliczenia 2 2 2 2 2 2 4 2 2" xfId="30460" xr:uid="{00000000-0005-0000-0000-0000E8790000}"/>
    <cellStyle name="Obliczenia 2 2 2 2 2 2 4 3" xfId="30461" xr:uid="{00000000-0005-0000-0000-0000E9790000}"/>
    <cellStyle name="Obliczenia 2 2 2 2 2 2 5" xfId="30462" xr:uid="{00000000-0005-0000-0000-0000EA790000}"/>
    <cellStyle name="Obliczenia 2 2 2 2 2 2 5 2" xfId="30463" xr:uid="{00000000-0005-0000-0000-0000EB790000}"/>
    <cellStyle name="Obliczenia 2 2 2 2 2 2 5 2 2" xfId="30464" xr:uid="{00000000-0005-0000-0000-0000EC790000}"/>
    <cellStyle name="Obliczenia 2 2 2 2 2 2 5 3" xfId="30465" xr:uid="{00000000-0005-0000-0000-0000ED790000}"/>
    <cellStyle name="Obliczenia 2 2 2 2 2 2 6" xfId="30466" xr:uid="{00000000-0005-0000-0000-0000EE790000}"/>
    <cellStyle name="Obliczenia 2 2 2 2 2 2 6 2" xfId="30467" xr:uid="{00000000-0005-0000-0000-0000EF790000}"/>
    <cellStyle name="Obliczenia 2 2 2 2 2 2 6 2 2" xfId="30468" xr:uid="{00000000-0005-0000-0000-0000F0790000}"/>
    <cellStyle name="Obliczenia 2 2 2 2 2 2 6 3" xfId="30469" xr:uid="{00000000-0005-0000-0000-0000F1790000}"/>
    <cellStyle name="Obliczenia 2 2 2 2 2 2 7" xfId="30470" xr:uid="{00000000-0005-0000-0000-0000F2790000}"/>
    <cellStyle name="Obliczenia 2 2 2 2 2 2 7 2" xfId="30471" xr:uid="{00000000-0005-0000-0000-0000F3790000}"/>
    <cellStyle name="Obliczenia 2 2 2 2 2 2 7 2 2" xfId="30472" xr:uid="{00000000-0005-0000-0000-0000F4790000}"/>
    <cellStyle name="Obliczenia 2 2 2 2 2 2 7 2 2 2" xfId="30473" xr:uid="{00000000-0005-0000-0000-0000F5790000}"/>
    <cellStyle name="Obliczenia 2 2 2 2 2 2 7 2 3" xfId="30474" xr:uid="{00000000-0005-0000-0000-0000F6790000}"/>
    <cellStyle name="Obliczenia 2 2 2 2 2 2 7 3" xfId="30475" xr:uid="{00000000-0005-0000-0000-0000F7790000}"/>
    <cellStyle name="Obliczenia 2 2 2 2 2 2 7 3 2" xfId="30476" xr:uid="{00000000-0005-0000-0000-0000F8790000}"/>
    <cellStyle name="Obliczenia 2 2 2 2 2 2 7 3 2 2" xfId="30477" xr:uid="{00000000-0005-0000-0000-0000F9790000}"/>
    <cellStyle name="Obliczenia 2 2 2 2 2 2 7 3 3" xfId="30478" xr:uid="{00000000-0005-0000-0000-0000FA790000}"/>
    <cellStyle name="Obliczenia 2 2 2 2 2 2 7 4" xfId="30479" xr:uid="{00000000-0005-0000-0000-0000FB790000}"/>
    <cellStyle name="Obliczenia 2 2 2 2 2 2 7 4 2" xfId="30480" xr:uid="{00000000-0005-0000-0000-0000FC790000}"/>
    <cellStyle name="Obliczenia 2 2 2 2 2 2 7 4 2 2" xfId="30481" xr:uid="{00000000-0005-0000-0000-0000FD790000}"/>
    <cellStyle name="Obliczenia 2 2 2 2 2 2 7 4 3" xfId="30482" xr:uid="{00000000-0005-0000-0000-0000FE790000}"/>
    <cellStyle name="Obliczenia 2 2 2 2 2 2 7 5" xfId="30483" xr:uid="{00000000-0005-0000-0000-0000FF790000}"/>
    <cellStyle name="Obliczenia 2 2 2 2 2 2 7 5 2" xfId="30484" xr:uid="{00000000-0005-0000-0000-0000007A0000}"/>
    <cellStyle name="Obliczenia 2 2 2 2 2 2 7 6" xfId="30485" xr:uid="{00000000-0005-0000-0000-0000017A0000}"/>
    <cellStyle name="Obliczenia 2 2 2 2 2 2 7 6 2" xfId="30486" xr:uid="{00000000-0005-0000-0000-0000027A0000}"/>
    <cellStyle name="Obliczenia 2 2 2 2 2 2 7 7" xfId="30487" xr:uid="{00000000-0005-0000-0000-0000037A0000}"/>
    <cellStyle name="Obliczenia 2 2 2 2 2 2 8" xfId="30488" xr:uid="{00000000-0005-0000-0000-0000047A0000}"/>
    <cellStyle name="Obliczenia 2 2 2 2 2 2 8 2" xfId="30489" xr:uid="{00000000-0005-0000-0000-0000057A0000}"/>
    <cellStyle name="Obliczenia 2 2 2 2 2 2 8 2 2" xfId="30490" xr:uid="{00000000-0005-0000-0000-0000067A0000}"/>
    <cellStyle name="Obliczenia 2 2 2 2 2 2 8 3" xfId="30491" xr:uid="{00000000-0005-0000-0000-0000077A0000}"/>
    <cellStyle name="Obliczenia 2 2 2 2 2 2 9" xfId="30492" xr:uid="{00000000-0005-0000-0000-0000087A0000}"/>
    <cellStyle name="Obliczenia 2 2 2 2 2 2 9 2" xfId="30493" xr:uid="{00000000-0005-0000-0000-0000097A0000}"/>
    <cellStyle name="Obliczenia 2 2 2 2 2 2 9 2 2" xfId="30494" xr:uid="{00000000-0005-0000-0000-00000A7A0000}"/>
    <cellStyle name="Obliczenia 2 2 2 2 2 2 9 3" xfId="30495" xr:uid="{00000000-0005-0000-0000-00000B7A0000}"/>
    <cellStyle name="Obliczenia 2 2 2 2 2 3" xfId="30496" xr:uid="{00000000-0005-0000-0000-00000C7A0000}"/>
    <cellStyle name="Obliczenia 2 2 2 2 2 3 2" xfId="30497" xr:uid="{00000000-0005-0000-0000-00000D7A0000}"/>
    <cellStyle name="Obliczenia 2 2 2 2 2 3 2 2" xfId="30498" xr:uid="{00000000-0005-0000-0000-00000E7A0000}"/>
    <cellStyle name="Obliczenia 2 2 2 2 2 3 2 2 2" xfId="30499" xr:uid="{00000000-0005-0000-0000-00000F7A0000}"/>
    <cellStyle name="Obliczenia 2 2 2 2 2 3 2 2 2 2" xfId="30500" xr:uid="{00000000-0005-0000-0000-0000107A0000}"/>
    <cellStyle name="Obliczenia 2 2 2 2 2 3 2 2 3" xfId="30501" xr:uid="{00000000-0005-0000-0000-0000117A0000}"/>
    <cellStyle name="Obliczenia 2 2 2 2 2 3 2 3" xfId="30502" xr:uid="{00000000-0005-0000-0000-0000127A0000}"/>
    <cellStyle name="Obliczenia 2 2 2 2 2 3 2 3 2" xfId="30503" xr:uid="{00000000-0005-0000-0000-0000137A0000}"/>
    <cellStyle name="Obliczenia 2 2 2 2 2 3 2 3 2 2" xfId="30504" xr:uid="{00000000-0005-0000-0000-0000147A0000}"/>
    <cellStyle name="Obliczenia 2 2 2 2 2 3 2 3 3" xfId="30505" xr:uid="{00000000-0005-0000-0000-0000157A0000}"/>
    <cellStyle name="Obliczenia 2 2 2 2 2 3 2 4" xfId="30506" xr:uid="{00000000-0005-0000-0000-0000167A0000}"/>
    <cellStyle name="Obliczenia 2 2 2 2 2 3 2 4 2" xfId="30507" xr:uid="{00000000-0005-0000-0000-0000177A0000}"/>
    <cellStyle name="Obliczenia 2 2 2 2 2 3 2 4 2 2" xfId="30508" xr:uid="{00000000-0005-0000-0000-0000187A0000}"/>
    <cellStyle name="Obliczenia 2 2 2 2 2 3 2 4 3" xfId="30509" xr:uid="{00000000-0005-0000-0000-0000197A0000}"/>
    <cellStyle name="Obliczenia 2 2 2 2 2 3 2 5" xfId="30510" xr:uid="{00000000-0005-0000-0000-00001A7A0000}"/>
    <cellStyle name="Obliczenia 2 2 2 2 2 3 2 5 2" xfId="30511" xr:uid="{00000000-0005-0000-0000-00001B7A0000}"/>
    <cellStyle name="Obliczenia 2 2 2 2 2 3 2 6" xfId="30512" xr:uid="{00000000-0005-0000-0000-00001C7A0000}"/>
    <cellStyle name="Obliczenia 2 2 2 2 2 3 2 6 2" xfId="30513" xr:uid="{00000000-0005-0000-0000-00001D7A0000}"/>
    <cellStyle name="Obliczenia 2 2 2 2 2 3 2 7" xfId="30514" xr:uid="{00000000-0005-0000-0000-00001E7A0000}"/>
    <cellStyle name="Obliczenia 2 2 2 2 2 3 3" xfId="30515" xr:uid="{00000000-0005-0000-0000-00001F7A0000}"/>
    <cellStyle name="Obliczenia 2 2 2 2 2 3 3 2" xfId="30516" xr:uid="{00000000-0005-0000-0000-0000207A0000}"/>
    <cellStyle name="Obliczenia 2 2 2 2 2 3 3 2 2" xfId="30517" xr:uid="{00000000-0005-0000-0000-0000217A0000}"/>
    <cellStyle name="Obliczenia 2 2 2 2 2 3 3 3" xfId="30518" xr:uid="{00000000-0005-0000-0000-0000227A0000}"/>
    <cellStyle name="Obliczenia 2 2 2 2 2 3 4" xfId="30519" xr:uid="{00000000-0005-0000-0000-0000237A0000}"/>
    <cellStyle name="Obliczenia 2 2 2 2 2 3 4 2" xfId="30520" xr:uid="{00000000-0005-0000-0000-0000247A0000}"/>
    <cellStyle name="Obliczenia 2 2 2 2 2 3 4 2 2" xfId="30521" xr:uid="{00000000-0005-0000-0000-0000257A0000}"/>
    <cellStyle name="Obliczenia 2 2 2 2 2 3 4 3" xfId="30522" xr:uid="{00000000-0005-0000-0000-0000267A0000}"/>
    <cellStyle name="Obliczenia 2 2 2 2 2 3 5" xfId="30523" xr:uid="{00000000-0005-0000-0000-0000277A0000}"/>
    <cellStyle name="Obliczenia 2 2 2 2 2 3 5 2" xfId="30524" xr:uid="{00000000-0005-0000-0000-0000287A0000}"/>
    <cellStyle name="Obliczenia 2 2 2 2 2 3 5 2 2" xfId="30525" xr:uid="{00000000-0005-0000-0000-0000297A0000}"/>
    <cellStyle name="Obliczenia 2 2 2 2 2 3 5 3" xfId="30526" xr:uid="{00000000-0005-0000-0000-00002A7A0000}"/>
    <cellStyle name="Obliczenia 2 2 2 2 2 3 6" xfId="30527" xr:uid="{00000000-0005-0000-0000-00002B7A0000}"/>
    <cellStyle name="Obliczenia 2 2 2 2 2 3 6 2" xfId="30528" xr:uid="{00000000-0005-0000-0000-00002C7A0000}"/>
    <cellStyle name="Obliczenia 2 2 2 2 2 3 7" xfId="30529" xr:uid="{00000000-0005-0000-0000-00002D7A0000}"/>
    <cellStyle name="Obliczenia 2 2 2 2 2 3 7 2" xfId="30530" xr:uid="{00000000-0005-0000-0000-00002E7A0000}"/>
    <cellStyle name="Obliczenia 2 2 2 2 2 3 8" xfId="30531" xr:uid="{00000000-0005-0000-0000-00002F7A0000}"/>
    <cellStyle name="Obliczenia 2 2 2 2 2 4" xfId="30532" xr:uid="{00000000-0005-0000-0000-0000307A0000}"/>
    <cellStyle name="Obliczenia 2 2 2 2 2 4 2" xfId="30533" xr:uid="{00000000-0005-0000-0000-0000317A0000}"/>
    <cellStyle name="Obliczenia 2 2 2 2 2 4 2 2" xfId="30534" xr:uid="{00000000-0005-0000-0000-0000327A0000}"/>
    <cellStyle name="Obliczenia 2 2 2 2 2 4 3" xfId="30535" xr:uid="{00000000-0005-0000-0000-0000337A0000}"/>
    <cellStyle name="Obliczenia 2 2 2 2 2 5" xfId="30536" xr:uid="{00000000-0005-0000-0000-0000347A0000}"/>
    <cellStyle name="Obliczenia 2 2 2 2 2 5 2" xfId="30537" xr:uid="{00000000-0005-0000-0000-0000357A0000}"/>
    <cellStyle name="Obliczenia 2 2 2 2 2 5 2 2" xfId="30538" xr:uid="{00000000-0005-0000-0000-0000367A0000}"/>
    <cellStyle name="Obliczenia 2 2 2 2 2 5 3" xfId="30539" xr:uid="{00000000-0005-0000-0000-0000377A0000}"/>
    <cellStyle name="Obliczenia 2 2 2 2 2 6" xfId="30540" xr:uid="{00000000-0005-0000-0000-0000387A0000}"/>
    <cellStyle name="Obliczenia 2 2 2 2 2 6 2" xfId="30541" xr:uid="{00000000-0005-0000-0000-0000397A0000}"/>
    <cellStyle name="Obliczenia 2 2 2 2 2 6 2 2" xfId="30542" xr:uid="{00000000-0005-0000-0000-00003A7A0000}"/>
    <cellStyle name="Obliczenia 2 2 2 2 2 6 3" xfId="30543" xr:uid="{00000000-0005-0000-0000-00003B7A0000}"/>
    <cellStyle name="Obliczenia 2 2 2 2 2 7" xfId="30544" xr:uid="{00000000-0005-0000-0000-00003C7A0000}"/>
    <cellStyle name="Obliczenia 2 2 2 2 2 7 2" xfId="30545" xr:uid="{00000000-0005-0000-0000-00003D7A0000}"/>
    <cellStyle name="Obliczenia 2 2 2 2 2 7 2 2" xfId="30546" xr:uid="{00000000-0005-0000-0000-00003E7A0000}"/>
    <cellStyle name="Obliczenia 2 2 2 2 2 7 2 2 2" xfId="30547" xr:uid="{00000000-0005-0000-0000-00003F7A0000}"/>
    <cellStyle name="Obliczenia 2 2 2 2 2 7 2 3" xfId="30548" xr:uid="{00000000-0005-0000-0000-0000407A0000}"/>
    <cellStyle name="Obliczenia 2 2 2 2 2 7 3" xfId="30549" xr:uid="{00000000-0005-0000-0000-0000417A0000}"/>
    <cellStyle name="Obliczenia 2 2 2 2 2 7 3 2" xfId="30550" xr:uid="{00000000-0005-0000-0000-0000427A0000}"/>
    <cellStyle name="Obliczenia 2 2 2 2 2 7 3 2 2" xfId="30551" xr:uid="{00000000-0005-0000-0000-0000437A0000}"/>
    <cellStyle name="Obliczenia 2 2 2 2 2 7 3 3" xfId="30552" xr:uid="{00000000-0005-0000-0000-0000447A0000}"/>
    <cellStyle name="Obliczenia 2 2 2 2 2 7 4" xfId="30553" xr:uid="{00000000-0005-0000-0000-0000457A0000}"/>
    <cellStyle name="Obliczenia 2 2 2 2 2 7 4 2" xfId="30554" xr:uid="{00000000-0005-0000-0000-0000467A0000}"/>
    <cellStyle name="Obliczenia 2 2 2 2 2 7 4 2 2" xfId="30555" xr:uid="{00000000-0005-0000-0000-0000477A0000}"/>
    <cellStyle name="Obliczenia 2 2 2 2 2 7 4 3" xfId="30556" xr:uid="{00000000-0005-0000-0000-0000487A0000}"/>
    <cellStyle name="Obliczenia 2 2 2 2 2 7 5" xfId="30557" xr:uid="{00000000-0005-0000-0000-0000497A0000}"/>
    <cellStyle name="Obliczenia 2 2 2 2 2 7 5 2" xfId="30558" xr:uid="{00000000-0005-0000-0000-00004A7A0000}"/>
    <cellStyle name="Obliczenia 2 2 2 2 2 7 6" xfId="30559" xr:uid="{00000000-0005-0000-0000-00004B7A0000}"/>
    <cellStyle name="Obliczenia 2 2 2 2 2 7 6 2" xfId="30560" xr:uid="{00000000-0005-0000-0000-00004C7A0000}"/>
    <cellStyle name="Obliczenia 2 2 2 2 2 7 7" xfId="30561" xr:uid="{00000000-0005-0000-0000-00004D7A0000}"/>
    <cellStyle name="Obliczenia 2 2 2 2 2 8" xfId="30562" xr:uid="{00000000-0005-0000-0000-00004E7A0000}"/>
    <cellStyle name="Obliczenia 2 2 2 2 2 8 2" xfId="30563" xr:uid="{00000000-0005-0000-0000-00004F7A0000}"/>
    <cellStyle name="Obliczenia 2 2 2 2 2 8 2 2" xfId="30564" xr:uid="{00000000-0005-0000-0000-0000507A0000}"/>
    <cellStyle name="Obliczenia 2 2 2 2 2 8 3" xfId="30565" xr:uid="{00000000-0005-0000-0000-0000517A0000}"/>
    <cellStyle name="Obliczenia 2 2 2 2 2 9" xfId="30566" xr:uid="{00000000-0005-0000-0000-0000527A0000}"/>
    <cellStyle name="Obliczenia 2 2 2 2 2 9 2" xfId="30567" xr:uid="{00000000-0005-0000-0000-0000537A0000}"/>
    <cellStyle name="Obliczenia 2 2 2 2 2 9 2 2" xfId="30568" xr:uid="{00000000-0005-0000-0000-0000547A0000}"/>
    <cellStyle name="Obliczenia 2 2 2 2 2 9 3" xfId="30569" xr:uid="{00000000-0005-0000-0000-0000557A0000}"/>
    <cellStyle name="Obliczenia 2 2 2 2 3" xfId="30570" xr:uid="{00000000-0005-0000-0000-0000567A0000}"/>
    <cellStyle name="Obliczenia 2 2 2 2 3 2" xfId="30571" xr:uid="{00000000-0005-0000-0000-0000577A0000}"/>
    <cellStyle name="Obliczenia 2 2 2 2 3 2 2" xfId="30572" xr:uid="{00000000-0005-0000-0000-0000587A0000}"/>
    <cellStyle name="Obliczenia 2 2 2 2 3 2 2 2" xfId="30573" xr:uid="{00000000-0005-0000-0000-0000597A0000}"/>
    <cellStyle name="Obliczenia 2 2 2 2 3 2 2 2 2" xfId="30574" xr:uid="{00000000-0005-0000-0000-00005A7A0000}"/>
    <cellStyle name="Obliczenia 2 2 2 2 3 2 2 3" xfId="30575" xr:uid="{00000000-0005-0000-0000-00005B7A0000}"/>
    <cellStyle name="Obliczenia 2 2 2 2 3 2 3" xfId="30576" xr:uid="{00000000-0005-0000-0000-00005C7A0000}"/>
    <cellStyle name="Obliczenia 2 2 2 2 3 2 3 2" xfId="30577" xr:uid="{00000000-0005-0000-0000-00005D7A0000}"/>
    <cellStyle name="Obliczenia 2 2 2 2 3 2 3 2 2" xfId="30578" xr:uid="{00000000-0005-0000-0000-00005E7A0000}"/>
    <cellStyle name="Obliczenia 2 2 2 2 3 2 3 3" xfId="30579" xr:uid="{00000000-0005-0000-0000-00005F7A0000}"/>
    <cellStyle name="Obliczenia 2 2 2 2 3 2 4" xfId="30580" xr:uid="{00000000-0005-0000-0000-0000607A0000}"/>
    <cellStyle name="Obliczenia 2 2 2 2 3 2 4 2" xfId="30581" xr:uid="{00000000-0005-0000-0000-0000617A0000}"/>
    <cellStyle name="Obliczenia 2 2 2 2 3 2 4 2 2" xfId="30582" xr:uid="{00000000-0005-0000-0000-0000627A0000}"/>
    <cellStyle name="Obliczenia 2 2 2 2 3 2 4 3" xfId="30583" xr:uid="{00000000-0005-0000-0000-0000637A0000}"/>
    <cellStyle name="Obliczenia 2 2 2 2 3 2 5" xfId="30584" xr:uid="{00000000-0005-0000-0000-0000647A0000}"/>
    <cellStyle name="Obliczenia 2 2 2 2 3 2 5 2" xfId="30585" xr:uid="{00000000-0005-0000-0000-0000657A0000}"/>
    <cellStyle name="Obliczenia 2 2 2 2 3 2 6" xfId="30586" xr:uid="{00000000-0005-0000-0000-0000667A0000}"/>
    <cellStyle name="Obliczenia 2 2 2 2 3 2 6 2" xfId="30587" xr:uid="{00000000-0005-0000-0000-0000677A0000}"/>
    <cellStyle name="Obliczenia 2 2 2 2 3 2 7" xfId="30588" xr:uid="{00000000-0005-0000-0000-0000687A0000}"/>
    <cellStyle name="Obliczenia 2 2 2 2 3 3" xfId="30589" xr:uid="{00000000-0005-0000-0000-0000697A0000}"/>
    <cellStyle name="Obliczenia 2 2 2 2 3 3 2" xfId="30590" xr:uid="{00000000-0005-0000-0000-00006A7A0000}"/>
    <cellStyle name="Obliczenia 2 2 2 2 3 3 2 2" xfId="30591" xr:uid="{00000000-0005-0000-0000-00006B7A0000}"/>
    <cellStyle name="Obliczenia 2 2 2 2 3 3 3" xfId="30592" xr:uid="{00000000-0005-0000-0000-00006C7A0000}"/>
    <cellStyle name="Obliczenia 2 2 2 2 3 4" xfId="30593" xr:uid="{00000000-0005-0000-0000-00006D7A0000}"/>
    <cellStyle name="Obliczenia 2 2 2 2 3 4 2" xfId="30594" xr:uid="{00000000-0005-0000-0000-00006E7A0000}"/>
    <cellStyle name="Obliczenia 2 2 2 2 3 4 2 2" xfId="30595" xr:uid="{00000000-0005-0000-0000-00006F7A0000}"/>
    <cellStyle name="Obliczenia 2 2 2 2 3 4 3" xfId="30596" xr:uid="{00000000-0005-0000-0000-0000707A0000}"/>
    <cellStyle name="Obliczenia 2 2 2 2 3 5" xfId="30597" xr:uid="{00000000-0005-0000-0000-0000717A0000}"/>
    <cellStyle name="Obliczenia 2 2 2 2 3 5 2" xfId="30598" xr:uid="{00000000-0005-0000-0000-0000727A0000}"/>
    <cellStyle name="Obliczenia 2 2 2 2 3 5 2 2" xfId="30599" xr:uid="{00000000-0005-0000-0000-0000737A0000}"/>
    <cellStyle name="Obliczenia 2 2 2 2 3 5 3" xfId="30600" xr:uid="{00000000-0005-0000-0000-0000747A0000}"/>
    <cellStyle name="Obliczenia 2 2 2 2 3 6" xfId="30601" xr:uid="{00000000-0005-0000-0000-0000757A0000}"/>
    <cellStyle name="Obliczenia 2 2 2 2 3 6 2" xfId="30602" xr:uid="{00000000-0005-0000-0000-0000767A0000}"/>
    <cellStyle name="Obliczenia 2 2 2 2 3 7" xfId="30603" xr:uid="{00000000-0005-0000-0000-0000777A0000}"/>
    <cellStyle name="Obliczenia 2 2 2 2 3 7 2" xfId="30604" xr:uid="{00000000-0005-0000-0000-0000787A0000}"/>
    <cellStyle name="Obliczenia 2 2 2 2 3 8" xfId="30605" xr:uid="{00000000-0005-0000-0000-0000797A0000}"/>
    <cellStyle name="Obliczenia 2 2 2 2 4" xfId="30606" xr:uid="{00000000-0005-0000-0000-00007A7A0000}"/>
    <cellStyle name="Obliczenia 2 2 2 2 4 2" xfId="30607" xr:uid="{00000000-0005-0000-0000-00007B7A0000}"/>
    <cellStyle name="Obliczenia 2 2 2 2 4 2 2" xfId="30608" xr:uid="{00000000-0005-0000-0000-00007C7A0000}"/>
    <cellStyle name="Obliczenia 2 2 2 2 4 3" xfId="30609" xr:uid="{00000000-0005-0000-0000-00007D7A0000}"/>
    <cellStyle name="Obliczenia 2 2 2 2 5" xfId="30610" xr:uid="{00000000-0005-0000-0000-00007E7A0000}"/>
    <cellStyle name="Obliczenia 2 2 2 2 5 2" xfId="30611" xr:uid="{00000000-0005-0000-0000-00007F7A0000}"/>
    <cellStyle name="Obliczenia 2 2 2 2 5 2 2" xfId="30612" xr:uid="{00000000-0005-0000-0000-0000807A0000}"/>
    <cellStyle name="Obliczenia 2 2 2 2 5 3" xfId="30613" xr:uid="{00000000-0005-0000-0000-0000817A0000}"/>
    <cellStyle name="Obliczenia 2 2 2 2 6" xfId="30614" xr:uid="{00000000-0005-0000-0000-0000827A0000}"/>
    <cellStyle name="Obliczenia 2 2 2 2 6 2" xfId="30615" xr:uid="{00000000-0005-0000-0000-0000837A0000}"/>
    <cellStyle name="Obliczenia 2 2 2 2 6 2 2" xfId="30616" xr:uid="{00000000-0005-0000-0000-0000847A0000}"/>
    <cellStyle name="Obliczenia 2 2 2 2 6 3" xfId="30617" xr:uid="{00000000-0005-0000-0000-0000857A0000}"/>
    <cellStyle name="Obliczenia 2 2 2 2 7" xfId="30618" xr:uid="{00000000-0005-0000-0000-0000867A0000}"/>
    <cellStyle name="Obliczenia 2 2 2 2 7 2" xfId="30619" xr:uid="{00000000-0005-0000-0000-0000877A0000}"/>
    <cellStyle name="Obliczenia 2 2 2 2 7 2 2" xfId="30620" xr:uid="{00000000-0005-0000-0000-0000887A0000}"/>
    <cellStyle name="Obliczenia 2 2 2 2 7 3" xfId="30621" xr:uid="{00000000-0005-0000-0000-0000897A0000}"/>
    <cellStyle name="Obliczenia 2 2 2 2 8" xfId="30622" xr:uid="{00000000-0005-0000-0000-00008A7A0000}"/>
    <cellStyle name="Obliczenia 2 2 2 2 8 2" xfId="30623" xr:uid="{00000000-0005-0000-0000-00008B7A0000}"/>
    <cellStyle name="Obliczenia 2 2 2 2 8 2 2" xfId="30624" xr:uid="{00000000-0005-0000-0000-00008C7A0000}"/>
    <cellStyle name="Obliczenia 2 2 2 2 8 2 2 2" xfId="30625" xr:uid="{00000000-0005-0000-0000-00008D7A0000}"/>
    <cellStyle name="Obliczenia 2 2 2 2 8 2 3" xfId="30626" xr:uid="{00000000-0005-0000-0000-00008E7A0000}"/>
    <cellStyle name="Obliczenia 2 2 2 2 8 3" xfId="30627" xr:uid="{00000000-0005-0000-0000-00008F7A0000}"/>
    <cellStyle name="Obliczenia 2 2 2 2 8 3 2" xfId="30628" xr:uid="{00000000-0005-0000-0000-0000907A0000}"/>
    <cellStyle name="Obliczenia 2 2 2 2 8 3 2 2" xfId="30629" xr:uid="{00000000-0005-0000-0000-0000917A0000}"/>
    <cellStyle name="Obliczenia 2 2 2 2 8 3 3" xfId="30630" xr:uid="{00000000-0005-0000-0000-0000927A0000}"/>
    <cellStyle name="Obliczenia 2 2 2 2 8 4" xfId="30631" xr:uid="{00000000-0005-0000-0000-0000937A0000}"/>
    <cellStyle name="Obliczenia 2 2 2 2 8 4 2" xfId="30632" xr:uid="{00000000-0005-0000-0000-0000947A0000}"/>
    <cellStyle name="Obliczenia 2 2 2 2 8 4 2 2" xfId="30633" xr:uid="{00000000-0005-0000-0000-0000957A0000}"/>
    <cellStyle name="Obliczenia 2 2 2 2 8 4 3" xfId="30634" xr:uid="{00000000-0005-0000-0000-0000967A0000}"/>
    <cellStyle name="Obliczenia 2 2 2 2 8 5" xfId="30635" xr:uid="{00000000-0005-0000-0000-0000977A0000}"/>
    <cellStyle name="Obliczenia 2 2 2 2 8 5 2" xfId="30636" xr:uid="{00000000-0005-0000-0000-0000987A0000}"/>
    <cellStyle name="Obliczenia 2 2 2 2 8 6" xfId="30637" xr:uid="{00000000-0005-0000-0000-0000997A0000}"/>
    <cellStyle name="Obliczenia 2 2 2 2 8 6 2" xfId="30638" xr:uid="{00000000-0005-0000-0000-00009A7A0000}"/>
    <cellStyle name="Obliczenia 2 2 2 2 8 7" xfId="30639" xr:uid="{00000000-0005-0000-0000-00009B7A0000}"/>
    <cellStyle name="Obliczenia 2 2 2 2 9" xfId="30640" xr:uid="{00000000-0005-0000-0000-00009C7A0000}"/>
    <cellStyle name="Obliczenia 2 2 2 2 9 2" xfId="30641" xr:uid="{00000000-0005-0000-0000-00009D7A0000}"/>
    <cellStyle name="Obliczenia 2 2 2 2 9 2 2" xfId="30642" xr:uid="{00000000-0005-0000-0000-00009E7A0000}"/>
    <cellStyle name="Obliczenia 2 2 2 2 9 3" xfId="30643" xr:uid="{00000000-0005-0000-0000-00009F7A0000}"/>
    <cellStyle name="Obliczenia 2 2 2 3" xfId="30644" xr:uid="{00000000-0005-0000-0000-0000A07A0000}"/>
    <cellStyle name="Obliczenia 2 2 2 3 2" xfId="30645" xr:uid="{00000000-0005-0000-0000-0000A17A0000}"/>
    <cellStyle name="Obliczenia 2 2 2 3 2 2" xfId="30646" xr:uid="{00000000-0005-0000-0000-0000A27A0000}"/>
    <cellStyle name="Obliczenia 2 2 2 3 3" xfId="30647" xr:uid="{00000000-0005-0000-0000-0000A37A0000}"/>
    <cellStyle name="Obliczenia 2 2 2 4" xfId="30648" xr:uid="{00000000-0005-0000-0000-0000A47A0000}"/>
    <cellStyle name="Obliczenia 2 2 2 4 10" xfId="30649" xr:uid="{00000000-0005-0000-0000-0000A57A0000}"/>
    <cellStyle name="Obliczenia 2 2 2 4 10 2" xfId="30650" xr:uid="{00000000-0005-0000-0000-0000A67A0000}"/>
    <cellStyle name="Obliczenia 2 2 2 4 11" xfId="30651" xr:uid="{00000000-0005-0000-0000-0000A77A0000}"/>
    <cellStyle name="Obliczenia 2 2 2 4 11 2" xfId="30652" xr:uid="{00000000-0005-0000-0000-0000A87A0000}"/>
    <cellStyle name="Obliczenia 2 2 2 4 12" xfId="30653" xr:uid="{00000000-0005-0000-0000-0000A97A0000}"/>
    <cellStyle name="Obliczenia 2 2 2 4 2" xfId="30654" xr:uid="{00000000-0005-0000-0000-0000AA7A0000}"/>
    <cellStyle name="Obliczenia 2 2 2 4 2 2" xfId="30655" xr:uid="{00000000-0005-0000-0000-0000AB7A0000}"/>
    <cellStyle name="Obliczenia 2 2 2 4 2 2 2" xfId="30656" xr:uid="{00000000-0005-0000-0000-0000AC7A0000}"/>
    <cellStyle name="Obliczenia 2 2 2 4 2 2 2 2" xfId="30657" xr:uid="{00000000-0005-0000-0000-0000AD7A0000}"/>
    <cellStyle name="Obliczenia 2 2 2 4 2 2 2 2 2" xfId="30658" xr:uid="{00000000-0005-0000-0000-0000AE7A0000}"/>
    <cellStyle name="Obliczenia 2 2 2 4 2 2 2 3" xfId="30659" xr:uid="{00000000-0005-0000-0000-0000AF7A0000}"/>
    <cellStyle name="Obliczenia 2 2 2 4 2 2 3" xfId="30660" xr:uid="{00000000-0005-0000-0000-0000B07A0000}"/>
    <cellStyle name="Obliczenia 2 2 2 4 2 2 3 2" xfId="30661" xr:uid="{00000000-0005-0000-0000-0000B17A0000}"/>
    <cellStyle name="Obliczenia 2 2 2 4 2 2 3 2 2" xfId="30662" xr:uid="{00000000-0005-0000-0000-0000B27A0000}"/>
    <cellStyle name="Obliczenia 2 2 2 4 2 2 3 3" xfId="30663" xr:uid="{00000000-0005-0000-0000-0000B37A0000}"/>
    <cellStyle name="Obliczenia 2 2 2 4 2 2 4" xfId="30664" xr:uid="{00000000-0005-0000-0000-0000B47A0000}"/>
    <cellStyle name="Obliczenia 2 2 2 4 2 2 4 2" xfId="30665" xr:uid="{00000000-0005-0000-0000-0000B57A0000}"/>
    <cellStyle name="Obliczenia 2 2 2 4 2 2 4 2 2" xfId="30666" xr:uid="{00000000-0005-0000-0000-0000B67A0000}"/>
    <cellStyle name="Obliczenia 2 2 2 4 2 2 4 3" xfId="30667" xr:uid="{00000000-0005-0000-0000-0000B77A0000}"/>
    <cellStyle name="Obliczenia 2 2 2 4 2 2 5" xfId="30668" xr:uid="{00000000-0005-0000-0000-0000B87A0000}"/>
    <cellStyle name="Obliczenia 2 2 2 4 2 2 5 2" xfId="30669" xr:uid="{00000000-0005-0000-0000-0000B97A0000}"/>
    <cellStyle name="Obliczenia 2 2 2 4 2 2 6" xfId="30670" xr:uid="{00000000-0005-0000-0000-0000BA7A0000}"/>
    <cellStyle name="Obliczenia 2 2 2 4 2 2 6 2" xfId="30671" xr:uid="{00000000-0005-0000-0000-0000BB7A0000}"/>
    <cellStyle name="Obliczenia 2 2 2 4 2 2 7" xfId="30672" xr:uid="{00000000-0005-0000-0000-0000BC7A0000}"/>
    <cellStyle name="Obliczenia 2 2 2 4 2 3" xfId="30673" xr:uid="{00000000-0005-0000-0000-0000BD7A0000}"/>
    <cellStyle name="Obliczenia 2 2 2 4 2 3 2" xfId="30674" xr:uid="{00000000-0005-0000-0000-0000BE7A0000}"/>
    <cellStyle name="Obliczenia 2 2 2 4 2 3 2 2" xfId="30675" xr:uid="{00000000-0005-0000-0000-0000BF7A0000}"/>
    <cellStyle name="Obliczenia 2 2 2 4 2 3 3" xfId="30676" xr:uid="{00000000-0005-0000-0000-0000C07A0000}"/>
    <cellStyle name="Obliczenia 2 2 2 4 2 4" xfId="30677" xr:uid="{00000000-0005-0000-0000-0000C17A0000}"/>
    <cellStyle name="Obliczenia 2 2 2 4 2 4 2" xfId="30678" xr:uid="{00000000-0005-0000-0000-0000C27A0000}"/>
    <cellStyle name="Obliczenia 2 2 2 4 2 4 2 2" xfId="30679" xr:uid="{00000000-0005-0000-0000-0000C37A0000}"/>
    <cellStyle name="Obliczenia 2 2 2 4 2 4 3" xfId="30680" xr:uid="{00000000-0005-0000-0000-0000C47A0000}"/>
    <cellStyle name="Obliczenia 2 2 2 4 2 5" xfId="30681" xr:uid="{00000000-0005-0000-0000-0000C57A0000}"/>
    <cellStyle name="Obliczenia 2 2 2 4 2 5 2" xfId="30682" xr:uid="{00000000-0005-0000-0000-0000C67A0000}"/>
    <cellStyle name="Obliczenia 2 2 2 4 2 5 2 2" xfId="30683" xr:uid="{00000000-0005-0000-0000-0000C77A0000}"/>
    <cellStyle name="Obliczenia 2 2 2 4 2 5 3" xfId="30684" xr:uid="{00000000-0005-0000-0000-0000C87A0000}"/>
    <cellStyle name="Obliczenia 2 2 2 4 2 6" xfId="30685" xr:uid="{00000000-0005-0000-0000-0000C97A0000}"/>
    <cellStyle name="Obliczenia 2 2 2 4 2 6 2" xfId="30686" xr:uid="{00000000-0005-0000-0000-0000CA7A0000}"/>
    <cellStyle name="Obliczenia 2 2 2 4 2 7" xfId="30687" xr:uid="{00000000-0005-0000-0000-0000CB7A0000}"/>
    <cellStyle name="Obliczenia 2 2 2 4 2 7 2" xfId="30688" xr:uid="{00000000-0005-0000-0000-0000CC7A0000}"/>
    <cellStyle name="Obliczenia 2 2 2 4 2 8" xfId="30689" xr:uid="{00000000-0005-0000-0000-0000CD7A0000}"/>
    <cellStyle name="Obliczenia 2 2 2 4 3" xfId="30690" xr:uid="{00000000-0005-0000-0000-0000CE7A0000}"/>
    <cellStyle name="Obliczenia 2 2 2 4 3 2" xfId="30691" xr:uid="{00000000-0005-0000-0000-0000CF7A0000}"/>
    <cellStyle name="Obliczenia 2 2 2 4 3 2 2" xfId="30692" xr:uid="{00000000-0005-0000-0000-0000D07A0000}"/>
    <cellStyle name="Obliczenia 2 2 2 4 3 3" xfId="30693" xr:uid="{00000000-0005-0000-0000-0000D17A0000}"/>
    <cellStyle name="Obliczenia 2 2 2 4 4" xfId="30694" xr:uid="{00000000-0005-0000-0000-0000D27A0000}"/>
    <cellStyle name="Obliczenia 2 2 2 4 4 2" xfId="30695" xr:uid="{00000000-0005-0000-0000-0000D37A0000}"/>
    <cellStyle name="Obliczenia 2 2 2 4 4 2 2" xfId="30696" xr:uid="{00000000-0005-0000-0000-0000D47A0000}"/>
    <cellStyle name="Obliczenia 2 2 2 4 4 3" xfId="30697" xr:uid="{00000000-0005-0000-0000-0000D57A0000}"/>
    <cellStyle name="Obliczenia 2 2 2 4 5" xfId="30698" xr:uid="{00000000-0005-0000-0000-0000D67A0000}"/>
    <cellStyle name="Obliczenia 2 2 2 4 5 2" xfId="30699" xr:uid="{00000000-0005-0000-0000-0000D77A0000}"/>
    <cellStyle name="Obliczenia 2 2 2 4 5 2 2" xfId="30700" xr:uid="{00000000-0005-0000-0000-0000D87A0000}"/>
    <cellStyle name="Obliczenia 2 2 2 4 5 3" xfId="30701" xr:uid="{00000000-0005-0000-0000-0000D97A0000}"/>
    <cellStyle name="Obliczenia 2 2 2 4 6" xfId="30702" xr:uid="{00000000-0005-0000-0000-0000DA7A0000}"/>
    <cellStyle name="Obliczenia 2 2 2 4 6 2" xfId="30703" xr:uid="{00000000-0005-0000-0000-0000DB7A0000}"/>
    <cellStyle name="Obliczenia 2 2 2 4 6 2 2" xfId="30704" xr:uid="{00000000-0005-0000-0000-0000DC7A0000}"/>
    <cellStyle name="Obliczenia 2 2 2 4 6 3" xfId="30705" xr:uid="{00000000-0005-0000-0000-0000DD7A0000}"/>
    <cellStyle name="Obliczenia 2 2 2 4 7" xfId="30706" xr:uid="{00000000-0005-0000-0000-0000DE7A0000}"/>
    <cellStyle name="Obliczenia 2 2 2 4 7 2" xfId="30707" xr:uid="{00000000-0005-0000-0000-0000DF7A0000}"/>
    <cellStyle name="Obliczenia 2 2 2 4 7 2 2" xfId="30708" xr:uid="{00000000-0005-0000-0000-0000E07A0000}"/>
    <cellStyle name="Obliczenia 2 2 2 4 7 2 2 2" xfId="30709" xr:uid="{00000000-0005-0000-0000-0000E17A0000}"/>
    <cellStyle name="Obliczenia 2 2 2 4 7 2 3" xfId="30710" xr:uid="{00000000-0005-0000-0000-0000E27A0000}"/>
    <cellStyle name="Obliczenia 2 2 2 4 7 3" xfId="30711" xr:uid="{00000000-0005-0000-0000-0000E37A0000}"/>
    <cellStyle name="Obliczenia 2 2 2 4 7 3 2" xfId="30712" xr:uid="{00000000-0005-0000-0000-0000E47A0000}"/>
    <cellStyle name="Obliczenia 2 2 2 4 7 3 2 2" xfId="30713" xr:uid="{00000000-0005-0000-0000-0000E57A0000}"/>
    <cellStyle name="Obliczenia 2 2 2 4 7 3 3" xfId="30714" xr:uid="{00000000-0005-0000-0000-0000E67A0000}"/>
    <cellStyle name="Obliczenia 2 2 2 4 7 4" xfId="30715" xr:uid="{00000000-0005-0000-0000-0000E77A0000}"/>
    <cellStyle name="Obliczenia 2 2 2 4 7 4 2" xfId="30716" xr:uid="{00000000-0005-0000-0000-0000E87A0000}"/>
    <cellStyle name="Obliczenia 2 2 2 4 7 4 2 2" xfId="30717" xr:uid="{00000000-0005-0000-0000-0000E97A0000}"/>
    <cellStyle name="Obliczenia 2 2 2 4 7 4 3" xfId="30718" xr:uid="{00000000-0005-0000-0000-0000EA7A0000}"/>
    <cellStyle name="Obliczenia 2 2 2 4 7 5" xfId="30719" xr:uid="{00000000-0005-0000-0000-0000EB7A0000}"/>
    <cellStyle name="Obliczenia 2 2 2 4 7 5 2" xfId="30720" xr:uid="{00000000-0005-0000-0000-0000EC7A0000}"/>
    <cellStyle name="Obliczenia 2 2 2 4 7 6" xfId="30721" xr:uid="{00000000-0005-0000-0000-0000ED7A0000}"/>
    <cellStyle name="Obliczenia 2 2 2 4 7 6 2" xfId="30722" xr:uid="{00000000-0005-0000-0000-0000EE7A0000}"/>
    <cellStyle name="Obliczenia 2 2 2 4 7 7" xfId="30723" xr:uid="{00000000-0005-0000-0000-0000EF7A0000}"/>
    <cellStyle name="Obliczenia 2 2 2 4 8" xfId="30724" xr:uid="{00000000-0005-0000-0000-0000F07A0000}"/>
    <cellStyle name="Obliczenia 2 2 2 4 8 2" xfId="30725" xr:uid="{00000000-0005-0000-0000-0000F17A0000}"/>
    <cellStyle name="Obliczenia 2 2 2 4 8 2 2" xfId="30726" xr:uid="{00000000-0005-0000-0000-0000F27A0000}"/>
    <cellStyle name="Obliczenia 2 2 2 4 8 3" xfId="30727" xr:uid="{00000000-0005-0000-0000-0000F37A0000}"/>
    <cellStyle name="Obliczenia 2 2 2 4 9" xfId="30728" xr:uid="{00000000-0005-0000-0000-0000F47A0000}"/>
    <cellStyle name="Obliczenia 2 2 2 4 9 2" xfId="30729" xr:uid="{00000000-0005-0000-0000-0000F57A0000}"/>
    <cellStyle name="Obliczenia 2 2 2 4 9 2 2" xfId="30730" xr:uid="{00000000-0005-0000-0000-0000F67A0000}"/>
    <cellStyle name="Obliczenia 2 2 2 4 9 3" xfId="30731" xr:uid="{00000000-0005-0000-0000-0000F77A0000}"/>
    <cellStyle name="Obliczenia 2 2 2 5" xfId="30732" xr:uid="{00000000-0005-0000-0000-0000F87A0000}"/>
    <cellStyle name="Obliczenia 2 2 2 5 2" xfId="30733" xr:uid="{00000000-0005-0000-0000-0000F97A0000}"/>
    <cellStyle name="Obliczenia 2 2 2 5 2 2" xfId="30734" xr:uid="{00000000-0005-0000-0000-0000FA7A0000}"/>
    <cellStyle name="Obliczenia 2 2 2 5 2 2 2" xfId="30735" xr:uid="{00000000-0005-0000-0000-0000FB7A0000}"/>
    <cellStyle name="Obliczenia 2 2 2 5 2 2 2 2" xfId="30736" xr:uid="{00000000-0005-0000-0000-0000FC7A0000}"/>
    <cellStyle name="Obliczenia 2 2 2 5 2 2 3" xfId="30737" xr:uid="{00000000-0005-0000-0000-0000FD7A0000}"/>
    <cellStyle name="Obliczenia 2 2 2 5 2 3" xfId="30738" xr:uid="{00000000-0005-0000-0000-0000FE7A0000}"/>
    <cellStyle name="Obliczenia 2 2 2 5 2 3 2" xfId="30739" xr:uid="{00000000-0005-0000-0000-0000FF7A0000}"/>
    <cellStyle name="Obliczenia 2 2 2 5 2 3 2 2" xfId="30740" xr:uid="{00000000-0005-0000-0000-0000007B0000}"/>
    <cellStyle name="Obliczenia 2 2 2 5 2 3 3" xfId="30741" xr:uid="{00000000-0005-0000-0000-0000017B0000}"/>
    <cellStyle name="Obliczenia 2 2 2 5 2 4" xfId="30742" xr:uid="{00000000-0005-0000-0000-0000027B0000}"/>
    <cellStyle name="Obliczenia 2 2 2 5 2 4 2" xfId="30743" xr:uid="{00000000-0005-0000-0000-0000037B0000}"/>
    <cellStyle name="Obliczenia 2 2 2 5 2 4 2 2" xfId="30744" xr:uid="{00000000-0005-0000-0000-0000047B0000}"/>
    <cellStyle name="Obliczenia 2 2 2 5 2 4 3" xfId="30745" xr:uid="{00000000-0005-0000-0000-0000057B0000}"/>
    <cellStyle name="Obliczenia 2 2 2 5 2 5" xfId="30746" xr:uid="{00000000-0005-0000-0000-0000067B0000}"/>
    <cellStyle name="Obliczenia 2 2 2 5 2 5 2" xfId="30747" xr:uid="{00000000-0005-0000-0000-0000077B0000}"/>
    <cellStyle name="Obliczenia 2 2 2 5 2 6" xfId="30748" xr:uid="{00000000-0005-0000-0000-0000087B0000}"/>
    <cellStyle name="Obliczenia 2 2 2 5 2 6 2" xfId="30749" xr:uid="{00000000-0005-0000-0000-0000097B0000}"/>
    <cellStyle name="Obliczenia 2 2 2 5 2 7" xfId="30750" xr:uid="{00000000-0005-0000-0000-00000A7B0000}"/>
    <cellStyle name="Obliczenia 2 2 2 5 3" xfId="30751" xr:uid="{00000000-0005-0000-0000-00000B7B0000}"/>
    <cellStyle name="Obliczenia 2 2 2 5 3 2" xfId="30752" xr:uid="{00000000-0005-0000-0000-00000C7B0000}"/>
    <cellStyle name="Obliczenia 2 2 2 5 3 2 2" xfId="30753" xr:uid="{00000000-0005-0000-0000-00000D7B0000}"/>
    <cellStyle name="Obliczenia 2 2 2 5 3 3" xfId="30754" xr:uid="{00000000-0005-0000-0000-00000E7B0000}"/>
    <cellStyle name="Obliczenia 2 2 2 5 4" xfId="30755" xr:uid="{00000000-0005-0000-0000-00000F7B0000}"/>
    <cellStyle name="Obliczenia 2 2 2 5 4 2" xfId="30756" xr:uid="{00000000-0005-0000-0000-0000107B0000}"/>
    <cellStyle name="Obliczenia 2 2 2 5 4 2 2" xfId="30757" xr:uid="{00000000-0005-0000-0000-0000117B0000}"/>
    <cellStyle name="Obliczenia 2 2 2 5 4 3" xfId="30758" xr:uid="{00000000-0005-0000-0000-0000127B0000}"/>
    <cellStyle name="Obliczenia 2 2 2 5 5" xfId="30759" xr:uid="{00000000-0005-0000-0000-0000137B0000}"/>
    <cellStyle name="Obliczenia 2 2 2 5 5 2" xfId="30760" xr:uid="{00000000-0005-0000-0000-0000147B0000}"/>
    <cellStyle name="Obliczenia 2 2 2 5 5 2 2" xfId="30761" xr:uid="{00000000-0005-0000-0000-0000157B0000}"/>
    <cellStyle name="Obliczenia 2 2 2 5 5 3" xfId="30762" xr:uid="{00000000-0005-0000-0000-0000167B0000}"/>
    <cellStyle name="Obliczenia 2 2 2 5 6" xfId="30763" xr:uid="{00000000-0005-0000-0000-0000177B0000}"/>
    <cellStyle name="Obliczenia 2 2 2 5 6 2" xfId="30764" xr:uid="{00000000-0005-0000-0000-0000187B0000}"/>
    <cellStyle name="Obliczenia 2 2 2 5 7" xfId="30765" xr:uid="{00000000-0005-0000-0000-0000197B0000}"/>
    <cellStyle name="Obliczenia 2 2 2 5 7 2" xfId="30766" xr:uid="{00000000-0005-0000-0000-00001A7B0000}"/>
    <cellStyle name="Obliczenia 2 2 2 5 8" xfId="30767" xr:uid="{00000000-0005-0000-0000-00001B7B0000}"/>
    <cellStyle name="Obliczenia 2 2 2 6" xfId="30768" xr:uid="{00000000-0005-0000-0000-00001C7B0000}"/>
    <cellStyle name="Obliczenia 2 2 2 6 2" xfId="30769" xr:uid="{00000000-0005-0000-0000-00001D7B0000}"/>
    <cellStyle name="Obliczenia 2 2 2 6 2 2" xfId="30770" xr:uid="{00000000-0005-0000-0000-00001E7B0000}"/>
    <cellStyle name="Obliczenia 2 2 2 6 3" xfId="30771" xr:uid="{00000000-0005-0000-0000-00001F7B0000}"/>
    <cellStyle name="Obliczenia 2 2 2 7" xfId="30772" xr:uid="{00000000-0005-0000-0000-0000207B0000}"/>
    <cellStyle name="Obliczenia 2 2 2 7 2" xfId="30773" xr:uid="{00000000-0005-0000-0000-0000217B0000}"/>
    <cellStyle name="Obliczenia 2 2 2 7 2 2" xfId="30774" xr:uid="{00000000-0005-0000-0000-0000227B0000}"/>
    <cellStyle name="Obliczenia 2 2 2 7 3" xfId="30775" xr:uid="{00000000-0005-0000-0000-0000237B0000}"/>
    <cellStyle name="Obliczenia 2 2 2 8" xfId="30776" xr:uid="{00000000-0005-0000-0000-0000247B0000}"/>
    <cellStyle name="Obliczenia 2 2 2 8 2" xfId="30777" xr:uid="{00000000-0005-0000-0000-0000257B0000}"/>
    <cellStyle name="Obliczenia 2 2 2 8 2 2" xfId="30778" xr:uid="{00000000-0005-0000-0000-0000267B0000}"/>
    <cellStyle name="Obliczenia 2 2 2 8 3" xfId="30779" xr:uid="{00000000-0005-0000-0000-0000277B0000}"/>
    <cellStyle name="Obliczenia 2 2 2 9" xfId="30780" xr:uid="{00000000-0005-0000-0000-0000287B0000}"/>
    <cellStyle name="Obliczenia 2 2 2 9 2" xfId="30781" xr:uid="{00000000-0005-0000-0000-0000297B0000}"/>
    <cellStyle name="Obliczenia 2 2 2 9 2 2" xfId="30782" xr:uid="{00000000-0005-0000-0000-00002A7B0000}"/>
    <cellStyle name="Obliczenia 2 2 2 9 2 2 2" xfId="30783" xr:uid="{00000000-0005-0000-0000-00002B7B0000}"/>
    <cellStyle name="Obliczenia 2 2 2 9 2 3" xfId="30784" xr:uid="{00000000-0005-0000-0000-00002C7B0000}"/>
    <cellStyle name="Obliczenia 2 2 2 9 3" xfId="30785" xr:uid="{00000000-0005-0000-0000-00002D7B0000}"/>
    <cellStyle name="Obliczenia 2 2 2 9 3 2" xfId="30786" xr:uid="{00000000-0005-0000-0000-00002E7B0000}"/>
    <cellStyle name="Obliczenia 2 2 2 9 3 2 2" xfId="30787" xr:uid="{00000000-0005-0000-0000-00002F7B0000}"/>
    <cellStyle name="Obliczenia 2 2 2 9 3 3" xfId="30788" xr:uid="{00000000-0005-0000-0000-0000307B0000}"/>
    <cellStyle name="Obliczenia 2 2 2 9 4" xfId="30789" xr:uid="{00000000-0005-0000-0000-0000317B0000}"/>
    <cellStyle name="Obliczenia 2 2 2 9 4 2" xfId="30790" xr:uid="{00000000-0005-0000-0000-0000327B0000}"/>
    <cellStyle name="Obliczenia 2 2 2 9 4 2 2" xfId="30791" xr:uid="{00000000-0005-0000-0000-0000337B0000}"/>
    <cellStyle name="Obliczenia 2 2 2 9 4 3" xfId="30792" xr:uid="{00000000-0005-0000-0000-0000347B0000}"/>
    <cellStyle name="Obliczenia 2 2 2 9 5" xfId="30793" xr:uid="{00000000-0005-0000-0000-0000357B0000}"/>
    <cellStyle name="Obliczenia 2 2 2 9 5 2" xfId="30794" xr:uid="{00000000-0005-0000-0000-0000367B0000}"/>
    <cellStyle name="Obliczenia 2 2 2 9 6" xfId="30795" xr:uid="{00000000-0005-0000-0000-0000377B0000}"/>
    <cellStyle name="Obliczenia 2 2 2 9 6 2" xfId="30796" xr:uid="{00000000-0005-0000-0000-0000387B0000}"/>
    <cellStyle name="Obliczenia 2 2 2 9 7" xfId="30797" xr:uid="{00000000-0005-0000-0000-0000397B0000}"/>
    <cellStyle name="Obliczenia 2 2 20" xfId="30798" xr:uid="{00000000-0005-0000-0000-00003A7B0000}"/>
    <cellStyle name="Obliczenia 2 2 20 2" xfId="30799" xr:uid="{00000000-0005-0000-0000-00003B7B0000}"/>
    <cellStyle name="Obliczenia 2 2 20 2 2" xfId="30800" xr:uid="{00000000-0005-0000-0000-00003C7B0000}"/>
    <cellStyle name="Obliczenia 2 2 20 3" xfId="30801" xr:uid="{00000000-0005-0000-0000-00003D7B0000}"/>
    <cellStyle name="Obliczenia 2 2 21" xfId="30802" xr:uid="{00000000-0005-0000-0000-00003E7B0000}"/>
    <cellStyle name="Obliczenia 2 2 21 2" xfId="30803" xr:uid="{00000000-0005-0000-0000-00003F7B0000}"/>
    <cellStyle name="Obliczenia 2 2 22" xfId="30804" xr:uid="{00000000-0005-0000-0000-0000407B0000}"/>
    <cellStyle name="Obliczenia 2 2 3" xfId="30805" xr:uid="{00000000-0005-0000-0000-0000417B0000}"/>
    <cellStyle name="Obliczenia 2 2 3 2" xfId="30806" xr:uid="{00000000-0005-0000-0000-0000427B0000}"/>
    <cellStyle name="Obliczenia 2 2 3 2 2" xfId="30807" xr:uid="{00000000-0005-0000-0000-0000437B0000}"/>
    <cellStyle name="Obliczenia 2 2 3 3" xfId="30808" xr:uid="{00000000-0005-0000-0000-0000447B0000}"/>
    <cellStyle name="Obliczenia 2 2 4" xfId="30809" xr:uid="{00000000-0005-0000-0000-0000457B0000}"/>
    <cellStyle name="Obliczenia 2 2 4 2" xfId="30810" xr:uid="{00000000-0005-0000-0000-0000467B0000}"/>
    <cellStyle name="Obliczenia 2 2 4 2 2" xfId="30811" xr:uid="{00000000-0005-0000-0000-0000477B0000}"/>
    <cellStyle name="Obliczenia 2 2 4 3" xfId="30812" xr:uid="{00000000-0005-0000-0000-0000487B0000}"/>
    <cellStyle name="Obliczenia 2 2 5" xfId="30813" xr:uid="{00000000-0005-0000-0000-0000497B0000}"/>
    <cellStyle name="Obliczenia 2 2 5 2" xfId="30814" xr:uid="{00000000-0005-0000-0000-00004A7B0000}"/>
    <cellStyle name="Obliczenia 2 2 5 2 2" xfId="30815" xr:uid="{00000000-0005-0000-0000-00004B7B0000}"/>
    <cellStyle name="Obliczenia 2 2 5 3" xfId="30816" xr:uid="{00000000-0005-0000-0000-00004C7B0000}"/>
    <cellStyle name="Obliczenia 2 2 6" xfId="30817" xr:uid="{00000000-0005-0000-0000-00004D7B0000}"/>
    <cellStyle name="Obliczenia 2 2 6 2" xfId="30818" xr:uid="{00000000-0005-0000-0000-00004E7B0000}"/>
    <cellStyle name="Obliczenia 2 2 6 2 2" xfId="30819" xr:uid="{00000000-0005-0000-0000-00004F7B0000}"/>
    <cellStyle name="Obliczenia 2 2 6 3" xfId="30820" xr:uid="{00000000-0005-0000-0000-0000507B0000}"/>
    <cellStyle name="Obliczenia 2 2 7" xfId="30821" xr:uid="{00000000-0005-0000-0000-0000517B0000}"/>
    <cellStyle name="Obliczenia 2 2 7 2" xfId="30822" xr:uid="{00000000-0005-0000-0000-0000527B0000}"/>
    <cellStyle name="Obliczenia 2 2 7 2 2" xfId="30823" xr:uid="{00000000-0005-0000-0000-0000537B0000}"/>
    <cellStyle name="Obliczenia 2 2 7 3" xfId="30824" xr:uid="{00000000-0005-0000-0000-0000547B0000}"/>
    <cellStyle name="Obliczenia 2 2 8" xfId="30825" xr:uid="{00000000-0005-0000-0000-0000557B0000}"/>
    <cellStyle name="Obliczenia 2 2 8 2" xfId="30826" xr:uid="{00000000-0005-0000-0000-0000567B0000}"/>
    <cellStyle name="Obliczenia 2 2 8 2 2" xfId="30827" xr:uid="{00000000-0005-0000-0000-0000577B0000}"/>
    <cellStyle name="Obliczenia 2 2 8 3" xfId="30828" xr:uid="{00000000-0005-0000-0000-0000587B0000}"/>
    <cellStyle name="Obliczenia 2 2 9" xfId="30829" xr:uid="{00000000-0005-0000-0000-0000597B0000}"/>
    <cellStyle name="Obliczenia 2 2 9 2" xfId="30830" xr:uid="{00000000-0005-0000-0000-00005A7B0000}"/>
    <cellStyle name="Obliczenia 2 2 9 2 2" xfId="30831" xr:uid="{00000000-0005-0000-0000-00005B7B0000}"/>
    <cellStyle name="Obliczenia 2 2 9 3" xfId="30832" xr:uid="{00000000-0005-0000-0000-00005C7B0000}"/>
    <cellStyle name="Obliczenia 2 20" xfId="30833" xr:uid="{00000000-0005-0000-0000-00005D7B0000}"/>
    <cellStyle name="Obliczenia 2 20 2" xfId="30834" xr:uid="{00000000-0005-0000-0000-00005E7B0000}"/>
    <cellStyle name="Obliczenia 2 20 2 2" xfId="30835" xr:uid="{00000000-0005-0000-0000-00005F7B0000}"/>
    <cellStyle name="Obliczenia 2 20 3" xfId="30836" xr:uid="{00000000-0005-0000-0000-0000607B0000}"/>
    <cellStyle name="Obliczenia 2 21" xfId="30837" xr:uid="{00000000-0005-0000-0000-0000617B0000}"/>
    <cellStyle name="Obliczenia 2 21 2" xfId="30838" xr:uid="{00000000-0005-0000-0000-0000627B0000}"/>
    <cellStyle name="Obliczenia 2 21 2 2" xfId="30839" xr:uid="{00000000-0005-0000-0000-0000637B0000}"/>
    <cellStyle name="Obliczenia 2 21 2 2 2" xfId="30840" xr:uid="{00000000-0005-0000-0000-0000647B0000}"/>
    <cellStyle name="Obliczenia 2 21 2 3" xfId="30841" xr:uid="{00000000-0005-0000-0000-0000657B0000}"/>
    <cellStyle name="Obliczenia 2 21 3" xfId="30842" xr:uid="{00000000-0005-0000-0000-0000667B0000}"/>
    <cellStyle name="Obliczenia 2 21 3 2" xfId="30843" xr:uid="{00000000-0005-0000-0000-0000677B0000}"/>
    <cellStyle name="Obliczenia 2 21 3 2 2" xfId="30844" xr:uid="{00000000-0005-0000-0000-0000687B0000}"/>
    <cellStyle name="Obliczenia 2 21 3 3" xfId="30845" xr:uid="{00000000-0005-0000-0000-0000697B0000}"/>
    <cellStyle name="Obliczenia 2 21 4" xfId="30846" xr:uid="{00000000-0005-0000-0000-00006A7B0000}"/>
    <cellStyle name="Obliczenia 2 21 4 2" xfId="30847" xr:uid="{00000000-0005-0000-0000-00006B7B0000}"/>
    <cellStyle name="Obliczenia 2 21 4 2 2" xfId="30848" xr:uid="{00000000-0005-0000-0000-00006C7B0000}"/>
    <cellStyle name="Obliczenia 2 21 4 3" xfId="30849" xr:uid="{00000000-0005-0000-0000-00006D7B0000}"/>
    <cellStyle name="Obliczenia 2 21 5" xfId="30850" xr:uid="{00000000-0005-0000-0000-00006E7B0000}"/>
    <cellStyle name="Obliczenia 2 21 5 2" xfId="30851" xr:uid="{00000000-0005-0000-0000-00006F7B0000}"/>
    <cellStyle name="Obliczenia 2 21 6" xfId="30852" xr:uid="{00000000-0005-0000-0000-0000707B0000}"/>
    <cellStyle name="Obliczenia 2 21 6 2" xfId="30853" xr:uid="{00000000-0005-0000-0000-0000717B0000}"/>
    <cellStyle name="Obliczenia 2 21 7" xfId="30854" xr:uid="{00000000-0005-0000-0000-0000727B0000}"/>
    <cellStyle name="Obliczenia 2 22" xfId="30855" xr:uid="{00000000-0005-0000-0000-0000737B0000}"/>
    <cellStyle name="Obliczenia 2 22 2" xfId="30856" xr:uid="{00000000-0005-0000-0000-0000747B0000}"/>
    <cellStyle name="Obliczenia 2 22 2 2" xfId="30857" xr:uid="{00000000-0005-0000-0000-0000757B0000}"/>
    <cellStyle name="Obliczenia 2 22 3" xfId="30858" xr:uid="{00000000-0005-0000-0000-0000767B0000}"/>
    <cellStyle name="Obliczenia 2 23" xfId="30859" xr:uid="{00000000-0005-0000-0000-0000777B0000}"/>
    <cellStyle name="Obliczenia 2 23 2" xfId="30860" xr:uid="{00000000-0005-0000-0000-0000787B0000}"/>
    <cellStyle name="Obliczenia 2 23 2 2" xfId="30861" xr:uid="{00000000-0005-0000-0000-0000797B0000}"/>
    <cellStyle name="Obliczenia 2 23 3" xfId="30862" xr:uid="{00000000-0005-0000-0000-00007A7B0000}"/>
    <cellStyle name="Obliczenia 2 24" xfId="30863" xr:uid="{00000000-0005-0000-0000-00007B7B0000}"/>
    <cellStyle name="Obliczenia 2 24 2" xfId="30864" xr:uid="{00000000-0005-0000-0000-00007C7B0000}"/>
    <cellStyle name="Obliczenia 2 24 2 2" xfId="30865" xr:uid="{00000000-0005-0000-0000-00007D7B0000}"/>
    <cellStyle name="Obliczenia 2 24 3" xfId="30866" xr:uid="{00000000-0005-0000-0000-00007E7B0000}"/>
    <cellStyle name="Obliczenia 2 25" xfId="30867" xr:uid="{00000000-0005-0000-0000-00007F7B0000}"/>
    <cellStyle name="Obliczenia 2 25 2" xfId="30868" xr:uid="{00000000-0005-0000-0000-0000807B0000}"/>
    <cellStyle name="Obliczenia 2 25 2 2" xfId="30869" xr:uid="{00000000-0005-0000-0000-0000817B0000}"/>
    <cellStyle name="Obliczenia 2 25 3" xfId="30870" xr:uid="{00000000-0005-0000-0000-0000827B0000}"/>
    <cellStyle name="Obliczenia 2 26" xfId="30871" xr:uid="{00000000-0005-0000-0000-0000837B0000}"/>
    <cellStyle name="Obliczenia 2 26 2" xfId="30872" xr:uid="{00000000-0005-0000-0000-0000847B0000}"/>
    <cellStyle name="Obliczenia 2 26 2 2" xfId="30873" xr:uid="{00000000-0005-0000-0000-0000857B0000}"/>
    <cellStyle name="Obliczenia 2 26 3" xfId="30874" xr:uid="{00000000-0005-0000-0000-0000867B0000}"/>
    <cellStyle name="Obliczenia 2 27" xfId="30875" xr:uid="{00000000-0005-0000-0000-0000877B0000}"/>
    <cellStyle name="Obliczenia 2 27 2" xfId="30876" xr:uid="{00000000-0005-0000-0000-0000887B0000}"/>
    <cellStyle name="Obliczenia 2 27 2 2" xfId="30877" xr:uid="{00000000-0005-0000-0000-0000897B0000}"/>
    <cellStyle name="Obliczenia 2 27 3" xfId="30878" xr:uid="{00000000-0005-0000-0000-00008A7B0000}"/>
    <cellStyle name="Obliczenia 2 28" xfId="30879" xr:uid="{00000000-0005-0000-0000-00008B7B0000}"/>
    <cellStyle name="Obliczenia 2 28 2" xfId="30880" xr:uid="{00000000-0005-0000-0000-00008C7B0000}"/>
    <cellStyle name="Obliczenia 2 29" xfId="30881" xr:uid="{00000000-0005-0000-0000-00008D7B0000}"/>
    <cellStyle name="Obliczenia 2 29 2" xfId="30882" xr:uid="{00000000-0005-0000-0000-00008E7B0000}"/>
    <cellStyle name="Obliczenia 2 3" xfId="30883" xr:uid="{00000000-0005-0000-0000-00008F7B0000}"/>
    <cellStyle name="Obliczenia 2 3 2" xfId="30884" xr:uid="{00000000-0005-0000-0000-0000907B0000}"/>
    <cellStyle name="Obliczenia 2 3 2 2" xfId="30885" xr:uid="{00000000-0005-0000-0000-0000917B0000}"/>
    <cellStyle name="Obliczenia 2 3 3" xfId="30886" xr:uid="{00000000-0005-0000-0000-0000927B0000}"/>
    <cellStyle name="Obliczenia 2 30" xfId="30887" xr:uid="{00000000-0005-0000-0000-0000937B0000}"/>
    <cellStyle name="Obliczenia 2 30 2" xfId="30888" xr:uid="{00000000-0005-0000-0000-0000947B0000}"/>
    <cellStyle name="Obliczenia 2 31" xfId="30889" xr:uid="{00000000-0005-0000-0000-0000957B0000}"/>
    <cellStyle name="Obliczenia 2 31 2" xfId="30890" xr:uid="{00000000-0005-0000-0000-0000967B0000}"/>
    <cellStyle name="Obliczenia 2 32" xfId="30891" xr:uid="{00000000-0005-0000-0000-0000977B0000}"/>
    <cellStyle name="Obliczenia 2 33" xfId="30892" xr:uid="{00000000-0005-0000-0000-0000987B0000}"/>
    <cellStyle name="Obliczenia 2 34" xfId="29586" xr:uid="{00000000-0005-0000-0000-0000997B0000}"/>
    <cellStyle name="Obliczenia 2 35" xfId="38624" xr:uid="{00000000-0005-0000-0000-00009A7B0000}"/>
    <cellStyle name="Obliczenia 2 4" xfId="30893" xr:uid="{00000000-0005-0000-0000-00009B7B0000}"/>
    <cellStyle name="Obliczenia 2 4 2" xfId="30894" xr:uid="{00000000-0005-0000-0000-00009C7B0000}"/>
    <cellStyle name="Obliczenia 2 4 2 2" xfId="30895" xr:uid="{00000000-0005-0000-0000-00009D7B0000}"/>
    <cellStyle name="Obliczenia 2 4 3" xfId="30896" xr:uid="{00000000-0005-0000-0000-00009E7B0000}"/>
    <cellStyle name="Obliczenia 2 5" xfId="30897" xr:uid="{00000000-0005-0000-0000-00009F7B0000}"/>
    <cellStyle name="Obliczenia 2 5 2" xfId="30898" xr:uid="{00000000-0005-0000-0000-0000A07B0000}"/>
    <cellStyle name="Obliczenia 2 5 2 2" xfId="30899" xr:uid="{00000000-0005-0000-0000-0000A17B0000}"/>
    <cellStyle name="Obliczenia 2 5 3" xfId="30900" xr:uid="{00000000-0005-0000-0000-0000A27B0000}"/>
    <cellStyle name="Obliczenia 2 6" xfId="30901" xr:uid="{00000000-0005-0000-0000-0000A37B0000}"/>
    <cellStyle name="Obliczenia 2 6 10" xfId="30902" xr:uid="{00000000-0005-0000-0000-0000A47B0000}"/>
    <cellStyle name="Obliczenia 2 6 10 2" xfId="30903" xr:uid="{00000000-0005-0000-0000-0000A57B0000}"/>
    <cellStyle name="Obliczenia 2 6 10 2 2" xfId="30904" xr:uid="{00000000-0005-0000-0000-0000A67B0000}"/>
    <cellStyle name="Obliczenia 2 6 10 3" xfId="30905" xr:uid="{00000000-0005-0000-0000-0000A77B0000}"/>
    <cellStyle name="Obliczenia 2 6 11" xfId="30906" xr:uid="{00000000-0005-0000-0000-0000A87B0000}"/>
    <cellStyle name="Obliczenia 2 6 11 2" xfId="30907" xr:uid="{00000000-0005-0000-0000-0000A97B0000}"/>
    <cellStyle name="Obliczenia 2 6 11 2 2" xfId="30908" xr:uid="{00000000-0005-0000-0000-0000AA7B0000}"/>
    <cellStyle name="Obliczenia 2 6 11 3" xfId="30909" xr:uid="{00000000-0005-0000-0000-0000AB7B0000}"/>
    <cellStyle name="Obliczenia 2 6 12" xfId="30910" xr:uid="{00000000-0005-0000-0000-0000AC7B0000}"/>
    <cellStyle name="Obliczenia 2 6 12 2" xfId="30911" xr:uid="{00000000-0005-0000-0000-0000AD7B0000}"/>
    <cellStyle name="Obliczenia 2 6 13" xfId="30912" xr:uid="{00000000-0005-0000-0000-0000AE7B0000}"/>
    <cellStyle name="Obliczenia 2 6 13 2" xfId="30913" xr:uid="{00000000-0005-0000-0000-0000AF7B0000}"/>
    <cellStyle name="Obliczenia 2 6 14" xfId="30914" xr:uid="{00000000-0005-0000-0000-0000B07B0000}"/>
    <cellStyle name="Obliczenia 2 6 2" xfId="30915" xr:uid="{00000000-0005-0000-0000-0000B17B0000}"/>
    <cellStyle name="Obliczenia 2 6 2 10" xfId="30916" xr:uid="{00000000-0005-0000-0000-0000B27B0000}"/>
    <cellStyle name="Obliczenia 2 6 2 10 2" xfId="30917" xr:uid="{00000000-0005-0000-0000-0000B37B0000}"/>
    <cellStyle name="Obliczenia 2 6 2 10 2 2" xfId="30918" xr:uid="{00000000-0005-0000-0000-0000B47B0000}"/>
    <cellStyle name="Obliczenia 2 6 2 10 3" xfId="30919" xr:uid="{00000000-0005-0000-0000-0000B57B0000}"/>
    <cellStyle name="Obliczenia 2 6 2 11" xfId="30920" xr:uid="{00000000-0005-0000-0000-0000B67B0000}"/>
    <cellStyle name="Obliczenia 2 6 2 11 2" xfId="30921" xr:uid="{00000000-0005-0000-0000-0000B77B0000}"/>
    <cellStyle name="Obliczenia 2 6 2 11 2 2" xfId="30922" xr:uid="{00000000-0005-0000-0000-0000B87B0000}"/>
    <cellStyle name="Obliczenia 2 6 2 11 3" xfId="30923" xr:uid="{00000000-0005-0000-0000-0000B97B0000}"/>
    <cellStyle name="Obliczenia 2 6 2 12" xfId="30924" xr:uid="{00000000-0005-0000-0000-0000BA7B0000}"/>
    <cellStyle name="Obliczenia 2 6 2 12 2" xfId="30925" xr:uid="{00000000-0005-0000-0000-0000BB7B0000}"/>
    <cellStyle name="Obliczenia 2 6 2 13" xfId="30926" xr:uid="{00000000-0005-0000-0000-0000BC7B0000}"/>
    <cellStyle name="Obliczenia 2 6 2 13 2" xfId="30927" xr:uid="{00000000-0005-0000-0000-0000BD7B0000}"/>
    <cellStyle name="Obliczenia 2 6 2 14" xfId="30928" xr:uid="{00000000-0005-0000-0000-0000BE7B0000}"/>
    <cellStyle name="Obliczenia 2 6 2 2" xfId="30929" xr:uid="{00000000-0005-0000-0000-0000BF7B0000}"/>
    <cellStyle name="Obliczenia 2 6 2 2 10" xfId="30930" xr:uid="{00000000-0005-0000-0000-0000C07B0000}"/>
    <cellStyle name="Obliczenia 2 6 2 2 10 2" xfId="30931" xr:uid="{00000000-0005-0000-0000-0000C17B0000}"/>
    <cellStyle name="Obliczenia 2 6 2 2 10 2 2" xfId="30932" xr:uid="{00000000-0005-0000-0000-0000C27B0000}"/>
    <cellStyle name="Obliczenia 2 6 2 2 10 3" xfId="30933" xr:uid="{00000000-0005-0000-0000-0000C37B0000}"/>
    <cellStyle name="Obliczenia 2 6 2 2 11" xfId="30934" xr:uid="{00000000-0005-0000-0000-0000C47B0000}"/>
    <cellStyle name="Obliczenia 2 6 2 2 11 2" xfId="30935" xr:uid="{00000000-0005-0000-0000-0000C57B0000}"/>
    <cellStyle name="Obliczenia 2 6 2 2 12" xfId="30936" xr:uid="{00000000-0005-0000-0000-0000C67B0000}"/>
    <cellStyle name="Obliczenia 2 6 2 2 12 2" xfId="30937" xr:uid="{00000000-0005-0000-0000-0000C77B0000}"/>
    <cellStyle name="Obliczenia 2 6 2 2 13" xfId="30938" xr:uid="{00000000-0005-0000-0000-0000C87B0000}"/>
    <cellStyle name="Obliczenia 2 6 2 2 2" xfId="30939" xr:uid="{00000000-0005-0000-0000-0000C97B0000}"/>
    <cellStyle name="Obliczenia 2 6 2 2 2 10" xfId="30940" xr:uid="{00000000-0005-0000-0000-0000CA7B0000}"/>
    <cellStyle name="Obliczenia 2 6 2 2 2 10 2" xfId="30941" xr:uid="{00000000-0005-0000-0000-0000CB7B0000}"/>
    <cellStyle name="Obliczenia 2 6 2 2 2 11" xfId="30942" xr:uid="{00000000-0005-0000-0000-0000CC7B0000}"/>
    <cellStyle name="Obliczenia 2 6 2 2 2 11 2" xfId="30943" xr:uid="{00000000-0005-0000-0000-0000CD7B0000}"/>
    <cellStyle name="Obliczenia 2 6 2 2 2 12" xfId="30944" xr:uid="{00000000-0005-0000-0000-0000CE7B0000}"/>
    <cellStyle name="Obliczenia 2 6 2 2 2 2" xfId="30945" xr:uid="{00000000-0005-0000-0000-0000CF7B0000}"/>
    <cellStyle name="Obliczenia 2 6 2 2 2 2 10" xfId="30946" xr:uid="{00000000-0005-0000-0000-0000D07B0000}"/>
    <cellStyle name="Obliczenia 2 6 2 2 2 2 10 2" xfId="30947" xr:uid="{00000000-0005-0000-0000-0000D17B0000}"/>
    <cellStyle name="Obliczenia 2 6 2 2 2 2 11" xfId="30948" xr:uid="{00000000-0005-0000-0000-0000D27B0000}"/>
    <cellStyle name="Obliczenia 2 6 2 2 2 2 11 2" xfId="30949" xr:uid="{00000000-0005-0000-0000-0000D37B0000}"/>
    <cellStyle name="Obliczenia 2 6 2 2 2 2 12" xfId="30950" xr:uid="{00000000-0005-0000-0000-0000D47B0000}"/>
    <cellStyle name="Obliczenia 2 6 2 2 2 2 2" xfId="30951" xr:uid="{00000000-0005-0000-0000-0000D57B0000}"/>
    <cellStyle name="Obliczenia 2 6 2 2 2 2 2 2" xfId="30952" xr:uid="{00000000-0005-0000-0000-0000D67B0000}"/>
    <cellStyle name="Obliczenia 2 6 2 2 2 2 2 2 2" xfId="30953" xr:uid="{00000000-0005-0000-0000-0000D77B0000}"/>
    <cellStyle name="Obliczenia 2 6 2 2 2 2 2 2 2 2" xfId="30954" xr:uid="{00000000-0005-0000-0000-0000D87B0000}"/>
    <cellStyle name="Obliczenia 2 6 2 2 2 2 2 2 2 2 2" xfId="30955" xr:uid="{00000000-0005-0000-0000-0000D97B0000}"/>
    <cellStyle name="Obliczenia 2 6 2 2 2 2 2 2 2 3" xfId="30956" xr:uid="{00000000-0005-0000-0000-0000DA7B0000}"/>
    <cellStyle name="Obliczenia 2 6 2 2 2 2 2 2 3" xfId="30957" xr:uid="{00000000-0005-0000-0000-0000DB7B0000}"/>
    <cellStyle name="Obliczenia 2 6 2 2 2 2 2 2 3 2" xfId="30958" xr:uid="{00000000-0005-0000-0000-0000DC7B0000}"/>
    <cellStyle name="Obliczenia 2 6 2 2 2 2 2 2 3 2 2" xfId="30959" xr:uid="{00000000-0005-0000-0000-0000DD7B0000}"/>
    <cellStyle name="Obliczenia 2 6 2 2 2 2 2 2 3 3" xfId="30960" xr:uid="{00000000-0005-0000-0000-0000DE7B0000}"/>
    <cellStyle name="Obliczenia 2 6 2 2 2 2 2 2 4" xfId="30961" xr:uid="{00000000-0005-0000-0000-0000DF7B0000}"/>
    <cellStyle name="Obliczenia 2 6 2 2 2 2 2 2 4 2" xfId="30962" xr:uid="{00000000-0005-0000-0000-0000E07B0000}"/>
    <cellStyle name="Obliczenia 2 6 2 2 2 2 2 2 4 2 2" xfId="30963" xr:uid="{00000000-0005-0000-0000-0000E17B0000}"/>
    <cellStyle name="Obliczenia 2 6 2 2 2 2 2 2 4 3" xfId="30964" xr:uid="{00000000-0005-0000-0000-0000E27B0000}"/>
    <cellStyle name="Obliczenia 2 6 2 2 2 2 2 2 5" xfId="30965" xr:uid="{00000000-0005-0000-0000-0000E37B0000}"/>
    <cellStyle name="Obliczenia 2 6 2 2 2 2 2 2 5 2" xfId="30966" xr:uid="{00000000-0005-0000-0000-0000E47B0000}"/>
    <cellStyle name="Obliczenia 2 6 2 2 2 2 2 2 6" xfId="30967" xr:uid="{00000000-0005-0000-0000-0000E57B0000}"/>
    <cellStyle name="Obliczenia 2 6 2 2 2 2 2 2 6 2" xfId="30968" xr:uid="{00000000-0005-0000-0000-0000E67B0000}"/>
    <cellStyle name="Obliczenia 2 6 2 2 2 2 2 2 7" xfId="30969" xr:uid="{00000000-0005-0000-0000-0000E77B0000}"/>
    <cellStyle name="Obliczenia 2 6 2 2 2 2 2 3" xfId="30970" xr:uid="{00000000-0005-0000-0000-0000E87B0000}"/>
    <cellStyle name="Obliczenia 2 6 2 2 2 2 2 3 2" xfId="30971" xr:uid="{00000000-0005-0000-0000-0000E97B0000}"/>
    <cellStyle name="Obliczenia 2 6 2 2 2 2 2 3 2 2" xfId="30972" xr:uid="{00000000-0005-0000-0000-0000EA7B0000}"/>
    <cellStyle name="Obliczenia 2 6 2 2 2 2 2 3 3" xfId="30973" xr:uid="{00000000-0005-0000-0000-0000EB7B0000}"/>
    <cellStyle name="Obliczenia 2 6 2 2 2 2 2 4" xfId="30974" xr:uid="{00000000-0005-0000-0000-0000EC7B0000}"/>
    <cellStyle name="Obliczenia 2 6 2 2 2 2 2 4 2" xfId="30975" xr:uid="{00000000-0005-0000-0000-0000ED7B0000}"/>
    <cellStyle name="Obliczenia 2 6 2 2 2 2 2 4 2 2" xfId="30976" xr:uid="{00000000-0005-0000-0000-0000EE7B0000}"/>
    <cellStyle name="Obliczenia 2 6 2 2 2 2 2 4 3" xfId="30977" xr:uid="{00000000-0005-0000-0000-0000EF7B0000}"/>
    <cellStyle name="Obliczenia 2 6 2 2 2 2 2 5" xfId="30978" xr:uid="{00000000-0005-0000-0000-0000F07B0000}"/>
    <cellStyle name="Obliczenia 2 6 2 2 2 2 2 5 2" xfId="30979" xr:uid="{00000000-0005-0000-0000-0000F17B0000}"/>
    <cellStyle name="Obliczenia 2 6 2 2 2 2 2 5 2 2" xfId="30980" xr:uid="{00000000-0005-0000-0000-0000F27B0000}"/>
    <cellStyle name="Obliczenia 2 6 2 2 2 2 2 5 3" xfId="30981" xr:uid="{00000000-0005-0000-0000-0000F37B0000}"/>
    <cellStyle name="Obliczenia 2 6 2 2 2 2 2 6" xfId="30982" xr:uid="{00000000-0005-0000-0000-0000F47B0000}"/>
    <cellStyle name="Obliczenia 2 6 2 2 2 2 2 6 2" xfId="30983" xr:uid="{00000000-0005-0000-0000-0000F57B0000}"/>
    <cellStyle name="Obliczenia 2 6 2 2 2 2 2 7" xfId="30984" xr:uid="{00000000-0005-0000-0000-0000F67B0000}"/>
    <cellStyle name="Obliczenia 2 6 2 2 2 2 2 7 2" xfId="30985" xr:uid="{00000000-0005-0000-0000-0000F77B0000}"/>
    <cellStyle name="Obliczenia 2 6 2 2 2 2 2 8" xfId="30986" xr:uid="{00000000-0005-0000-0000-0000F87B0000}"/>
    <cellStyle name="Obliczenia 2 6 2 2 2 2 3" xfId="30987" xr:uid="{00000000-0005-0000-0000-0000F97B0000}"/>
    <cellStyle name="Obliczenia 2 6 2 2 2 2 3 2" xfId="30988" xr:uid="{00000000-0005-0000-0000-0000FA7B0000}"/>
    <cellStyle name="Obliczenia 2 6 2 2 2 2 3 2 2" xfId="30989" xr:uid="{00000000-0005-0000-0000-0000FB7B0000}"/>
    <cellStyle name="Obliczenia 2 6 2 2 2 2 3 3" xfId="30990" xr:uid="{00000000-0005-0000-0000-0000FC7B0000}"/>
    <cellStyle name="Obliczenia 2 6 2 2 2 2 4" xfId="30991" xr:uid="{00000000-0005-0000-0000-0000FD7B0000}"/>
    <cellStyle name="Obliczenia 2 6 2 2 2 2 4 2" xfId="30992" xr:uid="{00000000-0005-0000-0000-0000FE7B0000}"/>
    <cellStyle name="Obliczenia 2 6 2 2 2 2 4 2 2" xfId="30993" xr:uid="{00000000-0005-0000-0000-0000FF7B0000}"/>
    <cellStyle name="Obliczenia 2 6 2 2 2 2 4 3" xfId="30994" xr:uid="{00000000-0005-0000-0000-0000007C0000}"/>
    <cellStyle name="Obliczenia 2 6 2 2 2 2 5" xfId="30995" xr:uid="{00000000-0005-0000-0000-0000017C0000}"/>
    <cellStyle name="Obliczenia 2 6 2 2 2 2 5 2" xfId="30996" xr:uid="{00000000-0005-0000-0000-0000027C0000}"/>
    <cellStyle name="Obliczenia 2 6 2 2 2 2 5 2 2" xfId="30997" xr:uid="{00000000-0005-0000-0000-0000037C0000}"/>
    <cellStyle name="Obliczenia 2 6 2 2 2 2 5 3" xfId="30998" xr:uid="{00000000-0005-0000-0000-0000047C0000}"/>
    <cellStyle name="Obliczenia 2 6 2 2 2 2 6" xfId="30999" xr:uid="{00000000-0005-0000-0000-0000057C0000}"/>
    <cellStyle name="Obliczenia 2 6 2 2 2 2 6 2" xfId="31000" xr:uid="{00000000-0005-0000-0000-0000067C0000}"/>
    <cellStyle name="Obliczenia 2 6 2 2 2 2 6 2 2" xfId="31001" xr:uid="{00000000-0005-0000-0000-0000077C0000}"/>
    <cellStyle name="Obliczenia 2 6 2 2 2 2 6 3" xfId="31002" xr:uid="{00000000-0005-0000-0000-0000087C0000}"/>
    <cellStyle name="Obliczenia 2 6 2 2 2 2 7" xfId="31003" xr:uid="{00000000-0005-0000-0000-0000097C0000}"/>
    <cellStyle name="Obliczenia 2 6 2 2 2 2 7 2" xfId="31004" xr:uid="{00000000-0005-0000-0000-00000A7C0000}"/>
    <cellStyle name="Obliczenia 2 6 2 2 2 2 7 2 2" xfId="31005" xr:uid="{00000000-0005-0000-0000-00000B7C0000}"/>
    <cellStyle name="Obliczenia 2 6 2 2 2 2 7 2 2 2" xfId="31006" xr:uid="{00000000-0005-0000-0000-00000C7C0000}"/>
    <cellStyle name="Obliczenia 2 6 2 2 2 2 7 2 3" xfId="31007" xr:uid="{00000000-0005-0000-0000-00000D7C0000}"/>
    <cellStyle name="Obliczenia 2 6 2 2 2 2 7 3" xfId="31008" xr:uid="{00000000-0005-0000-0000-00000E7C0000}"/>
    <cellStyle name="Obliczenia 2 6 2 2 2 2 7 3 2" xfId="31009" xr:uid="{00000000-0005-0000-0000-00000F7C0000}"/>
    <cellStyle name="Obliczenia 2 6 2 2 2 2 7 3 2 2" xfId="31010" xr:uid="{00000000-0005-0000-0000-0000107C0000}"/>
    <cellStyle name="Obliczenia 2 6 2 2 2 2 7 3 3" xfId="31011" xr:uid="{00000000-0005-0000-0000-0000117C0000}"/>
    <cellStyle name="Obliczenia 2 6 2 2 2 2 7 4" xfId="31012" xr:uid="{00000000-0005-0000-0000-0000127C0000}"/>
    <cellStyle name="Obliczenia 2 6 2 2 2 2 7 4 2" xfId="31013" xr:uid="{00000000-0005-0000-0000-0000137C0000}"/>
    <cellStyle name="Obliczenia 2 6 2 2 2 2 7 4 2 2" xfId="31014" xr:uid="{00000000-0005-0000-0000-0000147C0000}"/>
    <cellStyle name="Obliczenia 2 6 2 2 2 2 7 4 3" xfId="31015" xr:uid="{00000000-0005-0000-0000-0000157C0000}"/>
    <cellStyle name="Obliczenia 2 6 2 2 2 2 7 5" xfId="31016" xr:uid="{00000000-0005-0000-0000-0000167C0000}"/>
    <cellStyle name="Obliczenia 2 6 2 2 2 2 7 5 2" xfId="31017" xr:uid="{00000000-0005-0000-0000-0000177C0000}"/>
    <cellStyle name="Obliczenia 2 6 2 2 2 2 7 6" xfId="31018" xr:uid="{00000000-0005-0000-0000-0000187C0000}"/>
    <cellStyle name="Obliczenia 2 6 2 2 2 2 7 6 2" xfId="31019" xr:uid="{00000000-0005-0000-0000-0000197C0000}"/>
    <cellStyle name="Obliczenia 2 6 2 2 2 2 7 7" xfId="31020" xr:uid="{00000000-0005-0000-0000-00001A7C0000}"/>
    <cellStyle name="Obliczenia 2 6 2 2 2 2 8" xfId="31021" xr:uid="{00000000-0005-0000-0000-00001B7C0000}"/>
    <cellStyle name="Obliczenia 2 6 2 2 2 2 8 2" xfId="31022" xr:uid="{00000000-0005-0000-0000-00001C7C0000}"/>
    <cellStyle name="Obliczenia 2 6 2 2 2 2 8 2 2" xfId="31023" xr:uid="{00000000-0005-0000-0000-00001D7C0000}"/>
    <cellStyle name="Obliczenia 2 6 2 2 2 2 8 3" xfId="31024" xr:uid="{00000000-0005-0000-0000-00001E7C0000}"/>
    <cellStyle name="Obliczenia 2 6 2 2 2 2 9" xfId="31025" xr:uid="{00000000-0005-0000-0000-00001F7C0000}"/>
    <cellStyle name="Obliczenia 2 6 2 2 2 2 9 2" xfId="31026" xr:uid="{00000000-0005-0000-0000-0000207C0000}"/>
    <cellStyle name="Obliczenia 2 6 2 2 2 2 9 2 2" xfId="31027" xr:uid="{00000000-0005-0000-0000-0000217C0000}"/>
    <cellStyle name="Obliczenia 2 6 2 2 2 2 9 3" xfId="31028" xr:uid="{00000000-0005-0000-0000-0000227C0000}"/>
    <cellStyle name="Obliczenia 2 6 2 2 2 3" xfId="31029" xr:uid="{00000000-0005-0000-0000-0000237C0000}"/>
    <cellStyle name="Obliczenia 2 6 2 2 2 3 2" xfId="31030" xr:uid="{00000000-0005-0000-0000-0000247C0000}"/>
    <cellStyle name="Obliczenia 2 6 2 2 2 3 2 2" xfId="31031" xr:uid="{00000000-0005-0000-0000-0000257C0000}"/>
    <cellStyle name="Obliczenia 2 6 2 2 2 3 2 2 2" xfId="31032" xr:uid="{00000000-0005-0000-0000-0000267C0000}"/>
    <cellStyle name="Obliczenia 2 6 2 2 2 3 2 2 2 2" xfId="31033" xr:uid="{00000000-0005-0000-0000-0000277C0000}"/>
    <cellStyle name="Obliczenia 2 6 2 2 2 3 2 2 3" xfId="31034" xr:uid="{00000000-0005-0000-0000-0000287C0000}"/>
    <cellStyle name="Obliczenia 2 6 2 2 2 3 2 3" xfId="31035" xr:uid="{00000000-0005-0000-0000-0000297C0000}"/>
    <cellStyle name="Obliczenia 2 6 2 2 2 3 2 3 2" xfId="31036" xr:uid="{00000000-0005-0000-0000-00002A7C0000}"/>
    <cellStyle name="Obliczenia 2 6 2 2 2 3 2 3 2 2" xfId="31037" xr:uid="{00000000-0005-0000-0000-00002B7C0000}"/>
    <cellStyle name="Obliczenia 2 6 2 2 2 3 2 3 3" xfId="31038" xr:uid="{00000000-0005-0000-0000-00002C7C0000}"/>
    <cellStyle name="Obliczenia 2 6 2 2 2 3 2 4" xfId="31039" xr:uid="{00000000-0005-0000-0000-00002D7C0000}"/>
    <cellStyle name="Obliczenia 2 6 2 2 2 3 2 4 2" xfId="31040" xr:uid="{00000000-0005-0000-0000-00002E7C0000}"/>
    <cellStyle name="Obliczenia 2 6 2 2 2 3 2 4 2 2" xfId="31041" xr:uid="{00000000-0005-0000-0000-00002F7C0000}"/>
    <cellStyle name="Obliczenia 2 6 2 2 2 3 2 4 3" xfId="31042" xr:uid="{00000000-0005-0000-0000-0000307C0000}"/>
    <cellStyle name="Obliczenia 2 6 2 2 2 3 2 5" xfId="31043" xr:uid="{00000000-0005-0000-0000-0000317C0000}"/>
    <cellStyle name="Obliczenia 2 6 2 2 2 3 2 5 2" xfId="31044" xr:uid="{00000000-0005-0000-0000-0000327C0000}"/>
    <cellStyle name="Obliczenia 2 6 2 2 2 3 2 6" xfId="31045" xr:uid="{00000000-0005-0000-0000-0000337C0000}"/>
    <cellStyle name="Obliczenia 2 6 2 2 2 3 2 6 2" xfId="31046" xr:uid="{00000000-0005-0000-0000-0000347C0000}"/>
    <cellStyle name="Obliczenia 2 6 2 2 2 3 2 7" xfId="31047" xr:uid="{00000000-0005-0000-0000-0000357C0000}"/>
    <cellStyle name="Obliczenia 2 6 2 2 2 3 3" xfId="31048" xr:uid="{00000000-0005-0000-0000-0000367C0000}"/>
    <cellStyle name="Obliczenia 2 6 2 2 2 3 3 2" xfId="31049" xr:uid="{00000000-0005-0000-0000-0000377C0000}"/>
    <cellStyle name="Obliczenia 2 6 2 2 2 3 3 2 2" xfId="31050" xr:uid="{00000000-0005-0000-0000-0000387C0000}"/>
    <cellStyle name="Obliczenia 2 6 2 2 2 3 3 3" xfId="31051" xr:uid="{00000000-0005-0000-0000-0000397C0000}"/>
    <cellStyle name="Obliczenia 2 6 2 2 2 3 4" xfId="31052" xr:uid="{00000000-0005-0000-0000-00003A7C0000}"/>
    <cellStyle name="Obliczenia 2 6 2 2 2 3 4 2" xfId="31053" xr:uid="{00000000-0005-0000-0000-00003B7C0000}"/>
    <cellStyle name="Obliczenia 2 6 2 2 2 3 4 2 2" xfId="31054" xr:uid="{00000000-0005-0000-0000-00003C7C0000}"/>
    <cellStyle name="Obliczenia 2 6 2 2 2 3 4 3" xfId="31055" xr:uid="{00000000-0005-0000-0000-00003D7C0000}"/>
    <cellStyle name="Obliczenia 2 6 2 2 2 3 5" xfId="31056" xr:uid="{00000000-0005-0000-0000-00003E7C0000}"/>
    <cellStyle name="Obliczenia 2 6 2 2 2 3 5 2" xfId="31057" xr:uid="{00000000-0005-0000-0000-00003F7C0000}"/>
    <cellStyle name="Obliczenia 2 6 2 2 2 3 5 2 2" xfId="31058" xr:uid="{00000000-0005-0000-0000-0000407C0000}"/>
    <cellStyle name="Obliczenia 2 6 2 2 2 3 5 3" xfId="31059" xr:uid="{00000000-0005-0000-0000-0000417C0000}"/>
    <cellStyle name="Obliczenia 2 6 2 2 2 3 6" xfId="31060" xr:uid="{00000000-0005-0000-0000-0000427C0000}"/>
    <cellStyle name="Obliczenia 2 6 2 2 2 3 6 2" xfId="31061" xr:uid="{00000000-0005-0000-0000-0000437C0000}"/>
    <cellStyle name="Obliczenia 2 6 2 2 2 3 7" xfId="31062" xr:uid="{00000000-0005-0000-0000-0000447C0000}"/>
    <cellStyle name="Obliczenia 2 6 2 2 2 3 7 2" xfId="31063" xr:uid="{00000000-0005-0000-0000-0000457C0000}"/>
    <cellStyle name="Obliczenia 2 6 2 2 2 3 8" xfId="31064" xr:uid="{00000000-0005-0000-0000-0000467C0000}"/>
    <cellStyle name="Obliczenia 2 6 2 2 2 4" xfId="31065" xr:uid="{00000000-0005-0000-0000-0000477C0000}"/>
    <cellStyle name="Obliczenia 2 6 2 2 2 4 2" xfId="31066" xr:uid="{00000000-0005-0000-0000-0000487C0000}"/>
    <cellStyle name="Obliczenia 2 6 2 2 2 4 2 2" xfId="31067" xr:uid="{00000000-0005-0000-0000-0000497C0000}"/>
    <cellStyle name="Obliczenia 2 6 2 2 2 4 3" xfId="31068" xr:uid="{00000000-0005-0000-0000-00004A7C0000}"/>
    <cellStyle name="Obliczenia 2 6 2 2 2 5" xfId="31069" xr:uid="{00000000-0005-0000-0000-00004B7C0000}"/>
    <cellStyle name="Obliczenia 2 6 2 2 2 5 2" xfId="31070" xr:uid="{00000000-0005-0000-0000-00004C7C0000}"/>
    <cellStyle name="Obliczenia 2 6 2 2 2 5 2 2" xfId="31071" xr:uid="{00000000-0005-0000-0000-00004D7C0000}"/>
    <cellStyle name="Obliczenia 2 6 2 2 2 5 3" xfId="31072" xr:uid="{00000000-0005-0000-0000-00004E7C0000}"/>
    <cellStyle name="Obliczenia 2 6 2 2 2 6" xfId="31073" xr:uid="{00000000-0005-0000-0000-00004F7C0000}"/>
    <cellStyle name="Obliczenia 2 6 2 2 2 6 2" xfId="31074" xr:uid="{00000000-0005-0000-0000-0000507C0000}"/>
    <cellStyle name="Obliczenia 2 6 2 2 2 6 2 2" xfId="31075" xr:uid="{00000000-0005-0000-0000-0000517C0000}"/>
    <cellStyle name="Obliczenia 2 6 2 2 2 6 3" xfId="31076" xr:uid="{00000000-0005-0000-0000-0000527C0000}"/>
    <cellStyle name="Obliczenia 2 6 2 2 2 7" xfId="31077" xr:uid="{00000000-0005-0000-0000-0000537C0000}"/>
    <cellStyle name="Obliczenia 2 6 2 2 2 7 2" xfId="31078" xr:uid="{00000000-0005-0000-0000-0000547C0000}"/>
    <cellStyle name="Obliczenia 2 6 2 2 2 7 2 2" xfId="31079" xr:uid="{00000000-0005-0000-0000-0000557C0000}"/>
    <cellStyle name="Obliczenia 2 6 2 2 2 7 2 2 2" xfId="31080" xr:uid="{00000000-0005-0000-0000-0000567C0000}"/>
    <cellStyle name="Obliczenia 2 6 2 2 2 7 2 3" xfId="31081" xr:uid="{00000000-0005-0000-0000-0000577C0000}"/>
    <cellStyle name="Obliczenia 2 6 2 2 2 7 3" xfId="31082" xr:uid="{00000000-0005-0000-0000-0000587C0000}"/>
    <cellStyle name="Obliczenia 2 6 2 2 2 7 3 2" xfId="31083" xr:uid="{00000000-0005-0000-0000-0000597C0000}"/>
    <cellStyle name="Obliczenia 2 6 2 2 2 7 3 2 2" xfId="31084" xr:uid="{00000000-0005-0000-0000-00005A7C0000}"/>
    <cellStyle name="Obliczenia 2 6 2 2 2 7 3 3" xfId="31085" xr:uid="{00000000-0005-0000-0000-00005B7C0000}"/>
    <cellStyle name="Obliczenia 2 6 2 2 2 7 4" xfId="31086" xr:uid="{00000000-0005-0000-0000-00005C7C0000}"/>
    <cellStyle name="Obliczenia 2 6 2 2 2 7 4 2" xfId="31087" xr:uid="{00000000-0005-0000-0000-00005D7C0000}"/>
    <cellStyle name="Obliczenia 2 6 2 2 2 7 4 2 2" xfId="31088" xr:uid="{00000000-0005-0000-0000-00005E7C0000}"/>
    <cellStyle name="Obliczenia 2 6 2 2 2 7 4 3" xfId="31089" xr:uid="{00000000-0005-0000-0000-00005F7C0000}"/>
    <cellStyle name="Obliczenia 2 6 2 2 2 7 5" xfId="31090" xr:uid="{00000000-0005-0000-0000-0000607C0000}"/>
    <cellStyle name="Obliczenia 2 6 2 2 2 7 5 2" xfId="31091" xr:uid="{00000000-0005-0000-0000-0000617C0000}"/>
    <cellStyle name="Obliczenia 2 6 2 2 2 7 6" xfId="31092" xr:uid="{00000000-0005-0000-0000-0000627C0000}"/>
    <cellStyle name="Obliczenia 2 6 2 2 2 7 6 2" xfId="31093" xr:uid="{00000000-0005-0000-0000-0000637C0000}"/>
    <cellStyle name="Obliczenia 2 6 2 2 2 7 7" xfId="31094" xr:uid="{00000000-0005-0000-0000-0000647C0000}"/>
    <cellStyle name="Obliczenia 2 6 2 2 2 8" xfId="31095" xr:uid="{00000000-0005-0000-0000-0000657C0000}"/>
    <cellStyle name="Obliczenia 2 6 2 2 2 8 2" xfId="31096" xr:uid="{00000000-0005-0000-0000-0000667C0000}"/>
    <cellStyle name="Obliczenia 2 6 2 2 2 8 2 2" xfId="31097" xr:uid="{00000000-0005-0000-0000-0000677C0000}"/>
    <cellStyle name="Obliczenia 2 6 2 2 2 8 3" xfId="31098" xr:uid="{00000000-0005-0000-0000-0000687C0000}"/>
    <cellStyle name="Obliczenia 2 6 2 2 2 9" xfId="31099" xr:uid="{00000000-0005-0000-0000-0000697C0000}"/>
    <cellStyle name="Obliczenia 2 6 2 2 2 9 2" xfId="31100" xr:uid="{00000000-0005-0000-0000-00006A7C0000}"/>
    <cellStyle name="Obliczenia 2 6 2 2 2 9 2 2" xfId="31101" xr:uid="{00000000-0005-0000-0000-00006B7C0000}"/>
    <cellStyle name="Obliczenia 2 6 2 2 2 9 3" xfId="31102" xr:uid="{00000000-0005-0000-0000-00006C7C0000}"/>
    <cellStyle name="Obliczenia 2 6 2 2 3" xfId="31103" xr:uid="{00000000-0005-0000-0000-00006D7C0000}"/>
    <cellStyle name="Obliczenia 2 6 2 2 3 2" xfId="31104" xr:uid="{00000000-0005-0000-0000-00006E7C0000}"/>
    <cellStyle name="Obliczenia 2 6 2 2 3 2 2" xfId="31105" xr:uid="{00000000-0005-0000-0000-00006F7C0000}"/>
    <cellStyle name="Obliczenia 2 6 2 2 3 2 2 2" xfId="31106" xr:uid="{00000000-0005-0000-0000-0000707C0000}"/>
    <cellStyle name="Obliczenia 2 6 2 2 3 2 2 2 2" xfId="31107" xr:uid="{00000000-0005-0000-0000-0000717C0000}"/>
    <cellStyle name="Obliczenia 2 6 2 2 3 2 2 3" xfId="31108" xr:uid="{00000000-0005-0000-0000-0000727C0000}"/>
    <cellStyle name="Obliczenia 2 6 2 2 3 2 3" xfId="31109" xr:uid="{00000000-0005-0000-0000-0000737C0000}"/>
    <cellStyle name="Obliczenia 2 6 2 2 3 2 3 2" xfId="31110" xr:uid="{00000000-0005-0000-0000-0000747C0000}"/>
    <cellStyle name="Obliczenia 2 6 2 2 3 2 3 2 2" xfId="31111" xr:uid="{00000000-0005-0000-0000-0000757C0000}"/>
    <cellStyle name="Obliczenia 2 6 2 2 3 2 3 3" xfId="31112" xr:uid="{00000000-0005-0000-0000-0000767C0000}"/>
    <cellStyle name="Obliczenia 2 6 2 2 3 2 4" xfId="31113" xr:uid="{00000000-0005-0000-0000-0000777C0000}"/>
    <cellStyle name="Obliczenia 2 6 2 2 3 2 4 2" xfId="31114" xr:uid="{00000000-0005-0000-0000-0000787C0000}"/>
    <cellStyle name="Obliczenia 2 6 2 2 3 2 4 2 2" xfId="31115" xr:uid="{00000000-0005-0000-0000-0000797C0000}"/>
    <cellStyle name="Obliczenia 2 6 2 2 3 2 4 3" xfId="31116" xr:uid="{00000000-0005-0000-0000-00007A7C0000}"/>
    <cellStyle name="Obliczenia 2 6 2 2 3 2 5" xfId="31117" xr:uid="{00000000-0005-0000-0000-00007B7C0000}"/>
    <cellStyle name="Obliczenia 2 6 2 2 3 2 5 2" xfId="31118" xr:uid="{00000000-0005-0000-0000-00007C7C0000}"/>
    <cellStyle name="Obliczenia 2 6 2 2 3 2 6" xfId="31119" xr:uid="{00000000-0005-0000-0000-00007D7C0000}"/>
    <cellStyle name="Obliczenia 2 6 2 2 3 2 6 2" xfId="31120" xr:uid="{00000000-0005-0000-0000-00007E7C0000}"/>
    <cellStyle name="Obliczenia 2 6 2 2 3 2 7" xfId="31121" xr:uid="{00000000-0005-0000-0000-00007F7C0000}"/>
    <cellStyle name="Obliczenia 2 6 2 2 3 3" xfId="31122" xr:uid="{00000000-0005-0000-0000-0000807C0000}"/>
    <cellStyle name="Obliczenia 2 6 2 2 3 3 2" xfId="31123" xr:uid="{00000000-0005-0000-0000-0000817C0000}"/>
    <cellStyle name="Obliczenia 2 6 2 2 3 3 2 2" xfId="31124" xr:uid="{00000000-0005-0000-0000-0000827C0000}"/>
    <cellStyle name="Obliczenia 2 6 2 2 3 3 3" xfId="31125" xr:uid="{00000000-0005-0000-0000-0000837C0000}"/>
    <cellStyle name="Obliczenia 2 6 2 2 3 4" xfId="31126" xr:uid="{00000000-0005-0000-0000-0000847C0000}"/>
    <cellStyle name="Obliczenia 2 6 2 2 3 4 2" xfId="31127" xr:uid="{00000000-0005-0000-0000-0000857C0000}"/>
    <cellStyle name="Obliczenia 2 6 2 2 3 4 2 2" xfId="31128" xr:uid="{00000000-0005-0000-0000-0000867C0000}"/>
    <cellStyle name="Obliczenia 2 6 2 2 3 4 3" xfId="31129" xr:uid="{00000000-0005-0000-0000-0000877C0000}"/>
    <cellStyle name="Obliczenia 2 6 2 2 3 5" xfId="31130" xr:uid="{00000000-0005-0000-0000-0000887C0000}"/>
    <cellStyle name="Obliczenia 2 6 2 2 3 5 2" xfId="31131" xr:uid="{00000000-0005-0000-0000-0000897C0000}"/>
    <cellStyle name="Obliczenia 2 6 2 2 3 5 2 2" xfId="31132" xr:uid="{00000000-0005-0000-0000-00008A7C0000}"/>
    <cellStyle name="Obliczenia 2 6 2 2 3 5 3" xfId="31133" xr:uid="{00000000-0005-0000-0000-00008B7C0000}"/>
    <cellStyle name="Obliczenia 2 6 2 2 3 6" xfId="31134" xr:uid="{00000000-0005-0000-0000-00008C7C0000}"/>
    <cellStyle name="Obliczenia 2 6 2 2 3 6 2" xfId="31135" xr:uid="{00000000-0005-0000-0000-00008D7C0000}"/>
    <cellStyle name="Obliczenia 2 6 2 2 3 7" xfId="31136" xr:uid="{00000000-0005-0000-0000-00008E7C0000}"/>
    <cellStyle name="Obliczenia 2 6 2 2 3 7 2" xfId="31137" xr:uid="{00000000-0005-0000-0000-00008F7C0000}"/>
    <cellStyle name="Obliczenia 2 6 2 2 3 8" xfId="31138" xr:uid="{00000000-0005-0000-0000-0000907C0000}"/>
    <cellStyle name="Obliczenia 2 6 2 2 4" xfId="31139" xr:uid="{00000000-0005-0000-0000-0000917C0000}"/>
    <cellStyle name="Obliczenia 2 6 2 2 4 2" xfId="31140" xr:uid="{00000000-0005-0000-0000-0000927C0000}"/>
    <cellStyle name="Obliczenia 2 6 2 2 4 2 2" xfId="31141" xr:uid="{00000000-0005-0000-0000-0000937C0000}"/>
    <cellStyle name="Obliczenia 2 6 2 2 4 3" xfId="31142" xr:uid="{00000000-0005-0000-0000-0000947C0000}"/>
    <cellStyle name="Obliczenia 2 6 2 2 5" xfId="31143" xr:uid="{00000000-0005-0000-0000-0000957C0000}"/>
    <cellStyle name="Obliczenia 2 6 2 2 5 2" xfId="31144" xr:uid="{00000000-0005-0000-0000-0000967C0000}"/>
    <cellStyle name="Obliczenia 2 6 2 2 5 2 2" xfId="31145" xr:uid="{00000000-0005-0000-0000-0000977C0000}"/>
    <cellStyle name="Obliczenia 2 6 2 2 5 3" xfId="31146" xr:uid="{00000000-0005-0000-0000-0000987C0000}"/>
    <cellStyle name="Obliczenia 2 6 2 2 6" xfId="31147" xr:uid="{00000000-0005-0000-0000-0000997C0000}"/>
    <cellStyle name="Obliczenia 2 6 2 2 6 2" xfId="31148" xr:uid="{00000000-0005-0000-0000-00009A7C0000}"/>
    <cellStyle name="Obliczenia 2 6 2 2 6 2 2" xfId="31149" xr:uid="{00000000-0005-0000-0000-00009B7C0000}"/>
    <cellStyle name="Obliczenia 2 6 2 2 6 3" xfId="31150" xr:uid="{00000000-0005-0000-0000-00009C7C0000}"/>
    <cellStyle name="Obliczenia 2 6 2 2 7" xfId="31151" xr:uid="{00000000-0005-0000-0000-00009D7C0000}"/>
    <cellStyle name="Obliczenia 2 6 2 2 7 2" xfId="31152" xr:uid="{00000000-0005-0000-0000-00009E7C0000}"/>
    <cellStyle name="Obliczenia 2 6 2 2 7 2 2" xfId="31153" xr:uid="{00000000-0005-0000-0000-00009F7C0000}"/>
    <cellStyle name="Obliczenia 2 6 2 2 7 3" xfId="31154" xr:uid="{00000000-0005-0000-0000-0000A07C0000}"/>
    <cellStyle name="Obliczenia 2 6 2 2 8" xfId="31155" xr:uid="{00000000-0005-0000-0000-0000A17C0000}"/>
    <cellStyle name="Obliczenia 2 6 2 2 8 2" xfId="31156" xr:uid="{00000000-0005-0000-0000-0000A27C0000}"/>
    <cellStyle name="Obliczenia 2 6 2 2 8 2 2" xfId="31157" xr:uid="{00000000-0005-0000-0000-0000A37C0000}"/>
    <cellStyle name="Obliczenia 2 6 2 2 8 2 2 2" xfId="31158" xr:uid="{00000000-0005-0000-0000-0000A47C0000}"/>
    <cellStyle name="Obliczenia 2 6 2 2 8 2 3" xfId="31159" xr:uid="{00000000-0005-0000-0000-0000A57C0000}"/>
    <cellStyle name="Obliczenia 2 6 2 2 8 3" xfId="31160" xr:uid="{00000000-0005-0000-0000-0000A67C0000}"/>
    <cellStyle name="Obliczenia 2 6 2 2 8 3 2" xfId="31161" xr:uid="{00000000-0005-0000-0000-0000A77C0000}"/>
    <cellStyle name="Obliczenia 2 6 2 2 8 3 2 2" xfId="31162" xr:uid="{00000000-0005-0000-0000-0000A87C0000}"/>
    <cellStyle name="Obliczenia 2 6 2 2 8 3 3" xfId="31163" xr:uid="{00000000-0005-0000-0000-0000A97C0000}"/>
    <cellStyle name="Obliczenia 2 6 2 2 8 4" xfId="31164" xr:uid="{00000000-0005-0000-0000-0000AA7C0000}"/>
    <cellStyle name="Obliczenia 2 6 2 2 8 4 2" xfId="31165" xr:uid="{00000000-0005-0000-0000-0000AB7C0000}"/>
    <cellStyle name="Obliczenia 2 6 2 2 8 4 2 2" xfId="31166" xr:uid="{00000000-0005-0000-0000-0000AC7C0000}"/>
    <cellStyle name="Obliczenia 2 6 2 2 8 4 3" xfId="31167" xr:uid="{00000000-0005-0000-0000-0000AD7C0000}"/>
    <cellStyle name="Obliczenia 2 6 2 2 8 5" xfId="31168" xr:uid="{00000000-0005-0000-0000-0000AE7C0000}"/>
    <cellStyle name="Obliczenia 2 6 2 2 8 5 2" xfId="31169" xr:uid="{00000000-0005-0000-0000-0000AF7C0000}"/>
    <cellStyle name="Obliczenia 2 6 2 2 8 6" xfId="31170" xr:uid="{00000000-0005-0000-0000-0000B07C0000}"/>
    <cellStyle name="Obliczenia 2 6 2 2 8 6 2" xfId="31171" xr:uid="{00000000-0005-0000-0000-0000B17C0000}"/>
    <cellStyle name="Obliczenia 2 6 2 2 8 7" xfId="31172" xr:uid="{00000000-0005-0000-0000-0000B27C0000}"/>
    <cellStyle name="Obliczenia 2 6 2 2 9" xfId="31173" xr:uid="{00000000-0005-0000-0000-0000B37C0000}"/>
    <cellStyle name="Obliczenia 2 6 2 2 9 2" xfId="31174" xr:uid="{00000000-0005-0000-0000-0000B47C0000}"/>
    <cellStyle name="Obliczenia 2 6 2 2 9 2 2" xfId="31175" xr:uid="{00000000-0005-0000-0000-0000B57C0000}"/>
    <cellStyle name="Obliczenia 2 6 2 2 9 3" xfId="31176" xr:uid="{00000000-0005-0000-0000-0000B67C0000}"/>
    <cellStyle name="Obliczenia 2 6 2 3" xfId="31177" xr:uid="{00000000-0005-0000-0000-0000B77C0000}"/>
    <cellStyle name="Obliczenia 2 6 2 3 2" xfId="31178" xr:uid="{00000000-0005-0000-0000-0000B87C0000}"/>
    <cellStyle name="Obliczenia 2 6 2 3 2 2" xfId="31179" xr:uid="{00000000-0005-0000-0000-0000B97C0000}"/>
    <cellStyle name="Obliczenia 2 6 2 3 3" xfId="31180" xr:uid="{00000000-0005-0000-0000-0000BA7C0000}"/>
    <cellStyle name="Obliczenia 2 6 2 4" xfId="31181" xr:uid="{00000000-0005-0000-0000-0000BB7C0000}"/>
    <cellStyle name="Obliczenia 2 6 2 4 10" xfId="31182" xr:uid="{00000000-0005-0000-0000-0000BC7C0000}"/>
    <cellStyle name="Obliczenia 2 6 2 4 10 2" xfId="31183" xr:uid="{00000000-0005-0000-0000-0000BD7C0000}"/>
    <cellStyle name="Obliczenia 2 6 2 4 11" xfId="31184" xr:uid="{00000000-0005-0000-0000-0000BE7C0000}"/>
    <cellStyle name="Obliczenia 2 6 2 4 11 2" xfId="31185" xr:uid="{00000000-0005-0000-0000-0000BF7C0000}"/>
    <cellStyle name="Obliczenia 2 6 2 4 12" xfId="31186" xr:uid="{00000000-0005-0000-0000-0000C07C0000}"/>
    <cellStyle name="Obliczenia 2 6 2 4 2" xfId="31187" xr:uid="{00000000-0005-0000-0000-0000C17C0000}"/>
    <cellStyle name="Obliczenia 2 6 2 4 2 2" xfId="31188" xr:uid="{00000000-0005-0000-0000-0000C27C0000}"/>
    <cellStyle name="Obliczenia 2 6 2 4 2 2 2" xfId="31189" xr:uid="{00000000-0005-0000-0000-0000C37C0000}"/>
    <cellStyle name="Obliczenia 2 6 2 4 2 2 2 2" xfId="31190" xr:uid="{00000000-0005-0000-0000-0000C47C0000}"/>
    <cellStyle name="Obliczenia 2 6 2 4 2 2 2 2 2" xfId="31191" xr:uid="{00000000-0005-0000-0000-0000C57C0000}"/>
    <cellStyle name="Obliczenia 2 6 2 4 2 2 2 3" xfId="31192" xr:uid="{00000000-0005-0000-0000-0000C67C0000}"/>
    <cellStyle name="Obliczenia 2 6 2 4 2 2 3" xfId="31193" xr:uid="{00000000-0005-0000-0000-0000C77C0000}"/>
    <cellStyle name="Obliczenia 2 6 2 4 2 2 3 2" xfId="31194" xr:uid="{00000000-0005-0000-0000-0000C87C0000}"/>
    <cellStyle name="Obliczenia 2 6 2 4 2 2 3 2 2" xfId="31195" xr:uid="{00000000-0005-0000-0000-0000C97C0000}"/>
    <cellStyle name="Obliczenia 2 6 2 4 2 2 3 3" xfId="31196" xr:uid="{00000000-0005-0000-0000-0000CA7C0000}"/>
    <cellStyle name="Obliczenia 2 6 2 4 2 2 4" xfId="31197" xr:uid="{00000000-0005-0000-0000-0000CB7C0000}"/>
    <cellStyle name="Obliczenia 2 6 2 4 2 2 4 2" xfId="31198" xr:uid="{00000000-0005-0000-0000-0000CC7C0000}"/>
    <cellStyle name="Obliczenia 2 6 2 4 2 2 4 2 2" xfId="31199" xr:uid="{00000000-0005-0000-0000-0000CD7C0000}"/>
    <cellStyle name="Obliczenia 2 6 2 4 2 2 4 3" xfId="31200" xr:uid="{00000000-0005-0000-0000-0000CE7C0000}"/>
    <cellStyle name="Obliczenia 2 6 2 4 2 2 5" xfId="31201" xr:uid="{00000000-0005-0000-0000-0000CF7C0000}"/>
    <cellStyle name="Obliczenia 2 6 2 4 2 2 5 2" xfId="31202" xr:uid="{00000000-0005-0000-0000-0000D07C0000}"/>
    <cellStyle name="Obliczenia 2 6 2 4 2 2 6" xfId="31203" xr:uid="{00000000-0005-0000-0000-0000D17C0000}"/>
    <cellStyle name="Obliczenia 2 6 2 4 2 2 6 2" xfId="31204" xr:uid="{00000000-0005-0000-0000-0000D27C0000}"/>
    <cellStyle name="Obliczenia 2 6 2 4 2 2 7" xfId="31205" xr:uid="{00000000-0005-0000-0000-0000D37C0000}"/>
    <cellStyle name="Obliczenia 2 6 2 4 2 3" xfId="31206" xr:uid="{00000000-0005-0000-0000-0000D47C0000}"/>
    <cellStyle name="Obliczenia 2 6 2 4 2 3 2" xfId="31207" xr:uid="{00000000-0005-0000-0000-0000D57C0000}"/>
    <cellStyle name="Obliczenia 2 6 2 4 2 3 2 2" xfId="31208" xr:uid="{00000000-0005-0000-0000-0000D67C0000}"/>
    <cellStyle name="Obliczenia 2 6 2 4 2 3 3" xfId="31209" xr:uid="{00000000-0005-0000-0000-0000D77C0000}"/>
    <cellStyle name="Obliczenia 2 6 2 4 2 4" xfId="31210" xr:uid="{00000000-0005-0000-0000-0000D87C0000}"/>
    <cellStyle name="Obliczenia 2 6 2 4 2 4 2" xfId="31211" xr:uid="{00000000-0005-0000-0000-0000D97C0000}"/>
    <cellStyle name="Obliczenia 2 6 2 4 2 4 2 2" xfId="31212" xr:uid="{00000000-0005-0000-0000-0000DA7C0000}"/>
    <cellStyle name="Obliczenia 2 6 2 4 2 4 3" xfId="31213" xr:uid="{00000000-0005-0000-0000-0000DB7C0000}"/>
    <cellStyle name="Obliczenia 2 6 2 4 2 5" xfId="31214" xr:uid="{00000000-0005-0000-0000-0000DC7C0000}"/>
    <cellStyle name="Obliczenia 2 6 2 4 2 5 2" xfId="31215" xr:uid="{00000000-0005-0000-0000-0000DD7C0000}"/>
    <cellStyle name="Obliczenia 2 6 2 4 2 5 2 2" xfId="31216" xr:uid="{00000000-0005-0000-0000-0000DE7C0000}"/>
    <cellStyle name="Obliczenia 2 6 2 4 2 5 3" xfId="31217" xr:uid="{00000000-0005-0000-0000-0000DF7C0000}"/>
    <cellStyle name="Obliczenia 2 6 2 4 2 6" xfId="31218" xr:uid="{00000000-0005-0000-0000-0000E07C0000}"/>
    <cellStyle name="Obliczenia 2 6 2 4 2 6 2" xfId="31219" xr:uid="{00000000-0005-0000-0000-0000E17C0000}"/>
    <cellStyle name="Obliczenia 2 6 2 4 2 7" xfId="31220" xr:uid="{00000000-0005-0000-0000-0000E27C0000}"/>
    <cellStyle name="Obliczenia 2 6 2 4 2 7 2" xfId="31221" xr:uid="{00000000-0005-0000-0000-0000E37C0000}"/>
    <cellStyle name="Obliczenia 2 6 2 4 2 8" xfId="31222" xr:uid="{00000000-0005-0000-0000-0000E47C0000}"/>
    <cellStyle name="Obliczenia 2 6 2 4 3" xfId="31223" xr:uid="{00000000-0005-0000-0000-0000E57C0000}"/>
    <cellStyle name="Obliczenia 2 6 2 4 3 2" xfId="31224" xr:uid="{00000000-0005-0000-0000-0000E67C0000}"/>
    <cellStyle name="Obliczenia 2 6 2 4 3 2 2" xfId="31225" xr:uid="{00000000-0005-0000-0000-0000E77C0000}"/>
    <cellStyle name="Obliczenia 2 6 2 4 3 3" xfId="31226" xr:uid="{00000000-0005-0000-0000-0000E87C0000}"/>
    <cellStyle name="Obliczenia 2 6 2 4 4" xfId="31227" xr:uid="{00000000-0005-0000-0000-0000E97C0000}"/>
    <cellStyle name="Obliczenia 2 6 2 4 4 2" xfId="31228" xr:uid="{00000000-0005-0000-0000-0000EA7C0000}"/>
    <cellStyle name="Obliczenia 2 6 2 4 4 2 2" xfId="31229" xr:uid="{00000000-0005-0000-0000-0000EB7C0000}"/>
    <cellStyle name="Obliczenia 2 6 2 4 4 3" xfId="31230" xr:uid="{00000000-0005-0000-0000-0000EC7C0000}"/>
    <cellStyle name="Obliczenia 2 6 2 4 5" xfId="31231" xr:uid="{00000000-0005-0000-0000-0000ED7C0000}"/>
    <cellStyle name="Obliczenia 2 6 2 4 5 2" xfId="31232" xr:uid="{00000000-0005-0000-0000-0000EE7C0000}"/>
    <cellStyle name="Obliczenia 2 6 2 4 5 2 2" xfId="31233" xr:uid="{00000000-0005-0000-0000-0000EF7C0000}"/>
    <cellStyle name="Obliczenia 2 6 2 4 5 3" xfId="31234" xr:uid="{00000000-0005-0000-0000-0000F07C0000}"/>
    <cellStyle name="Obliczenia 2 6 2 4 6" xfId="31235" xr:uid="{00000000-0005-0000-0000-0000F17C0000}"/>
    <cellStyle name="Obliczenia 2 6 2 4 6 2" xfId="31236" xr:uid="{00000000-0005-0000-0000-0000F27C0000}"/>
    <cellStyle name="Obliczenia 2 6 2 4 6 2 2" xfId="31237" xr:uid="{00000000-0005-0000-0000-0000F37C0000}"/>
    <cellStyle name="Obliczenia 2 6 2 4 6 3" xfId="31238" xr:uid="{00000000-0005-0000-0000-0000F47C0000}"/>
    <cellStyle name="Obliczenia 2 6 2 4 7" xfId="31239" xr:uid="{00000000-0005-0000-0000-0000F57C0000}"/>
    <cellStyle name="Obliczenia 2 6 2 4 7 2" xfId="31240" xr:uid="{00000000-0005-0000-0000-0000F67C0000}"/>
    <cellStyle name="Obliczenia 2 6 2 4 7 2 2" xfId="31241" xr:uid="{00000000-0005-0000-0000-0000F77C0000}"/>
    <cellStyle name="Obliczenia 2 6 2 4 7 2 2 2" xfId="31242" xr:uid="{00000000-0005-0000-0000-0000F87C0000}"/>
    <cellStyle name="Obliczenia 2 6 2 4 7 2 3" xfId="31243" xr:uid="{00000000-0005-0000-0000-0000F97C0000}"/>
    <cellStyle name="Obliczenia 2 6 2 4 7 3" xfId="31244" xr:uid="{00000000-0005-0000-0000-0000FA7C0000}"/>
    <cellStyle name="Obliczenia 2 6 2 4 7 3 2" xfId="31245" xr:uid="{00000000-0005-0000-0000-0000FB7C0000}"/>
    <cellStyle name="Obliczenia 2 6 2 4 7 3 2 2" xfId="31246" xr:uid="{00000000-0005-0000-0000-0000FC7C0000}"/>
    <cellStyle name="Obliczenia 2 6 2 4 7 3 3" xfId="31247" xr:uid="{00000000-0005-0000-0000-0000FD7C0000}"/>
    <cellStyle name="Obliczenia 2 6 2 4 7 4" xfId="31248" xr:uid="{00000000-0005-0000-0000-0000FE7C0000}"/>
    <cellStyle name="Obliczenia 2 6 2 4 7 4 2" xfId="31249" xr:uid="{00000000-0005-0000-0000-0000FF7C0000}"/>
    <cellStyle name="Obliczenia 2 6 2 4 7 4 2 2" xfId="31250" xr:uid="{00000000-0005-0000-0000-0000007D0000}"/>
    <cellStyle name="Obliczenia 2 6 2 4 7 4 3" xfId="31251" xr:uid="{00000000-0005-0000-0000-0000017D0000}"/>
    <cellStyle name="Obliczenia 2 6 2 4 7 5" xfId="31252" xr:uid="{00000000-0005-0000-0000-0000027D0000}"/>
    <cellStyle name="Obliczenia 2 6 2 4 7 5 2" xfId="31253" xr:uid="{00000000-0005-0000-0000-0000037D0000}"/>
    <cellStyle name="Obliczenia 2 6 2 4 7 6" xfId="31254" xr:uid="{00000000-0005-0000-0000-0000047D0000}"/>
    <cellStyle name="Obliczenia 2 6 2 4 7 6 2" xfId="31255" xr:uid="{00000000-0005-0000-0000-0000057D0000}"/>
    <cellStyle name="Obliczenia 2 6 2 4 7 7" xfId="31256" xr:uid="{00000000-0005-0000-0000-0000067D0000}"/>
    <cellStyle name="Obliczenia 2 6 2 4 8" xfId="31257" xr:uid="{00000000-0005-0000-0000-0000077D0000}"/>
    <cellStyle name="Obliczenia 2 6 2 4 8 2" xfId="31258" xr:uid="{00000000-0005-0000-0000-0000087D0000}"/>
    <cellStyle name="Obliczenia 2 6 2 4 8 2 2" xfId="31259" xr:uid="{00000000-0005-0000-0000-0000097D0000}"/>
    <cellStyle name="Obliczenia 2 6 2 4 8 3" xfId="31260" xr:uid="{00000000-0005-0000-0000-00000A7D0000}"/>
    <cellStyle name="Obliczenia 2 6 2 4 9" xfId="31261" xr:uid="{00000000-0005-0000-0000-00000B7D0000}"/>
    <cellStyle name="Obliczenia 2 6 2 4 9 2" xfId="31262" xr:uid="{00000000-0005-0000-0000-00000C7D0000}"/>
    <cellStyle name="Obliczenia 2 6 2 4 9 2 2" xfId="31263" xr:uid="{00000000-0005-0000-0000-00000D7D0000}"/>
    <cellStyle name="Obliczenia 2 6 2 4 9 3" xfId="31264" xr:uid="{00000000-0005-0000-0000-00000E7D0000}"/>
    <cellStyle name="Obliczenia 2 6 2 5" xfId="31265" xr:uid="{00000000-0005-0000-0000-00000F7D0000}"/>
    <cellStyle name="Obliczenia 2 6 2 5 2" xfId="31266" xr:uid="{00000000-0005-0000-0000-0000107D0000}"/>
    <cellStyle name="Obliczenia 2 6 2 5 2 2" xfId="31267" xr:uid="{00000000-0005-0000-0000-0000117D0000}"/>
    <cellStyle name="Obliczenia 2 6 2 5 2 2 2" xfId="31268" xr:uid="{00000000-0005-0000-0000-0000127D0000}"/>
    <cellStyle name="Obliczenia 2 6 2 5 2 2 2 2" xfId="31269" xr:uid="{00000000-0005-0000-0000-0000137D0000}"/>
    <cellStyle name="Obliczenia 2 6 2 5 2 2 3" xfId="31270" xr:uid="{00000000-0005-0000-0000-0000147D0000}"/>
    <cellStyle name="Obliczenia 2 6 2 5 2 3" xfId="31271" xr:uid="{00000000-0005-0000-0000-0000157D0000}"/>
    <cellStyle name="Obliczenia 2 6 2 5 2 3 2" xfId="31272" xr:uid="{00000000-0005-0000-0000-0000167D0000}"/>
    <cellStyle name="Obliczenia 2 6 2 5 2 3 2 2" xfId="31273" xr:uid="{00000000-0005-0000-0000-0000177D0000}"/>
    <cellStyle name="Obliczenia 2 6 2 5 2 3 3" xfId="31274" xr:uid="{00000000-0005-0000-0000-0000187D0000}"/>
    <cellStyle name="Obliczenia 2 6 2 5 2 4" xfId="31275" xr:uid="{00000000-0005-0000-0000-0000197D0000}"/>
    <cellStyle name="Obliczenia 2 6 2 5 2 4 2" xfId="31276" xr:uid="{00000000-0005-0000-0000-00001A7D0000}"/>
    <cellStyle name="Obliczenia 2 6 2 5 2 4 2 2" xfId="31277" xr:uid="{00000000-0005-0000-0000-00001B7D0000}"/>
    <cellStyle name="Obliczenia 2 6 2 5 2 4 3" xfId="31278" xr:uid="{00000000-0005-0000-0000-00001C7D0000}"/>
    <cellStyle name="Obliczenia 2 6 2 5 2 5" xfId="31279" xr:uid="{00000000-0005-0000-0000-00001D7D0000}"/>
    <cellStyle name="Obliczenia 2 6 2 5 2 5 2" xfId="31280" xr:uid="{00000000-0005-0000-0000-00001E7D0000}"/>
    <cellStyle name="Obliczenia 2 6 2 5 2 6" xfId="31281" xr:uid="{00000000-0005-0000-0000-00001F7D0000}"/>
    <cellStyle name="Obliczenia 2 6 2 5 2 6 2" xfId="31282" xr:uid="{00000000-0005-0000-0000-0000207D0000}"/>
    <cellStyle name="Obliczenia 2 6 2 5 2 7" xfId="31283" xr:uid="{00000000-0005-0000-0000-0000217D0000}"/>
    <cellStyle name="Obliczenia 2 6 2 5 3" xfId="31284" xr:uid="{00000000-0005-0000-0000-0000227D0000}"/>
    <cellStyle name="Obliczenia 2 6 2 5 3 2" xfId="31285" xr:uid="{00000000-0005-0000-0000-0000237D0000}"/>
    <cellStyle name="Obliczenia 2 6 2 5 3 2 2" xfId="31286" xr:uid="{00000000-0005-0000-0000-0000247D0000}"/>
    <cellStyle name="Obliczenia 2 6 2 5 3 3" xfId="31287" xr:uid="{00000000-0005-0000-0000-0000257D0000}"/>
    <cellStyle name="Obliczenia 2 6 2 5 4" xfId="31288" xr:uid="{00000000-0005-0000-0000-0000267D0000}"/>
    <cellStyle name="Obliczenia 2 6 2 5 4 2" xfId="31289" xr:uid="{00000000-0005-0000-0000-0000277D0000}"/>
    <cellStyle name="Obliczenia 2 6 2 5 4 2 2" xfId="31290" xr:uid="{00000000-0005-0000-0000-0000287D0000}"/>
    <cellStyle name="Obliczenia 2 6 2 5 4 3" xfId="31291" xr:uid="{00000000-0005-0000-0000-0000297D0000}"/>
    <cellStyle name="Obliczenia 2 6 2 5 5" xfId="31292" xr:uid="{00000000-0005-0000-0000-00002A7D0000}"/>
    <cellStyle name="Obliczenia 2 6 2 5 5 2" xfId="31293" xr:uid="{00000000-0005-0000-0000-00002B7D0000}"/>
    <cellStyle name="Obliczenia 2 6 2 5 5 2 2" xfId="31294" xr:uid="{00000000-0005-0000-0000-00002C7D0000}"/>
    <cellStyle name="Obliczenia 2 6 2 5 5 3" xfId="31295" xr:uid="{00000000-0005-0000-0000-00002D7D0000}"/>
    <cellStyle name="Obliczenia 2 6 2 5 6" xfId="31296" xr:uid="{00000000-0005-0000-0000-00002E7D0000}"/>
    <cellStyle name="Obliczenia 2 6 2 5 6 2" xfId="31297" xr:uid="{00000000-0005-0000-0000-00002F7D0000}"/>
    <cellStyle name="Obliczenia 2 6 2 5 7" xfId="31298" xr:uid="{00000000-0005-0000-0000-0000307D0000}"/>
    <cellStyle name="Obliczenia 2 6 2 5 7 2" xfId="31299" xr:uid="{00000000-0005-0000-0000-0000317D0000}"/>
    <cellStyle name="Obliczenia 2 6 2 5 8" xfId="31300" xr:uid="{00000000-0005-0000-0000-0000327D0000}"/>
    <cellStyle name="Obliczenia 2 6 2 6" xfId="31301" xr:uid="{00000000-0005-0000-0000-0000337D0000}"/>
    <cellStyle name="Obliczenia 2 6 2 6 2" xfId="31302" xr:uid="{00000000-0005-0000-0000-0000347D0000}"/>
    <cellStyle name="Obliczenia 2 6 2 6 2 2" xfId="31303" xr:uid="{00000000-0005-0000-0000-0000357D0000}"/>
    <cellStyle name="Obliczenia 2 6 2 6 3" xfId="31304" xr:uid="{00000000-0005-0000-0000-0000367D0000}"/>
    <cellStyle name="Obliczenia 2 6 2 7" xfId="31305" xr:uid="{00000000-0005-0000-0000-0000377D0000}"/>
    <cellStyle name="Obliczenia 2 6 2 7 2" xfId="31306" xr:uid="{00000000-0005-0000-0000-0000387D0000}"/>
    <cellStyle name="Obliczenia 2 6 2 7 2 2" xfId="31307" xr:uid="{00000000-0005-0000-0000-0000397D0000}"/>
    <cellStyle name="Obliczenia 2 6 2 7 3" xfId="31308" xr:uid="{00000000-0005-0000-0000-00003A7D0000}"/>
    <cellStyle name="Obliczenia 2 6 2 8" xfId="31309" xr:uid="{00000000-0005-0000-0000-00003B7D0000}"/>
    <cellStyle name="Obliczenia 2 6 2 8 2" xfId="31310" xr:uid="{00000000-0005-0000-0000-00003C7D0000}"/>
    <cellStyle name="Obliczenia 2 6 2 8 2 2" xfId="31311" xr:uid="{00000000-0005-0000-0000-00003D7D0000}"/>
    <cellStyle name="Obliczenia 2 6 2 8 3" xfId="31312" xr:uid="{00000000-0005-0000-0000-00003E7D0000}"/>
    <cellStyle name="Obliczenia 2 6 2 9" xfId="31313" xr:uid="{00000000-0005-0000-0000-00003F7D0000}"/>
    <cellStyle name="Obliczenia 2 6 2 9 2" xfId="31314" xr:uid="{00000000-0005-0000-0000-0000407D0000}"/>
    <cellStyle name="Obliczenia 2 6 2 9 2 2" xfId="31315" xr:uid="{00000000-0005-0000-0000-0000417D0000}"/>
    <cellStyle name="Obliczenia 2 6 2 9 2 2 2" xfId="31316" xr:uid="{00000000-0005-0000-0000-0000427D0000}"/>
    <cellStyle name="Obliczenia 2 6 2 9 2 3" xfId="31317" xr:uid="{00000000-0005-0000-0000-0000437D0000}"/>
    <cellStyle name="Obliczenia 2 6 2 9 3" xfId="31318" xr:uid="{00000000-0005-0000-0000-0000447D0000}"/>
    <cellStyle name="Obliczenia 2 6 2 9 3 2" xfId="31319" xr:uid="{00000000-0005-0000-0000-0000457D0000}"/>
    <cellStyle name="Obliczenia 2 6 2 9 3 2 2" xfId="31320" xr:uid="{00000000-0005-0000-0000-0000467D0000}"/>
    <cellStyle name="Obliczenia 2 6 2 9 3 3" xfId="31321" xr:uid="{00000000-0005-0000-0000-0000477D0000}"/>
    <cellStyle name="Obliczenia 2 6 2 9 4" xfId="31322" xr:uid="{00000000-0005-0000-0000-0000487D0000}"/>
    <cellStyle name="Obliczenia 2 6 2 9 4 2" xfId="31323" xr:uid="{00000000-0005-0000-0000-0000497D0000}"/>
    <cellStyle name="Obliczenia 2 6 2 9 4 2 2" xfId="31324" xr:uid="{00000000-0005-0000-0000-00004A7D0000}"/>
    <cellStyle name="Obliczenia 2 6 2 9 4 3" xfId="31325" xr:uid="{00000000-0005-0000-0000-00004B7D0000}"/>
    <cellStyle name="Obliczenia 2 6 2 9 5" xfId="31326" xr:uid="{00000000-0005-0000-0000-00004C7D0000}"/>
    <cellStyle name="Obliczenia 2 6 2 9 5 2" xfId="31327" xr:uid="{00000000-0005-0000-0000-00004D7D0000}"/>
    <cellStyle name="Obliczenia 2 6 2 9 6" xfId="31328" xr:uid="{00000000-0005-0000-0000-00004E7D0000}"/>
    <cellStyle name="Obliczenia 2 6 2 9 6 2" xfId="31329" xr:uid="{00000000-0005-0000-0000-00004F7D0000}"/>
    <cellStyle name="Obliczenia 2 6 2 9 7" xfId="31330" xr:uid="{00000000-0005-0000-0000-0000507D0000}"/>
    <cellStyle name="Obliczenia 2 6 3" xfId="31331" xr:uid="{00000000-0005-0000-0000-0000517D0000}"/>
    <cellStyle name="Obliczenia 2 6 3 10" xfId="31332" xr:uid="{00000000-0005-0000-0000-0000527D0000}"/>
    <cellStyle name="Obliczenia 2 6 3 10 2" xfId="31333" xr:uid="{00000000-0005-0000-0000-0000537D0000}"/>
    <cellStyle name="Obliczenia 2 6 3 10 2 2" xfId="31334" xr:uid="{00000000-0005-0000-0000-0000547D0000}"/>
    <cellStyle name="Obliczenia 2 6 3 10 3" xfId="31335" xr:uid="{00000000-0005-0000-0000-0000557D0000}"/>
    <cellStyle name="Obliczenia 2 6 3 11" xfId="31336" xr:uid="{00000000-0005-0000-0000-0000567D0000}"/>
    <cellStyle name="Obliczenia 2 6 3 11 2" xfId="31337" xr:uid="{00000000-0005-0000-0000-0000577D0000}"/>
    <cellStyle name="Obliczenia 2 6 3 12" xfId="31338" xr:uid="{00000000-0005-0000-0000-0000587D0000}"/>
    <cellStyle name="Obliczenia 2 6 3 12 2" xfId="31339" xr:uid="{00000000-0005-0000-0000-0000597D0000}"/>
    <cellStyle name="Obliczenia 2 6 3 13" xfId="31340" xr:uid="{00000000-0005-0000-0000-00005A7D0000}"/>
    <cellStyle name="Obliczenia 2 6 3 2" xfId="31341" xr:uid="{00000000-0005-0000-0000-00005B7D0000}"/>
    <cellStyle name="Obliczenia 2 6 3 2 10" xfId="31342" xr:uid="{00000000-0005-0000-0000-00005C7D0000}"/>
    <cellStyle name="Obliczenia 2 6 3 2 10 2" xfId="31343" xr:uid="{00000000-0005-0000-0000-00005D7D0000}"/>
    <cellStyle name="Obliczenia 2 6 3 2 11" xfId="31344" xr:uid="{00000000-0005-0000-0000-00005E7D0000}"/>
    <cellStyle name="Obliczenia 2 6 3 2 11 2" xfId="31345" xr:uid="{00000000-0005-0000-0000-00005F7D0000}"/>
    <cellStyle name="Obliczenia 2 6 3 2 12" xfId="31346" xr:uid="{00000000-0005-0000-0000-0000607D0000}"/>
    <cellStyle name="Obliczenia 2 6 3 2 2" xfId="31347" xr:uid="{00000000-0005-0000-0000-0000617D0000}"/>
    <cellStyle name="Obliczenia 2 6 3 2 2 10" xfId="31348" xr:uid="{00000000-0005-0000-0000-0000627D0000}"/>
    <cellStyle name="Obliczenia 2 6 3 2 2 10 2" xfId="31349" xr:uid="{00000000-0005-0000-0000-0000637D0000}"/>
    <cellStyle name="Obliczenia 2 6 3 2 2 11" xfId="31350" xr:uid="{00000000-0005-0000-0000-0000647D0000}"/>
    <cellStyle name="Obliczenia 2 6 3 2 2 11 2" xfId="31351" xr:uid="{00000000-0005-0000-0000-0000657D0000}"/>
    <cellStyle name="Obliczenia 2 6 3 2 2 12" xfId="31352" xr:uid="{00000000-0005-0000-0000-0000667D0000}"/>
    <cellStyle name="Obliczenia 2 6 3 2 2 2" xfId="31353" xr:uid="{00000000-0005-0000-0000-0000677D0000}"/>
    <cellStyle name="Obliczenia 2 6 3 2 2 2 2" xfId="31354" xr:uid="{00000000-0005-0000-0000-0000687D0000}"/>
    <cellStyle name="Obliczenia 2 6 3 2 2 2 2 2" xfId="31355" xr:uid="{00000000-0005-0000-0000-0000697D0000}"/>
    <cellStyle name="Obliczenia 2 6 3 2 2 2 2 2 2" xfId="31356" xr:uid="{00000000-0005-0000-0000-00006A7D0000}"/>
    <cellStyle name="Obliczenia 2 6 3 2 2 2 2 2 2 2" xfId="31357" xr:uid="{00000000-0005-0000-0000-00006B7D0000}"/>
    <cellStyle name="Obliczenia 2 6 3 2 2 2 2 2 3" xfId="31358" xr:uid="{00000000-0005-0000-0000-00006C7D0000}"/>
    <cellStyle name="Obliczenia 2 6 3 2 2 2 2 3" xfId="31359" xr:uid="{00000000-0005-0000-0000-00006D7D0000}"/>
    <cellStyle name="Obliczenia 2 6 3 2 2 2 2 3 2" xfId="31360" xr:uid="{00000000-0005-0000-0000-00006E7D0000}"/>
    <cellStyle name="Obliczenia 2 6 3 2 2 2 2 3 2 2" xfId="31361" xr:uid="{00000000-0005-0000-0000-00006F7D0000}"/>
    <cellStyle name="Obliczenia 2 6 3 2 2 2 2 3 3" xfId="31362" xr:uid="{00000000-0005-0000-0000-0000707D0000}"/>
    <cellStyle name="Obliczenia 2 6 3 2 2 2 2 4" xfId="31363" xr:uid="{00000000-0005-0000-0000-0000717D0000}"/>
    <cellStyle name="Obliczenia 2 6 3 2 2 2 2 4 2" xfId="31364" xr:uid="{00000000-0005-0000-0000-0000727D0000}"/>
    <cellStyle name="Obliczenia 2 6 3 2 2 2 2 4 2 2" xfId="31365" xr:uid="{00000000-0005-0000-0000-0000737D0000}"/>
    <cellStyle name="Obliczenia 2 6 3 2 2 2 2 4 3" xfId="31366" xr:uid="{00000000-0005-0000-0000-0000747D0000}"/>
    <cellStyle name="Obliczenia 2 6 3 2 2 2 2 5" xfId="31367" xr:uid="{00000000-0005-0000-0000-0000757D0000}"/>
    <cellStyle name="Obliczenia 2 6 3 2 2 2 2 5 2" xfId="31368" xr:uid="{00000000-0005-0000-0000-0000767D0000}"/>
    <cellStyle name="Obliczenia 2 6 3 2 2 2 2 6" xfId="31369" xr:uid="{00000000-0005-0000-0000-0000777D0000}"/>
    <cellStyle name="Obliczenia 2 6 3 2 2 2 2 6 2" xfId="31370" xr:uid="{00000000-0005-0000-0000-0000787D0000}"/>
    <cellStyle name="Obliczenia 2 6 3 2 2 2 2 7" xfId="31371" xr:uid="{00000000-0005-0000-0000-0000797D0000}"/>
    <cellStyle name="Obliczenia 2 6 3 2 2 2 3" xfId="31372" xr:uid="{00000000-0005-0000-0000-00007A7D0000}"/>
    <cellStyle name="Obliczenia 2 6 3 2 2 2 3 2" xfId="31373" xr:uid="{00000000-0005-0000-0000-00007B7D0000}"/>
    <cellStyle name="Obliczenia 2 6 3 2 2 2 3 2 2" xfId="31374" xr:uid="{00000000-0005-0000-0000-00007C7D0000}"/>
    <cellStyle name="Obliczenia 2 6 3 2 2 2 3 3" xfId="31375" xr:uid="{00000000-0005-0000-0000-00007D7D0000}"/>
    <cellStyle name="Obliczenia 2 6 3 2 2 2 4" xfId="31376" xr:uid="{00000000-0005-0000-0000-00007E7D0000}"/>
    <cellStyle name="Obliczenia 2 6 3 2 2 2 4 2" xfId="31377" xr:uid="{00000000-0005-0000-0000-00007F7D0000}"/>
    <cellStyle name="Obliczenia 2 6 3 2 2 2 4 2 2" xfId="31378" xr:uid="{00000000-0005-0000-0000-0000807D0000}"/>
    <cellStyle name="Obliczenia 2 6 3 2 2 2 4 3" xfId="31379" xr:uid="{00000000-0005-0000-0000-0000817D0000}"/>
    <cellStyle name="Obliczenia 2 6 3 2 2 2 5" xfId="31380" xr:uid="{00000000-0005-0000-0000-0000827D0000}"/>
    <cellStyle name="Obliczenia 2 6 3 2 2 2 5 2" xfId="31381" xr:uid="{00000000-0005-0000-0000-0000837D0000}"/>
    <cellStyle name="Obliczenia 2 6 3 2 2 2 5 2 2" xfId="31382" xr:uid="{00000000-0005-0000-0000-0000847D0000}"/>
    <cellStyle name="Obliczenia 2 6 3 2 2 2 5 3" xfId="31383" xr:uid="{00000000-0005-0000-0000-0000857D0000}"/>
    <cellStyle name="Obliczenia 2 6 3 2 2 2 6" xfId="31384" xr:uid="{00000000-0005-0000-0000-0000867D0000}"/>
    <cellStyle name="Obliczenia 2 6 3 2 2 2 6 2" xfId="31385" xr:uid="{00000000-0005-0000-0000-0000877D0000}"/>
    <cellStyle name="Obliczenia 2 6 3 2 2 2 7" xfId="31386" xr:uid="{00000000-0005-0000-0000-0000887D0000}"/>
    <cellStyle name="Obliczenia 2 6 3 2 2 2 7 2" xfId="31387" xr:uid="{00000000-0005-0000-0000-0000897D0000}"/>
    <cellStyle name="Obliczenia 2 6 3 2 2 2 8" xfId="31388" xr:uid="{00000000-0005-0000-0000-00008A7D0000}"/>
    <cellStyle name="Obliczenia 2 6 3 2 2 3" xfId="31389" xr:uid="{00000000-0005-0000-0000-00008B7D0000}"/>
    <cellStyle name="Obliczenia 2 6 3 2 2 3 2" xfId="31390" xr:uid="{00000000-0005-0000-0000-00008C7D0000}"/>
    <cellStyle name="Obliczenia 2 6 3 2 2 3 2 2" xfId="31391" xr:uid="{00000000-0005-0000-0000-00008D7D0000}"/>
    <cellStyle name="Obliczenia 2 6 3 2 2 3 3" xfId="31392" xr:uid="{00000000-0005-0000-0000-00008E7D0000}"/>
    <cellStyle name="Obliczenia 2 6 3 2 2 4" xfId="31393" xr:uid="{00000000-0005-0000-0000-00008F7D0000}"/>
    <cellStyle name="Obliczenia 2 6 3 2 2 4 2" xfId="31394" xr:uid="{00000000-0005-0000-0000-0000907D0000}"/>
    <cellStyle name="Obliczenia 2 6 3 2 2 4 2 2" xfId="31395" xr:uid="{00000000-0005-0000-0000-0000917D0000}"/>
    <cellStyle name="Obliczenia 2 6 3 2 2 4 3" xfId="31396" xr:uid="{00000000-0005-0000-0000-0000927D0000}"/>
    <cellStyle name="Obliczenia 2 6 3 2 2 5" xfId="31397" xr:uid="{00000000-0005-0000-0000-0000937D0000}"/>
    <cellStyle name="Obliczenia 2 6 3 2 2 5 2" xfId="31398" xr:uid="{00000000-0005-0000-0000-0000947D0000}"/>
    <cellStyle name="Obliczenia 2 6 3 2 2 5 2 2" xfId="31399" xr:uid="{00000000-0005-0000-0000-0000957D0000}"/>
    <cellStyle name="Obliczenia 2 6 3 2 2 5 3" xfId="31400" xr:uid="{00000000-0005-0000-0000-0000967D0000}"/>
    <cellStyle name="Obliczenia 2 6 3 2 2 6" xfId="31401" xr:uid="{00000000-0005-0000-0000-0000977D0000}"/>
    <cellStyle name="Obliczenia 2 6 3 2 2 6 2" xfId="31402" xr:uid="{00000000-0005-0000-0000-0000987D0000}"/>
    <cellStyle name="Obliczenia 2 6 3 2 2 6 2 2" xfId="31403" xr:uid="{00000000-0005-0000-0000-0000997D0000}"/>
    <cellStyle name="Obliczenia 2 6 3 2 2 6 3" xfId="31404" xr:uid="{00000000-0005-0000-0000-00009A7D0000}"/>
    <cellStyle name="Obliczenia 2 6 3 2 2 7" xfId="31405" xr:uid="{00000000-0005-0000-0000-00009B7D0000}"/>
    <cellStyle name="Obliczenia 2 6 3 2 2 7 2" xfId="31406" xr:uid="{00000000-0005-0000-0000-00009C7D0000}"/>
    <cellStyle name="Obliczenia 2 6 3 2 2 7 2 2" xfId="31407" xr:uid="{00000000-0005-0000-0000-00009D7D0000}"/>
    <cellStyle name="Obliczenia 2 6 3 2 2 7 2 2 2" xfId="31408" xr:uid="{00000000-0005-0000-0000-00009E7D0000}"/>
    <cellStyle name="Obliczenia 2 6 3 2 2 7 2 3" xfId="31409" xr:uid="{00000000-0005-0000-0000-00009F7D0000}"/>
    <cellStyle name="Obliczenia 2 6 3 2 2 7 3" xfId="31410" xr:uid="{00000000-0005-0000-0000-0000A07D0000}"/>
    <cellStyle name="Obliczenia 2 6 3 2 2 7 3 2" xfId="31411" xr:uid="{00000000-0005-0000-0000-0000A17D0000}"/>
    <cellStyle name="Obliczenia 2 6 3 2 2 7 3 2 2" xfId="31412" xr:uid="{00000000-0005-0000-0000-0000A27D0000}"/>
    <cellStyle name="Obliczenia 2 6 3 2 2 7 3 3" xfId="31413" xr:uid="{00000000-0005-0000-0000-0000A37D0000}"/>
    <cellStyle name="Obliczenia 2 6 3 2 2 7 4" xfId="31414" xr:uid="{00000000-0005-0000-0000-0000A47D0000}"/>
    <cellStyle name="Obliczenia 2 6 3 2 2 7 4 2" xfId="31415" xr:uid="{00000000-0005-0000-0000-0000A57D0000}"/>
    <cellStyle name="Obliczenia 2 6 3 2 2 7 4 2 2" xfId="31416" xr:uid="{00000000-0005-0000-0000-0000A67D0000}"/>
    <cellStyle name="Obliczenia 2 6 3 2 2 7 4 3" xfId="31417" xr:uid="{00000000-0005-0000-0000-0000A77D0000}"/>
    <cellStyle name="Obliczenia 2 6 3 2 2 7 5" xfId="31418" xr:uid="{00000000-0005-0000-0000-0000A87D0000}"/>
    <cellStyle name="Obliczenia 2 6 3 2 2 7 5 2" xfId="31419" xr:uid="{00000000-0005-0000-0000-0000A97D0000}"/>
    <cellStyle name="Obliczenia 2 6 3 2 2 7 6" xfId="31420" xr:uid="{00000000-0005-0000-0000-0000AA7D0000}"/>
    <cellStyle name="Obliczenia 2 6 3 2 2 7 6 2" xfId="31421" xr:uid="{00000000-0005-0000-0000-0000AB7D0000}"/>
    <cellStyle name="Obliczenia 2 6 3 2 2 7 7" xfId="31422" xr:uid="{00000000-0005-0000-0000-0000AC7D0000}"/>
    <cellStyle name="Obliczenia 2 6 3 2 2 8" xfId="31423" xr:uid="{00000000-0005-0000-0000-0000AD7D0000}"/>
    <cellStyle name="Obliczenia 2 6 3 2 2 8 2" xfId="31424" xr:uid="{00000000-0005-0000-0000-0000AE7D0000}"/>
    <cellStyle name="Obliczenia 2 6 3 2 2 8 2 2" xfId="31425" xr:uid="{00000000-0005-0000-0000-0000AF7D0000}"/>
    <cellStyle name="Obliczenia 2 6 3 2 2 8 3" xfId="31426" xr:uid="{00000000-0005-0000-0000-0000B07D0000}"/>
    <cellStyle name="Obliczenia 2 6 3 2 2 9" xfId="31427" xr:uid="{00000000-0005-0000-0000-0000B17D0000}"/>
    <cellStyle name="Obliczenia 2 6 3 2 2 9 2" xfId="31428" xr:uid="{00000000-0005-0000-0000-0000B27D0000}"/>
    <cellStyle name="Obliczenia 2 6 3 2 2 9 2 2" xfId="31429" xr:uid="{00000000-0005-0000-0000-0000B37D0000}"/>
    <cellStyle name="Obliczenia 2 6 3 2 2 9 3" xfId="31430" xr:uid="{00000000-0005-0000-0000-0000B47D0000}"/>
    <cellStyle name="Obliczenia 2 6 3 2 3" xfId="31431" xr:uid="{00000000-0005-0000-0000-0000B57D0000}"/>
    <cellStyle name="Obliczenia 2 6 3 2 3 2" xfId="31432" xr:uid="{00000000-0005-0000-0000-0000B67D0000}"/>
    <cellStyle name="Obliczenia 2 6 3 2 3 2 2" xfId="31433" xr:uid="{00000000-0005-0000-0000-0000B77D0000}"/>
    <cellStyle name="Obliczenia 2 6 3 2 3 2 2 2" xfId="31434" xr:uid="{00000000-0005-0000-0000-0000B87D0000}"/>
    <cellStyle name="Obliczenia 2 6 3 2 3 2 2 2 2" xfId="31435" xr:uid="{00000000-0005-0000-0000-0000B97D0000}"/>
    <cellStyle name="Obliczenia 2 6 3 2 3 2 2 3" xfId="31436" xr:uid="{00000000-0005-0000-0000-0000BA7D0000}"/>
    <cellStyle name="Obliczenia 2 6 3 2 3 2 3" xfId="31437" xr:uid="{00000000-0005-0000-0000-0000BB7D0000}"/>
    <cellStyle name="Obliczenia 2 6 3 2 3 2 3 2" xfId="31438" xr:uid="{00000000-0005-0000-0000-0000BC7D0000}"/>
    <cellStyle name="Obliczenia 2 6 3 2 3 2 3 2 2" xfId="31439" xr:uid="{00000000-0005-0000-0000-0000BD7D0000}"/>
    <cellStyle name="Obliczenia 2 6 3 2 3 2 3 3" xfId="31440" xr:uid="{00000000-0005-0000-0000-0000BE7D0000}"/>
    <cellStyle name="Obliczenia 2 6 3 2 3 2 4" xfId="31441" xr:uid="{00000000-0005-0000-0000-0000BF7D0000}"/>
    <cellStyle name="Obliczenia 2 6 3 2 3 2 4 2" xfId="31442" xr:uid="{00000000-0005-0000-0000-0000C07D0000}"/>
    <cellStyle name="Obliczenia 2 6 3 2 3 2 4 2 2" xfId="31443" xr:uid="{00000000-0005-0000-0000-0000C17D0000}"/>
    <cellStyle name="Obliczenia 2 6 3 2 3 2 4 3" xfId="31444" xr:uid="{00000000-0005-0000-0000-0000C27D0000}"/>
    <cellStyle name="Obliczenia 2 6 3 2 3 2 5" xfId="31445" xr:uid="{00000000-0005-0000-0000-0000C37D0000}"/>
    <cellStyle name="Obliczenia 2 6 3 2 3 2 5 2" xfId="31446" xr:uid="{00000000-0005-0000-0000-0000C47D0000}"/>
    <cellStyle name="Obliczenia 2 6 3 2 3 2 6" xfId="31447" xr:uid="{00000000-0005-0000-0000-0000C57D0000}"/>
    <cellStyle name="Obliczenia 2 6 3 2 3 2 6 2" xfId="31448" xr:uid="{00000000-0005-0000-0000-0000C67D0000}"/>
    <cellStyle name="Obliczenia 2 6 3 2 3 2 7" xfId="31449" xr:uid="{00000000-0005-0000-0000-0000C77D0000}"/>
    <cellStyle name="Obliczenia 2 6 3 2 3 3" xfId="31450" xr:uid="{00000000-0005-0000-0000-0000C87D0000}"/>
    <cellStyle name="Obliczenia 2 6 3 2 3 3 2" xfId="31451" xr:uid="{00000000-0005-0000-0000-0000C97D0000}"/>
    <cellStyle name="Obliczenia 2 6 3 2 3 3 2 2" xfId="31452" xr:uid="{00000000-0005-0000-0000-0000CA7D0000}"/>
    <cellStyle name="Obliczenia 2 6 3 2 3 3 3" xfId="31453" xr:uid="{00000000-0005-0000-0000-0000CB7D0000}"/>
    <cellStyle name="Obliczenia 2 6 3 2 3 4" xfId="31454" xr:uid="{00000000-0005-0000-0000-0000CC7D0000}"/>
    <cellStyle name="Obliczenia 2 6 3 2 3 4 2" xfId="31455" xr:uid="{00000000-0005-0000-0000-0000CD7D0000}"/>
    <cellStyle name="Obliczenia 2 6 3 2 3 4 2 2" xfId="31456" xr:uid="{00000000-0005-0000-0000-0000CE7D0000}"/>
    <cellStyle name="Obliczenia 2 6 3 2 3 4 3" xfId="31457" xr:uid="{00000000-0005-0000-0000-0000CF7D0000}"/>
    <cellStyle name="Obliczenia 2 6 3 2 3 5" xfId="31458" xr:uid="{00000000-0005-0000-0000-0000D07D0000}"/>
    <cellStyle name="Obliczenia 2 6 3 2 3 5 2" xfId="31459" xr:uid="{00000000-0005-0000-0000-0000D17D0000}"/>
    <cellStyle name="Obliczenia 2 6 3 2 3 5 2 2" xfId="31460" xr:uid="{00000000-0005-0000-0000-0000D27D0000}"/>
    <cellStyle name="Obliczenia 2 6 3 2 3 5 3" xfId="31461" xr:uid="{00000000-0005-0000-0000-0000D37D0000}"/>
    <cellStyle name="Obliczenia 2 6 3 2 3 6" xfId="31462" xr:uid="{00000000-0005-0000-0000-0000D47D0000}"/>
    <cellStyle name="Obliczenia 2 6 3 2 3 6 2" xfId="31463" xr:uid="{00000000-0005-0000-0000-0000D57D0000}"/>
    <cellStyle name="Obliczenia 2 6 3 2 3 7" xfId="31464" xr:uid="{00000000-0005-0000-0000-0000D67D0000}"/>
    <cellStyle name="Obliczenia 2 6 3 2 3 7 2" xfId="31465" xr:uid="{00000000-0005-0000-0000-0000D77D0000}"/>
    <cellStyle name="Obliczenia 2 6 3 2 3 8" xfId="31466" xr:uid="{00000000-0005-0000-0000-0000D87D0000}"/>
    <cellStyle name="Obliczenia 2 6 3 2 4" xfId="31467" xr:uid="{00000000-0005-0000-0000-0000D97D0000}"/>
    <cellStyle name="Obliczenia 2 6 3 2 4 2" xfId="31468" xr:uid="{00000000-0005-0000-0000-0000DA7D0000}"/>
    <cellStyle name="Obliczenia 2 6 3 2 4 2 2" xfId="31469" xr:uid="{00000000-0005-0000-0000-0000DB7D0000}"/>
    <cellStyle name="Obliczenia 2 6 3 2 4 3" xfId="31470" xr:uid="{00000000-0005-0000-0000-0000DC7D0000}"/>
    <cellStyle name="Obliczenia 2 6 3 2 5" xfId="31471" xr:uid="{00000000-0005-0000-0000-0000DD7D0000}"/>
    <cellStyle name="Obliczenia 2 6 3 2 5 2" xfId="31472" xr:uid="{00000000-0005-0000-0000-0000DE7D0000}"/>
    <cellStyle name="Obliczenia 2 6 3 2 5 2 2" xfId="31473" xr:uid="{00000000-0005-0000-0000-0000DF7D0000}"/>
    <cellStyle name="Obliczenia 2 6 3 2 5 3" xfId="31474" xr:uid="{00000000-0005-0000-0000-0000E07D0000}"/>
    <cellStyle name="Obliczenia 2 6 3 2 6" xfId="31475" xr:uid="{00000000-0005-0000-0000-0000E17D0000}"/>
    <cellStyle name="Obliczenia 2 6 3 2 6 2" xfId="31476" xr:uid="{00000000-0005-0000-0000-0000E27D0000}"/>
    <cellStyle name="Obliczenia 2 6 3 2 6 2 2" xfId="31477" xr:uid="{00000000-0005-0000-0000-0000E37D0000}"/>
    <cellStyle name="Obliczenia 2 6 3 2 6 3" xfId="31478" xr:uid="{00000000-0005-0000-0000-0000E47D0000}"/>
    <cellStyle name="Obliczenia 2 6 3 2 7" xfId="31479" xr:uid="{00000000-0005-0000-0000-0000E57D0000}"/>
    <cellStyle name="Obliczenia 2 6 3 2 7 2" xfId="31480" xr:uid="{00000000-0005-0000-0000-0000E67D0000}"/>
    <cellStyle name="Obliczenia 2 6 3 2 7 2 2" xfId="31481" xr:uid="{00000000-0005-0000-0000-0000E77D0000}"/>
    <cellStyle name="Obliczenia 2 6 3 2 7 2 2 2" xfId="31482" xr:uid="{00000000-0005-0000-0000-0000E87D0000}"/>
    <cellStyle name="Obliczenia 2 6 3 2 7 2 3" xfId="31483" xr:uid="{00000000-0005-0000-0000-0000E97D0000}"/>
    <cellStyle name="Obliczenia 2 6 3 2 7 3" xfId="31484" xr:uid="{00000000-0005-0000-0000-0000EA7D0000}"/>
    <cellStyle name="Obliczenia 2 6 3 2 7 3 2" xfId="31485" xr:uid="{00000000-0005-0000-0000-0000EB7D0000}"/>
    <cellStyle name="Obliczenia 2 6 3 2 7 3 2 2" xfId="31486" xr:uid="{00000000-0005-0000-0000-0000EC7D0000}"/>
    <cellStyle name="Obliczenia 2 6 3 2 7 3 3" xfId="31487" xr:uid="{00000000-0005-0000-0000-0000ED7D0000}"/>
    <cellStyle name="Obliczenia 2 6 3 2 7 4" xfId="31488" xr:uid="{00000000-0005-0000-0000-0000EE7D0000}"/>
    <cellStyle name="Obliczenia 2 6 3 2 7 4 2" xfId="31489" xr:uid="{00000000-0005-0000-0000-0000EF7D0000}"/>
    <cellStyle name="Obliczenia 2 6 3 2 7 4 2 2" xfId="31490" xr:uid="{00000000-0005-0000-0000-0000F07D0000}"/>
    <cellStyle name="Obliczenia 2 6 3 2 7 4 3" xfId="31491" xr:uid="{00000000-0005-0000-0000-0000F17D0000}"/>
    <cellStyle name="Obliczenia 2 6 3 2 7 5" xfId="31492" xr:uid="{00000000-0005-0000-0000-0000F27D0000}"/>
    <cellStyle name="Obliczenia 2 6 3 2 7 5 2" xfId="31493" xr:uid="{00000000-0005-0000-0000-0000F37D0000}"/>
    <cellStyle name="Obliczenia 2 6 3 2 7 6" xfId="31494" xr:uid="{00000000-0005-0000-0000-0000F47D0000}"/>
    <cellStyle name="Obliczenia 2 6 3 2 7 6 2" xfId="31495" xr:uid="{00000000-0005-0000-0000-0000F57D0000}"/>
    <cellStyle name="Obliczenia 2 6 3 2 7 7" xfId="31496" xr:uid="{00000000-0005-0000-0000-0000F67D0000}"/>
    <cellStyle name="Obliczenia 2 6 3 2 8" xfId="31497" xr:uid="{00000000-0005-0000-0000-0000F77D0000}"/>
    <cellStyle name="Obliczenia 2 6 3 2 8 2" xfId="31498" xr:uid="{00000000-0005-0000-0000-0000F87D0000}"/>
    <cellStyle name="Obliczenia 2 6 3 2 8 2 2" xfId="31499" xr:uid="{00000000-0005-0000-0000-0000F97D0000}"/>
    <cellStyle name="Obliczenia 2 6 3 2 8 3" xfId="31500" xr:uid="{00000000-0005-0000-0000-0000FA7D0000}"/>
    <cellStyle name="Obliczenia 2 6 3 2 9" xfId="31501" xr:uid="{00000000-0005-0000-0000-0000FB7D0000}"/>
    <cellStyle name="Obliczenia 2 6 3 2 9 2" xfId="31502" xr:uid="{00000000-0005-0000-0000-0000FC7D0000}"/>
    <cellStyle name="Obliczenia 2 6 3 2 9 2 2" xfId="31503" xr:uid="{00000000-0005-0000-0000-0000FD7D0000}"/>
    <cellStyle name="Obliczenia 2 6 3 2 9 3" xfId="31504" xr:uid="{00000000-0005-0000-0000-0000FE7D0000}"/>
    <cellStyle name="Obliczenia 2 6 3 3" xfId="31505" xr:uid="{00000000-0005-0000-0000-0000FF7D0000}"/>
    <cellStyle name="Obliczenia 2 6 3 3 2" xfId="31506" xr:uid="{00000000-0005-0000-0000-0000007E0000}"/>
    <cellStyle name="Obliczenia 2 6 3 3 2 2" xfId="31507" xr:uid="{00000000-0005-0000-0000-0000017E0000}"/>
    <cellStyle name="Obliczenia 2 6 3 3 2 2 2" xfId="31508" xr:uid="{00000000-0005-0000-0000-0000027E0000}"/>
    <cellStyle name="Obliczenia 2 6 3 3 2 2 2 2" xfId="31509" xr:uid="{00000000-0005-0000-0000-0000037E0000}"/>
    <cellStyle name="Obliczenia 2 6 3 3 2 2 3" xfId="31510" xr:uid="{00000000-0005-0000-0000-0000047E0000}"/>
    <cellStyle name="Obliczenia 2 6 3 3 2 3" xfId="31511" xr:uid="{00000000-0005-0000-0000-0000057E0000}"/>
    <cellStyle name="Obliczenia 2 6 3 3 2 3 2" xfId="31512" xr:uid="{00000000-0005-0000-0000-0000067E0000}"/>
    <cellStyle name="Obliczenia 2 6 3 3 2 3 2 2" xfId="31513" xr:uid="{00000000-0005-0000-0000-0000077E0000}"/>
    <cellStyle name="Obliczenia 2 6 3 3 2 3 3" xfId="31514" xr:uid="{00000000-0005-0000-0000-0000087E0000}"/>
    <cellStyle name="Obliczenia 2 6 3 3 2 4" xfId="31515" xr:uid="{00000000-0005-0000-0000-0000097E0000}"/>
    <cellStyle name="Obliczenia 2 6 3 3 2 4 2" xfId="31516" xr:uid="{00000000-0005-0000-0000-00000A7E0000}"/>
    <cellStyle name="Obliczenia 2 6 3 3 2 4 2 2" xfId="31517" xr:uid="{00000000-0005-0000-0000-00000B7E0000}"/>
    <cellStyle name="Obliczenia 2 6 3 3 2 4 3" xfId="31518" xr:uid="{00000000-0005-0000-0000-00000C7E0000}"/>
    <cellStyle name="Obliczenia 2 6 3 3 2 5" xfId="31519" xr:uid="{00000000-0005-0000-0000-00000D7E0000}"/>
    <cellStyle name="Obliczenia 2 6 3 3 2 5 2" xfId="31520" xr:uid="{00000000-0005-0000-0000-00000E7E0000}"/>
    <cellStyle name="Obliczenia 2 6 3 3 2 6" xfId="31521" xr:uid="{00000000-0005-0000-0000-00000F7E0000}"/>
    <cellStyle name="Obliczenia 2 6 3 3 2 6 2" xfId="31522" xr:uid="{00000000-0005-0000-0000-0000107E0000}"/>
    <cellStyle name="Obliczenia 2 6 3 3 2 7" xfId="31523" xr:uid="{00000000-0005-0000-0000-0000117E0000}"/>
    <cellStyle name="Obliczenia 2 6 3 3 3" xfId="31524" xr:uid="{00000000-0005-0000-0000-0000127E0000}"/>
    <cellStyle name="Obliczenia 2 6 3 3 3 2" xfId="31525" xr:uid="{00000000-0005-0000-0000-0000137E0000}"/>
    <cellStyle name="Obliczenia 2 6 3 3 3 2 2" xfId="31526" xr:uid="{00000000-0005-0000-0000-0000147E0000}"/>
    <cellStyle name="Obliczenia 2 6 3 3 3 3" xfId="31527" xr:uid="{00000000-0005-0000-0000-0000157E0000}"/>
    <cellStyle name="Obliczenia 2 6 3 3 4" xfId="31528" xr:uid="{00000000-0005-0000-0000-0000167E0000}"/>
    <cellStyle name="Obliczenia 2 6 3 3 4 2" xfId="31529" xr:uid="{00000000-0005-0000-0000-0000177E0000}"/>
    <cellStyle name="Obliczenia 2 6 3 3 4 2 2" xfId="31530" xr:uid="{00000000-0005-0000-0000-0000187E0000}"/>
    <cellStyle name="Obliczenia 2 6 3 3 4 3" xfId="31531" xr:uid="{00000000-0005-0000-0000-0000197E0000}"/>
    <cellStyle name="Obliczenia 2 6 3 3 5" xfId="31532" xr:uid="{00000000-0005-0000-0000-00001A7E0000}"/>
    <cellStyle name="Obliczenia 2 6 3 3 5 2" xfId="31533" xr:uid="{00000000-0005-0000-0000-00001B7E0000}"/>
    <cellStyle name="Obliczenia 2 6 3 3 5 2 2" xfId="31534" xr:uid="{00000000-0005-0000-0000-00001C7E0000}"/>
    <cellStyle name="Obliczenia 2 6 3 3 5 3" xfId="31535" xr:uid="{00000000-0005-0000-0000-00001D7E0000}"/>
    <cellStyle name="Obliczenia 2 6 3 3 6" xfId="31536" xr:uid="{00000000-0005-0000-0000-00001E7E0000}"/>
    <cellStyle name="Obliczenia 2 6 3 3 6 2" xfId="31537" xr:uid="{00000000-0005-0000-0000-00001F7E0000}"/>
    <cellStyle name="Obliczenia 2 6 3 3 7" xfId="31538" xr:uid="{00000000-0005-0000-0000-0000207E0000}"/>
    <cellStyle name="Obliczenia 2 6 3 3 7 2" xfId="31539" xr:uid="{00000000-0005-0000-0000-0000217E0000}"/>
    <cellStyle name="Obliczenia 2 6 3 3 8" xfId="31540" xr:uid="{00000000-0005-0000-0000-0000227E0000}"/>
    <cellStyle name="Obliczenia 2 6 3 4" xfId="31541" xr:uid="{00000000-0005-0000-0000-0000237E0000}"/>
    <cellStyle name="Obliczenia 2 6 3 4 2" xfId="31542" xr:uid="{00000000-0005-0000-0000-0000247E0000}"/>
    <cellStyle name="Obliczenia 2 6 3 4 2 2" xfId="31543" xr:uid="{00000000-0005-0000-0000-0000257E0000}"/>
    <cellStyle name="Obliczenia 2 6 3 4 3" xfId="31544" xr:uid="{00000000-0005-0000-0000-0000267E0000}"/>
    <cellStyle name="Obliczenia 2 6 3 5" xfId="31545" xr:uid="{00000000-0005-0000-0000-0000277E0000}"/>
    <cellStyle name="Obliczenia 2 6 3 5 2" xfId="31546" xr:uid="{00000000-0005-0000-0000-0000287E0000}"/>
    <cellStyle name="Obliczenia 2 6 3 5 2 2" xfId="31547" xr:uid="{00000000-0005-0000-0000-0000297E0000}"/>
    <cellStyle name="Obliczenia 2 6 3 5 3" xfId="31548" xr:uid="{00000000-0005-0000-0000-00002A7E0000}"/>
    <cellStyle name="Obliczenia 2 6 3 6" xfId="31549" xr:uid="{00000000-0005-0000-0000-00002B7E0000}"/>
    <cellStyle name="Obliczenia 2 6 3 6 2" xfId="31550" xr:uid="{00000000-0005-0000-0000-00002C7E0000}"/>
    <cellStyle name="Obliczenia 2 6 3 6 2 2" xfId="31551" xr:uid="{00000000-0005-0000-0000-00002D7E0000}"/>
    <cellStyle name="Obliczenia 2 6 3 6 3" xfId="31552" xr:uid="{00000000-0005-0000-0000-00002E7E0000}"/>
    <cellStyle name="Obliczenia 2 6 3 7" xfId="31553" xr:uid="{00000000-0005-0000-0000-00002F7E0000}"/>
    <cellStyle name="Obliczenia 2 6 3 7 2" xfId="31554" xr:uid="{00000000-0005-0000-0000-0000307E0000}"/>
    <cellStyle name="Obliczenia 2 6 3 7 2 2" xfId="31555" xr:uid="{00000000-0005-0000-0000-0000317E0000}"/>
    <cellStyle name="Obliczenia 2 6 3 7 3" xfId="31556" xr:uid="{00000000-0005-0000-0000-0000327E0000}"/>
    <cellStyle name="Obliczenia 2 6 3 8" xfId="31557" xr:uid="{00000000-0005-0000-0000-0000337E0000}"/>
    <cellStyle name="Obliczenia 2 6 3 8 2" xfId="31558" xr:uid="{00000000-0005-0000-0000-0000347E0000}"/>
    <cellStyle name="Obliczenia 2 6 3 8 2 2" xfId="31559" xr:uid="{00000000-0005-0000-0000-0000357E0000}"/>
    <cellStyle name="Obliczenia 2 6 3 8 2 2 2" xfId="31560" xr:uid="{00000000-0005-0000-0000-0000367E0000}"/>
    <cellStyle name="Obliczenia 2 6 3 8 2 3" xfId="31561" xr:uid="{00000000-0005-0000-0000-0000377E0000}"/>
    <cellStyle name="Obliczenia 2 6 3 8 3" xfId="31562" xr:uid="{00000000-0005-0000-0000-0000387E0000}"/>
    <cellStyle name="Obliczenia 2 6 3 8 3 2" xfId="31563" xr:uid="{00000000-0005-0000-0000-0000397E0000}"/>
    <cellStyle name="Obliczenia 2 6 3 8 3 2 2" xfId="31564" xr:uid="{00000000-0005-0000-0000-00003A7E0000}"/>
    <cellStyle name="Obliczenia 2 6 3 8 3 3" xfId="31565" xr:uid="{00000000-0005-0000-0000-00003B7E0000}"/>
    <cellStyle name="Obliczenia 2 6 3 8 4" xfId="31566" xr:uid="{00000000-0005-0000-0000-00003C7E0000}"/>
    <cellStyle name="Obliczenia 2 6 3 8 4 2" xfId="31567" xr:uid="{00000000-0005-0000-0000-00003D7E0000}"/>
    <cellStyle name="Obliczenia 2 6 3 8 4 2 2" xfId="31568" xr:uid="{00000000-0005-0000-0000-00003E7E0000}"/>
    <cellStyle name="Obliczenia 2 6 3 8 4 3" xfId="31569" xr:uid="{00000000-0005-0000-0000-00003F7E0000}"/>
    <cellStyle name="Obliczenia 2 6 3 8 5" xfId="31570" xr:uid="{00000000-0005-0000-0000-0000407E0000}"/>
    <cellStyle name="Obliczenia 2 6 3 8 5 2" xfId="31571" xr:uid="{00000000-0005-0000-0000-0000417E0000}"/>
    <cellStyle name="Obliczenia 2 6 3 8 6" xfId="31572" xr:uid="{00000000-0005-0000-0000-0000427E0000}"/>
    <cellStyle name="Obliczenia 2 6 3 8 6 2" xfId="31573" xr:uid="{00000000-0005-0000-0000-0000437E0000}"/>
    <cellStyle name="Obliczenia 2 6 3 8 7" xfId="31574" xr:uid="{00000000-0005-0000-0000-0000447E0000}"/>
    <cellStyle name="Obliczenia 2 6 3 9" xfId="31575" xr:uid="{00000000-0005-0000-0000-0000457E0000}"/>
    <cellStyle name="Obliczenia 2 6 3 9 2" xfId="31576" xr:uid="{00000000-0005-0000-0000-0000467E0000}"/>
    <cellStyle name="Obliczenia 2 6 3 9 2 2" xfId="31577" xr:uid="{00000000-0005-0000-0000-0000477E0000}"/>
    <cellStyle name="Obliczenia 2 6 3 9 3" xfId="31578" xr:uid="{00000000-0005-0000-0000-0000487E0000}"/>
    <cellStyle name="Obliczenia 2 6 4" xfId="31579" xr:uid="{00000000-0005-0000-0000-0000497E0000}"/>
    <cellStyle name="Obliczenia 2 6 4 10" xfId="31580" xr:uid="{00000000-0005-0000-0000-00004A7E0000}"/>
    <cellStyle name="Obliczenia 2 6 4 10 2" xfId="31581" xr:uid="{00000000-0005-0000-0000-00004B7E0000}"/>
    <cellStyle name="Obliczenia 2 6 4 11" xfId="31582" xr:uid="{00000000-0005-0000-0000-00004C7E0000}"/>
    <cellStyle name="Obliczenia 2 6 4 11 2" xfId="31583" xr:uid="{00000000-0005-0000-0000-00004D7E0000}"/>
    <cellStyle name="Obliczenia 2 6 4 12" xfId="31584" xr:uid="{00000000-0005-0000-0000-00004E7E0000}"/>
    <cellStyle name="Obliczenia 2 6 4 2" xfId="31585" xr:uid="{00000000-0005-0000-0000-00004F7E0000}"/>
    <cellStyle name="Obliczenia 2 6 4 2 2" xfId="31586" xr:uid="{00000000-0005-0000-0000-0000507E0000}"/>
    <cellStyle name="Obliczenia 2 6 4 2 2 2" xfId="31587" xr:uid="{00000000-0005-0000-0000-0000517E0000}"/>
    <cellStyle name="Obliczenia 2 6 4 2 2 2 2" xfId="31588" xr:uid="{00000000-0005-0000-0000-0000527E0000}"/>
    <cellStyle name="Obliczenia 2 6 4 2 2 2 2 2" xfId="31589" xr:uid="{00000000-0005-0000-0000-0000537E0000}"/>
    <cellStyle name="Obliczenia 2 6 4 2 2 2 3" xfId="31590" xr:uid="{00000000-0005-0000-0000-0000547E0000}"/>
    <cellStyle name="Obliczenia 2 6 4 2 2 3" xfId="31591" xr:uid="{00000000-0005-0000-0000-0000557E0000}"/>
    <cellStyle name="Obliczenia 2 6 4 2 2 3 2" xfId="31592" xr:uid="{00000000-0005-0000-0000-0000567E0000}"/>
    <cellStyle name="Obliczenia 2 6 4 2 2 3 2 2" xfId="31593" xr:uid="{00000000-0005-0000-0000-0000577E0000}"/>
    <cellStyle name="Obliczenia 2 6 4 2 2 3 3" xfId="31594" xr:uid="{00000000-0005-0000-0000-0000587E0000}"/>
    <cellStyle name="Obliczenia 2 6 4 2 2 4" xfId="31595" xr:uid="{00000000-0005-0000-0000-0000597E0000}"/>
    <cellStyle name="Obliczenia 2 6 4 2 2 4 2" xfId="31596" xr:uid="{00000000-0005-0000-0000-00005A7E0000}"/>
    <cellStyle name="Obliczenia 2 6 4 2 2 4 2 2" xfId="31597" xr:uid="{00000000-0005-0000-0000-00005B7E0000}"/>
    <cellStyle name="Obliczenia 2 6 4 2 2 4 3" xfId="31598" xr:uid="{00000000-0005-0000-0000-00005C7E0000}"/>
    <cellStyle name="Obliczenia 2 6 4 2 2 5" xfId="31599" xr:uid="{00000000-0005-0000-0000-00005D7E0000}"/>
    <cellStyle name="Obliczenia 2 6 4 2 2 5 2" xfId="31600" xr:uid="{00000000-0005-0000-0000-00005E7E0000}"/>
    <cellStyle name="Obliczenia 2 6 4 2 2 6" xfId="31601" xr:uid="{00000000-0005-0000-0000-00005F7E0000}"/>
    <cellStyle name="Obliczenia 2 6 4 2 2 6 2" xfId="31602" xr:uid="{00000000-0005-0000-0000-0000607E0000}"/>
    <cellStyle name="Obliczenia 2 6 4 2 2 7" xfId="31603" xr:uid="{00000000-0005-0000-0000-0000617E0000}"/>
    <cellStyle name="Obliczenia 2 6 4 2 3" xfId="31604" xr:uid="{00000000-0005-0000-0000-0000627E0000}"/>
    <cellStyle name="Obliczenia 2 6 4 2 3 2" xfId="31605" xr:uid="{00000000-0005-0000-0000-0000637E0000}"/>
    <cellStyle name="Obliczenia 2 6 4 2 3 2 2" xfId="31606" xr:uid="{00000000-0005-0000-0000-0000647E0000}"/>
    <cellStyle name="Obliczenia 2 6 4 2 3 3" xfId="31607" xr:uid="{00000000-0005-0000-0000-0000657E0000}"/>
    <cellStyle name="Obliczenia 2 6 4 2 4" xfId="31608" xr:uid="{00000000-0005-0000-0000-0000667E0000}"/>
    <cellStyle name="Obliczenia 2 6 4 2 4 2" xfId="31609" xr:uid="{00000000-0005-0000-0000-0000677E0000}"/>
    <cellStyle name="Obliczenia 2 6 4 2 4 2 2" xfId="31610" xr:uid="{00000000-0005-0000-0000-0000687E0000}"/>
    <cellStyle name="Obliczenia 2 6 4 2 4 3" xfId="31611" xr:uid="{00000000-0005-0000-0000-0000697E0000}"/>
    <cellStyle name="Obliczenia 2 6 4 2 5" xfId="31612" xr:uid="{00000000-0005-0000-0000-00006A7E0000}"/>
    <cellStyle name="Obliczenia 2 6 4 2 5 2" xfId="31613" xr:uid="{00000000-0005-0000-0000-00006B7E0000}"/>
    <cellStyle name="Obliczenia 2 6 4 2 5 2 2" xfId="31614" xr:uid="{00000000-0005-0000-0000-00006C7E0000}"/>
    <cellStyle name="Obliczenia 2 6 4 2 5 3" xfId="31615" xr:uid="{00000000-0005-0000-0000-00006D7E0000}"/>
    <cellStyle name="Obliczenia 2 6 4 2 6" xfId="31616" xr:uid="{00000000-0005-0000-0000-00006E7E0000}"/>
    <cellStyle name="Obliczenia 2 6 4 2 6 2" xfId="31617" xr:uid="{00000000-0005-0000-0000-00006F7E0000}"/>
    <cellStyle name="Obliczenia 2 6 4 2 7" xfId="31618" xr:uid="{00000000-0005-0000-0000-0000707E0000}"/>
    <cellStyle name="Obliczenia 2 6 4 2 7 2" xfId="31619" xr:uid="{00000000-0005-0000-0000-0000717E0000}"/>
    <cellStyle name="Obliczenia 2 6 4 2 8" xfId="31620" xr:uid="{00000000-0005-0000-0000-0000727E0000}"/>
    <cellStyle name="Obliczenia 2 6 4 3" xfId="31621" xr:uid="{00000000-0005-0000-0000-0000737E0000}"/>
    <cellStyle name="Obliczenia 2 6 4 3 2" xfId="31622" xr:uid="{00000000-0005-0000-0000-0000747E0000}"/>
    <cellStyle name="Obliczenia 2 6 4 3 2 2" xfId="31623" xr:uid="{00000000-0005-0000-0000-0000757E0000}"/>
    <cellStyle name="Obliczenia 2 6 4 3 3" xfId="31624" xr:uid="{00000000-0005-0000-0000-0000767E0000}"/>
    <cellStyle name="Obliczenia 2 6 4 4" xfId="31625" xr:uid="{00000000-0005-0000-0000-0000777E0000}"/>
    <cellStyle name="Obliczenia 2 6 4 4 2" xfId="31626" xr:uid="{00000000-0005-0000-0000-0000787E0000}"/>
    <cellStyle name="Obliczenia 2 6 4 4 2 2" xfId="31627" xr:uid="{00000000-0005-0000-0000-0000797E0000}"/>
    <cellStyle name="Obliczenia 2 6 4 4 3" xfId="31628" xr:uid="{00000000-0005-0000-0000-00007A7E0000}"/>
    <cellStyle name="Obliczenia 2 6 4 5" xfId="31629" xr:uid="{00000000-0005-0000-0000-00007B7E0000}"/>
    <cellStyle name="Obliczenia 2 6 4 5 2" xfId="31630" xr:uid="{00000000-0005-0000-0000-00007C7E0000}"/>
    <cellStyle name="Obliczenia 2 6 4 5 2 2" xfId="31631" xr:uid="{00000000-0005-0000-0000-00007D7E0000}"/>
    <cellStyle name="Obliczenia 2 6 4 5 3" xfId="31632" xr:uid="{00000000-0005-0000-0000-00007E7E0000}"/>
    <cellStyle name="Obliczenia 2 6 4 6" xfId="31633" xr:uid="{00000000-0005-0000-0000-00007F7E0000}"/>
    <cellStyle name="Obliczenia 2 6 4 6 2" xfId="31634" xr:uid="{00000000-0005-0000-0000-0000807E0000}"/>
    <cellStyle name="Obliczenia 2 6 4 6 2 2" xfId="31635" xr:uid="{00000000-0005-0000-0000-0000817E0000}"/>
    <cellStyle name="Obliczenia 2 6 4 6 3" xfId="31636" xr:uid="{00000000-0005-0000-0000-0000827E0000}"/>
    <cellStyle name="Obliczenia 2 6 4 7" xfId="31637" xr:uid="{00000000-0005-0000-0000-0000837E0000}"/>
    <cellStyle name="Obliczenia 2 6 4 7 2" xfId="31638" xr:uid="{00000000-0005-0000-0000-0000847E0000}"/>
    <cellStyle name="Obliczenia 2 6 4 7 2 2" xfId="31639" xr:uid="{00000000-0005-0000-0000-0000857E0000}"/>
    <cellStyle name="Obliczenia 2 6 4 7 2 2 2" xfId="31640" xr:uid="{00000000-0005-0000-0000-0000867E0000}"/>
    <cellStyle name="Obliczenia 2 6 4 7 2 3" xfId="31641" xr:uid="{00000000-0005-0000-0000-0000877E0000}"/>
    <cellStyle name="Obliczenia 2 6 4 7 3" xfId="31642" xr:uid="{00000000-0005-0000-0000-0000887E0000}"/>
    <cellStyle name="Obliczenia 2 6 4 7 3 2" xfId="31643" xr:uid="{00000000-0005-0000-0000-0000897E0000}"/>
    <cellStyle name="Obliczenia 2 6 4 7 3 2 2" xfId="31644" xr:uid="{00000000-0005-0000-0000-00008A7E0000}"/>
    <cellStyle name="Obliczenia 2 6 4 7 3 3" xfId="31645" xr:uid="{00000000-0005-0000-0000-00008B7E0000}"/>
    <cellStyle name="Obliczenia 2 6 4 7 4" xfId="31646" xr:uid="{00000000-0005-0000-0000-00008C7E0000}"/>
    <cellStyle name="Obliczenia 2 6 4 7 4 2" xfId="31647" xr:uid="{00000000-0005-0000-0000-00008D7E0000}"/>
    <cellStyle name="Obliczenia 2 6 4 7 4 2 2" xfId="31648" xr:uid="{00000000-0005-0000-0000-00008E7E0000}"/>
    <cellStyle name="Obliczenia 2 6 4 7 4 3" xfId="31649" xr:uid="{00000000-0005-0000-0000-00008F7E0000}"/>
    <cellStyle name="Obliczenia 2 6 4 7 5" xfId="31650" xr:uid="{00000000-0005-0000-0000-0000907E0000}"/>
    <cellStyle name="Obliczenia 2 6 4 7 5 2" xfId="31651" xr:uid="{00000000-0005-0000-0000-0000917E0000}"/>
    <cellStyle name="Obliczenia 2 6 4 7 6" xfId="31652" xr:uid="{00000000-0005-0000-0000-0000927E0000}"/>
    <cellStyle name="Obliczenia 2 6 4 7 6 2" xfId="31653" xr:uid="{00000000-0005-0000-0000-0000937E0000}"/>
    <cellStyle name="Obliczenia 2 6 4 7 7" xfId="31654" xr:uid="{00000000-0005-0000-0000-0000947E0000}"/>
    <cellStyle name="Obliczenia 2 6 4 8" xfId="31655" xr:uid="{00000000-0005-0000-0000-0000957E0000}"/>
    <cellStyle name="Obliczenia 2 6 4 8 2" xfId="31656" xr:uid="{00000000-0005-0000-0000-0000967E0000}"/>
    <cellStyle name="Obliczenia 2 6 4 8 2 2" xfId="31657" xr:uid="{00000000-0005-0000-0000-0000977E0000}"/>
    <cellStyle name="Obliczenia 2 6 4 8 3" xfId="31658" xr:uid="{00000000-0005-0000-0000-0000987E0000}"/>
    <cellStyle name="Obliczenia 2 6 4 9" xfId="31659" xr:uid="{00000000-0005-0000-0000-0000997E0000}"/>
    <cellStyle name="Obliczenia 2 6 4 9 2" xfId="31660" xr:uid="{00000000-0005-0000-0000-00009A7E0000}"/>
    <cellStyle name="Obliczenia 2 6 4 9 2 2" xfId="31661" xr:uid="{00000000-0005-0000-0000-00009B7E0000}"/>
    <cellStyle name="Obliczenia 2 6 4 9 3" xfId="31662" xr:uid="{00000000-0005-0000-0000-00009C7E0000}"/>
    <cellStyle name="Obliczenia 2 6 5" xfId="31663" xr:uid="{00000000-0005-0000-0000-00009D7E0000}"/>
    <cellStyle name="Obliczenia 2 6 5 2" xfId="31664" xr:uid="{00000000-0005-0000-0000-00009E7E0000}"/>
    <cellStyle name="Obliczenia 2 6 5 2 2" xfId="31665" xr:uid="{00000000-0005-0000-0000-00009F7E0000}"/>
    <cellStyle name="Obliczenia 2 6 5 2 2 2" xfId="31666" xr:uid="{00000000-0005-0000-0000-0000A07E0000}"/>
    <cellStyle name="Obliczenia 2 6 5 2 2 2 2" xfId="31667" xr:uid="{00000000-0005-0000-0000-0000A17E0000}"/>
    <cellStyle name="Obliczenia 2 6 5 2 2 3" xfId="31668" xr:uid="{00000000-0005-0000-0000-0000A27E0000}"/>
    <cellStyle name="Obliczenia 2 6 5 2 3" xfId="31669" xr:uid="{00000000-0005-0000-0000-0000A37E0000}"/>
    <cellStyle name="Obliczenia 2 6 5 2 3 2" xfId="31670" xr:uid="{00000000-0005-0000-0000-0000A47E0000}"/>
    <cellStyle name="Obliczenia 2 6 5 2 3 2 2" xfId="31671" xr:uid="{00000000-0005-0000-0000-0000A57E0000}"/>
    <cellStyle name="Obliczenia 2 6 5 2 3 3" xfId="31672" xr:uid="{00000000-0005-0000-0000-0000A67E0000}"/>
    <cellStyle name="Obliczenia 2 6 5 2 4" xfId="31673" xr:uid="{00000000-0005-0000-0000-0000A77E0000}"/>
    <cellStyle name="Obliczenia 2 6 5 2 4 2" xfId="31674" xr:uid="{00000000-0005-0000-0000-0000A87E0000}"/>
    <cellStyle name="Obliczenia 2 6 5 2 4 2 2" xfId="31675" xr:uid="{00000000-0005-0000-0000-0000A97E0000}"/>
    <cellStyle name="Obliczenia 2 6 5 2 4 3" xfId="31676" xr:uid="{00000000-0005-0000-0000-0000AA7E0000}"/>
    <cellStyle name="Obliczenia 2 6 5 2 5" xfId="31677" xr:uid="{00000000-0005-0000-0000-0000AB7E0000}"/>
    <cellStyle name="Obliczenia 2 6 5 2 5 2" xfId="31678" xr:uid="{00000000-0005-0000-0000-0000AC7E0000}"/>
    <cellStyle name="Obliczenia 2 6 5 2 6" xfId="31679" xr:uid="{00000000-0005-0000-0000-0000AD7E0000}"/>
    <cellStyle name="Obliczenia 2 6 5 2 6 2" xfId="31680" xr:uid="{00000000-0005-0000-0000-0000AE7E0000}"/>
    <cellStyle name="Obliczenia 2 6 5 2 7" xfId="31681" xr:uid="{00000000-0005-0000-0000-0000AF7E0000}"/>
    <cellStyle name="Obliczenia 2 6 5 3" xfId="31682" xr:uid="{00000000-0005-0000-0000-0000B07E0000}"/>
    <cellStyle name="Obliczenia 2 6 5 3 2" xfId="31683" xr:uid="{00000000-0005-0000-0000-0000B17E0000}"/>
    <cellStyle name="Obliczenia 2 6 5 3 2 2" xfId="31684" xr:uid="{00000000-0005-0000-0000-0000B27E0000}"/>
    <cellStyle name="Obliczenia 2 6 5 3 3" xfId="31685" xr:uid="{00000000-0005-0000-0000-0000B37E0000}"/>
    <cellStyle name="Obliczenia 2 6 5 4" xfId="31686" xr:uid="{00000000-0005-0000-0000-0000B47E0000}"/>
    <cellStyle name="Obliczenia 2 6 5 4 2" xfId="31687" xr:uid="{00000000-0005-0000-0000-0000B57E0000}"/>
    <cellStyle name="Obliczenia 2 6 5 4 2 2" xfId="31688" xr:uid="{00000000-0005-0000-0000-0000B67E0000}"/>
    <cellStyle name="Obliczenia 2 6 5 4 3" xfId="31689" xr:uid="{00000000-0005-0000-0000-0000B77E0000}"/>
    <cellStyle name="Obliczenia 2 6 5 5" xfId="31690" xr:uid="{00000000-0005-0000-0000-0000B87E0000}"/>
    <cellStyle name="Obliczenia 2 6 5 5 2" xfId="31691" xr:uid="{00000000-0005-0000-0000-0000B97E0000}"/>
    <cellStyle name="Obliczenia 2 6 5 5 2 2" xfId="31692" xr:uid="{00000000-0005-0000-0000-0000BA7E0000}"/>
    <cellStyle name="Obliczenia 2 6 5 5 3" xfId="31693" xr:uid="{00000000-0005-0000-0000-0000BB7E0000}"/>
    <cellStyle name="Obliczenia 2 6 5 6" xfId="31694" xr:uid="{00000000-0005-0000-0000-0000BC7E0000}"/>
    <cellStyle name="Obliczenia 2 6 5 6 2" xfId="31695" xr:uid="{00000000-0005-0000-0000-0000BD7E0000}"/>
    <cellStyle name="Obliczenia 2 6 5 7" xfId="31696" xr:uid="{00000000-0005-0000-0000-0000BE7E0000}"/>
    <cellStyle name="Obliczenia 2 6 5 7 2" xfId="31697" xr:uid="{00000000-0005-0000-0000-0000BF7E0000}"/>
    <cellStyle name="Obliczenia 2 6 5 8" xfId="31698" xr:uid="{00000000-0005-0000-0000-0000C07E0000}"/>
    <cellStyle name="Obliczenia 2 6 6" xfId="31699" xr:uid="{00000000-0005-0000-0000-0000C17E0000}"/>
    <cellStyle name="Obliczenia 2 6 6 2" xfId="31700" xr:uid="{00000000-0005-0000-0000-0000C27E0000}"/>
    <cellStyle name="Obliczenia 2 6 6 2 2" xfId="31701" xr:uid="{00000000-0005-0000-0000-0000C37E0000}"/>
    <cellStyle name="Obliczenia 2 6 6 3" xfId="31702" xr:uid="{00000000-0005-0000-0000-0000C47E0000}"/>
    <cellStyle name="Obliczenia 2 6 7" xfId="31703" xr:uid="{00000000-0005-0000-0000-0000C57E0000}"/>
    <cellStyle name="Obliczenia 2 6 7 2" xfId="31704" xr:uid="{00000000-0005-0000-0000-0000C67E0000}"/>
    <cellStyle name="Obliczenia 2 6 7 2 2" xfId="31705" xr:uid="{00000000-0005-0000-0000-0000C77E0000}"/>
    <cellStyle name="Obliczenia 2 6 7 3" xfId="31706" xr:uid="{00000000-0005-0000-0000-0000C87E0000}"/>
    <cellStyle name="Obliczenia 2 6 8" xfId="31707" xr:uid="{00000000-0005-0000-0000-0000C97E0000}"/>
    <cellStyle name="Obliczenia 2 6 8 2" xfId="31708" xr:uid="{00000000-0005-0000-0000-0000CA7E0000}"/>
    <cellStyle name="Obliczenia 2 6 8 2 2" xfId="31709" xr:uid="{00000000-0005-0000-0000-0000CB7E0000}"/>
    <cellStyle name="Obliczenia 2 6 8 3" xfId="31710" xr:uid="{00000000-0005-0000-0000-0000CC7E0000}"/>
    <cellStyle name="Obliczenia 2 6 9" xfId="31711" xr:uid="{00000000-0005-0000-0000-0000CD7E0000}"/>
    <cellStyle name="Obliczenia 2 6 9 2" xfId="31712" xr:uid="{00000000-0005-0000-0000-0000CE7E0000}"/>
    <cellStyle name="Obliczenia 2 6 9 2 2" xfId="31713" xr:uid="{00000000-0005-0000-0000-0000CF7E0000}"/>
    <cellStyle name="Obliczenia 2 6 9 2 2 2" xfId="31714" xr:uid="{00000000-0005-0000-0000-0000D07E0000}"/>
    <cellStyle name="Obliczenia 2 6 9 2 3" xfId="31715" xr:uid="{00000000-0005-0000-0000-0000D17E0000}"/>
    <cellStyle name="Obliczenia 2 6 9 3" xfId="31716" xr:uid="{00000000-0005-0000-0000-0000D27E0000}"/>
    <cellStyle name="Obliczenia 2 6 9 3 2" xfId="31717" xr:uid="{00000000-0005-0000-0000-0000D37E0000}"/>
    <cellStyle name="Obliczenia 2 6 9 3 2 2" xfId="31718" xr:uid="{00000000-0005-0000-0000-0000D47E0000}"/>
    <cellStyle name="Obliczenia 2 6 9 3 3" xfId="31719" xr:uid="{00000000-0005-0000-0000-0000D57E0000}"/>
    <cellStyle name="Obliczenia 2 6 9 4" xfId="31720" xr:uid="{00000000-0005-0000-0000-0000D67E0000}"/>
    <cellStyle name="Obliczenia 2 6 9 4 2" xfId="31721" xr:uid="{00000000-0005-0000-0000-0000D77E0000}"/>
    <cellStyle name="Obliczenia 2 6 9 4 2 2" xfId="31722" xr:uid="{00000000-0005-0000-0000-0000D87E0000}"/>
    <cellStyle name="Obliczenia 2 6 9 4 3" xfId="31723" xr:uid="{00000000-0005-0000-0000-0000D97E0000}"/>
    <cellStyle name="Obliczenia 2 6 9 5" xfId="31724" xr:uid="{00000000-0005-0000-0000-0000DA7E0000}"/>
    <cellStyle name="Obliczenia 2 6 9 5 2" xfId="31725" xr:uid="{00000000-0005-0000-0000-0000DB7E0000}"/>
    <cellStyle name="Obliczenia 2 6 9 6" xfId="31726" xr:uid="{00000000-0005-0000-0000-0000DC7E0000}"/>
    <cellStyle name="Obliczenia 2 6 9 6 2" xfId="31727" xr:uid="{00000000-0005-0000-0000-0000DD7E0000}"/>
    <cellStyle name="Obliczenia 2 6 9 7" xfId="31728" xr:uid="{00000000-0005-0000-0000-0000DE7E0000}"/>
    <cellStyle name="Obliczenia 2 7" xfId="31729" xr:uid="{00000000-0005-0000-0000-0000DF7E0000}"/>
    <cellStyle name="Obliczenia 2 7 2" xfId="31730" xr:uid="{00000000-0005-0000-0000-0000E07E0000}"/>
    <cellStyle name="Obliczenia 2 7 2 2" xfId="31731" xr:uid="{00000000-0005-0000-0000-0000E17E0000}"/>
    <cellStyle name="Obliczenia 2 7 3" xfId="31732" xr:uid="{00000000-0005-0000-0000-0000E27E0000}"/>
    <cellStyle name="Obliczenia 2 8" xfId="31733" xr:uid="{00000000-0005-0000-0000-0000E37E0000}"/>
    <cellStyle name="Obliczenia 2 8 10" xfId="31734" xr:uid="{00000000-0005-0000-0000-0000E47E0000}"/>
    <cellStyle name="Obliczenia 2 8 10 2" xfId="31735" xr:uid="{00000000-0005-0000-0000-0000E57E0000}"/>
    <cellStyle name="Obliczenia 2 8 10 2 2" xfId="31736" xr:uid="{00000000-0005-0000-0000-0000E67E0000}"/>
    <cellStyle name="Obliczenia 2 8 10 3" xfId="31737" xr:uid="{00000000-0005-0000-0000-0000E77E0000}"/>
    <cellStyle name="Obliczenia 2 8 11" xfId="31738" xr:uid="{00000000-0005-0000-0000-0000E87E0000}"/>
    <cellStyle name="Obliczenia 2 8 11 2" xfId="31739" xr:uid="{00000000-0005-0000-0000-0000E97E0000}"/>
    <cellStyle name="Obliczenia 2 8 11 2 2" xfId="31740" xr:uid="{00000000-0005-0000-0000-0000EA7E0000}"/>
    <cellStyle name="Obliczenia 2 8 11 3" xfId="31741" xr:uid="{00000000-0005-0000-0000-0000EB7E0000}"/>
    <cellStyle name="Obliczenia 2 8 12" xfId="31742" xr:uid="{00000000-0005-0000-0000-0000EC7E0000}"/>
    <cellStyle name="Obliczenia 2 8 12 2" xfId="31743" xr:uid="{00000000-0005-0000-0000-0000ED7E0000}"/>
    <cellStyle name="Obliczenia 2 8 13" xfId="31744" xr:uid="{00000000-0005-0000-0000-0000EE7E0000}"/>
    <cellStyle name="Obliczenia 2 8 13 2" xfId="31745" xr:uid="{00000000-0005-0000-0000-0000EF7E0000}"/>
    <cellStyle name="Obliczenia 2 8 14" xfId="31746" xr:uid="{00000000-0005-0000-0000-0000F07E0000}"/>
    <cellStyle name="Obliczenia 2 8 2" xfId="31747" xr:uid="{00000000-0005-0000-0000-0000F17E0000}"/>
    <cellStyle name="Obliczenia 2 8 2 10" xfId="31748" xr:uid="{00000000-0005-0000-0000-0000F27E0000}"/>
    <cellStyle name="Obliczenia 2 8 2 10 2" xfId="31749" xr:uid="{00000000-0005-0000-0000-0000F37E0000}"/>
    <cellStyle name="Obliczenia 2 8 2 10 2 2" xfId="31750" xr:uid="{00000000-0005-0000-0000-0000F47E0000}"/>
    <cellStyle name="Obliczenia 2 8 2 10 3" xfId="31751" xr:uid="{00000000-0005-0000-0000-0000F57E0000}"/>
    <cellStyle name="Obliczenia 2 8 2 11" xfId="31752" xr:uid="{00000000-0005-0000-0000-0000F67E0000}"/>
    <cellStyle name="Obliczenia 2 8 2 11 2" xfId="31753" xr:uid="{00000000-0005-0000-0000-0000F77E0000}"/>
    <cellStyle name="Obliczenia 2 8 2 12" xfId="31754" xr:uid="{00000000-0005-0000-0000-0000F87E0000}"/>
    <cellStyle name="Obliczenia 2 8 2 12 2" xfId="31755" xr:uid="{00000000-0005-0000-0000-0000F97E0000}"/>
    <cellStyle name="Obliczenia 2 8 2 13" xfId="31756" xr:uid="{00000000-0005-0000-0000-0000FA7E0000}"/>
    <cellStyle name="Obliczenia 2 8 2 2" xfId="31757" xr:uid="{00000000-0005-0000-0000-0000FB7E0000}"/>
    <cellStyle name="Obliczenia 2 8 2 2 10" xfId="31758" xr:uid="{00000000-0005-0000-0000-0000FC7E0000}"/>
    <cellStyle name="Obliczenia 2 8 2 2 10 2" xfId="31759" xr:uid="{00000000-0005-0000-0000-0000FD7E0000}"/>
    <cellStyle name="Obliczenia 2 8 2 2 11" xfId="31760" xr:uid="{00000000-0005-0000-0000-0000FE7E0000}"/>
    <cellStyle name="Obliczenia 2 8 2 2 11 2" xfId="31761" xr:uid="{00000000-0005-0000-0000-0000FF7E0000}"/>
    <cellStyle name="Obliczenia 2 8 2 2 12" xfId="31762" xr:uid="{00000000-0005-0000-0000-0000007F0000}"/>
    <cellStyle name="Obliczenia 2 8 2 2 2" xfId="31763" xr:uid="{00000000-0005-0000-0000-0000017F0000}"/>
    <cellStyle name="Obliczenia 2 8 2 2 2 10" xfId="31764" xr:uid="{00000000-0005-0000-0000-0000027F0000}"/>
    <cellStyle name="Obliczenia 2 8 2 2 2 10 2" xfId="31765" xr:uid="{00000000-0005-0000-0000-0000037F0000}"/>
    <cellStyle name="Obliczenia 2 8 2 2 2 11" xfId="31766" xr:uid="{00000000-0005-0000-0000-0000047F0000}"/>
    <cellStyle name="Obliczenia 2 8 2 2 2 11 2" xfId="31767" xr:uid="{00000000-0005-0000-0000-0000057F0000}"/>
    <cellStyle name="Obliczenia 2 8 2 2 2 12" xfId="31768" xr:uid="{00000000-0005-0000-0000-0000067F0000}"/>
    <cellStyle name="Obliczenia 2 8 2 2 2 2" xfId="31769" xr:uid="{00000000-0005-0000-0000-0000077F0000}"/>
    <cellStyle name="Obliczenia 2 8 2 2 2 2 2" xfId="31770" xr:uid="{00000000-0005-0000-0000-0000087F0000}"/>
    <cellStyle name="Obliczenia 2 8 2 2 2 2 2 2" xfId="31771" xr:uid="{00000000-0005-0000-0000-0000097F0000}"/>
    <cellStyle name="Obliczenia 2 8 2 2 2 2 2 2 2" xfId="31772" xr:uid="{00000000-0005-0000-0000-00000A7F0000}"/>
    <cellStyle name="Obliczenia 2 8 2 2 2 2 2 2 2 2" xfId="31773" xr:uid="{00000000-0005-0000-0000-00000B7F0000}"/>
    <cellStyle name="Obliczenia 2 8 2 2 2 2 2 2 3" xfId="31774" xr:uid="{00000000-0005-0000-0000-00000C7F0000}"/>
    <cellStyle name="Obliczenia 2 8 2 2 2 2 2 3" xfId="31775" xr:uid="{00000000-0005-0000-0000-00000D7F0000}"/>
    <cellStyle name="Obliczenia 2 8 2 2 2 2 2 3 2" xfId="31776" xr:uid="{00000000-0005-0000-0000-00000E7F0000}"/>
    <cellStyle name="Obliczenia 2 8 2 2 2 2 2 3 2 2" xfId="31777" xr:uid="{00000000-0005-0000-0000-00000F7F0000}"/>
    <cellStyle name="Obliczenia 2 8 2 2 2 2 2 3 3" xfId="31778" xr:uid="{00000000-0005-0000-0000-0000107F0000}"/>
    <cellStyle name="Obliczenia 2 8 2 2 2 2 2 4" xfId="31779" xr:uid="{00000000-0005-0000-0000-0000117F0000}"/>
    <cellStyle name="Obliczenia 2 8 2 2 2 2 2 4 2" xfId="31780" xr:uid="{00000000-0005-0000-0000-0000127F0000}"/>
    <cellStyle name="Obliczenia 2 8 2 2 2 2 2 4 2 2" xfId="31781" xr:uid="{00000000-0005-0000-0000-0000137F0000}"/>
    <cellStyle name="Obliczenia 2 8 2 2 2 2 2 4 3" xfId="31782" xr:uid="{00000000-0005-0000-0000-0000147F0000}"/>
    <cellStyle name="Obliczenia 2 8 2 2 2 2 2 5" xfId="31783" xr:uid="{00000000-0005-0000-0000-0000157F0000}"/>
    <cellStyle name="Obliczenia 2 8 2 2 2 2 2 5 2" xfId="31784" xr:uid="{00000000-0005-0000-0000-0000167F0000}"/>
    <cellStyle name="Obliczenia 2 8 2 2 2 2 2 6" xfId="31785" xr:uid="{00000000-0005-0000-0000-0000177F0000}"/>
    <cellStyle name="Obliczenia 2 8 2 2 2 2 2 6 2" xfId="31786" xr:uid="{00000000-0005-0000-0000-0000187F0000}"/>
    <cellStyle name="Obliczenia 2 8 2 2 2 2 2 7" xfId="31787" xr:uid="{00000000-0005-0000-0000-0000197F0000}"/>
    <cellStyle name="Obliczenia 2 8 2 2 2 2 3" xfId="31788" xr:uid="{00000000-0005-0000-0000-00001A7F0000}"/>
    <cellStyle name="Obliczenia 2 8 2 2 2 2 3 2" xfId="31789" xr:uid="{00000000-0005-0000-0000-00001B7F0000}"/>
    <cellStyle name="Obliczenia 2 8 2 2 2 2 3 2 2" xfId="31790" xr:uid="{00000000-0005-0000-0000-00001C7F0000}"/>
    <cellStyle name="Obliczenia 2 8 2 2 2 2 3 3" xfId="31791" xr:uid="{00000000-0005-0000-0000-00001D7F0000}"/>
    <cellStyle name="Obliczenia 2 8 2 2 2 2 4" xfId="31792" xr:uid="{00000000-0005-0000-0000-00001E7F0000}"/>
    <cellStyle name="Obliczenia 2 8 2 2 2 2 4 2" xfId="31793" xr:uid="{00000000-0005-0000-0000-00001F7F0000}"/>
    <cellStyle name="Obliczenia 2 8 2 2 2 2 4 2 2" xfId="31794" xr:uid="{00000000-0005-0000-0000-0000207F0000}"/>
    <cellStyle name="Obliczenia 2 8 2 2 2 2 4 3" xfId="31795" xr:uid="{00000000-0005-0000-0000-0000217F0000}"/>
    <cellStyle name="Obliczenia 2 8 2 2 2 2 5" xfId="31796" xr:uid="{00000000-0005-0000-0000-0000227F0000}"/>
    <cellStyle name="Obliczenia 2 8 2 2 2 2 5 2" xfId="31797" xr:uid="{00000000-0005-0000-0000-0000237F0000}"/>
    <cellStyle name="Obliczenia 2 8 2 2 2 2 5 2 2" xfId="31798" xr:uid="{00000000-0005-0000-0000-0000247F0000}"/>
    <cellStyle name="Obliczenia 2 8 2 2 2 2 5 3" xfId="31799" xr:uid="{00000000-0005-0000-0000-0000257F0000}"/>
    <cellStyle name="Obliczenia 2 8 2 2 2 2 6" xfId="31800" xr:uid="{00000000-0005-0000-0000-0000267F0000}"/>
    <cellStyle name="Obliczenia 2 8 2 2 2 2 6 2" xfId="31801" xr:uid="{00000000-0005-0000-0000-0000277F0000}"/>
    <cellStyle name="Obliczenia 2 8 2 2 2 2 7" xfId="31802" xr:uid="{00000000-0005-0000-0000-0000287F0000}"/>
    <cellStyle name="Obliczenia 2 8 2 2 2 2 7 2" xfId="31803" xr:uid="{00000000-0005-0000-0000-0000297F0000}"/>
    <cellStyle name="Obliczenia 2 8 2 2 2 2 8" xfId="31804" xr:uid="{00000000-0005-0000-0000-00002A7F0000}"/>
    <cellStyle name="Obliczenia 2 8 2 2 2 3" xfId="31805" xr:uid="{00000000-0005-0000-0000-00002B7F0000}"/>
    <cellStyle name="Obliczenia 2 8 2 2 2 3 2" xfId="31806" xr:uid="{00000000-0005-0000-0000-00002C7F0000}"/>
    <cellStyle name="Obliczenia 2 8 2 2 2 3 2 2" xfId="31807" xr:uid="{00000000-0005-0000-0000-00002D7F0000}"/>
    <cellStyle name="Obliczenia 2 8 2 2 2 3 3" xfId="31808" xr:uid="{00000000-0005-0000-0000-00002E7F0000}"/>
    <cellStyle name="Obliczenia 2 8 2 2 2 4" xfId="31809" xr:uid="{00000000-0005-0000-0000-00002F7F0000}"/>
    <cellStyle name="Obliczenia 2 8 2 2 2 4 2" xfId="31810" xr:uid="{00000000-0005-0000-0000-0000307F0000}"/>
    <cellStyle name="Obliczenia 2 8 2 2 2 4 2 2" xfId="31811" xr:uid="{00000000-0005-0000-0000-0000317F0000}"/>
    <cellStyle name="Obliczenia 2 8 2 2 2 4 3" xfId="31812" xr:uid="{00000000-0005-0000-0000-0000327F0000}"/>
    <cellStyle name="Obliczenia 2 8 2 2 2 5" xfId="31813" xr:uid="{00000000-0005-0000-0000-0000337F0000}"/>
    <cellStyle name="Obliczenia 2 8 2 2 2 5 2" xfId="31814" xr:uid="{00000000-0005-0000-0000-0000347F0000}"/>
    <cellStyle name="Obliczenia 2 8 2 2 2 5 2 2" xfId="31815" xr:uid="{00000000-0005-0000-0000-0000357F0000}"/>
    <cellStyle name="Obliczenia 2 8 2 2 2 5 3" xfId="31816" xr:uid="{00000000-0005-0000-0000-0000367F0000}"/>
    <cellStyle name="Obliczenia 2 8 2 2 2 6" xfId="31817" xr:uid="{00000000-0005-0000-0000-0000377F0000}"/>
    <cellStyle name="Obliczenia 2 8 2 2 2 6 2" xfId="31818" xr:uid="{00000000-0005-0000-0000-0000387F0000}"/>
    <cellStyle name="Obliczenia 2 8 2 2 2 6 2 2" xfId="31819" xr:uid="{00000000-0005-0000-0000-0000397F0000}"/>
    <cellStyle name="Obliczenia 2 8 2 2 2 6 3" xfId="31820" xr:uid="{00000000-0005-0000-0000-00003A7F0000}"/>
    <cellStyle name="Obliczenia 2 8 2 2 2 7" xfId="31821" xr:uid="{00000000-0005-0000-0000-00003B7F0000}"/>
    <cellStyle name="Obliczenia 2 8 2 2 2 7 2" xfId="31822" xr:uid="{00000000-0005-0000-0000-00003C7F0000}"/>
    <cellStyle name="Obliczenia 2 8 2 2 2 7 2 2" xfId="31823" xr:uid="{00000000-0005-0000-0000-00003D7F0000}"/>
    <cellStyle name="Obliczenia 2 8 2 2 2 7 2 2 2" xfId="31824" xr:uid="{00000000-0005-0000-0000-00003E7F0000}"/>
    <cellStyle name="Obliczenia 2 8 2 2 2 7 2 3" xfId="31825" xr:uid="{00000000-0005-0000-0000-00003F7F0000}"/>
    <cellStyle name="Obliczenia 2 8 2 2 2 7 3" xfId="31826" xr:uid="{00000000-0005-0000-0000-0000407F0000}"/>
    <cellStyle name="Obliczenia 2 8 2 2 2 7 3 2" xfId="31827" xr:uid="{00000000-0005-0000-0000-0000417F0000}"/>
    <cellStyle name="Obliczenia 2 8 2 2 2 7 3 2 2" xfId="31828" xr:uid="{00000000-0005-0000-0000-0000427F0000}"/>
    <cellStyle name="Obliczenia 2 8 2 2 2 7 3 3" xfId="31829" xr:uid="{00000000-0005-0000-0000-0000437F0000}"/>
    <cellStyle name="Obliczenia 2 8 2 2 2 7 4" xfId="31830" xr:uid="{00000000-0005-0000-0000-0000447F0000}"/>
    <cellStyle name="Obliczenia 2 8 2 2 2 7 4 2" xfId="31831" xr:uid="{00000000-0005-0000-0000-0000457F0000}"/>
    <cellStyle name="Obliczenia 2 8 2 2 2 7 4 2 2" xfId="31832" xr:uid="{00000000-0005-0000-0000-0000467F0000}"/>
    <cellStyle name="Obliczenia 2 8 2 2 2 7 4 3" xfId="31833" xr:uid="{00000000-0005-0000-0000-0000477F0000}"/>
    <cellStyle name="Obliczenia 2 8 2 2 2 7 5" xfId="31834" xr:uid="{00000000-0005-0000-0000-0000487F0000}"/>
    <cellStyle name="Obliczenia 2 8 2 2 2 7 5 2" xfId="31835" xr:uid="{00000000-0005-0000-0000-0000497F0000}"/>
    <cellStyle name="Obliczenia 2 8 2 2 2 7 6" xfId="31836" xr:uid="{00000000-0005-0000-0000-00004A7F0000}"/>
    <cellStyle name="Obliczenia 2 8 2 2 2 7 6 2" xfId="31837" xr:uid="{00000000-0005-0000-0000-00004B7F0000}"/>
    <cellStyle name="Obliczenia 2 8 2 2 2 7 7" xfId="31838" xr:uid="{00000000-0005-0000-0000-00004C7F0000}"/>
    <cellStyle name="Obliczenia 2 8 2 2 2 8" xfId="31839" xr:uid="{00000000-0005-0000-0000-00004D7F0000}"/>
    <cellStyle name="Obliczenia 2 8 2 2 2 8 2" xfId="31840" xr:uid="{00000000-0005-0000-0000-00004E7F0000}"/>
    <cellStyle name="Obliczenia 2 8 2 2 2 8 2 2" xfId="31841" xr:uid="{00000000-0005-0000-0000-00004F7F0000}"/>
    <cellStyle name="Obliczenia 2 8 2 2 2 8 3" xfId="31842" xr:uid="{00000000-0005-0000-0000-0000507F0000}"/>
    <cellStyle name="Obliczenia 2 8 2 2 2 9" xfId="31843" xr:uid="{00000000-0005-0000-0000-0000517F0000}"/>
    <cellStyle name="Obliczenia 2 8 2 2 2 9 2" xfId="31844" xr:uid="{00000000-0005-0000-0000-0000527F0000}"/>
    <cellStyle name="Obliczenia 2 8 2 2 2 9 2 2" xfId="31845" xr:uid="{00000000-0005-0000-0000-0000537F0000}"/>
    <cellStyle name="Obliczenia 2 8 2 2 2 9 3" xfId="31846" xr:uid="{00000000-0005-0000-0000-0000547F0000}"/>
    <cellStyle name="Obliczenia 2 8 2 2 3" xfId="31847" xr:uid="{00000000-0005-0000-0000-0000557F0000}"/>
    <cellStyle name="Obliczenia 2 8 2 2 3 2" xfId="31848" xr:uid="{00000000-0005-0000-0000-0000567F0000}"/>
    <cellStyle name="Obliczenia 2 8 2 2 3 2 2" xfId="31849" xr:uid="{00000000-0005-0000-0000-0000577F0000}"/>
    <cellStyle name="Obliczenia 2 8 2 2 3 2 2 2" xfId="31850" xr:uid="{00000000-0005-0000-0000-0000587F0000}"/>
    <cellStyle name="Obliczenia 2 8 2 2 3 2 2 2 2" xfId="31851" xr:uid="{00000000-0005-0000-0000-0000597F0000}"/>
    <cellStyle name="Obliczenia 2 8 2 2 3 2 2 3" xfId="31852" xr:uid="{00000000-0005-0000-0000-00005A7F0000}"/>
    <cellStyle name="Obliczenia 2 8 2 2 3 2 3" xfId="31853" xr:uid="{00000000-0005-0000-0000-00005B7F0000}"/>
    <cellStyle name="Obliczenia 2 8 2 2 3 2 3 2" xfId="31854" xr:uid="{00000000-0005-0000-0000-00005C7F0000}"/>
    <cellStyle name="Obliczenia 2 8 2 2 3 2 3 2 2" xfId="31855" xr:uid="{00000000-0005-0000-0000-00005D7F0000}"/>
    <cellStyle name="Obliczenia 2 8 2 2 3 2 3 3" xfId="31856" xr:uid="{00000000-0005-0000-0000-00005E7F0000}"/>
    <cellStyle name="Obliczenia 2 8 2 2 3 2 4" xfId="31857" xr:uid="{00000000-0005-0000-0000-00005F7F0000}"/>
    <cellStyle name="Obliczenia 2 8 2 2 3 2 4 2" xfId="31858" xr:uid="{00000000-0005-0000-0000-0000607F0000}"/>
    <cellStyle name="Obliczenia 2 8 2 2 3 2 4 2 2" xfId="31859" xr:uid="{00000000-0005-0000-0000-0000617F0000}"/>
    <cellStyle name="Obliczenia 2 8 2 2 3 2 4 3" xfId="31860" xr:uid="{00000000-0005-0000-0000-0000627F0000}"/>
    <cellStyle name="Obliczenia 2 8 2 2 3 2 5" xfId="31861" xr:uid="{00000000-0005-0000-0000-0000637F0000}"/>
    <cellStyle name="Obliczenia 2 8 2 2 3 2 5 2" xfId="31862" xr:uid="{00000000-0005-0000-0000-0000647F0000}"/>
    <cellStyle name="Obliczenia 2 8 2 2 3 2 6" xfId="31863" xr:uid="{00000000-0005-0000-0000-0000657F0000}"/>
    <cellStyle name="Obliczenia 2 8 2 2 3 2 6 2" xfId="31864" xr:uid="{00000000-0005-0000-0000-0000667F0000}"/>
    <cellStyle name="Obliczenia 2 8 2 2 3 2 7" xfId="31865" xr:uid="{00000000-0005-0000-0000-0000677F0000}"/>
    <cellStyle name="Obliczenia 2 8 2 2 3 3" xfId="31866" xr:uid="{00000000-0005-0000-0000-0000687F0000}"/>
    <cellStyle name="Obliczenia 2 8 2 2 3 3 2" xfId="31867" xr:uid="{00000000-0005-0000-0000-0000697F0000}"/>
    <cellStyle name="Obliczenia 2 8 2 2 3 3 2 2" xfId="31868" xr:uid="{00000000-0005-0000-0000-00006A7F0000}"/>
    <cellStyle name="Obliczenia 2 8 2 2 3 3 3" xfId="31869" xr:uid="{00000000-0005-0000-0000-00006B7F0000}"/>
    <cellStyle name="Obliczenia 2 8 2 2 3 4" xfId="31870" xr:uid="{00000000-0005-0000-0000-00006C7F0000}"/>
    <cellStyle name="Obliczenia 2 8 2 2 3 4 2" xfId="31871" xr:uid="{00000000-0005-0000-0000-00006D7F0000}"/>
    <cellStyle name="Obliczenia 2 8 2 2 3 4 2 2" xfId="31872" xr:uid="{00000000-0005-0000-0000-00006E7F0000}"/>
    <cellStyle name="Obliczenia 2 8 2 2 3 4 3" xfId="31873" xr:uid="{00000000-0005-0000-0000-00006F7F0000}"/>
    <cellStyle name="Obliczenia 2 8 2 2 3 5" xfId="31874" xr:uid="{00000000-0005-0000-0000-0000707F0000}"/>
    <cellStyle name="Obliczenia 2 8 2 2 3 5 2" xfId="31875" xr:uid="{00000000-0005-0000-0000-0000717F0000}"/>
    <cellStyle name="Obliczenia 2 8 2 2 3 5 2 2" xfId="31876" xr:uid="{00000000-0005-0000-0000-0000727F0000}"/>
    <cellStyle name="Obliczenia 2 8 2 2 3 5 3" xfId="31877" xr:uid="{00000000-0005-0000-0000-0000737F0000}"/>
    <cellStyle name="Obliczenia 2 8 2 2 3 6" xfId="31878" xr:uid="{00000000-0005-0000-0000-0000747F0000}"/>
    <cellStyle name="Obliczenia 2 8 2 2 3 6 2" xfId="31879" xr:uid="{00000000-0005-0000-0000-0000757F0000}"/>
    <cellStyle name="Obliczenia 2 8 2 2 3 7" xfId="31880" xr:uid="{00000000-0005-0000-0000-0000767F0000}"/>
    <cellStyle name="Obliczenia 2 8 2 2 3 7 2" xfId="31881" xr:uid="{00000000-0005-0000-0000-0000777F0000}"/>
    <cellStyle name="Obliczenia 2 8 2 2 3 8" xfId="31882" xr:uid="{00000000-0005-0000-0000-0000787F0000}"/>
    <cellStyle name="Obliczenia 2 8 2 2 4" xfId="31883" xr:uid="{00000000-0005-0000-0000-0000797F0000}"/>
    <cellStyle name="Obliczenia 2 8 2 2 4 2" xfId="31884" xr:uid="{00000000-0005-0000-0000-00007A7F0000}"/>
    <cellStyle name="Obliczenia 2 8 2 2 4 2 2" xfId="31885" xr:uid="{00000000-0005-0000-0000-00007B7F0000}"/>
    <cellStyle name="Obliczenia 2 8 2 2 4 3" xfId="31886" xr:uid="{00000000-0005-0000-0000-00007C7F0000}"/>
    <cellStyle name="Obliczenia 2 8 2 2 5" xfId="31887" xr:uid="{00000000-0005-0000-0000-00007D7F0000}"/>
    <cellStyle name="Obliczenia 2 8 2 2 5 2" xfId="31888" xr:uid="{00000000-0005-0000-0000-00007E7F0000}"/>
    <cellStyle name="Obliczenia 2 8 2 2 5 2 2" xfId="31889" xr:uid="{00000000-0005-0000-0000-00007F7F0000}"/>
    <cellStyle name="Obliczenia 2 8 2 2 5 3" xfId="31890" xr:uid="{00000000-0005-0000-0000-0000807F0000}"/>
    <cellStyle name="Obliczenia 2 8 2 2 6" xfId="31891" xr:uid="{00000000-0005-0000-0000-0000817F0000}"/>
    <cellStyle name="Obliczenia 2 8 2 2 6 2" xfId="31892" xr:uid="{00000000-0005-0000-0000-0000827F0000}"/>
    <cellStyle name="Obliczenia 2 8 2 2 6 2 2" xfId="31893" xr:uid="{00000000-0005-0000-0000-0000837F0000}"/>
    <cellStyle name="Obliczenia 2 8 2 2 6 3" xfId="31894" xr:uid="{00000000-0005-0000-0000-0000847F0000}"/>
    <cellStyle name="Obliczenia 2 8 2 2 7" xfId="31895" xr:uid="{00000000-0005-0000-0000-0000857F0000}"/>
    <cellStyle name="Obliczenia 2 8 2 2 7 2" xfId="31896" xr:uid="{00000000-0005-0000-0000-0000867F0000}"/>
    <cellStyle name="Obliczenia 2 8 2 2 7 2 2" xfId="31897" xr:uid="{00000000-0005-0000-0000-0000877F0000}"/>
    <cellStyle name="Obliczenia 2 8 2 2 7 2 2 2" xfId="31898" xr:uid="{00000000-0005-0000-0000-0000887F0000}"/>
    <cellStyle name="Obliczenia 2 8 2 2 7 2 3" xfId="31899" xr:uid="{00000000-0005-0000-0000-0000897F0000}"/>
    <cellStyle name="Obliczenia 2 8 2 2 7 3" xfId="31900" xr:uid="{00000000-0005-0000-0000-00008A7F0000}"/>
    <cellStyle name="Obliczenia 2 8 2 2 7 3 2" xfId="31901" xr:uid="{00000000-0005-0000-0000-00008B7F0000}"/>
    <cellStyle name="Obliczenia 2 8 2 2 7 3 2 2" xfId="31902" xr:uid="{00000000-0005-0000-0000-00008C7F0000}"/>
    <cellStyle name="Obliczenia 2 8 2 2 7 3 3" xfId="31903" xr:uid="{00000000-0005-0000-0000-00008D7F0000}"/>
    <cellStyle name="Obliczenia 2 8 2 2 7 4" xfId="31904" xr:uid="{00000000-0005-0000-0000-00008E7F0000}"/>
    <cellStyle name="Obliczenia 2 8 2 2 7 4 2" xfId="31905" xr:uid="{00000000-0005-0000-0000-00008F7F0000}"/>
    <cellStyle name="Obliczenia 2 8 2 2 7 4 2 2" xfId="31906" xr:uid="{00000000-0005-0000-0000-0000907F0000}"/>
    <cellStyle name="Obliczenia 2 8 2 2 7 4 3" xfId="31907" xr:uid="{00000000-0005-0000-0000-0000917F0000}"/>
    <cellStyle name="Obliczenia 2 8 2 2 7 5" xfId="31908" xr:uid="{00000000-0005-0000-0000-0000927F0000}"/>
    <cellStyle name="Obliczenia 2 8 2 2 7 5 2" xfId="31909" xr:uid="{00000000-0005-0000-0000-0000937F0000}"/>
    <cellStyle name="Obliczenia 2 8 2 2 7 6" xfId="31910" xr:uid="{00000000-0005-0000-0000-0000947F0000}"/>
    <cellStyle name="Obliczenia 2 8 2 2 7 6 2" xfId="31911" xr:uid="{00000000-0005-0000-0000-0000957F0000}"/>
    <cellStyle name="Obliczenia 2 8 2 2 7 7" xfId="31912" xr:uid="{00000000-0005-0000-0000-0000967F0000}"/>
    <cellStyle name="Obliczenia 2 8 2 2 8" xfId="31913" xr:uid="{00000000-0005-0000-0000-0000977F0000}"/>
    <cellStyle name="Obliczenia 2 8 2 2 8 2" xfId="31914" xr:uid="{00000000-0005-0000-0000-0000987F0000}"/>
    <cellStyle name="Obliczenia 2 8 2 2 8 2 2" xfId="31915" xr:uid="{00000000-0005-0000-0000-0000997F0000}"/>
    <cellStyle name="Obliczenia 2 8 2 2 8 3" xfId="31916" xr:uid="{00000000-0005-0000-0000-00009A7F0000}"/>
    <cellStyle name="Obliczenia 2 8 2 2 9" xfId="31917" xr:uid="{00000000-0005-0000-0000-00009B7F0000}"/>
    <cellStyle name="Obliczenia 2 8 2 2 9 2" xfId="31918" xr:uid="{00000000-0005-0000-0000-00009C7F0000}"/>
    <cellStyle name="Obliczenia 2 8 2 2 9 2 2" xfId="31919" xr:uid="{00000000-0005-0000-0000-00009D7F0000}"/>
    <cellStyle name="Obliczenia 2 8 2 2 9 3" xfId="31920" xr:uid="{00000000-0005-0000-0000-00009E7F0000}"/>
    <cellStyle name="Obliczenia 2 8 2 3" xfId="31921" xr:uid="{00000000-0005-0000-0000-00009F7F0000}"/>
    <cellStyle name="Obliczenia 2 8 2 3 2" xfId="31922" xr:uid="{00000000-0005-0000-0000-0000A07F0000}"/>
    <cellStyle name="Obliczenia 2 8 2 3 2 2" xfId="31923" xr:uid="{00000000-0005-0000-0000-0000A17F0000}"/>
    <cellStyle name="Obliczenia 2 8 2 3 2 2 2" xfId="31924" xr:uid="{00000000-0005-0000-0000-0000A27F0000}"/>
    <cellStyle name="Obliczenia 2 8 2 3 2 2 2 2" xfId="31925" xr:uid="{00000000-0005-0000-0000-0000A37F0000}"/>
    <cellStyle name="Obliczenia 2 8 2 3 2 2 3" xfId="31926" xr:uid="{00000000-0005-0000-0000-0000A47F0000}"/>
    <cellStyle name="Obliczenia 2 8 2 3 2 3" xfId="31927" xr:uid="{00000000-0005-0000-0000-0000A57F0000}"/>
    <cellStyle name="Obliczenia 2 8 2 3 2 3 2" xfId="31928" xr:uid="{00000000-0005-0000-0000-0000A67F0000}"/>
    <cellStyle name="Obliczenia 2 8 2 3 2 3 2 2" xfId="31929" xr:uid="{00000000-0005-0000-0000-0000A77F0000}"/>
    <cellStyle name="Obliczenia 2 8 2 3 2 3 3" xfId="31930" xr:uid="{00000000-0005-0000-0000-0000A87F0000}"/>
    <cellStyle name="Obliczenia 2 8 2 3 2 4" xfId="31931" xr:uid="{00000000-0005-0000-0000-0000A97F0000}"/>
    <cellStyle name="Obliczenia 2 8 2 3 2 4 2" xfId="31932" xr:uid="{00000000-0005-0000-0000-0000AA7F0000}"/>
    <cellStyle name="Obliczenia 2 8 2 3 2 4 2 2" xfId="31933" xr:uid="{00000000-0005-0000-0000-0000AB7F0000}"/>
    <cellStyle name="Obliczenia 2 8 2 3 2 4 3" xfId="31934" xr:uid="{00000000-0005-0000-0000-0000AC7F0000}"/>
    <cellStyle name="Obliczenia 2 8 2 3 2 5" xfId="31935" xr:uid="{00000000-0005-0000-0000-0000AD7F0000}"/>
    <cellStyle name="Obliczenia 2 8 2 3 2 5 2" xfId="31936" xr:uid="{00000000-0005-0000-0000-0000AE7F0000}"/>
    <cellStyle name="Obliczenia 2 8 2 3 2 6" xfId="31937" xr:uid="{00000000-0005-0000-0000-0000AF7F0000}"/>
    <cellStyle name="Obliczenia 2 8 2 3 2 6 2" xfId="31938" xr:uid="{00000000-0005-0000-0000-0000B07F0000}"/>
    <cellStyle name="Obliczenia 2 8 2 3 2 7" xfId="31939" xr:uid="{00000000-0005-0000-0000-0000B17F0000}"/>
    <cellStyle name="Obliczenia 2 8 2 3 3" xfId="31940" xr:uid="{00000000-0005-0000-0000-0000B27F0000}"/>
    <cellStyle name="Obliczenia 2 8 2 3 3 2" xfId="31941" xr:uid="{00000000-0005-0000-0000-0000B37F0000}"/>
    <cellStyle name="Obliczenia 2 8 2 3 3 2 2" xfId="31942" xr:uid="{00000000-0005-0000-0000-0000B47F0000}"/>
    <cellStyle name="Obliczenia 2 8 2 3 3 3" xfId="31943" xr:uid="{00000000-0005-0000-0000-0000B57F0000}"/>
    <cellStyle name="Obliczenia 2 8 2 3 4" xfId="31944" xr:uid="{00000000-0005-0000-0000-0000B67F0000}"/>
    <cellStyle name="Obliczenia 2 8 2 3 4 2" xfId="31945" xr:uid="{00000000-0005-0000-0000-0000B77F0000}"/>
    <cellStyle name="Obliczenia 2 8 2 3 4 2 2" xfId="31946" xr:uid="{00000000-0005-0000-0000-0000B87F0000}"/>
    <cellStyle name="Obliczenia 2 8 2 3 4 3" xfId="31947" xr:uid="{00000000-0005-0000-0000-0000B97F0000}"/>
    <cellStyle name="Obliczenia 2 8 2 3 5" xfId="31948" xr:uid="{00000000-0005-0000-0000-0000BA7F0000}"/>
    <cellStyle name="Obliczenia 2 8 2 3 5 2" xfId="31949" xr:uid="{00000000-0005-0000-0000-0000BB7F0000}"/>
    <cellStyle name="Obliczenia 2 8 2 3 5 2 2" xfId="31950" xr:uid="{00000000-0005-0000-0000-0000BC7F0000}"/>
    <cellStyle name="Obliczenia 2 8 2 3 5 3" xfId="31951" xr:uid="{00000000-0005-0000-0000-0000BD7F0000}"/>
    <cellStyle name="Obliczenia 2 8 2 3 6" xfId="31952" xr:uid="{00000000-0005-0000-0000-0000BE7F0000}"/>
    <cellStyle name="Obliczenia 2 8 2 3 6 2" xfId="31953" xr:uid="{00000000-0005-0000-0000-0000BF7F0000}"/>
    <cellStyle name="Obliczenia 2 8 2 3 7" xfId="31954" xr:uid="{00000000-0005-0000-0000-0000C07F0000}"/>
    <cellStyle name="Obliczenia 2 8 2 3 7 2" xfId="31955" xr:uid="{00000000-0005-0000-0000-0000C17F0000}"/>
    <cellStyle name="Obliczenia 2 8 2 3 8" xfId="31956" xr:uid="{00000000-0005-0000-0000-0000C27F0000}"/>
    <cellStyle name="Obliczenia 2 8 2 4" xfId="31957" xr:uid="{00000000-0005-0000-0000-0000C37F0000}"/>
    <cellStyle name="Obliczenia 2 8 2 4 2" xfId="31958" xr:uid="{00000000-0005-0000-0000-0000C47F0000}"/>
    <cellStyle name="Obliczenia 2 8 2 4 2 2" xfId="31959" xr:uid="{00000000-0005-0000-0000-0000C57F0000}"/>
    <cellStyle name="Obliczenia 2 8 2 4 3" xfId="31960" xr:uid="{00000000-0005-0000-0000-0000C67F0000}"/>
    <cellStyle name="Obliczenia 2 8 2 5" xfId="31961" xr:uid="{00000000-0005-0000-0000-0000C77F0000}"/>
    <cellStyle name="Obliczenia 2 8 2 5 2" xfId="31962" xr:uid="{00000000-0005-0000-0000-0000C87F0000}"/>
    <cellStyle name="Obliczenia 2 8 2 5 2 2" xfId="31963" xr:uid="{00000000-0005-0000-0000-0000C97F0000}"/>
    <cellStyle name="Obliczenia 2 8 2 5 3" xfId="31964" xr:uid="{00000000-0005-0000-0000-0000CA7F0000}"/>
    <cellStyle name="Obliczenia 2 8 2 6" xfId="31965" xr:uid="{00000000-0005-0000-0000-0000CB7F0000}"/>
    <cellStyle name="Obliczenia 2 8 2 6 2" xfId="31966" xr:uid="{00000000-0005-0000-0000-0000CC7F0000}"/>
    <cellStyle name="Obliczenia 2 8 2 6 2 2" xfId="31967" xr:uid="{00000000-0005-0000-0000-0000CD7F0000}"/>
    <cellStyle name="Obliczenia 2 8 2 6 3" xfId="31968" xr:uid="{00000000-0005-0000-0000-0000CE7F0000}"/>
    <cellStyle name="Obliczenia 2 8 2 7" xfId="31969" xr:uid="{00000000-0005-0000-0000-0000CF7F0000}"/>
    <cellStyle name="Obliczenia 2 8 2 7 2" xfId="31970" xr:uid="{00000000-0005-0000-0000-0000D07F0000}"/>
    <cellStyle name="Obliczenia 2 8 2 7 2 2" xfId="31971" xr:uid="{00000000-0005-0000-0000-0000D17F0000}"/>
    <cellStyle name="Obliczenia 2 8 2 7 3" xfId="31972" xr:uid="{00000000-0005-0000-0000-0000D27F0000}"/>
    <cellStyle name="Obliczenia 2 8 2 8" xfId="31973" xr:uid="{00000000-0005-0000-0000-0000D37F0000}"/>
    <cellStyle name="Obliczenia 2 8 2 8 2" xfId="31974" xr:uid="{00000000-0005-0000-0000-0000D47F0000}"/>
    <cellStyle name="Obliczenia 2 8 2 8 2 2" xfId="31975" xr:uid="{00000000-0005-0000-0000-0000D57F0000}"/>
    <cellStyle name="Obliczenia 2 8 2 8 2 2 2" xfId="31976" xr:uid="{00000000-0005-0000-0000-0000D67F0000}"/>
    <cellStyle name="Obliczenia 2 8 2 8 2 3" xfId="31977" xr:uid="{00000000-0005-0000-0000-0000D77F0000}"/>
    <cellStyle name="Obliczenia 2 8 2 8 3" xfId="31978" xr:uid="{00000000-0005-0000-0000-0000D87F0000}"/>
    <cellStyle name="Obliczenia 2 8 2 8 3 2" xfId="31979" xr:uid="{00000000-0005-0000-0000-0000D97F0000}"/>
    <cellStyle name="Obliczenia 2 8 2 8 3 2 2" xfId="31980" xr:uid="{00000000-0005-0000-0000-0000DA7F0000}"/>
    <cellStyle name="Obliczenia 2 8 2 8 3 3" xfId="31981" xr:uid="{00000000-0005-0000-0000-0000DB7F0000}"/>
    <cellStyle name="Obliczenia 2 8 2 8 4" xfId="31982" xr:uid="{00000000-0005-0000-0000-0000DC7F0000}"/>
    <cellStyle name="Obliczenia 2 8 2 8 4 2" xfId="31983" xr:uid="{00000000-0005-0000-0000-0000DD7F0000}"/>
    <cellStyle name="Obliczenia 2 8 2 8 4 2 2" xfId="31984" xr:uid="{00000000-0005-0000-0000-0000DE7F0000}"/>
    <cellStyle name="Obliczenia 2 8 2 8 4 3" xfId="31985" xr:uid="{00000000-0005-0000-0000-0000DF7F0000}"/>
    <cellStyle name="Obliczenia 2 8 2 8 5" xfId="31986" xr:uid="{00000000-0005-0000-0000-0000E07F0000}"/>
    <cellStyle name="Obliczenia 2 8 2 8 5 2" xfId="31987" xr:uid="{00000000-0005-0000-0000-0000E17F0000}"/>
    <cellStyle name="Obliczenia 2 8 2 8 6" xfId="31988" xr:uid="{00000000-0005-0000-0000-0000E27F0000}"/>
    <cellStyle name="Obliczenia 2 8 2 8 6 2" xfId="31989" xr:uid="{00000000-0005-0000-0000-0000E37F0000}"/>
    <cellStyle name="Obliczenia 2 8 2 8 7" xfId="31990" xr:uid="{00000000-0005-0000-0000-0000E47F0000}"/>
    <cellStyle name="Obliczenia 2 8 2 9" xfId="31991" xr:uid="{00000000-0005-0000-0000-0000E57F0000}"/>
    <cellStyle name="Obliczenia 2 8 2 9 2" xfId="31992" xr:uid="{00000000-0005-0000-0000-0000E67F0000}"/>
    <cellStyle name="Obliczenia 2 8 2 9 2 2" xfId="31993" xr:uid="{00000000-0005-0000-0000-0000E77F0000}"/>
    <cellStyle name="Obliczenia 2 8 2 9 3" xfId="31994" xr:uid="{00000000-0005-0000-0000-0000E87F0000}"/>
    <cellStyle name="Obliczenia 2 8 3" xfId="31995" xr:uid="{00000000-0005-0000-0000-0000E97F0000}"/>
    <cellStyle name="Obliczenia 2 8 3 2" xfId="31996" xr:uid="{00000000-0005-0000-0000-0000EA7F0000}"/>
    <cellStyle name="Obliczenia 2 8 3 2 2" xfId="31997" xr:uid="{00000000-0005-0000-0000-0000EB7F0000}"/>
    <cellStyle name="Obliczenia 2 8 3 3" xfId="31998" xr:uid="{00000000-0005-0000-0000-0000EC7F0000}"/>
    <cellStyle name="Obliczenia 2 8 4" xfId="31999" xr:uid="{00000000-0005-0000-0000-0000ED7F0000}"/>
    <cellStyle name="Obliczenia 2 8 4 10" xfId="32000" xr:uid="{00000000-0005-0000-0000-0000EE7F0000}"/>
    <cellStyle name="Obliczenia 2 8 4 10 2" xfId="32001" xr:uid="{00000000-0005-0000-0000-0000EF7F0000}"/>
    <cellStyle name="Obliczenia 2 8 4 11" xfId="32002" xr:uid="{00000000-0005-0000-0000-0000F07F0000}"/>
    <cellStyle name="Obliczenia 2 8 4 11 2" xfId="32003" xr:uid="{00000000-0005-0000-0000-0000F17F0000}"/>
    <cellStyle name="Obliczenia 2 8 4 12" xfId="32004" xr:uid="{00000000-0005-0000-0000-0000F27F0000}"/>
    <cellStyle name="Obliczenia 2 8 4 2" xfId="32005" xr:uid="{00000000-0005-0000-0000-0000F37F0000}"/>
    <cellStyle name="Obliczenia 2 8 4 2 2" xfId="32006" xr:uid="{00000000-0005-0000-0000-0000F47F0000}"/>
    <cellStyle name="Obliczenia 2 8 4 2 2 2" xfId="32007" xr:uid="{00000000-0005-0000-0000-0000F57F0000}"/>
    <cellStyle name="Obliczenia 2 8 4 2 2 2 2" xfId="32008" xr:uid="{00000000-0005-0000-0000-0000F67F0000}"/>
    <cellStyle name="Obliczenia 2 8 4 2 2 2 2 2" xfId="32009" xr:uid="{00000000-0005-0000-0000-0000F77F0000}"/>
    <cellStyle name="Obliczenia 2 8 4 2 2 2 3" xfId="32010" xr:uid="{00000000-0005-0000-0000-0000F87F0000}"/>
    <cellStyle name="Obliczenia 2 8 4 2 2 3" xfId="32011" xr:uid="{00000000-0005-0000-0000-0000F97F0000}"/>
    <cellStyle name="Obliczenia 2 8 4 2 2 3 2" xfId="32012" xr:uid="{00000000-0005-0000-0000-0000FA7F0000}"/>
    <cellStyle name="Obliczenia 2 8 4 2 2 3 2 2" xfId="32013" xr:uid="{00000000-0005-0000-0000-0000FB7F0000}"/>
    <cellStyle name="Obliczenia 2 8 4 2 2 3 3" xfId="32014" xr:uid="{00000000-0005-0000-0000-0000FC7F0000}"/>
    <cellStyle name="Obliczenia 2 8 4 2 2 4" xfId="32015" xr:uid="{00000000-0005-0000-0000-0000FD7F0000}"/>
    <cellStyle name="Obliczenia 2 8 4 2 2 4 2" xfId="32016" xr:uid="{00000000-0005-0000-0000-0000FE7F0000}"/>
    <cellStyle name="Obliczenia 2 8 4 2 2 4 2 2" xfId="32017" xr:uid="{00000000-0005-0000-0000-0000FF7F0000}"/>
    <cellStyle name="Obliczenia 2 8 4 2 2 4 3" xfId="32018" xr:uid="{00000000-0005-0000-0000-000000800000}"/>
    <cellStyle name="Obliczenia 2 8 4 2 2 5" xfId="32019" xr:uid="{00000000-0005-0000-0000-000001800000}"/>
    <cellStyle name="Obliczenia 2 8 4 2 2 5 2" xfId="32020" xr:uid="{00000000-0005-0000-0000-000002800000}"/>
    <cellStyle name="Obliczenia 2 8 4 2 2 6" xfId="32021" xr:uid="{00000000-0005-0000-0000-000003800000}"/>
    <cellStyle name="Obliczenia 2 8 4 2 2 6 2" xfId="32022" xr:uid="{00000000-0005-0000-0000-000004800000}"/>
    <cellStyle name="Obliczenia 2 8 4 2 2 7" xfId="32023" xr:uid="{00000000-0005-0000-0000-000005800000}"/>
    <cellStyle name="Obliczenia 2 8 4 2 3" xfId="32024" xr:uid="{00000000-0005-0000-0000-000006800000}"/>
    <cellStyle name="Obliczenia 2 8 4 2 3 2" xfId="32025" xr:uid="{00000000-0005-0000-0000-000007800000}"/>
    <cellStyle name="Obliczenia 2 8 4 2 3 2 2" xfId="32026" xr:uid="{00000000-0005-0000-0000-000008800000}"/>
    <cellStyle name="Obliczenia 2 8 4 2 3 3" xfId="32027" xr:uid="{00000000-0005-0000-0000-000009800000}"/>
    <cellStyle name="Obliczenia 2 8 4 2 4" xfId="32028" xr:uid="{00000000-0005-0000-0000-00000A800000}"/>
    <cellStyle name="Obliczenia 2 8 4 2 4 2" xfId="32029" xr:uid="{00000000-0005-0000-0000-00000B800000}"/>
    <cellStyle name="Obliczenia 2 8 4 2 4 2 2" xfId="32030" xr:uid="{00000000-0005-0000-0000-00000C800000}"/>
    <cellStyle name="Obliczenia 2 8 4 2 4 3" xfId="32031" xr:uid="{00000000-0005-0000-0000-00000D800000}"/>
    <cellStyle name="Obliczenia 2 8 4 2 5" xfId="32032" xr:uid="{00000000-0005-0000-0000-00000E800000}"/>
    <cellStyle name="Obliczenia 2 8 4 2 5 2" xfId="32033" xr:uid="{00000000-0005-0000-0000-00000F800000}"/>
    <cellStyle name="Obliczenia 2 8 4 2 5 2 2" xfId="32034" xr:uid="{00000000-0005-0000-0000-000010800000}"/>
    <cellStyle name="Obliczenia 2 8 4 2 5 3" xfId="32035" xr:uid="{00000000-0005-0000-0000-000011800000}"/>
    <cellStyle name="Obliczenia 2 8 4 2 6" xfId="32036" xr:uid="{00000000-0005-0000-0000-000012800000}"/>
    <cellStyle name="Obliczenia 2 8 4 2 6 2" xfId="32037" xr:uid="{00000000-0005-0000-0000-000013800000}"/>
    <cellStyle name="Obliczenia 2 8 4 2 7" xfId="32038" xr:uid="{00000000-0005-0000-0000-000014800000}"/>
    <cellStyle name="Obliczenia 2 8 4 2 7 2" xfId="32039" xr:uid="{00000000-0005-0000-0000-000015800000}"/>
    <cellStyle name="Obliczenia 2 8 4 2 8" xfId="32040" xr:uid="{00000000-0005-0000-0000-000016800000}"/>
    <cellStyle name="Obliczenia 2 8 4 3" xfId="32041" xr:uid="{00000000-0005-0000-0000-000017800000}"/>
    <cellStyle name="Obliczenia 2 8 4 3 2" xfId="32042" xr:uid="{00000000-0005-0000-0000-000018800000}"/>
    <cellStyle name="Obliczenia 2 8 4 3 2 2" xfId="32043" xr:uid="{00000000-0005-0000-0000-000019800000}"/>
    <cellStyle name="Obliczenia 2 8 4 3 3" xfId="32044" xr:uid="{00000000-0005-0000-0000-00001A800000}"/>
    <cellStyle name="Obliczenia 2 8 4 4" xfId="32045" xr:uid="{00000000-0005-0000-0000-00001B800000}"/>
    <cellStyle name="Obliczenia 2 8 4 4 2" xfId="32046" xr:uid="{00000000-0005-0000-0000-00001C800000}"/>
    <cellStyle name="Obliczenia 2 8 4 4 2 2" xfId="32047" xr:uid="{00000000-0005-0000-0000-00001D800000}"/>
    <cellStyle name="Obliczenia 2 8 4 4 3" xfId="32048" xr:uid="{00000000-0005-0000-0000-00001E800000}"/>
    <cellStyle name="Obliczenia 2 8 4 5" xfId="32049" xr:uid="{00000000-0005-0000-0000-00001F800000}"/>
    <cellStyle name="Obliczenia 2 8 4 5 2" xfId="32050" xr:uid="{00000000-0005-0000-0000-000020800000}"/>
    <cellStyle name="Obliczenia 2 8 4 5 2 2" xfId="32051" xr:uid="{00000000-0005-0000-0000-000021800000}"/>
    <cellStyle name="Obliczenia 2 8 4 5 3" xfId="32052" xr:uid="{00000000-0005-0000-0000-000022800000}"/>
    <cellStyle name="Obliczenia 2 8 4 6" xfId="32053" xr:uid="{00000000-0005-0000-0000-000023800000}"/>
    <cellStyle name="Obliczenia 2 8 4 6 2" xfId="32054" xr:uid="{00000000-0005-0000-0000-000024800000}"/>
    <cellStyle name="Obliczenia 2 8 4 6 2 2" xfId="32055" xr:uid="{00000000-0005-0000-0000-000025800000}"/>
    <cellStyle name="Obliczenia 2 8 4 6 3" xfId="32056" xr:uid="{00000000-0005-0000-0000-000026800000}"/>
    <cellStyle name="Obliczenia 2 8 4 7" xfId="32057" xr:uid="{00000000-0005-0000-0000-000027800000}"/>
    <cellStyle name="Obliczenia 2 8 4 7 2" xfId="32058" xr:uid="{00000000-0005-0000-0000-000028800000}"/>
    <cellStyle name="Obliczenia 2 8 4 7 2 2" xfId="32059" xr:uid="{00000000-0005-0000-0000-000029800000}"/>
    <cellStyle name="Obliczenia 2 8 4 7 2 2 2" xfId="32060" xr:uid="{00000000-0005-0000-0000-00002A800000}"/>
    <cellStyle name="Obliczenia 2 8 4 7 2 3" xfId="32061" xr:uid="{00000000-0005-0000-0000-00002B800000}"/>
    <cellStyle name="Obliczenia 2 8 4 7 3" xfId="32062" xr:uid="{00000000-0005-0000-0000-00002C800000}"/>
    <cellStyle name="Obliczenia 2 8 4 7 3 2" xfId="32063" xr:uid="{00000000-0005-0000-0000-00002D800000}"/>
    <cellStyle name="Obliczenia 2 8 4 7 3 2 2" xfId="32064" xr:uid="{00000000-0005-0000-0000-00002E800000}"/>
    <cellStyle name="Obliczenia 2 8 4 7 3 3" xfId="32065" xr:uid="{00000000-0005-0000-0000-00002F800000}"/>
    <cellStyle name="Obliczenia 2 8 4 7 4" xfId="32066" xr:uid="{00000000-0005-0000-0000-000030800000}"/>
    <cellStyle name="Obliczenia 2 8 4 7 4 2" xfId="32067" xr:uid="{00000000-0005-0000-0000-000031800000}"/>
    <cellStyle name="Obliczenia 2 8 4 7 4 2 2" xfId="32068" xr:uid="{00000000-0005-0000-0000-000032800000}"/>
    <cellStyle name="Obliczenia 2 8 4 7 4 3" xfId="32069" xr:uid="{00000000-0005-0000-0000-000033800000}"/>
    <cellStyle name="Obliczenia 2 8 4 7 5" xfId="32070" xr:uid="{00000000-0005-0000-0000-000034800000}"/>
    <cellStyle name="Obliczenia 2 8 4 7 5 2" xfId="32071" xr:uid="{00000000-0005-0000-0000-000035800000}"/>
    <cellStyle name="Obliczenia 2 8 4 7 6" xfId="32072" xr:uid="{00000000-0005-0000-0000-000036800000}"/>
    <cellStyle name="Obliczenia 2 8 4 7 6 2" xfId="32073" xr:uid="{00000000-0005-0000-0000-000037800000}"/>
    <cellStyle name="Obliczenia 2 8 4 7 7" xfId="32074" xr:uid="{00000000-0005-0000-0000-000038800000}"/>
    <cellStyle name="Obliczenia 2 8 4 8" xfId="32075" xr:uid="{00000000-0005-0000-0000-000039800000}"/>
    <cellStyle name="Obliczenia 2 8 4 8 2" xfId="32076" xr:uid="{00000000-0005-0000-0000-00003A800000}"/>
    <cellStyle name="Obliczenia 2 8 4 8 2 2" xfId="32077" xr:uid="{00000000-0005-0000-0000-00003B800000}"/>
    <cellStyle name="Obliczenia 2 8 4 8 3" xfId="32078" xr:uid="{00000000-0005-0000-0000-00003C800000}"/>
    <cellStyle name="Obliczenia 2 8 4 9" xfId="32079" xr:uid="{00000000-0005-0000-0000-00003D800000}"/>
    <cellStyle name="Obliczenia 2 8 4 9 2" xfId="32080" xr:uid="{00000000-0005-0000-0000-00003E800000}"/>
    <cellStyle name="Obliczenia 2 8 4 9 2 2" xfId="32081" xr:uid="{00000000-0005-0000-0000-00003F800000}"/>
    <cellStyle name="Obliczenia 2 8 4 9 3" xfId="32082" xr:uid="{00000000-0005-0000-0000-000040800000}"/>
    <cellStyle name="Obliczenia 2 8 5" xfId="32083" xr:uid="{00000000-0005-0000-0000-000041800000}"/>
    <cellStyle name="Obliczenia 2 8 5 2" xfId="32084" xr:uid="{00000000-0005-0000-0000-000042800000}"/>
    <cellStyle name="Obliczenia 2 8 5 2 2" xfId="32085" xr:uid="{00000000-0005-0000-0000-000043800000}"/>
    <cellStyle name="Obliczenia 2 8 5 2 2 2" xfId="32086" xr:uid="{00000000-0005-0000-0000-000044800000}"/>
    <cellStyle name="Obliczenia 2 8 5 2 2 2 2" xfId="32087" xr:uid="{00000000-0005-0000-0000-000045800000}"/>
    <cellStyle name="Obliczenia 2 8 5 2 2 3" xfId="32088" xr:uid="{00000000-0005-0000-0000-000046800000}"/>
    <cellStyle name="Obliczenia 2 8 5 2 3" xfId="32089" xr:uid="{00000000-0005-0000-0000-000047800000}"/>
    <cellStyle name="Obliczenia 2 8 5 2 3 2" xfId="32090" xr:uid="{00000000-0005-0000-0000-000048800000}"/>
    <cellStyle name="Obliczenia 2 8 5 2 3 2 2" xfId="32091" xr:uid="{00000000-0005-0000-0000-000049800000}"/>
    <cellStyle name="Obliczenia 2 8 5 2 3 3" xfId="32092" xr:uid="{00000000-0005-0000-0000-00004A800000}"/>
    <cellStyle name="Obliczenia 2 8 5 2 4" xfId="32093" xr:uid="{00000000-0005-0000-0000-00004B800000}"/>
    <cellStyle name="Obliczenia 2 8 5 2 4 2" xfId="32094" xr:uid="{00000000-0005-0000-0000-00004C800000}"/>
    <cellStyle name="Obliczenia 2 8 5 2 4 2 2" xfId="32095" xr:uid="{00000000-0005-0000-0000-00004D800000}"/>
    <cellStyle name="Obliczenia 2 8 5 2 4 3" xfId="32096" xr:uid="{00000000-0005-0000-0000-00004E800000}"/>
    <cellStyle name="Obliczenia 2 8 5 2 5" xfId="32097" xr:uid="{00000000-0005-0000-0000-00004F800000}"/>
    <cellStyle name="Obliczenia 2 8 5 2 5 2" xfId="32098" xr:uid="{00000000-0005-0000-0000-000050800000}"/>
    <cellStyle name="Obliczenia 2 8 5 2 6" xfId="32099" xr:uid="{00000000-0005-0000-0000-000051800000}"/>
    <cellStyle name="Obliczenia 2 8 5 2 6 2" xfId="32100" xr:uid="{00000000-0005-0000-0000-000052800000}"/>
    <cellStyle name="Obliczenia 2 8 5 2 7" xfId="32101" xr:uid="{00000000-0005-0000-0000-000053800000}"/>
    <cellStyle name="Obliczenia 2 8 5 3" xfId="32102" xr:uid="{00000000-0005-0000-0000-000054800000}"/>
    <cellStyle name="Obliczenia 2 8 5 3 2" xfId="32103" xr:uid="{00000000-0005-0000-0000-000055800000}"/>
    <cellStyle name="Obliczenia 2 8 5 3 2 2" xfId="32104" xr:uid="{00000000-0005-0000-0000-000056800000}"/>
    <cellStyle name="Obliczenia 2 8 5 3 3" xfId="32105" xr:uid="{00000000-0005-0000-0000-000057800000}"/>
    <cellStyle name="Obliczenia 2 8 5 4" xfId="32106" xr:uid="{00000000-0005-0000-0000-000058800000}"/>
    <cellStyle name="Obliczenia 2 8 5 4 2" xfId="32107" xr:uid="{00000000-0005-0000-0000-000059800000}"/>
    <cellStyle name="Obliczenia 2 8 5 4 2 2" xfId="32108" xr:uid="{00000000-0005-0000-0000-00005A800000}"/>
    <cellStyle name="Obliczenia 2 8 5 4 3" xfId="32109" xr:uid="{00000000-0005-0000-0000-00005B800000}"/>
    <cellStyle name="Obliczenia 2 8 5 5" xfId="32110" xr:uid="{00000000-0005-0000-0000-00005C800000}"/>
    <cellStyle name="Obliczenia 2 8 5 5 2" xfId="32111" xr:uid="{00000000-0005-0000-0000-00005D800000}"/>
    <cellStyle name="Obliczenia 2 8 5 5 2 2" xfId="32112" xr:uid="{00000000-0005-0000-0000-00005E800000}"/>
    <cellStyle name="Obliczenia 2 8 5 5 3" xfId="32113" xr:uid="{00000000-0005-0000-0000-00005F800000}"/>
    <cellStyle name="Obliczenia 2 8 5 6" xfId="32114" xr:uid="{00000000-0005-0000-0000-000060800000}"/>
    <cellStyle name="Obliczenia 2 8 5 6 2" xfId="32115" xr:uid="{00000000-0005-0000-0000-000061800000}"/>
    <cellStyle name="Obliczenia 2 8 5 7" xfId="32116" xr:uid="{00000000-0005-0000-0000-000062800000}"/>
    <cellStyle name="Obliczenia 2 8 5 7 2" xfId="32117" xr:uid="{00000000-0005-0000-0000-000063800000}"/>
    <cellStyle name="Obliczenia 2 8 5 8" xfId="32118" xr:uid="{00000000-0005-0000-0000-000064800000}"/>
    <cellStyle name="Obliczenia 2 8 6" xfId="32119" xr:uid="{00000000-0005-0000-0000-000065800000}"/>
    <cellStyle name="Obliczenia 2 8 6 2" xfId="32120" xr:uid="{00000000-0005-0000-0000-000066800000}"/>
    <cellStyle name="Obliczenia 2 8 6 2 2" xfId="32121" xr:uid="{00000000-0005-0000-0000-000067800000}"/>
    <cellStyle name="Obliczenia 2 8 6 3" xfId="32122" xr:uid="{00000000-0005-0000-0000-000068800000}"/>
    <cellStyle name="Obliczenia 2 8 7" xfId="32123" xr:uid="{00000000-0005-0000-0000-000069800000}"/>
    <cellStyle name="Obliczenia 2 8 7 2" xfId="32124" xr:uid="{00000000-0005-0000-0000-00006A800000}"/>
    <cellStyle name="Obliczenia 2 8 7 2 2" xfId="32125" xr:uid="{00000000-0005-0000-0000-00006B800000}"/>
    <cellStyle name="Obliczenia 2 8 7 3" xfId="32126" xr:uid="{00000000-0005-0000-0000-00006C800000}"/>
    <cellStyle name="Obliczenia 2 8 8" xfId="32127" xr:uid="{00000000-0005-0000-0000-00006D800000}"/>
    <cellStyle name="Obliczenia 2 8 8 2" xfId="32128" xr:uid="{00000000-0005-0000-0000-00006E800000}"/>
    <cellStyle name="Obliczenia 2 8 8 2 2" xfId="32129" xr:uid="{00000000-0005-0000-0000-00006F800000}"/>
    <cellStyle name="Obliczenia 2 8 8 3" xfId="32130" xr:uid="{00000000-0005-0000-0000-000070800000}"/>
    <cellStyle name="Obliczenia 2 8 9" xfId="32131" xr:uid="{00000000-0005-0000-0000-000071800000}"/>
    <cellStyle name="Obliczenia 2 8 9 2" xfId="32132" xr:uid="{00000000-0005-0000-0000-000072800000}"/>
    <cellStyle name="Obliczenia 2 8 9 2 2" xfId="32133" xr:uid="{00000000-0005-0000-0000-000073800000}"/>
    <cellStyle name="Obliczenia 2 8 9 2 2 2" xfId="32134" xr:uid="{00000000-0005-0000-0000-000074800000}"/>
    <cellStyle name="Obliczenia 2 8 9 2 3" xfId="32135" xr:uid="{00000000-0005-0000-0000-000075800000}"/>
    <cellStyle name="Obliczenia 2 8 9 3" xfId="32136" xr:uid="{00000000-0005-0000-0000-000076800000}"/>
    <cellStyle name="Obliczenia 2 8 9 3 2" xfId="32137" xr:uid="{00000000-0005-0000-0000-000077800000}"/>
    <cellStyle name="Obliczenia 2 8 9 3 2 2" xfId="32138" xr:uid="{00000000-0005-0000-0000-000078800000}"/>
    <cellStyle name="Obliczenia 2 8 9 3 3" xfId="32139" xr:uid="{00000000-0005-0000-0000-000079800000}"/>
    <cellStyle name="Obliczenia 2 8 9 4" xfId="32140" xr:uid="{00000000-0005-0000-0000-00007A800000}"/>
    <cellStyle name="Obliczenia 2 8 9 4 2" xfId="32141" xr:uid="{00000000-0005-0000-0000-00007B800000}"/>
    <cellStyle name="Obliczenia 2 8 9 4 2 2" xfId="32142" xr:uid="{00000000-0005-0000-0000-00007C800000}"/>
    <cellStyle name="Obliczenia 2 8 9 4 3" xfId="32143" xr:uid="{00000000-0005-0000-0000-00007D800000}"/>
    <cellStyle name="Obliczenia 2 8 9 5" xfId="32144" xr:uid="{00000000-0005-0000-0000-00007E800000}"/>
    <cellStyle name="Obliczenia 2 8 9 5 2" xfId="32145" xr:uid="{00000000-0005-0000-0000-00007F800000}"/>
    <cellStyle name="Obliczenia 2 8 9 6" xfId="32146" xr:uid="{00000000-0005-0000-0000-000080800000}"/>
    <cellStyle name="Obliczenia 2 8 9 6 2" xfId="32147" xr:uid="{00000000-0005-0000-0000-000081800000}"/>
    <cellStyle name="Obliczenia 2 8 9 7" xfId="32148" xr:uid="{00000000-0005-0000-0000-000082800000}"/>
    <cellStyle name="Obliczenia 2 9" xfId="32149" xr:uid="{00000000-0005-0000-0000-000083800000}"/>
    <cellStyle name="Obliczenia 2 9 2" xfId="32150" xr:uid="{00000000-0005-0000-0000-000084800000}"/>
    <cellStyle name="Obliczenia 2 9 2 2" xfId="32151" xr:uid="{00000000-0005-0000-0000-000085800000}"/>
    <cellStyle name="Obliczenia 2 9 3" xfId="32152" xr:uid="{00000000-0005-0000-0000-000086800000}"/>
    <cellStyle name="Obliczenia 3" xfId="316" xr:uid="{00000000-0005-0000-0000-000087800000}"/>
    <cellStyle name="Obliczenia 3 2" xfId="32154" xr:uid="{00000000-0005-0000-0000-000088800000}"/>
    <cellStyle name="Obliczenia 3 2 2" xfId="32155" xr:uid="{00000000-0005-0000-0000-000089800000}"/>
    <cellStyle name="Obliczenia 3 3" xfId="32156" xr:uid="{00000000-0005-0000-0000-00008A800000}"/>
    <cellStyle name="Obliczenia 3 3 2" xfId="32157" xr:uid="{00000000-0005-0000-0000-00008B800000}"/>
    <cellStyle name="Obliczenia 3 4" xfId="32158" xr:uid="{00000000-0005-0000-0000-00008C800000}"/>
    <cellStyle name="Obliczenia 3 4 2" xfId="32159" xr:uid="{00000000-0005-0000-0000-00008D800000}"/>
    <cellStyle name="Obliczenia 3 5" xfId="32160" xr:uid="{00000000-0005-0000-0000-00008E800000}"/>
    <cellStyle name="Obliczenia 3 5 2" xfId="32161" xr:uid="{00000000-0005-0000-0000-00008F800000}"/>
    <cellStyle name="Obliczenia 3 6" xfId="32162" xr:uid="{00000000-0005-0000-0000-000090800000}"/>
    <cellStyle name="Obliczenia 3 7" xfId="32163" xr:uid="{00000000-0005-0000-0000-000091800000}"/>
    <cellStyle name="Obliczenia 3 8" xfId="32153" xr:uid="{00000000-0005-0000-0000-000092800000}"/>
    <cellStyle name="Obliczenia 4" xfId="317" xr:uid="{00000000-0005-0000-0000-000093800000}"/>
    <cellStyle name="Obliczenia 4 2" xfId="32165" xr:uid="{00000000-0005-0000-0000-000094800000}"/>
    <cellStyle name="Obliczenia 4 2 2" xfId="32166" xr:uid="{00000000-0005-0000-0000-000095800000}"/>
    <cellStyle name="Obliczenia 4 3" xfId="32167" xr:uid="{00000000-0005-0000-0000-000096800000}"/>
    <cellStyle name="Obliczenia 4 3 2" xfId="32168" xr:uid="{00000000-0005-0000-0000-000097800000}"/>
    <cellStyle name="Obliczenia 4 4" xfId="32169" xr:uid="{00000000-0005-0000-0000-000098800000}"/>
    <cellStyle name="Obliczenia 4 4 2" xfId="32170" xr:uid="{00000000-0005-0000-0000-000099800000}"/>
    <cellStyle name="Obliczenia 4 5" xfId="32171" xr:uid="{00000000-0005-0000-0000-00009A800000}"/>
    <cellStyle name="Obliczenia 4 5 2" xfId="32172" xr:uid="{00000000-0005-0000-0000-00009B800000}"/>
    <cellStyle name="Obliczenia 4 6" xfId="32173" xr:uid="{00000000-0005-0000-0000-00009C800000}"/>
    <cellStyle name="Obliczenia 4 7" xfId="32174" xr:uid="{00000000-0005-0000-0000-00009D800000}"/>
    <cellStyle name="Obliczenia 4 8" xfId="32164" xr:uid="{00000000-0005-0000-0000-00009E800000}"/>
    <cellStyle name="Obliczenia 5" xfId="318" xr:uid="{00000000-0005-0000-0000-00009F800000}"/>
    <cellStyle name="Obliczenia 5 2" xfId="32176" xr:uid="{00000000-0005-0000-0000-0000A0800000}"/>
    <cellStyle name="Obliczenia 5 2 2" xfId="32177" xr:uid="{00000000-0005-0000-0000-0000A1800000}"/>
    <cellStyle name="Obliczenia 5 3" xfId="32178" xr:uid="{00000000-0005-0000-0000-0000A2800000}"/>
    <cellStyle name="Obliczenia 5 3 2" xfId="32179" xr:uid="{00000000-0005-0000-0000-0000A3800000}"/>
    <cellStyle name="Obliczenia 5 4" xfId="32180" xr:uid="{00000000-0005-0000-0000-0000A4800000}"/>
    <cellStyle name="Obliczenia 5 4 2" xfId="32181" xr:uid="{00000000-0005-0000-0000-0000A5800000}"/>
    <cellStyle name="Obliczenia 5 5" xfId="32182" xr:uid="{00000000-0005-0000-0000-0000A6800000}"/>
    <cellStyle name="Obliczenia 5 5 2" xfId="32183" xr:uid="{00000000-0005-0000-0000-0000A7800000}"/>
    <cellStyle name="Obliczenia 5 6" xfId="32184" xr:uid="{00000000-0005-0000-0000-0000A8800000}"/>
    <cellStyle name="Obliczenia 5 7" xfId="32185" xr:uid="{00000000-0005-0000-0000-0000A9800000}"/>
    <cellStyle name="Obliczenia 5 8" xfId="32175" xr:uid="{00000000-0005-0000-0000-0000AA800000}"/>
    <cellStyle name="Obliczenia 6" xfId="319" xr:uid="{00000000-0005-0000-0000-0000AB800000}"/>
    <cellStyle name="Obliczenia 6 2" xfId="32187" xr:uid="{00000000-0005-0000-0000-0000AC800000}"/>
    <cellStyle name="Obliczenia 6 2 2" xfId="32188" xr:uid="{00000000-0005-0000-0000-0000AD800000}"/>
    <cellStyle name="Obliczenia 6 3" xfId="32189" xr:uid="{00000000-0005-0000-0000-0000AE800000}"/>
    <cellStyle name="Obliczenia 6 3 2" xfId="32190" xr:uid="{00000000-0005-0000-0000-0000AF800000}"/>
    <cellStyle name="Obliczenia 6 4" xfId="32191" xr:uid="{00000000-0005-0000-0000-0000B0800000}"/>
    <cellStyle name="Obliczenia 6 4 2" xfId="32192" xr:uid="{00000000-0005-0000-0000-0000B1800000}"/>
    <cellStyle name="Obliczenia 6 5" xfId="32193" xr:uid="{00000000-0005-0000-0000-0000B2800000}"/>
    <cellStyle name="Obliczenia 6 5 2" xfId="32194" xr:uid="{00000000-0005-0000-0000-0000B3800000}"/>
    <cellStyle name="Obliczenia 6 6" xfId="32195" xr:uid="{00000000-0005-0000-0000-0000B4800000}"/>
    <cellStyle name="Obliczenia 6 7" xfId="32196" xr:uid="{00000000-0005-0000-0000-0000B5800000}"/>
    <cellStyle name="Obliczenia 6 8" xfId="32186" xr:uid="{00000000-0005-0000-0000-0000B6800000}"/>
    <cellStyle name="Obliczenia 7" xfId="320" xr:uid="{00000000-0005-0000-0000-0000B7800000}"/>
    <cellStyle name="Obliczenia 7 2" xfId="32198" xr:uid="{00000000-0005-0000-0000-0000B8800000}"/>
    <cellStyle name="Obliczenia 7 2 2" xfId="32199" xr:uid="{00000000-0005-0000-0000-0000B9800000}"/>
    <cellStyle name="Obliczenia 7 3" xfId="32200" xr:uid="{00000000-0005-0000-0000-0000BA800000}"/>
    <cellStyle name="Obliczenia 7 3 2" xfId="32201" xr:uid="{00000000-0005-0000-0000-0000BB800000}"/>
    <cellStyle name="Obliczenia 7 4" xfId="32202" xr:uid="{00000000-0005-0000-0000-0000BC800000}"/>
    <cellStyle name="Obliczenia 7 4 2" xfId="32203" xr:uid="{00000000-0005-0000-0000-0000BD800000}"/>
    <cellStyle name="Obliczenia 7 5" xfId="32204" xr:uid="{00000000-0005-0000-0000-0000BE800000}"/>
    <cellStyle name="Obliczenia 7 5 2" xfId="32205" xr:uid="{00000000-0005-0000-0000-0000BF800000}"/>
    <cellStyle name="Obliczenia 7 6" xfId="32206" xr:uid="{00000000-0005-0000-0000-0000C0800000}"/>
    <cellStyle name="Obliczenia 7 7" xfId="32207" xr:uid="{00000000-0005-0000-0000-0000C1800000}"/>
    <cellStyle name="Obliczenia 7 8" xfId="32197" xr:uid="{00000000-0005-0000-0000-0000C2800000}"/>
    <cellStyle name="Obliczenia 8" xfId="32208" xr:uid="{00000000-0005-0000-0000-0000C3800000}"/>
    <cellStyle name="Obliczenia 8 2" xfId="32209" xr:uid="{00000000-0005-0000-0000-0000C4800000}"/>
    <cellStyle name="Obliczenia 8 2 2" xfId="32210" xr:uid="{00000000-0005-0000-0000-0000C5800000}"/>
    <cellStyle name="Obliczenia 8 3" xfId="32211" xr:uid="{00000000-0005-0000-0000-0000C6800000}"/>
    <cellStyle name="Obliczenia 8 3 2" xfId="32212" xr:uid="{00000000-0005-0000-0000-0000C7800000}"/>
    <cellStyle name="Obliczenia 8 4" xfId="32213" xr:uid="{00000000-0005-0000-0000-0000C8800000}"/>
    <cellStyle name="Obliczenia 8 4 2" xfId="32214" xr:uid="{00000000-0005-0000-0000-0000C9800000}"/>
    <cellStyle name="Obliczenia 8 5" xfId="32215" xr:uid="{00000000-0005-0000-0000-0000CA800000}"/>
    <cellStyle name="Obliczenia 8 5 2" xfId="32216" xr:uid="{00000000-0005-0000-0000-0000CB800000}"/>
    <cellStyle name="Obliczenia 8 6" xfId="32217" xr:uid="{00000000-0005-0000-0000-0000CC800000}"/>
    <cellStyle name="Obliczenia 9" xfId="32218" xr:uid="{00000000-0005-0000-0000-0000CD800000}"/>
    <cellStyle name="Obliczenia 9 2" xfId="32219" xr:uid="{00000000-0005-0000-0000-0000CE800000}"/>
    <cellStyle name="Obliczenia 9 2 2" xfId="32220" xr:uid="{00000000-0005-0000-0000-0000CF800000}"/>
    <cellStyle name="Obliczenia 9 3" xfId="32221" xr:uid="{00000000-0005-0000-0000-0000D0800000}"/>
    <cellStyle name="Opis" xfId="321" xr:uid="{00000000-0005-0000-0000-0000D1800000}"/>
    <cellStyle name="Opis 2" xfId="32223" xr:uid="{00000000-0005-0000-0000-0000D2800000}"/>
    <cellStyle name="Opis 2 2" xfId="32224" xr:uid="{00000000-0005-0000-0000-0000D3800000}"/>
    <cellStyle name="Opis 2 3" xfId="32225" xr:uid="{00000000-0005-0000-0000-0000D4800000}"/>
    <cellStyle name="Opis 3" xfId="32226" xr:uid="{00000000-0005-0000-0000-0000D5800000}"/>
    <cellStyle name="Opis 4" xfId="32227" xr:uid="{00000000-0005-0000-0000-0000D6800000}"/>
    <cellStyle name="Opis 5" xfId="32228" xr:uid="{00000000-0005-0000-0000-0000D7800000}"/>
    <cellStyle name="Opis 6" xfId="32229" xr:uid="{00000000-0005-0000-0000-0000D8800000}"/>
    <cellStyle name="Opis 7" xfId="32230" xr:uid="{00000000-0005-0000-0000-0000D9800000}"/>
    <cellStyle name="Opis 8" xfId="32222" xr:uid="{00000000-0005-0000-0000-0000DA800000}"/>
    <cellStyle name="Output" xfId="32231" xr:uid="{00000000-0005-0000-0000-0000DB800000}"/>
    <cellStyle name="Output 10" xfId="32232" xr:uid="{00000000-0005-0000-0000-0000DC800000}"/>
    <cellStyle name="Output 10 2" xfId="32233" xr:uid="{00000000-0005-0000-0000-0000DD800000}"/>
    <cellStyle name="Output 11" xfId="32234" xr:uid="{00000000-0005-0000-0000-0000DE800000}"/>
    <cellStyle name="Output 2" xfId="32235" xr:uid="{00000000-0005-0000-0000-0000DF800000}"/>
    <cellStyle name="Output 2 2" xfId="32236" xr:uid="{00000000-0005-0000-0000-0000E0800000}"/>
    <cellStyle name="Output 2 2 2" xfId="32237" xr:uid="{00000000-0005-0000-0000-0000E1800000}"/>
    <cellStyle name="Output 2 3" xfId="32238" xr:uid="{00000000-0005-0000-0000-0000E2800000}"/>
    <cellStyle name="Output 3" xfId="32239" xr:uid="{00000000-0005-0000-0000-0000E3800000}"/>
    <cellStyle name="Output 3 2" xfId="32240" xr:uid="{00000000-0005-0000-0000-0000E4800000}"/>
    <cellStyle name="Output 3 2 2" xfId="32241" xr:uid="{00000000-0005-0000-0000-0000E5800000}"/>
    <cellStyle name="Output 3 3" xfId="32242" xr:uid="{00000000-0005-0000-0000-0000E6800000}"/>
    <cellStyle name="Output 4" xfId="32243" xr:uid="{00000000-0005-0000-0000-0000E7800000}"/>
    <cellStyle name="Output 4 2" xfId="32244" xr:uid="{00000000-0005-0000-0000-0000E8800000}"/>
    <cellStyle name="Output 4 2 2" xfId="32245" xr:uid="{00000000-0005-0000-0000-0000E9800000}"/>
    <cellStyle name="Output 4 3" xfId="32246" xr:uid="{00000000-0005-0000-0000-0000EA800000}"/>
    <cellStyle name="Output 5" xfId="32247" xr:uid="{00000000-0005-0000-0000-0000EB800000}"/>
    <cellStyle name="Output 5 2" xfId="32248" xr:uid="{00000000-0005-0000-0000-0000EC800000}"/>
    <cellStyle name="Output 5 2 2" xfId="32249" xr:uid="{00000000-0005-0000-0000-0000ED800000}"/>
    <cellStyle name="Output 5 3" xfId="32250" xr:uid="{00000000-0005-0000-0000-0000EE800000}"/>
    <cellStyle name="Output 6" xfId="32251" xr:uid="{00000000-0005-0000-0000-0000EF800000}"/>
    <cellStyle name="Output 6 2" xfId="32252" xr:uid="{00000000-0005-0000-0000-0000F0800000}"/>
    <cellStyle name="Output 6 2 2" xfId="32253" xr:uid="{00000000-0005-0000-0000-0000F1800000}"/>
    <cellStyle name="Output 6 3" xfId="32254" xr:uid="{00000000-0005-0000-0000-0000F2800000}"/>
    <cellStyle name="Output 7" xfId="32255" xr:uid="{00000000-0005-0000-0000-0000F3800000}"/>
    <cellStyle name="Output 7 2" xfId="32256" xr:uid="{00000000-0005-0000-0000-0000F4800000}"/>
    <cellStyle name="Output 7 2 2" xfId="32257" xr:uid="{00000000-0005-0000-0000-0000F5800000}"/>
    <cellStyle name="Output 7 3" xfId="32258" xr:uid="{00000000-0005-0000-0000-0000F6800000}"/>
    <cellStyle name="Output 8" xfId="32259" xr:uid="{00000000-0005-0000-0000-0000F7800000}"/>
    <cellStyle name="Output 8 2" xfId="32260" xr:uid="{00000000-0005-0000-0000-0000F8800000}"/>
    <cellStyle name="Output 8 2 2" xfId="32261" xr:uid="{00000000-0005-0000-0000-0000F9800000}"/>
    <cellStyle name="Output 8 3" xfId="32262" xr:uid="{00000000-0005-0000-0000-0000FA800000}"/>
    <cellStyle name="Output 9" xfId="32263" xr:uid="{00000000-0005-0000-0000-0000FB800000}"/>
    <cellStyle name="Output 9 2" xfId="32264" xr:uid="{00000000-0005-0000-0000-0000FC800000}"/>
    <cellStyle name="Output 9 2 2" xfId="32265" xr:uid="{00000000-0005-0000-0000-0000FD800000}"/>
    <cellStyle name="Output 9 3" xfId="32266" xr:uid="{00000000-0005-0000-0000-0000FE800000}"/>
    <cellStyle name="Output_PGE Rzeszów Budget" xfId="38677" xr:uid="{C7DDA069-9974-445F-B741-5E76BA930DF4}"/>
    <cellStyle name="paw" xfId="322" xr:uid="{00000000-0005-0000-0000-0000FF800000}"/>
    <cellStyle name="Per cent" xfId="324" builtinId="5"/>
    <cellStyle name="Percent [2]" xfId="32267" xr:uid="{00000000-0005-0000-0000-000000810000}"/>
    <cellStyle name="Percent [2] 10" xfId="32268" xr:uid="{00000000-0005-0000-0000-000001810000}"/>
    <cellStyle name="Percent [2] 11" xfId="32269" xr:uid="{00000000-0005-0000-0000-000002810000}"/>
    <cellStyle name="Percent [2] 12" xfId="32270" xr:uid="{00000000-0005-0000-0000-000003810000}"/>
    <cellStyle name="Percent [2] 13" xfId="32271" xr:uid="{00000000-0005-0000-0000-000004810000}"/>
    <cellStyle name="Percent [2] 14" xfId="32272" xr:uid="{00000000-0005-0000-0000-000005810000}"/>
    <cellStyle name="Percent [2] 15" xfId="32273" xr:uid="{00000000-0005-0000-0000-000006810000}"/>
    <cellStyle name="Percent [2] 16" xfId="32274" xr:uid="{00000000-0005-0000-0000-000007810000}"/>
    <cellStyle name="Percent [2] 17" xfId="32275" xr:uid="{00000000-0005-0000-0000-000008810000}"/>
    <cellStyle name="Percent [2] 18" xfId="32276" xr:uid="{00000000-0005-0000-0000-000009810000}"/>
    <cellStyle name="Percent [2] 19" xfId="32277" xr:uid="{00000000-0005-0000-0000-00000A810000}"/>
    <cellStyle name="Percent [2] 2" xfId="32278" xr:uid="{00000000-0005-0000-0000-00000B810000}"/>
    <cellStyle name="Percent [2] 20" xfId="32279" xr:uid="{00000000-0005-0000-0000-00000C810000}"/>
    <cellStyle name="Percent [2] 21" xfId="32280" xr:uid="{00000000-0005-0000-0000-00000D810000}"/>
    <cellStyle name="Percent [2] 22" xfId="32281" xr:uid="{00000000-0005-0000-0000-00000E810000}"/>
    <cellStyle name="Percent [2] 23" xfId="32282" xr:uid="{00000000-0005-0000-0000-00000F810000}"/>
    <cellStyle name="Percent [2] 24" xfId="32283" xr:uid="{00000000-0005-0000-0000-000010810000}"/>
    <cellStyle name="Percent [2] 25" xfId="32284" xr:uid="{00000000-0005-0000-0000-000011810000}"/>
    <cellStyle name="Percent [2] 26" xfId="32285" xr:uid="{00000000-0005-0000-0000-000012810000}"/>
    <cellStyle name="Percent [2] 27" xfId="32286" xr:uid="{00000000-0005-0000-0000-000013810000}"/>
    <cellStyle name="Percent [2] 3" xfId="32287" xr:uid="{00000000-0005-0000-0000-000014810000}"/>
    <cellStyle name="Percent [2] 4" xfId="32288" xr:uid="{00000000-0005-0000-0000-000015810000}"/>
    <cellStyle name="Percent [2] 5" xfId="32289" xr:uid="{00000000-0005-0000-0000-000016810000}"/>
    <cellStyle name="Percent [2] 6" xfId="32290" xr:uid="{00000000-0005-0000-0000-000017810000}"/>
    <cellStyle name="Percent [2] 7" xfId="32291" xr:uid="{00000000-0005-0000-0000-000018810000}"/>
    <cellStyle name="Percent [2] 8" xfId="32292" xr:uid="{00000000-0005-0000-0000-000019810000}"/>
    <cellStyle name="Percent [2] 9" xfId="32293" xr:uid="{00000000-0005-0000-0000-00001A810000}"/>
    <cellStyle name="Price" xfId="323" xr:uid="{00000000-0005-0000-0000-00001B810000}"/>
    <cellStyle name="Procentowy 2" xfId="325" xr:uid="{00000000-0005-0000-0000-00001D810000}"/>
    <cellStyle name="Procentowy 2 2" xfId="326" xr:uid="{00000000-0005-0000-0000-00001E810000}"/>
    <cellStyle name="Procentowy 2 3" xfId="327" xr:uid="{00000000-0005-0000-0000-00001F810000}"/>
    <cellStyle name="Procentowy 2 4" xfId="328" xr:uid="{00000000-0005-0000-0000-000020810000}"/>
    <cellStyle name="Procentowy 2 5" xfId="329" xr:uid="{00000000-0005-0000-0000-000021810000}"/>
    <cellStyle name="Procentowy 2 6" xfId="330" xr:uid="{00000000-0005-0000-0000-000022810000}"/>
    <cellStyle name="Procentowy 2 7" xfId="331" xr:uid="{00000000-0005-0000-0000-000023810000}"/>
    <cellStyle name="Procentowy 2 8" xfId="382" xr:uid="{00000000-0005-0000-0000-000024810000}"/>
    <cellStyle name="Procentowy 2 9" xfId="38684" xr:uid="{9183D785-FAB3-42B2-AF48-DD093E3C10FE}"/>
    <cellStyle name="Procentowy 3" xfId="332" xr:uid="{00000000-0005-0000-0000-000025810000}"/>
    <cellStyle name="Procentowy 4" xfId="333" xr:uid="{00000000-0005-0000-0000-000026810000}"/>
    <cellStyle name="Procentowy 4 2" xfId="32294" xr:uid="{00000000-0005-0000-0000-000027810000}"/>
    <cellStyle name="Procentowy 5" xfId="32295" xr:uid="{00000000-0005-0000-0000-000028810000}"/>
    <cellStyle name="Procentowy 6" xfId="37815" xr:uid="{00000000-0005-0000-0000-000029810000}"/>
    <cellStyle name="Procentowy 6 2" xfId="38633" xr:uid="{00000000-0005-0000-0000-00002A810000}"/>
    <cellStyle name="Procentowy 7" xfId="38625" xr:uid="{00000000-0005-0000-0000-00002B810000}"/>
    <cellStyle name="Procentowy 8" xfId="38637" xr:uid="{00000000-0005-0000-0000-00002C810000}"/>
    <cellStyle name="Salida" xfId="32296" xr:uid="{00000000-0005-0000-0000-00002D810000}"/>
    <cellStyle name="Salida 2" xfId="32297" xr:uid="{00000000-0005-0000-0000-00002E810000}"/>
    <cellStyle name="Standard 2" xfId="32298" xr:uid="{00000000-0005-0000-0000-00002F810000}"/>
    <cellStyle name="Standard 4" xfId="38640" xr:uid="{91A2557D-B92E-4C23-A6B3-2D11DD961863}"/>
    <cellStyle name="Standard_040122k E101 - Estimate Summary (MP)" xfId="32299" xr:uid="{00000000-0005-0000-0000-000030810000}"/>
    <cellStyle name="Styl 1" xfId="334" xr:uid="{00000000-0005-0000-0000-000031810000}"/>
    <cellStyle name="Styl 1 2" xfId="32300" xr:uid="{00000000-0005-0000-0000-000032810000}"/>
    <cellStyle name="Style 1" xfId="32301" xr:uid="{00000000-0005-0000-0000-000033810000}"/>
    <cellStyle name="Suma 1" xfId="32302" xr:uid="{00000000-0005-0000-0000-000034810000}"/>
    <cellStyle name="Suma 1 2" xfId="32303" xr:uid="{00000000-0005-0000-0000-000035810000}"/>
    <cellStyle name="Suma 1 2 2" xfId="32304" xr:uid="{00000000-0005-0000-0000-000036810000}"/>
    <cellStyle name="Suma 1 3" xfId="32305" xr:uid="{00000000-0005-0000-0000-000037810000}"/>
    <cellStyle name="Suma 10" xfId="32306" xr:uid="{00000000-0005-0000-0000-000038810000}"/>
    <cellStyle name="Suma 10 2" xfId="32307" xr:uid="{00000000-0005-0000-0000-000039810000}"/>
    <cellStyle name="Suma 10 2 2" xfId="32308" xr:uid="{00000000-0005-0000-0000-00003A810000}"/>
    <cellStyle name="Suma 10 3" xfId="32309" xr:uid="{00000000-0005-0000-0000-00003B810000}"/>
    <cellStyle name="Suma 11" xfId="32310" xr:uid="{00000000-0005-0000-0000-00003C810000}"/>
    <cellStyle name="Suma 11 2" xfId="32311" xr:uid="{00000000-0005-0000-0000-00003D810000}"/>
    <cellStyle name="Suma 11 2 2" xfId="32312" xr:uid="{00000000-0005-0000-0000-00003E810000}"/>
    <cellStyle name="Suma 11 3" xfId="32313" xr:uid="{00000000-0005-0000-0000-00003F810000}"/>
    <cellStyle name="Suma 12" xfId="32314" xr:uid="{00000000-0005-0000-0000-000040810000}"/>
    <cellStyle name="Suma 12 2" xfId="32315" xr:uid="{00000000-0005-0000-0000-000041810000}"/>
    <cellStyle name="Suma 12 2 2" xfId="32316" xr:uid="{00000000-0005-0000-0000-000042810000}"/>
    <cellStyle name="Suma 12 3" xfId="32317" xr:uid="{00000000-0005-0000-0000-000043810000}"/>
    <cellStyle name="Suma 13" xfId="32318" xr:uid="{00000000-0005-0000-0000-000044810000}"/>
    <cellStyle name="Suma 13 2" xfId="32319" xr:uid="{00000000-0005-0000-0000-000045810000}"/>
    <cellStyle name="Suma 13 2 2" xfId="32320" xr:uid="{00000000-0005-0000-0000-000046810000}"/>
    <cellStyle name="Suma 13 3" xfId="32321" xr:uid="{00000000-0005-0000-0000-000047810000}"/>
    <cellStyle name="Suma 14" xfId="32322" xr:uid="{00000000-0005-0000-0000-000048810000}"/>
    <cellStyle name="Suma 14 2" xfId="32323" xr:uid="{00000000-0005-0000-0000-000049810000}"/>
    <cellStyle name="Suma 14 2 2" xfId="32324" xr:uid="{00000000-0005-0000-0000-00004A810000}"/>
    <cellStyle name="Suma 14 3" xfId="32325" xr:uid="{00000000-0005-0000-0000-00004B810000}"/>
    <cellStyle name="Suma 15" xfId="32326" xr:uid="{00000000-0005-0000-0000-00004C810000}"/>
    <cellStyle name="Suma 15 2" xfId="32327" xr:uid="{00000000-0005-0000-0000-00004D810000}"/>
    <cellStyle name="Suma 15 2 2" xfId="32328" xr:uid="{00000000-0005-0000-0000-00004E810000}"/>
    <cellStyle name="Suma 15 3" xfId="32329" xr:uid="{00000000-0005-0000-0000-00004F810000}"/>
    <cellStyle name="Suma 16" xfId="32330" xr:uid="{00000000-0005-0000-0000-000050810000}"/>
    <cellStyle name="Suma 16 2" xfId="32331" xr:uid="{00000000-0005-0000-0000-000051810000}"/>
    <cellStyle name="Suma 16 2 2" xfId="32332" xr:uid="{00000000-0005-0000-0000-000052810000}"/>
    <cellStyle name="Suma 16 3" xfId="32333" xr:uid="{00000000-0005-0000-0000-000053810000}"/>
    <cellStyle name="Suma 17" xfId="32334" xr:uid="{00000000-0005-0000-0000-000054810000}"/>
    <cellStyle name="Suma 17 2" xfId="32335" xr:uid="{00000000-0005-0000-0000-000055810000}"/>
    <cellStyle name="Suma 17 2 2" xfId="32336" xr:uid="{00000000-0005-0000-0000-000056810000}"/>
    <cellStyle name="Suma 17 3" xfId="32337" xr:uid="{00000000-0005-0000-0000-000057810000}"/>
    <cellStyle name="Suma 18" xfId="32338" xr:uid="{00000000-0005-0000-0000-000058810000}"/>
    <cellStyle name="Suma 18 2" xfId="32339" xr:uid="{00000000-0005-0000-0000-000059810000}"/>
    <cellStyle name="Suma 18 2 2" xfId="32340" xr:uid="{00000000-0005-0000-0000-00005A810000}"/>
    <cellStyle name="Suma 18 3" xfId="32341" xr:uid="{00000000-0005-0000-0000-00005B810000}"/>
    <cellStyle name="Suma 19" xfId="32342" xr:uid="{00000000-0005-0000-0000-00005C810000}"/>
    <cellStyle name="Suma 19 2" xfId="32343" xr:uid="{00000000-0005-0000-0000-00005D810000}"/>
    <cellStyle name="Suma 19 2 2" xfId="32344" xr:uid="{00000000-0005-0000-0000-00005E810000}"/>
    <cellStyle name="Suma 19 3" xfId="32345" xr:uid="{00000000-0005-0000-0000-00005F810000}"/>
    <cellStyle name="Suma 2" xfId="335" xr:uid="{00000000-0005-0000-0000-000060810000}"/>
    <cellStyle name="Suma 2 10" xfId="32347" xr:uid="{00000000-0005-0000-0000-000061810000}"/>
    <cellStyle name="Suma 2 10 2" xfId="32348" xr:uid="{00000000-0005-0000-0000-000062810000}"/>
    <cellStyle name="Suma 2 10 2 2" xfId="32349" xr:uid="{00000000-0005-0000-0000-000063810000}"/>
    <cellStyle name="Suma 2 10 3" xfId="32350" xr:uid="{00000000-0005-0000-0000-000064810000}"/>
    <cellStyle name="Suma 2 11" xfId="32351" xr:uid="{00000000-0005-0000-0000-000065810000}"/>
    <cellStyle name="Suma 2 11 2" xfId="32352" xr:uid="{00000000-0005-0000-0000-000066810000}"/>
    <cellStyle name="Suma 2 11 2 2" xfId="32353" xr:uid="{00000000-0005-0000-0000-000067810000}"/>
    <cellStyle name="Suma 2 11 3" xfId="32354" xr:uid="{00000000-0005-0000-0000-000068810000}"/>
    <cellStyle name="Suma 2 12" xfId="32355" xr:uid="{00000000-0005-0000-0000-000069810000}"/>
    <cellStyle name="Suma 2 12 2" xfId="32356" xr:uid="{00000000-0005-0000-0000-00006A810000}"/>
    <cellStyle name="Suma 2 12 2 2" xfId="32357" xr:uid="{00000000-0005-0000-0000-00006B810000}"/>
    <cellStyle name="Suma 2 12 3" xfId="32358" xr:uid="{00000000-0005-0000-0000-00006C810000}"/>
    <cellStyle name="Suma 2 13" xfId="32359" xr:uid="{00000000-0005-0000-0000-00006D810000}"/>
    <cellStyle name="Suma 2 13 2" xfId="32360" xr:uid="{00000000-0005-0000-0000-00006E810000}"/>
    <cellStyle name="Suma 2 13 2 2" xfId="32361" xr:uid="{00000000-0005-0000-0000-00006F810000}"/>
    <cellStyle name="Suma 2 13 3" xfId="32362" xr:uid="{00000000-0005-0000-0000-000070810000}"/>
    <cellStyle name="Suma 2 13 3 2" xfId="32363" xr:uid="{00000000-0005-0000-0000-000071810000}"/>
    <cellStyle name="Suma 2 13 4" xfId="32364" xr:uid="{00000000-0005-0000-0000-000072810000}"/>
    <cellStyle name="Suma 2 14" xfId="32365" xr:uid="{00000000-0005-0000-0000-000073810000}"/>
    <cellStyle name="Suma 2 14 2" xfId="32366" xr:uid="{00000000-0005-0000-0000-000074810000}"/>
    <cellStyle name="Suma 2 14 2 2" xfId="32367" xr:uid="{00000000-0005-0000-0000-000075810000}"/>
    <cellStyle name="Suma 2 14 3" xfId="32368" xr:uid="{00000000-0005-0000-0000-000076810000}"/>
    <cellStyle name="Suma 2 14 3 2" xfId="32369" xr:uid="{00000000-0005-0000-0000-000077810000}"/>
    <cellStyle name="Suma 2 14 4" xfId="32370" xr:uid="{00000000-0005-0000-0000-000078810000}"/>
    <cellStyle name="Suma 2 15" xfId="32371" xr:uid="{00000000-0005-0000-0000-000079810000}"/>
    <cellStyle name="Suma 2 15 2" xfId="32372" xr:uid="{00000000-0005-0000-0000-00007A810000}"/>
    <cellStyle name="Suma 2 16" xfId="32373" xr:uid="{00000000-0005-0000-0000-00007B810000}"/>
    <cellStyle name="Suma 2 16 2" xfId="32374" xr:uid="{00000000-0005-0000-0000-00007C810000}"/>
    <cellStyle name="Suma 2 17" xfId="32375" xr:uid="{00000000-0005-0000-0000-00007D810000}"/>
    <cellStyle name="Suma 2 18" xfId="32346" xr:uid="{00000000-0005-0000-0000-00007E810000}"/>
    <cellStyle name="Suma 2 19" xfId="38626" xr:uid="{00000000-0005-0000-0000-00007F810000}"/>
    <cellStyle name="Suma 2 2" xfId="32376" xr:uid="{00000000-0005-0000-0000-000080810000}"/>
    <cellStyle name="Suma 2 2 10" xfId="32377" xr:uid="{00000000-0005-0000-0000-000081810000}"/>
    <cellStyle name="Suma 2 2 10 10" xfId="32378" xr:uid="{00000000-0005-0000-0000-000082810000}"/>
    <cellStyle name="Suma 2 2 10 10 2" xfId="32379" xr:uid="{00000000-0005-0000-0000-000083810000}"/>
    <cellStyle name="Suma 2 2 10 10 2 2" xfId="32380" xr:uid="{00000000-0005-0000-0000-000084810000}"/>
    <cellStyle name="Suma 2 2 10 10 3" xfId="32381" xr:uid="{00000000-0005-0000-0000-000085810000}"/>
    <cellStyle name="Suma 2 2 10 11" xfId="32382" xr:uid="{00000000-0005-0000-0000-000086810000}"/>
    <cellStyle name="Suma 2 2 10 11 2" xfId="32383" xr:uid="{00000000-0005-0000-0000-000087810000}"/>
    <cellStyle name="Suma 2 2 10 12" xfId="32384" xr:uid="{00000000-0005-0000-0000-000088810000}"/>
    <cellStyle name="Suma 2 2 10 12 2" xfId="32385" xr:uid="{00000000-0005-0000-0000-000089810000}"/>
    <cellStyle name="Suma 2 2 10 13" xfId="32386" xr:uid="{00000000-0005-0000-0000-00008A810000}"/>
    <cellStyle name="Suma 2 2 10 2" xfId="32387" xr:uid="{00000000-0005-0000-0000-00008B810000}"/>
    <cellStyle name="Suma 2 2 10 2 10" xfId="32388" xr:uid="{00000000-0005-0000-0000-00008C810000}"/>
    <cellStyle name="Suma 2 2 10 2 10 2" xfId="32389" xr:uid="{00000000-0005-0000-0000-00008D810000}"/>
    <cellStyle name="Suma 2 2 10 2 11" xfId="32390" xr:uid="{00000000-0005-0000-0000-00008E810000}"/>
    <cellStyle name="Suma 2 2 10 2 11 2" xfId="32391" xr:uid="{00000000-0005-0000-0000-00008F810000}"/>
    <cellStyle name="Suma 2 2 10 2 12" xfId="32392" xr:uid="{00000000-0005-0000-0000-000090810000}"/>
    <cellStyle name="Suma 2 2 10 2 2" xfId="32393" xr:uid="{00000000-0005-0000-0000-000091810000}"/>
    <cellStyle name="Suma 2 2 10 2 2 10" xfId="32394" xr:uid="{00000000-0005-0000-0000-000092810000}"/>
    <cellStyle name="Suma 2 2 10 2 2 10 2" xfId="32395" xr:uid="{00000000-0005-0000-0000-000093810000}"/>
    <cellStyle name="Suma 2 2 10 2 2 11" xfId="32396" xr:uid="{00000000-0005-0000-0000-000094810000}"/>
    <cellStyle name="Suma 2 2 10 2 2 11 2" xfId="32397" xr:uid="{00000000-0005-0000-0000-000095810000}"/>
    <cellStyle name="Suma 2 2 10 2 2 12" xfId="32398" xr:uid="{00000000-0005-0000-0000-000096810000}"/>
    <cellStyle name="Suma 2 2 10 2 2 2" xfId="32399" xr:uid="{00000000-0005-0000-0000-000097810000}"/>
    <cellStyle name="Suma 2 2 10 2 2 2 2" xfId="32400" xr:uid="{00000000-0005-0000-0000-000098810000}"/>
    <cellStyle name="Suma 2 2 10 2 2 2 2 2" xfId="32401" xr:uid="{00000000-0005-0000-0000-000099810000}"/>
    <cellStyle name="Suma 2 2 10 2 2 2 2 2 2" xfId="32402" xr:uid="{00000000-0005-0000-0000-00009A810000}"/>
    <cellStyle name="Suma 2 2 10 2 2 2 2 2 2 2" xfId="32403" xr:uid="{00000000-0005-0000-0000-00009B810000}"/>
    <cellStyle name="Suma 2 2 10 2 2 2 2 2 3" xfId="32404" xr:uid="{00000000-0005-0000-0000-00009C810000}"/>
    <cellStyle name="Suma 2 2 10 2 2 2 2 3" xfId="32405" xr:uid="{00000000-0005-0000-0000-00009D810000}"/>
    <cellStyle name="Suma 2 2 10 2 2 2 2 3 2" xfId="32406" xr:uid="{00000000-0005-0000-0000-00009E810000}"/>
    <cellStyle name="Suma 2 2 10 2 2 2 2 3 2 2" xfId="32407" xr:uid="{00000000-0005-0000-0000-00009F810000}"/>
    <cellStyle name="Suma 2 2 10 2 2 2 2 3 3" xfId="32408" xr:uid="{00000000-0005-0000-0000-0000A0810000}"/>
    <cellStyle name="Suma 2 2 10 2 2 2 2 4" xfId="32409" xr:uid="{00000000-0005-0000-0000-0000A1810000}"/>
    <cellStyle name="Suma 2 2 10 2 2 2 2 4 2" xfId="32410" xr:uid="{00000000-0005-0000-0000-0000A2810000}"/>
    <cellStyle name="Suma 2 2 10 2 2 2 2 4 2 2" xfId="32411" xr:uid="{00000000-0005-0000-0000-0000A3810000}"/>
    <cellStyle name="Suma 2 2 10 2 2 2 2 4 3" xfId="32412" xr:uid="{00000000-0005-0000-0000-0000A4810000}"/>
    <cellStyle name="Suma 2 2 10 2 2 2 2 5" xfId="32413" xr:uid="{00000000-0005-0000-0000-0000A5810000}"/>
    <cellStyle name="Suma 2 2 10 2 2 2 2 5 2" xfId="32414" xr:uid="{00000000-0005-0000-0000-0000A6810000}"/>
    <cellStyle name="Suma 2 2 10 2 2 2 2 6" xfId="32415" xr:uid="{00000000-0005-0000-0000-0000A7810000}"/>
    <cellStyle name="Suma 2 2 10 2 2 2 2 6 2" xfId="32416" xr:uid="{00000000-0005-0000-0000-0000A8810000}"/>
    <cellStyle name="Suma 2 2 10 2 2 2 2 7" xfId="32417" xr:uid="{00000000-0005-0000-0000-0000A9810000}"/>
    <cellStyle name="Suma 2 2 10 2 2 2 3" xfId="32418" xr:uid="{00000000-0005-0000-0000-0000AA810000}"/>
    <cellStyle name="Suma 2 2 10 2 2 2 3 2" xfId="32419" xr:uid="{00000000-0005-0000-0000-0000AB810000}"/>
    <cellStyle name="Suma 2 2 10 2 2 2 3 2 2" xfId="32420" xr:uid="{00000000-0005-0000-0000-0000AC810000}"/>
    <cellStyle name="Suma 2 2 10 2 2 2 3 3" xfId="32421" xr:uid="{00000000-0005-0000-0000-0000AD810000}"/>
    <cellStyle name="Suma 2 2 10 2 2 2 4" xfId="32422" xr:uid="{00000000-0005-0000-0000-0000AE810000}"/>
    <cellStyle name="Suma 2 2 10 2 2 2 4 2" xfId="32423" xr:uid="{00000000-0005-0000-0000-0000AF810000}"/>
    <cellStyle name="Suma 2 2 10 2 2 2 4 2 2" xfId="32424" xr:uid="{00000000-0005-0000-0000-0000B0810000}"/>
    <cellStyle name="Suma 2 2 10 2 2 2 4 3" xfId="32425" xr:uid="{00000000-0005-0000-0000-0000B1810000}"/>
    <cellStyle name="Suma 2 2 10 2 2 2 5" xfId="32426" xr:uid="{00000000-0005-0000-0000-0000B2810000}"/>
    <cellStyle name="Suma 2 2 10 2 2 2 5 2" xfId="32427" xr:uid="{00000000-0005-0000-0000-0000B3810000}"/>
    <cellStyle name="Suma 2 2 10 2 2 2 5 2 2" xfId="32428" xr:uid="{00000000-0005-0000-0000-0000B4810000}"/>
    <cellStyle name="Suma 2 2 10 2 2 2 5 3" xfId="32429" xr:uid="{00000000-0005-0000-0000-0000B5810000}"/>
    <cellStyle name="Suma 2 2 10 2 2 2 6" xfId="32430" xr:uid="{00000000-0005-0000-0000-0000B6810000}"/>
    <cellStyle name="Suma 2 2 10 2 2 2 6 2" xfId="32431" xr:uid="{00000000-0005-0000-0000-0000B7810000}"/>
    <cellStyle name="Suma 2 2 10 2 2 2 7" xfId="32432" xr:uid="{00000000-0005-0000-0000-0000B8810000}"/>
    <cellStyle name="Suma 2 2 10 2 2 2 7 2" xfId="32433" xr:uid="{00000000-0005-0000-0000-0000B9810000}"/>
    <cellStyle name="Suma 2 2 10 2 2 2 8" xfId="32434" xr:uid="{00000000-0005-0000-0000-0000BA810000}"/>
    <cellStyle name="Suma 2 2 10 2 2 3" xfId="32435" xr:uid="{00000000-0005-0000-0000-0000BB810000}"/>
    <cellStyle name="Suma 2 2 10 2 2 3 2" xfId="32436" xr:uid="{00000000-0005-0000-0000-0000BC810000}"/>
    <cellStyle name="Suma 2 2 10 2 2 3 2 2" xfId="32437" xr:uid="{00000000-0005-0000-0000-0000BD810000}"/>
    <cellStyle name="Suma 2 2 10 2 2 3 3" xfId="32438" xr:uid="{00000000-0005-0000-0000-0000BE810000}"/>
    <cellStyle name="Suma 2 2 10 2 2 4" xfId="32439" xr:uid="{00000000-0005-0000-0000-0000BF810000}"/>
    <cellStyle name="Suma 2 2 10 2 2 4 2" xfId="32440" xr:uid="{00000000-0005-0000-0000-0000C0810000}"/>
    <cellStyle name="Suma 2 2 10 2 2 4 2 2" xfId="32441" xr:uid="{00000000-0005-0000-0000-0000C1810000}"/>
    <cellStyle name="Suma 2 2 10 2 2 4 3" xfId="32442" xr:uid="{00000000-0005-0000-0000-0000C2810000}"/>
    <cellStyle name="Suma 2 2 10 2 2 5" xfId="32443" xr:uid="{00000000-0005-0000-0000-0000C3810000}"/>
    <cellStyle name="Suma 2 2 10 2 2 5 2" xfId="32444" xr:uid="{00000000-0005-0000-0000-0000C4810000}"/>
    <cellStyle name="Suma 2 2 10 2 2 5 2 2" xfId="32445" xr:uid="{00000000-0005-0000-0000-0000C5810000}"/>
    <cellStyle name="Suma 2 2 10 2 2 5 3" xfId="32446" xr:uid="{00000000-0005-0000-0000-0000C6810000}"/>
    <cellStyle name="Suma 2 2 10 2 2 6" xfId="32447" xr:uid="{00000000-0005-0000-0000-0000C7810000}"/>
    <cellStyle name="Suma 2 2 10 2 2 6 2" xfId="32448" xr:uid="{00000000-0005-0000-0000-0000C8810000}"/>
    <cellStyle name="Suma 2 2 10 2 2 6 2 2" xfId="32449" xr:uid="{00000000-0005-0000-0000-0000C9810000}"/>
    <cellStyle name="Suma 2 2 10 2 2 6 3" xfId="32450" xr:uid="{00000000-0005-0000-0000-0000CA810000}"/>
    <cellStyle name="Suma 2 2 10 2 2 7" xfId="32451" xr:uid="{00000000-0005-0000-0000-0000CB810000}"/>
    <cellStyle name="Suma 2 2 10 2 2 7 2" xfId="32452" xr:uid="{00000000-0005-0000-0000-0000CC810000}"/>
    <cellStyle name="Suma 2 2 10 2 2 7 2 2" xfId="32453" xr:uid="{00000000-0005-0000-0000-0000CD810000}"/>
    <cellStyle name="Suma 2 2 10 2 2 7 2 2 2" xfId="32454" xr:uid="{00000000-0005-0000-0000-0000CE810000}"/>
    <cellStyle name="Suma 2 2 10 2 2 7 2 3" xfId="32455" xr:uid="{00000000-0005-0000-0000-0000CF810000}"/>
    <cellStyle name="Suma 2 2 10 2 2 7 3" xfId="32456" xr:uid="{00000000-0005-0000-0000-0000D0810000}"/>
    <cellStyle name="Suma 2 2 10 2 2 7 3 2" xfId="32457" xr:uid="{00000000-0005-0000-0000-0000D1810000}"/>
    <cellStyle name="Suma 2 2 10 2 2 7 3 2 2" xfId="32458" xr:uid="{00000000-0005-0000-0000-0000D2810000}"/>
    <cellStyle name="Suma 2 2 10 2 2 7 3 3" xfId="32459" xr:uid="{00000000-0005-0000-0000-0000D3810000}"/>
    <cellStyle name="Suma 2 2 10 2 2 7 4" xfId="32460" xr:uid="{00000000-0005-0000-0000-0000D4810000}"/>
    <cellStyle name="Suma 2 2 10 2 2 7 4 2" xfId="32461" xr:uid="{00000000-0005-0000-0000-0000D5810000}"/>
    <cellStyle name="Suma 2 2 10 2 2 7 4 2 2" xfId="32462" xr:uid="{00000000-0005-0000-0000-0000D6810000}"/>
    <cellStyle name="Suma 2 2 10 2 2 7 4 3" xfId="32463" xr:uid="{00000000-0005-0000-0000-0000D7810000}"/>
    <cellStyle name="Suma 2 2 10 2 2 7 5" xfId="32464" xr:uid="{00000000-0005-0000-0000-0000D8810000}"/>
    <cellStyle name="Suma 2 2 10 2 2 7 5 2" xfId="32465" xr:uid="{00000000-0005-0000-0000-0000D9810000}"/>
    <cellStyle name="Suma 2 2 10 2 2 7 6" xfId="32466" xr:uid="{00000000-0005-0000-0000-0000DA810000}"/>
    <cellStyle name="Suma 2 2 10 2 2 7 6 2" xfId="32467" xr:uid="{00000000-0005-0000-0000-0000DB810000}"/>
    <cellStyle name="Suma 2 2 10 2 2 7 7" xfId="32468" xr:uid="{00000000-0005-0000-0000-0000DC810000}"/>
    <cellStyle name="Suma 2 2 10 2 2 8" xfId="32469" xr:uid="{00000000-0005-0000-0000-0000DD810000}"/>
    <cellStyle name="Suma 2 2 10 2 2 8 2" xfId="32470" xr:uid="{00000000-0005-0000-0000-0000DE810000}"/>
    <cellStyle name="Suma 2 2 10 2 2 8 2 2" xfId="32471" xr:uid="{00000000-0005-0000-0000-0000DF810000}"/>
    <cellStyle name="Suma 2 2 10 2 2 8 3" xfId="32472" xr:uid="{00000000-0005-0000-0000-0000E0810000}"/>
    <cellStyle name="Suma 2 2 10 2 2 9" xfId="32473" xr:uid="{00000000-0005-0000-0000-0000E1810000}"/>
    <cellStyle name="Suma 2 2 10 2 2 9 2" xfId="32474" xr:uid="{00000000-0005-0000-0000-0000E2810000}"/>
    <cellStyle name="Suma 2 2 10 2 2 9 2 2" xfId="32475" xr:uid="{00000000-0005-0000-0000-0000E3810000}"/>
    <cellStyle name="Suma 2 2 10 2 2 9 3" xfId="32476" xr:uid="{00000000-0005-0000-0000-0000E4810000}"/>
    <cellStyle name="Suma 2 2 10 2 3" xfId="32477" xr:uid="{00000000-0005-0000-0000-0000E5810000}"/>
    <cellStyle name="Suma 2 2 10 2 3 2" xfId="32478" xr:uid="{00000000-0005-0000-0000-0000E6810000}"/>
    <cellStyle name="Suma 2 2 10 2 3 2 2" xfId="32479" xr:uid="{00000000-0005-0000-0000-0000E7810000}"/>
    <cellStyle name="Suma 2 2 10 2 3 2 2 2" xfId="32480" xr:uid="{00000000-0005-0000-0000-0000E8810000}"/>
    <cellStyle name="Suma 2 2 10 2 3 2 2 2 2" xfId="32481" xr:uid="{00000000-0005-0000-0000-0000E9810000}"/>
    <cellStyle name="Suma 2 2 10 2 3 2 2 3" xfId="32482" xr:uid="{00000000-0005-0000-0000-0000EA810000}"/>
    <cellStyle name="Suma 2 2 10 2 3 2 3" xfId="32483" xr:uid="{00000000-0005-0000-0000-0000EB810000}"/>
    <cellStyle name="Suma 2 2 10 2 3 2 3 2" xfId="32484" xr:uid="{00000000-0005-0000-0000-0000EC810000}"/>
    <cellStyle name="Suma 2 2 10 2 3 2 3 2 2" xfId="32485" xr:uid="{00000000-0005-0000-0000-0000ED810000}"/>
    <cellStyle name="Suma 2 2 10 2 3 2 3 3" xfId="32486" xr:uid="{00000000-0005-0000-0000-0000EE810000}"/>
    <cellStyle name="Suma 2 2 10 2 3 2 4" xfId="32487" xr:uid="{00000000-0005-0000-0000-0000EF810000}"/>
    <cellStyle name="Suma 2 2 10 2 3 2 4 2" xfId="32488" xr:uid="{00000000-0005-0000-0000-0000F0810000}"/>
    <cellStyle name="Suma 2 2 10 2 3 2 4 2 2" xfId="32489" xr:uid="{00000000-0005-0000-0000-0000F1810000}"/>
    <cellStyle name="Suma 2 2 10 2 3 2 4 3" xfId="32490" xr:uid="{00000000-0005-0000-0000-0000F2810000}"/>
    <cellStyle name="Suma 2 2 10 2 3 2 5" xfId="32491" xr:uid="{00000000-0005-0000-0000-0000F3810000}"/>
    <cellStyle name="Suma 2 2 10 2 3 2 5 2" xfId="32492" xr:uid="{00000000-0005-0000-0000-0000F4810000}"/>
    <cellStyle name="Suma 2 2 10 2 3 2 6" xfId="32493" xr:uid="{00000000-0005-0000-0000-0000F5810000}"/>
    <cellStyle name="Suma 2 2 10 2 3 2 6 2" xfId="32494" xr:uid="{00000000-0005-0000-0000-0000F6810000}"/>
    <cellStyle name="Suma 2 2 10 2 3 2 7" xfId="32495" xr:uid="{00000000-0005-0000-0000-0000F7810000}"/>
    <cellStyle name="Suma 2 2 10 2 3 3" xfId="32496" xr:uid="{00000000-0005-0000-0000-0000F8810000}"/>
    <cellStyle name="Suma 2 2 10 2 3 3 2" xfId="32497" xr:uid="{00000000-0005-0000-0000-0000F9810000}"/>
    <cellStyle name="Suma 2 2 10 2 3 3 2 2" xfId="32498" xr:uid="{00000000-0005-0000-0000-0000FA810000}"/>
    <cellStyle name="Suma 2 2 10 2 3 3 3" xfId="32499" xr:uid="{00000000-0005-0000-0000-0000FB810000}"/>
    <cellStyle name="Suma 2 2 10 2 3 4" xfId="32500" xr:uid="{00000000-0005-0000-0000-0000FC810000}"/>
    <cellStyle name="Suma 2 2 10 2 3 4 2" xfId="32501" xr:uid="{00000000-0005-0000-0000-0000FD810000}"/>
    <cellStyle name="Suma 2 2 10 2 3 4 2 2" xfId="32502" xr:uid="{00000000-0005-0000-0000-0000FE810000}"/>
    <cellStyle name="Suma 2 2 10 2 3 4 3" xfId="32503" xr:uid="{00000000-0005-0000-0000-0000FF810000}"/>
    <cellStyle name="Suma 2 2 10 2 3 5" xfId="32504" xr:uid="{00000000-0005-0000-0000-000000820000}"/>
    <cellStyle name="Suma 2 2 10 2 3 5 2" xfId="32505" xr:uid="{00000000-0005-0000-0000-000001820000}"/>
    <cellStyle name="Suma 2 2 10 2 3 5 2 2" xfId="32506" xr:uid="{00000000-0005-0000-0000-000002820000}"/>
    <cellStyle name="Suma 2 2 10 2 3 5 3" xfId="32507" xr:uid="{00000000-0005-0000-0000-000003820000}"/>
    <cellStyle name="Suma 2 2 10 2 3 6" xfId="32508" xr:uid="{00000000-0005-0000-0000-000004820000}"/>
    <cellStyle name="Suma 2 2 10 2 3 6 2" xfId="32509" xr:uid="{00000000-0005-0000-0000-000005820000}"/>
    <cellStyle name="Suma 2 2 10 2 3 7" xfId="32510" xr:uid="{00000000-0005-0000-0000-000006820000}"/>
    <cellStyle name="Suma 2 2 10 2 3 7 2" xfId="32511" xr:uid="{00000000-0005-0000-0000-000007820000}"/>
    <cellStyle name="Suma 2 2 10 2 3 8" xfId="32512" xr:uid="{00000000-0005-0000-0000-000008820000}"/>
    <cellStyle name="Suma 2 2 10 2 4" xfId="32513" xr:uid="{00000000-0005-0000-0000-000009820000}"/>
    <cellStyle name="Suma 2 2 10 2 4 2" xfId="32514" xr:uid="{00000000-0005-0000-0000-00000A820000}"/>
    <cellStyle name="Suma 2 2 10 2 4 2 2" xfId="32515" xr:uid="{00000000-0005-0000-0000-00000B820000}"/>
    <cellStyle name="Suma 2 2 10 2 4 3" xfId="32516" xr:uid="{00000000-0005-0000-0000-00000C820000}"/>
    <cellStyle name="Suma 2 2 10 2 5" xfId="32517" xr:uid="{00000000-0005-0000-0000-00000D820000}"/>
    <cellStyle name="Suma 2 2 10 2 5 2" xfId="32518" xr:uid="{00000000-0005-0000-0000-00000E820000}"/>
    <cellStyle name="Suma 2 2 10 2 5 2 2" xfId="32519" xr:uid="{00000000-0005-0000-0000-00000F820000}"/>
    <cellStyle name="Suma 2 2 10 2 5 3" xfId="32520" xr:uid="{00000000-0005-0000-0000-000010820000}"/>
    <cellStyle name="Suma 2 2 10 2 6" xfId="32521" xr:uid="{00000000-0005-0000-0000-000011820000}"/>
    <cellStyle name="Suma 2 2 10 2 6 2" xfId="32522" xr:uid="{00000000-0005-0000-0000-000012820000}"/>
    <cellStyle name="Suma 2 2 10 2 6 2 2" xfId="32523" xr:uid="{00000000-0005-0000-0000-000013820000}"/>
    <cellStyle name="Suma 2 2 10 2 6 3" xfId="32524" xr:uid="{00000000-0005-0000-0000-000014820000}"/>
    <cellStyle name="Suma 2 2 10 2 7" xfId="32525" xr:uid="{00000000-0005-0000-0000-000015820000}"/>
    <cellStyle name="Suma 2 2 10 2 7 2" xfId="32526" xr:uid="{00000000-0005-0000-0000-000016820000}"/>
    <cellStyle name="Suma 2 2 10 2 7 2 2" xfId="32527" xr:uid="{00000000-0005-0000-0000-000017820000}"/>
    <cellStyle name="Suma 2 2 10 2 7 2 2 2" xfId="32528" xr:uid="{00000000-0005-0000-0000-000018820000}"/>
    <cellStyle name="Suma 2 2 10 2 7 2 3" xfId="32529" xr:uid="{00000000-0005-0000-0000-000019820000}"/>
    <cellStyle name="Suma 2 2 10 2 7 3" xfId="32530" xr:uid="{00000000-0005-0000-0000-00001A820000}"/>
    <cellStyle name="Suma 2 2 10 2 7 3 2" xfId="32531" xr:uid="{00000000-0005-0000-0000-00001B820000}"/>
    <cellStyle name="Suma 2 2 10 2 7 3 2 2" xfId="32532" xr:uid="{00000000-0005-0000-0000-00001C820000}"/>
    <cellStyle name="Suma 2 2 10 2 7 3 3" xfId="32533" xr:uid="{00000000-0005-0000-0000-00001D820000}"/>
    <cellStyle name="Suma 2 2 10 2 7 4" xfId="32534" xr:uid="{00000000-0005-0000-0000-00001E820000}"/>
    <cellStyle name="Suma 2 2 10 2 7 4 2" xfId="32535" xr:uid="{00000000-0005-0000-0000-00001F820000}"/>
    <cellStyle name="Suma 2 2 10 2 7 4 2 2" xfId="32536" xr:uid="{00000000-0005-0000-0000-000020820000}"/>
    <cellStyle name="Suma 2 2 10 2 7 4 3" xfId="32537" xr:uid="{00000000-0005-0000-0000-000021820000}"/>
    <cellStyle name="Suma 2 2 10 2 7 5" xfId="32538" xr:uid="{00000000-0005-0000-0000-000022820000}"/>
    <cellStyle name="Suma 2 2 10 2 7 5 2" xfId="32539" xr:uid="{00000000-0005-0000-0000-000023820000}"/>
    <cellStyle name="Suma 2 2 10 2 7 6" xfId="32540" xr:uid="{00000000-0005-0000-0000-000024820000}"/>
    <cellStyle name="Suma 2 2 10 2 7 6 2" xfId="32541" xr:uid="{00000000-0005-0000-0000-000025820000}"/>
    <cellStyle name="Suma 2 2 10 2 7 7" xfId="32542" xr:uid="{00000000-0005-0000-0000-000026820000}"/>
    <cellStyle name="Suma 2 2 10 2 8" xfId="32543" xr:uid="{00000000-0005-0000-0000-000027820000}"/>
    <cellStyle name="Suma 2 2 10 2 8 2" xfId="32544" xr:uid="{00000000-0005-0000-0000-000028820000}"/>
    <cellStyle name="Suma 2 2 10 2 8 2 2" xfId="32545" xr:uid="{00000000-0005-0000-0000-000029820000}"/>
    <cellStyle name="Suma 2 2 10 2 8 3" xfId="32546" xr:uid="{00000000-0005-0000-0000-00002A820000}"/>
    <cellStyle name="Suma 2 2 10 2 9" xfId="32547" xr:uid="{00000000-0005-0000-0000-00002B820000}"/>
    <cellStyle name="Suma 2 2 10 2 9 2" xfId="32548" xr:uid="{00000000-0005-0000-0000-00002C820000}"/>
    <cellStyle name="Suma 2 2 10 2 9 2 2" xfId="32549" xr:uid="{00000000-0005-0000-0000-00002D820000}"/>
    <cellStyle name="Suma 2 2 10 2 9 3" xfId="32550" xr:uid="{00000000-0005-0000-0000-00002E820000}"/>
    <cellStyle name="Suma 2 2 10 3" xfId="32551" xr:uid="{00000000-0005-0000-0000-00002F820000}"/>
    <cellStyle name="Suma 2 2 10 3 2" xfId="32552" xr:uid="{00000000-0005-0000-0000-000030820000}"/>
    <cellStyle name="Suma 2 2 10 3 2 2" xfId="32553" xr:uid="{00000000-0005-0000-0000-000031820000}"/>
    <cellStyle name="Suma 2 2 10 3 2 2 2" xfId="32554" xr:uid="{00000000-0005-0000-0000-000032820000}"/>
    <cellStyle name="Suma 2 2 10 3 2 2 2 2" xfId="32555" xr:uid="{00000000-0005-0000-0000-000033820000}"/>
    <cellStyle name="Suma 2 2 10 3 2 2 3" xfId="32556" xr:uid="{00000000-0005-0000-0000-000034820000}"/>
    <cellStyle name="Suma 2 2 10 3 2 3" xfId="32557" xr:uid="{00000000-0005-0000-0000-000035820000}"/>
    <cellStyle name="Suma 2 2 10 3 2 3 2" xfId="32558" xr:uid="{00000000-0005-0000-0000-000036820000}"/>
    <cellStyle name="Suma 2 2 10 3 2 3 2 2" xfId="32559" xr:uid="{00000000-0005-0000-0000-000037820000}"/>
    <cellStyle name="Suma 2 2 10 3 2 3 3" xfId="32560" xr:uid="{00000000-0005-0000-0000-000038820000}"/>
    <cellStyle name="Suma 2 2 10 3 2 4" xfId="32561" xr:uid="{00000000-0005-0000-0000-000039820000}"/>
    <cellStyle name="Suma 2 2 10 3 2 4 2" xfId="32562" xr:uid="{00000000-0005-0000-0000-00003A820000}"/>
    <cellStyle name="Suma 2 2 10 3 2 4 2 2" xfId="32563" xr:uid="{00000000-0005-0000-0000-00003B820000}"/>
    <cellStyle name="Suma 2 2 10 3 2 4 3" xfId="32564" xr:uid="{00000000-0005-0000-0000-00003C820000}"/>
    <cellStyle name="Suma 2 2 10 3 2 5" xfId="32565" xr:uid="{00000000-0005-0000-0000-00003D820000}"/>
    <cellStyle name="Suma 2 2 10 3 2 5 2" xfId="32566" xr:uid="{00000000-0005-0000-0000-00003E820000}"/>
    <cellStyle name="Suma 2 2 10 3 2 6" xfId="32567" xr:uid="{00000000-0005-0000-0000-00003F820000}"/>
    <cellStyle name="Suma 2 2 10 3 2 6 2" xfId="32568" xr:uid="{00000000-0005-0000-0000-000040820000}"/>
    <cellStyle name="Suma 2 2 10 3 2 7" xfId="32569" xr:uid="{00000000-0005-0000-0000-000041820000}"/>
    <cellStyle name="Suma 2 2 10 3 3" xfId="32570" xr:uid="{00000000-0005-0000-0000-000042820000}"/>
    <cellStyle name="Suma 2 2 10 3 3 2" xfId="32571" xr:uid="{00000000-0005-0000-0000-000043820000}"/>
    <cellStyle name="Suma 2 2 10 3 3 2 2" xfId="32572" xr:uid="{00000000-0005-0000-0000-000044820000}"/>
    <cellStyle name="Suma 2 2 10 3 3 3" xfId="32573" xr:uid="{00000000-0005-0000-0000-000045820000}"/>
    <cellStyle name="Suma 2 2 10 3 4" xfId="32574" xr:uid="{00000000-0005-0000-0000-000046820000}"/>
    <cellStyle name="Suma 2 2 10 3 4 2" xfId="32575" xr:uid="{00000000-0005-0000-0000-000047820000}"/>
    <cellStyle name="Suma 2 2 10 3 4 2 2" xfId="32576" xr:uid="{00000000-0005-0000-0000-000048820000}"/>
    <cellStyle name="Suma 2 2 10 3 4 3" xfId="32577" xr:uid="{00000000-0005-0000-0000-000049820000}"/>
    <cellStyle name="Suma 2 2 10 3 5" xfId="32578" xr:uid="{00000000-0005-0000-0000-00004A820000}"/>
    <cellStyle name="Suma 2 2 10 3 5 2" xfId="32579" xr:uid="{00000000-0005-0000-0000-00004B820000}"/>
    <cellStyle name="Suma 2 2 10 3 5 2 2" xfId="32580" xr:uid="{00000000-0005-0000-0000-00004C820000}"/>
    <cellStyle name="Suma 2 2 10 3 5 3" xfId="32581" xr:uid="{00000000-0005-0000-0000-00004D820000}"/>
    <cellStyle name="Suma 2 2 10 3 6" xfId="32582" xr:uid="{00000000-0005-0000-0000-00004E820000}"/>
    <cellStyle name="Suma 2 2 10 3 6 2" xfId="32583" xr:uid="{00000000-0005-0000-0000-00004F820000}"/>
    <cellStyle name="Suma 2 2 10 3 7" xfId="32584" xr:uid="{00000000-0005-0000-0000-000050820000}"/>
    <cellStyle name="Suma 2 2 10 3 7 2" xfId="32585" xr:uid="{00000000-0005-0000-0000-000051820000}"/>
    <cellStyle name="Suma 2 2 10 3 8" xfId="32586" xr:uid="{00000000-0005-0000-0000-000052820000}"/>
    <cellStyle name="Suma 2 2 10 4" xfId="32587" xr:uid="{00000000-0005-0000-0000-000053820000}"/>
    <cellStyle name="Suma 2 2 10 4 2" xfId="32588" xr:uid="{00000000-0005-0000-0000-000054820000}"/>
    <cellStyle name="Suma 2 2 10 4 2 2" xfId="32589" xr:uid="{00000000-0005-0000-0000-000055820000}"/>
    <cellStyle name="Suma 2 2 10 4 3" xfId="32590" xr:uid="{00000000-0005-0000-0000-000056820000}"/>
    <cellStyle name="Suma 2 2 10 5" xfId="32591" xr:uid="{00000000-0005-0000-0000-000057820000}"/>
    <cellStyle name="Suma 2 2 10 5 2" xfId="32592" xr:uid="{00000000-0005-0000-0000-000058820000}"/>
    <cellStyle name="Suma 2 2 10 5 2 2" xfId="32593" xr:uid="{00000000-0005-0000-0000-000059820000}"/>
    <cellStyle name="Suma 2 2 10 5 3" xfId="32594" xr:uid="{00000000-0005-0000-0000-00005A820000}"/>
    <cellStyle name="Suma 2 2 10 6" xfId="32595" xr:uid="{00000000-0005-0000-0000-00005B820000}"/>
    <cellStyle name="Suma 2 2 10 6 2" xfId="32596" xr:uid="{00000000-0005-0000-0000-00005C820000}"/>
    <cellStyle name="Suma 2 2 10 6 2 2" xfId="32597" xr:uid="{00000000-0005-0000-0000-00005D820000}"/>
    <cellStyle name="Suma 2 2 10 6 3" xfId="32598" xr:uid="{00000000-0005-0000-0000-00005E820000}"/>
    <cellStyle name="Suma 2 2 10 7" xfId="32599" xr:uid="{00000000-0005-0000-0000-00005F820000}"/>
    <cellStyle name="Suma 2 2 10 7 2" xfId="32600" xr:uid="{00000000-0005-0000-0000-000060820000}"/>
    <cellStyle name="Suma 2 2 10 7 2 2" xfId="32601" xr:uid="{00000000-0005-0000-0000-000061820000}"/>
    <cellStyle name="Suma 2 2 10 7 3" xfId="32602" xr:uid="{00000000-0005-0000-0000-000062820000}"/>
    <cellStyle name="Suma 2 2 10 8" xfId="32603" xr:uid="{00000000-0005-0000-0000-000063820000}"/>
    <cellStyle name="Suma 2 2 10 8 2" xfId="32604" xr:uid="{00000000-0005-0000-0000-000064820000}"/>
    <cellStyle name="Suma 2 2 10 8 2 2" xfId="32605" xr:uid="{00000000-0005-0000-0000-000065820000}"/>
    <cellStyle name="Suma 2 2 10 8 2 2 2" xfId="32606" xr:uid="{00000000-0005-0000-0000-000066820000}"/>
    <cellStyle name="Suma 2 2 10 8 2 3" xfId="32607" xr:uid="{00000000-0005-0000-0000-000067820000}"/>
    <cellStyle name="Suma 2 2 10 8 3" xfId="32608" xr:uid="{00000000-0005-0000-0000-000068820000}"/>
    <cellStyle name="Suma 2 2 10 8 3 2" xfId="32609" xr:uid="{00000000-0005-0000-0000-000069820000}"/>
    <cellStyle name="Suma 2 2 10 8 3 2 2" xfId="32610" xr:uid="{00000000-0005-0000-0000-00006A820000}"/>
    <cellStyle name="Suma 2 2 10 8 3 3" xfId="32611" xr:uid="{00000000-0005-0000-0000-00006B820000}"/>
    <cellStyle name="Suma 2 2 10 8 4" xfId="32612" xr:uid="{00000000-0005-0000-0000-00006C820000}"/>
    <cellStyle name="Suma 2 2 10 8 4 2" xfId="32613" xr:uid="{00000000-0005-0000-0000-00006D820000}"/>
    <cellStyle name="Suma 2 2 10 8 4 2 2" xfId="32614" xr:uid="{00000000-0005-0000-0000-00006E820000}"/>
    <cellStyle name="Suma 2 2 10 8 4 3" xfId="32615" xr:uid="{00000000-0005-0000-0000-00006F820000}"/>
    <cellStyle name="Suma 2 2 10 8 5" xfId="32616" xr:uid="{00000000-0005-0000-0000-000070820000}"/>
    <cellStyle name="Suma 2 2 10 8 5 2" xfId="32617" xr:uid="{00000000-0005-0000-0000-000071820000}"/>
    <cellStyle name="Suma 2 2 10 8 6" xfId="32618" xr:uid="{00000000-0005-0000-0000-000072820000}"/>
    <cellStyle name="Suma 2 2 10 8 6 2" xfId="32619" xr:uid="{00000000-0005-0000-0000-000073820000}"/>
    <cellStyle name="Suma 2 2 10 8 7" xfId="32620" xr:uid="{00000000-0005-0000-0000-000074820000}"/>
    <cellStyle name="Suma 2 2 10 9" xfId="32621" xr:uid="{00000000-0005-0000-0000-000075820000}"/>
    <cellStyle name="Suma 2 2 10 9 2" xfId="32622" xr:uid="{00000000-0005-0000-0000-000076820000}"/>
    <cellStyle name="Suma 2 2 10 9 2 2" xfId="32623" xr:uid="{00000000-0005-0000-0000-000077820000}"/>
    <cellStyle name="Suma 2 2 10 9 3" xfId="32624" xr:uid="{00000000-0005-0000-0000-000078820000}"/>
    <cellStyle name="Suma 2 2 11" xfId="32625" xr:uid="{00000000-0005-0000-0000-000079820000}"/>
    <cellStyle name="Suma 2 2 11 10" xfId="32626" xr:uid="{00000000-0005-0000-0000-00007A820000}"/>
    <cellStyle name="Suma 2 2 11 10 2" xfId="32627" xr:uid="{00000000-0005-0000-0000-00007B820000}"/>
    <cellStyle name="Suma 2 2 11 11" xfId="32628" xr:uid="{00000000-0005-0000-0000-00007C820000}"/>
    <cellStyle name="Suma 2 2 11 11 2" xfId="32629" xr:uid="{00000000-0005-0000-0000-00007D820000}"/>
    <cellStyle name="Suma 2 2 11 12" xfId="32630" xr:uid="{00000000-0005-0000-0000-00007E820000}"/>
    <cellStyle name="Suma 2 2 11 2" xfId="32631" xr:uid="{00000000-0005-0000-0000-00007F820000}"/>
    <cellStyle name="Suma 2 2 11 2 2" xfId="32632" xr:uid="{00000000-0005-0000-0000-000080820000}"/>
    <cellStyle name="Suma 2 2 11 2 2 2" xfId="32633" xr:uid="{00000000-0005-0000-0000-000081820000}"/>
    <cellStyle name="Suma 2 2 11 2 2 2 2" xfId="32634" xr:uid="{00000000-0005-0000-0000-000082820000}"/>
    <cellStyle name="Suma 2 2 11 2 2 2 2 2" xfId="32635" xr:uid="{00000000-0005-0000-0000-000083820000}"/>
    <cellStyle name="Suma 2 2 11 2 2 2 3" xfId="32636" xr:uid="{00000000-0005-0000-0000-000084820000}"/>
    <cellStyle name="Suma 2 2 11 2 2 3" xfId="32637" xr:uid="{00000000-0005-0000-0000-000085820000}"/>
    <cellStyle name="Suma 2 2 11 2 2 3 2" xfId="32638" xr:uid="{00000000-0005-0000-0000-000086820000}"/>
    <cellStyle name="Suma 2 2 11 2 2 3 2 2" xfId="32639" xr:uid="{00000000-0005-0000-0000-000087820000}"/>
    <cellStyle name="Suma 2 2 11 2 2 3 3" xfId="32640" xr:uid="{00000000-0005-0000-0000-000088820000}"/>
    <cellStyle name="Suma 2 2 11 2 2 4" xfId="32641" xr:uid="{00000000-0005-0000-0000-000089820000}"/>
    <cellStyle name="Suma 2 2 11 2 2 4 2" xfId="32642" xr:uid="{00000000-0005-0000-0000-00008A820000}"/>
    <cellStyle name="Suma 2 2 11 2 2 4 2 2" xfId="32643" xr:uid="{00000000-0005-0000-0000-00008B820000}"/>
    <cellStyle name="Suma 2 2 11 2 2 4 3" xfId="32644" xr:uid="{00000000-0005-0000-0000-00008C820000}"/>
    <cellStyle name="Suma 2 2 11 2 2 5" xfId="32645" xr:uid="{00000000-0005-0000-0000-00008D820000}"/>
    <cellStyle name="Suma 2 2 11 2 2 5 2" xfId="32646" xr:uid="{00000000-0005-0000-0000-00008E820000}"/>
    <cellStyle name="Suma 2 2 11 2 2 6" xfId="32647" xr:uid="{00000000-0005-0000-0000-00008F820000}"/>
    <cellStyle name="Suma 2 2 11 2 2 6 2" xfId="32648" xr:uid="{00000000-0005-0000-0000-000090820000}"/>
    <cellStyle name="Suma 2 2 11 2 2 7" xfId="32649" xr:uid="{00000000-0005-0000-0000-000091820000}"/>
    <cellStyle name="Suma 2 2 11 2 3" xfId="32650" xr:uid="{00000000-0005-0000-0000-000092820000}"/>
    <cellStyle name="Suma 2 2 11 2 3 2" xfId="32651" xr:uid="{00000000-0005-0000-0000-000093820000}"/>
    <cellStyle name="Suma 2 2 11 2 3 2 2" xfId="32652" xr:uid="{00000000-0005-0000-0000-000094820000}"/>
    <cellStyle name="Suma 2 2 11 2 3 3" xfId="32653" xr:uid="{00000000-0005-0000-0000-000095820000}"/>
    <cellStyle name="Suma 2 2 11 2 4" xfId="32654" xr:uid="{00000000-0005-0000-0000-000096820000}"/>
    <cellStyle name="Suma 2 2 11 2 4 2" xfId="32655" xr:uid="{00000000-0005-0000-0000-000097820000}"/>
    <cellStyle name="Suma 2 2 11 2 4 2 2" xfId="32656" xr:uid="{00000000-0005-0000-0000-000098820000}"/>
    <cellStyle name="Suma 2 2 11 2 4 3" xfId="32657" xr:uid="{00000000-0005-0000-0000-000099820000}"/>
    <cellStyle name="Suma 2 2 11 2 5" xfId="32658" xr:uid="{00000000-0005-0000-0000-00009A820000}"/>
    <cellStyle name="Suma 2 2 11 2 5 2" xfId="32659" xr:uid="{00000000-0005-0000-0000-00009B820000}"/>
    <cellStyle name="Suma 2 2 11 2 5 2 2" xfId="32660" xr:uid="{00000000-0005-0000-0000-00009C820000}"/>
    <cellStyle name="Suma 2 2 11 2 5 3" xfId="32661" xr:uid="{00000000-0005-0000-0000-00009D820000}"/>
    <cellStyle name="Suma 2 2 11 2 6" xfId="32662" xr:uid="{00000000-0005-0000-0000-00009E820000}"/>
    <cellStyle name="Suma 2 2 11 2 6 2" xfId="32663" xr:uid="{00000000-0005-0000-0000-00009F820000}"/>
    <cellStyle name="Suma 2 2 11 2 7" xfId="32664" xr:uid="{00000000-0005-0000-0000-0000A0820000}"/>
    <cellStyle name="Suma 2 2 11 2 7 2" xfId="32665" xr:uid="{00000000-0005-0000-0000-0000A1820000}"/>
    <cellStyle name="Suma 2 2 11 2 8" xfId="32666" xr:uid="{00000000-0005-0000-0000-0000A2820000}"/>
    <cellStyle name="Suma 2 2 11 3" xfId="32667" xr:uid="{00000000-0005-0000-0000-0000A3820000}"/>
    <cellStyle name="Suma 2 2 11 3 2" xfId="32668" xr:uid="{00000000-0005-0000-0000-0000A4820000}"/>
    <cellStyle name="Suma 2 2 11 3 2 2" xfId="32669" xr:uid="{00000000-0005-0000-0000-0000A5820000}"/>
    <cellStyle name="Suma 2 2 11 3 3" xfId="32670" xr:uid="{00000000-0005-0000-0000-0000A6820000}"/>
    <cellStyle name="Suma 2 2 11 4" xfId="32671" xr:uid="{00000000-0005-0000-0000-0000A7820000}"/>
    <cellStyle name="Suma 2 2 11 4 2" xfId="32672" xr:uid="{00000000-0005-0000-0000-0000A8820000}"/>
    <cellStyle name="Suma 2 2 11 4 2 2" xfId="32673" xr:uid="{00000000-0005-0000-0000-0000A9820000}"/>
    <cellStyle name="Suma 2 2 11 4 3" xfId="32674" xr:uid="{00000000-0005-0000-0000-0000AA820000}"/>
    <cellStyle name="Suma 2 2 11 5" xfId="32675" xr:uid="{00000000-0005-0000-0000-0000AB820000}"/>
    <cellStyle name="Suma 2 2 11 5 2" xfId="32676" xr:uid="{00000000-0005-0000-0000-0000AC820000}"/>
    <cellStyle name="Suma 2 2 11 5 2 2" xfId="32677" xr:uid="{00000000-0005-0000-0000-0000AD820000}"/>
    <cellStyle name="Suma 2 2 11 5 3" xfId="32678" xr:uid="{00000000-0005-0000-0000-0000AE820000}"/>
    <cellStyle name="Suma 2 2 11 6" xfId="32679" xr:uid="{00000000-0005-0000-0000-0000AF820000}"/>
    <cellStyle name="Suma 2 2 11 6 2" xfId="32680" xr:uid="{00000000-0005-0000-0000-0000B0820000}"/>
    <cellStyle name="Suma 2 2 11 6 2 2" xfId="32681" xr:uid="{00000000-0005-0000-0000-0000B1820000}"/>
    <cellStyle name="Suma 2 2 11 6 3" xfId="32682" xr:uid="{00000000-0005-0000-0000-0000B2820000}"/>
    <cellStyle name="Suma 2 2 11 7" xfId="32683" xr:uid="{00000000-0005-0000-0000-0000B3820000}"/>
    <cellStyle name="Suma 2 2 11 7 2" xfId="32684" xr:uid="{00000000-0005-0000-0000-0000B4820000}"/>
    <cellStyle name="Suma 2 2 11 7 2 2" xfId="32685" xr:uid="{00000000-0005-0000-0000-0000B5820000}"/>
    <cellStyle name="Suma 2 2 11 7 2 2 2" xfId="32686" xr:uid="{00000000-0005-0000-0000-0000B6820000}"/>
    <cellStyle name="Suma 2 2 11 7 2 3" xfId="32687" xr:uid="{00000000-0005-0000-0000-0000B7820000}"/>
    <cellStyle name="Suma 2 2 11 7 3" xfId="32688" xr:uid="{00000000-0005-0000-0000-0000B8820000}"/>
    <cellStyle name="Suma 2 2 11 7 3 2" xfId="32689" xr:uid="{00000000-0005-0000-0000-0000B9820000}"/>
    <cellStyle name="Suma 2 2 11 7 3 2 2" xfId="32690" xr:uid="{00000000-0005-0000-0000-0000BA820000}"/>
    <cellStyle name="Suma 2 2 11 7 3 3" xfId="32691" xr:uid="{00000000-0005-0000-0000-0000BB820000}"/>
    <cellStyle name="Suma 2 2 11 7 4" xfId="32692" xr:uid="{00000000-0005-0000-0000-0000BC820000}"/>
    <cellStyle name="Suma 2 2 11 7 4 2" xfId="32693" xr:uid="{00000000-0005-0000-0000-0000BD820000}"/>
    <cellStyle name="Suma 2 2 11 7 4 2 2" xfId="32694" xr:uid="{00000000-0005-0000-0000-0000BE820000}"/>
    <cellStyle name="Suma 2 2 11 7 4 3" xfId="32695" xr:uid="{00000000-0005-0000-0000-0000BF820000}"/>
    <cellStyle name="Suma 2 2 11 7 5" xfId="32696" xr:uid="{00000000-0005-0000-0000-0000C0820000}"/>
    <cellStyle name="Suma 2 2 11 7 5 2" xfId="32697" xr:uid="{00000000-0005-0000-0000-0000C1820000}"/>
    <cellStyle name="Suma 2 2 11 7 6" xfId="32698" xr:uid="{00000000-0005-0000-0000-0000C2820000}"/>
    <cellStyle name="Suma 2 2 11 7 6 2" xfId="32699" xr:uid="{00000000-0005-0000-0000-0000C3820000}"/>
    <cellStyle name="Suma 2 2 11 7 7" xfId="32700" xr:uid="{00000000-0005-0000-0000-0000C4820000}"/>
    <cellStyle name="Suma 2 2 11 8" xfId="32701" xr:uid="{00000000-0005-0000-0000-0000C5820000}"/>
    <cellStyle name="Suma 2 2 11 8 2" xfId="32702" xr:uid="{00000000-0005-0000-0000-0000C6820000}"/>
    <cellStyle name="Suma 2 2 11 8 2 2" xfId="32703" xr:uid="{00000000-0005-0000-0000-0000C7820000}"/>
    <cellStyle name="Suma 2 2 11 8 3" xfId="32704" xr:uid="{00000000-0005-0000-0000-0000C8820000}"/>
    <cellStyle name="Suma 2 2 11 9" xfId="32705" xr:uid="{00000000-0005-0000-0000-0000C9820000}"/>
    <cellStyle name="Suma 2 2 11 9 2" xfId="32706" xr:uid="{00000000-0005-0000-0000-0000CA820000}"/>
    <cellStyle name="Suma 2 2 11 9 2 2" xfId="32707" xr:uid="{00000000-0005-0000-0000-0000CB820000}"/>
    <cellStyle name="Suma 2 2 11 9 3" xfId="32708" xr:uid="{00000000-0005-0000-0000-0000CC820000}"/>
    <cellStyle name="Suma 2 2 12" xfId="32709" xr:uid="{00000000-0005-0000-0000-0000CD820000}"/>
    <cellStyle name="Suma 2 2 12 2" xfId="32710" xr:uid="{00000000-0005-0000-0000-0000CE820000}"/>
    <cellStyle name="Suma 2 2 12 2 2" xfId="32711" xr:uid="{00000000-0005-0000-0000-0000CF820000}"/>
    <cellStyle name="Suma 2 2 12 2 2 2" xfId="32712" xr:uid="{00000000-0005-0000-0000-0000D0820000}"/>
    <cellStyle name="Suma 2 2 12 2 2 2 2" xfId="32713" xr:uid="{00000000-0005-0000-0000-0000D1820000}"/>
    <cellStyle name="Suma 2 2 12 2 2 3" xfId="32714" xr:uid="{00000000-0005-0000-0000-0000D2820000}"/>
    <cellStyle name="Suma 2 2 12 2 3" xfId="32715" xr:uid="{00000000-0005-0000-0000-0000D3820000}"/>
    <cellStyle name="Suma 2 2 12 2 3 2" xfId="32716" xr:uid="{00000000-0005-0000-0000-0000D4820000}"/>
    <cellStyle name="Suma 2 2 12 2 3 2 2" xfId="32717" xr:uid="{00000000-0005-0000-0000-0000D5820000}"/>
    <cellStyle name="Suma 2 2 12 2 3 3" xfId="32718" xr:uid="{00000000-0005-0000-0000-0000D6820000}"/>
    <cellStyle name="Suma 2 2 12 2 4" xfId="32719" xr:uid="{00000000-0005-0000-0000-0000D7820000}"/>
    <cellStyle name="Suma 2 2 12 2 4 2" xfId="32720" xr:uid="{00000000-0005-0000-0000-0000D8820000}"/>
    <cellStyle name="Suma 2 2 12 2 4 2 2" xfId="32721" xr:uid="{00000000-0005-0000-0000-0000D9820000}"/>
    <cellStyle name="Suma 2 2 12 2 4 3" xfId="32722" xr:uid="{00000000-0005-0000-0000-0000DA820000}"/>
    <cellStyle name="Suma 2 2 12 2 5" xfId="32723" xr:uid="{00000000-0005-0000-0000-0000DB820000}"/>
    <cellStyle name="Suma 2 2 12 2 5 2" xfId="32724" xr:uid="{00000000-0005-0000-0000-0000DC820000}"/>
    <cellStyle name="Suma 2 2 12 2 6" xfId="32725" xr:uid="{00000000-0005-0000-0000-0000DD820000}"/>
    <cellStyle name="Suma 2 2 12 2 6 2" xfId="32726" xr:uid="{00000000-0005-0000-0000-0000DE820000}"/>
    <cellStyle name="Suma 2 2 12 2 7" xfId="32727" xr:uid="{00000000-0005-0000-0000-0000DF820000}"/>
    <cellStyle name="Suma 2 2 12 3" xfId="32728" xr:uid="{00000000-0005-0000-0000-0000E0820000}"/>
    <cellStyle name="Suma 2 2 12 3 2" xfId="32729" xr:uid="{00000000-0005-0000-0000-0000E1820000}"/>
    <cellStyle name="Suma 2 2 12 3 2 2" xfId="32730" xr:uid="{00000000-0005-0000-0000-0000E2820000}"/>
    <cellStyle name="Suma 2 2 12 3 3" xfId="32731" xr:uid="{00000000-0005-0000-0000-0000E3820000}"/>
    <cellStyle name="Suma 2 2 12 4" xfId="32732" xr:uid="{00000000-0005-0000-0000-0000E4820000}"/>
    <cellStyle name="Suma 2 2 12 4 2" xfId="32733" xr:uid="{00000000-0005-0000-0000-0000E5820000}"/>
    <cellStyle name="Suma 2 2 12 4 2 2" xfId="32734" xr:uid="{00000000-0005-0000-0000-0000E6820000}"/>
    <cellStyle name="Suma 2 2 12 4 3" xfId="32735" xr:uid="{00000000-0005-0000-0000-0000E7820000}"/>
    <cellStyle name="Suma 2 2 12 5" xfId="32736" xr:uid="{00000000-0005-0000-0000-0000E8820000}"/>
    <cellStyle name="Suma 2 2 12 5 2" xfId="32737" xr:uid="{00000000-0005-0000-0000-0000E9820000}"/>
    <cellStyle name="Suma 2 2 12 5 2 2" xfId="32738" xr:uid="{00000000-0005-0000-0000-0000EA820000}"/>
    <cellStyle name="Suma 2 2 12 5 3" xfId="32739" xr:uid="{00000000-0005-0000-0000-0000EB820000}"/>
    <cellStyle name="Suma 2 2 12 6" xfId="32740" xr:uid="{00000000-0005-0000-0000-0000EC820000}"/>
    <cellStyle name="Suma 2 2 12 6 2" xfId="32741" xr:uid="{00000000-0005-0000-0000-0000ED820000}"/>
    <cellStyle name="Suma 2 2 12 7" xfId="32742" xr:uid="{00000000-0005-0000-0000-0000EE820000}"/>
    <cellStyle name="Suma 2 2 12 7 2" xfId="32743" xr:uid="{00000000-0005-0000-0000-0000EF820000}"/>
    <cellStyle name="Suma 2 2 12 8" xfId="32744" xr:uid="{00000000-0005-0000-0000-0000F0820000}"/>
    <cellStyle name="Suma 2 2 13" xfId="32745" xr:uid="{00000000-0005-0000-0000-0000F1820000}"/>
    <cellStyle name="Suma 2 2 13 2" xfId="32746" xr:uid="{00000000-0005-0000-0000-0000F2820000}"/>
    <cellStyle name="Suma 2 2 13 2 2" xfId="32747" xr:uid="{00000000-0005-0000-0000-0000F3820000}"/>
    <cellStyle name="Suma 2 2 13 3" xfId="32748" xr:uid="{00000000-0005-0000-0000-0000F4820000}"/>
    <cellStyle name="Suma 2 2 14" xfId="32749" xr:uid="{00000000-0005-0000-0000-0000F5820000}"/>
    <cellStyle name="Suma 2 2 14 2" xfId="32750" xr:uid="{00000000-0005-0000-0000-0000F6820000}"/>
    <cellStyle name="Suma 2 2 14 2 2" xfId="32751" xr:uid="{00000000-0005-0000-0000-0000F7820000}"/>
    <cellStyle name="Suma 2 2 14 3" xfId="32752" xr:uid="{00000000-0005-0000-0000-0000F8820000}"/>
    <cellStyle name="Suma 2 2 15" xfId="32753" xr:uid="{00000000-0005-0000-0000-0000F9820000}"/>
    <cellStyle name="Suma 2 2 15 2" xfId="32754" xr:uid="{00000000-0005-0000-0000-0000FA820000}"/>
    <cellStyle name="Suma 2 2 15 2 2" xfId="32755" xr:uid="{00000000-0005-0000-0000-0000FB820000}"/>
    <cellStyle name="Suma 2 2 15 3" xfId="32756" xr:uid="{00000000-0005-0000-0000-0000FC820000}"/>
    <cellStyle name="Suma 2 2 16" xfId="32757" xr:uid="{00000000-0005-0000-0000-0000FD820000}"/>
    <cellStyle name="Suma 2 2 16 2" xfId="32758" xr:uid="{00000000-0005-0000-0000-0000FE820000}"/>
    <cellStyle name="Suma 2 2 16 2 2" xfId="32759" xr:uid="{00000000-0005-0000-0000-0000FF820000}"/>
    <cellStyle name="Suma 2 2 16 3" xfId="32760" xr:uid="{00000000-0005-0000-0000-000000830000}"/>
    <cellStyle name="Suma 2 2 17" xfId="32761" xr:uid="{00000000-0005-0000-0000-000001830000}"/>
    <cellStyle name="Suma 2 2 17 2" xfId="32762" xr:uid="{00000000-0005-0000-0000-000002830000}"/>
    <cellStyle name="Suma 2 2 17 2 2" xfId="32763" xr:uid="{00000000-0005-0000-0000-000003830000}"/>
    <cellStyle name="Suma 2 2 17 3" xfId="32764" xr:uid="{00000000-0005-0000-0000-000004830000}"/>
    <cellStyle name="Suma 2 2 18" xfId="32765" xr:uid="{00000000-0005-0000-0000-000005830000}"/>
    <cellStyle name="Suma 2 2 18 2" xfId="32766" xr:uid="{00000000-0005-0000-0000-000006830000}"/>
    <cellStyle name="Suma 2 2 18 2 2" xfId="32767" xr:uid="{00000000-0005-0000-0000-000007830000}"/>
    <cellStyle name="Suma 2 2 18 2 2 2" xfId="32768" xr:uid="{00000000-0005-0000-0000-000008830000}"/>
    <cellStyle name="Suma 2 2 18 2 3" xfId="32769" xr:uid="{00000000-0005-0000-0000-000009830000}"/>
    <cellStyle name="Suma 2 2 18 3" xfId="32770" xr:uid="{00000000-0005-0000-0000-00000A830000}"/>
    <cellStyle name="Suma 2 2 18 3 2" xfId="32771" xr:uid="{00000000-0005-0000-0000-00000B830000}"/>
    <cellStyle name="Suma 2 2 18 3 2 2" xfId="32772" xr:uid="{00000000-0005-0000-0000-00000C830000}"/>
    <cellStyle name="Suma 2 2 18 3 3" xfId="32773" xr:uid="{00000000-0005-0000-0000-00000D830000}"/>
    <cellStyle name="Suma 2 2 18 4" xfId="32774" xr:uid="{00000000-0005-0000-0000-00000E830000}"/>
    <cellStyle name="Suma 2 2 18 4 2" xfId="32775" xr:uid="{00000000-0005-0000-0000-00000F830000}"/>
    <cellStyle name="Suma 2 2 18 4 2 2" xfId="32776" xr:uid="{00000000-0005-0000-0000-000010830000}"/>
    <cellStyle name="Suma 2 2 18 4 3" xfId="32777" xr:uid="{00000000-0005-0000-0000-000011830000}"/>
    <cellStyle name="Suma 2 2 18 5" xfId="32778" xr:uid="{00000000-0005-0000-0000-000012830000}"/>
    <cellStyle name="Suma 2 2 18 5 2" xfId="32779" xr:uid="{00000000-0005-0000-0000-000013830000}"/>
    <cellStyle name="Suma 2 2 18 6" xfId="32780" xr:uid="{00000000-0005-0000-0000-000014830000}"/>
    <cellStyle name="Suma 2 2 18 6 2" xfId="32781" xr:uid="{00000000-0005-0000-0000-000015830000}"/>
    <cellStyle name="Suma 2 2 18 7" xfId="32782" xr:uid="{00000000-0005-0000-0000-000016830000}"/>
    <cellStyle name="Suma 2 2 19" xfId="32783" xr:uid="{00000000-0005-0000-0000-000017830000}"/>
    <cellStyle name="Suma 2 2 19 2" xfId="32784" xr:uid="{00000000-0005-0000-0000-000018830000}"/>
    <cellStyle name="Suma 2 2 19 2 2" xfId="32785" xr:uid="{00000000-0005-0000-0000-000019830000}"/>
    <cellStyle name="Suma 2 2 19 3" xfId="32786" xr:uid="{00000000-0005-0000-0000-00001A830000}"/>
    <cellStyle name="Suma 2 2 2" xfId="32787" xr:uid="{00000000-0005-0000-0000-00001B830000}"/>
    <cellStyle name="Suma 2 2 2 10" xfId="32788" xr:uid="{00000000-0005-0000-0000-00001C830000}"/>
    <cellStyle name="Suma 2 2 2 10 2" xfId="32789" xr:uid="{00000000-0005-0000-0000-00001D830000}"/>
    <cellStyle name="Suma 2 2 2 10 2 2" xfId="32790" xr:uid="{00000000-0005-0000-0000-00001E830000}"/>
    <cellStyle name="Suma 2 2 2 10 3" xfId="32791" xr:uid="{00000000-0005-0000-0000-00001F830000}"/>
    <cellStyle name="Suma 2 2 2 11" xfId="32792" xr:uid="{00000000-0005-0000-0000-000020830000}"/>
    <cellStyle name="Suma 2 2 2 11 2" xfId="32793" xr:uid="{00000000-0005-0000-0000-000021830000}"/>
    <cellStyle name="Suma 2 2 2 11 2 2" xfId="32794" xr:uid="{00000000-0005-0000-0000-000022830000}"/>
    <cellStyle name="Suma 2 2 2 11 3" xfId="32795" xr:uid="{00000000-0005-0000-0000-000023830000}"/>
    <cellStyle name="Suma 2 2 2 12" xfId="32796" xr:uid="{00000000-0005-0000-0000-000024830000}"/>
    <cellStyle name="Suma 2 2 2 12 2" xfId="32797" xr:uid="{00000000-0005-0000-0000-000025830000}"/>
    <cellStyle name="Suma 2 2 2 13" xfId="32798" xr:uid="{00000000-0005-0000-0000-000026830000}"/>
    <cellStyle name="Suma 2 2 2 2" xfId="32799" xr:uid="{00000000-0005-0000-0000-000027830000}"/>
    <cellStyle name="Suma 2 2 2 2 10" xfId="32800" xr:uid="{00000000-0005-0000-0000-000028830000}"/>
    <cellStyle name="Suma 2 2 2 2 10 2" xfId="32801" xr:uid="{00000000-0005-0000-0000-000029830000}"/>
    <cellStyle name="Suma 2 2 2 2 10 2 2" xfId="32802" xr:uid="{00000000-0005-0000-0000-00002A830000}"/>
    <cellStyle name="Suma 2 2 2 2 10 3" xfId="32803" xr:uid="{00000000-0005-0000-0000-00002B830000}"/>
    <cellStyle name="Suma 2 2 2 2 11" xfId="32804" xr:uid="{00000000-0005-0000-0000-00002C830000}"/>
    <cellStyle name="Suma 2 2 2 2 11 2" xfId="32805" xr:uid="{00000000-0005-0000-0000-00002D830000}"/>
    <cellStyle name="Suma 2 2 2 2 12" xfId="32806" xr:uid="{00000000-0005-0000-0000-00002E830000}"/>
    <cellStyle name="Suma 2 2 2 2 2" xfId="32807" xr:uid="{00000000-0005-0000-0000-00002F830000}"/>
    <cellStyle name="Suma 2 2 2 2 2 10" xfId="32808" xr:uid="{00000000-0005-0000-0000-000030830000}"/>
    <cellStyle name="Suma 2 2 2 2 2 10 2" xfId="32809" xr:uid="{00000000-0005-0000-0000-000031830000}"/>
    <cellStyle name="Suma 2 2 2 2 2 11" xfId="32810" xr:uid="{00000000-0005-0000-0000-000032830000}"/>
    <cellStyle name="Suma 2 2 2 2 2 2" xfId="32811" xr:uid="{00000000-0005-0000-0000-000033830000}"/>
    <cellStyle name="Suma 2 2 2 2 2 2 10" xfId="32812" xr:uid="{00000000-0005-0000-0000-000034830000}"/>
    <cellStyle name="Suma 2 2 2 2 2 2 10 2" xfId="32813" xr:uid="{00000000-0005-0000-0000-000035830000}"/>
    <cellStyle name="Suma 2 2 2 2 2 2 11" xfId="32814" xr:uid="{00000000-0005-0000-0000-000036830000}"/>
    <cellStyle name="Suma 2 2 2 2 2 2 2" xfId="32815" xr:uid="{00000000-0005-0000-0000-000037830000}"/>
    <cellStyle name="Suma 2 2 2 2 2 2 2 2" xfId="32816" xr:uid="{00000000-0005-0000-0000-000038830000}"/>
    <cellStyle name="Suma 2 2 2 2 2 2 2 2 2" xfId="32817" xr:uid="{00000000-0005-0000-0000-000039830000}"/>
    <cellStyle name="Suma 2 2 2 2 2 2 2 2 2 2" xfId="32818" xr:uid="{00000000-0005-0000-0000-00003A830000}"/>
    <cellStyle name="Suma 2 2 2 2 2 2 2 2 2 2 2" xfId="32819" xr:uid="{00000000-0005-0000-0000-00003B830000}"/>
    <cellStyle name="Suma 2 2 2 2 2 2 2 2 2 3" xfId="32820" xr:uid="{00000000-0005-0000-0000-00003C830000}"/>
    <cellStyle name="Suma 2 2 2 2 2 2 2 2 3" xfId="32821" xr:uid="{00000000-0005-0000-0000-00003D830000}"/>
    <cellStyle name="Suma 2 2 2 2 2 2 2 2 3 2" xfId="32822" xr:uid="{00000000-0005-0000-0000-00003E830000}"/>
    <cellStyle name="Suma 2 2 2 2 2 2 2 2 3 2 2" xfId="32823" xr:uid="{00000000-0005-0000-0000-00003F830000}"/>
    <cellStyle name="Suma 2 2 2 2 2 2 2 2 3 3" xfId="32824" xr:uid="{00000000-0005-0000-0000-000040830000}"/>
    <cellStyle name="Suma 2 2 2 2 2 2 2 2 4" xfId="32825" xr:uid="{00000000-0005-0000-0000-000041830000}"/>
    <cellStyle name="Suma 2 2 2 2 2 2 2 2 4 2" xfId="32826" xr:uid="{00000000-0005-0000-0000-000042830000}"/>
    <cellStyle name="Suma 2 2 2 2 2 2 2 2 4 2 2" xfId="32827" xr:uid="{00000000-0005-0000-0000-000043830000}"/>
    <cellStyle name="Suma 2 2 2 2 2 2 2 2 4 3" xfId="32828" xr:uid="{00000000-0005-0000-0000-000044830000}"/>
    <cellStyle name="Suma 2 2 2 2 2 2 2 2 5" xfId="32829" xr:uid="{00000000-0005-0000-0000-000045830000}"/>
    <cellStyle name="Suma 2 2 2 2 2 2 2 2 5 2" xfId="32830" xr:uid="{00000000-0005-0000-0000-000046830000}"/>
    <cellStyle name="Suma 2 2 2 2 2 2 2 2 6" xfId="32831" xr:uid="{00000000-0005-0000-0000-000047830000}"/>
    <cellStyle name="Suma 2 2 2 2 2 2 2 3" xfId="32832" xr:uid="{00000000-0005-0000-0000-000048830000}"/>
    <cellStyle name="Suma 2 2 2 2 2 2 2 3 2" xfId="32833" xr:uid="{00000000-0005-0000-0000-000049830000}"/>
    <cellStyle name="Suma 2 2 2 2 2 2 2 3 2 2" xfId="32834" xr:uid="{00000000-0005-0000-0000-00004A830000}"/>
    <cellStyle name="Suma 2 2 2 2 2 2 2 3 3" xfId="32835" xr:uid="{00000000-0005-0000-0000-00004B830000}"/>
    <cellStyle name="Suma 2 2 2 2 2 2 2 4" xfId="32836" xr:uid="{00000000-0005-0000-0000-00004C830000}"/>
    <cellStyle name="Suma 2 2 2 2 2 2 2 4 2" xfId="32837" xr:uid="{00000000-0005-0000-0000-00004D830000}"/>
    <cellStyle name="Suma 2 2 2 2 2 2 2 4 2 2" xfId="32838" xr:uid="{00000000-0005-0000-0000-00004E830000}"/>
    <cellStyle name="Suma 2 2 2 2 2 2 2 4 3" xfId="32839" xr:uid="{00000000-0005-0000-0000-00004F830000}"/>
    <cellStyle name="Suma 2 2 2 2 2 2 2 5" xfId="32840" xr:uid="{00000000-0005-0000-0000-000050830000}"/>
    <cellStyle name="Suma 2 2 2 2 2 2 2 5 2" xfId="32841" xr:uid="{00000000-0005-0000-0000-000051830000}"/>
    <cellStyle name="Suma 2 2 2 2 2 2 2 5 2 2" xfId="32842" xr:uid="{00000000-0005-0000-0000-000052830000}"/>
    <cellStyle name="Suma 2 2 2 2 2 2 2 5 3" xfId="32843" xr:uid="{00000000-0005-0000-0000-000053830000}"/>
    <cellStyle name="Suma 2 2 2 2 2 2 2 6" xfId="32844" xr:uid="{00000000-0005-0000-0000-000054830000}"/>
    <cellStyle name="Suma 2 2 2 2 2 2 2 6 2" xfId="32845" xr:uid="{00000000-0005-0000-0000-000055830000}"/>
    <cellStyle name="Suma 2 2 2 2 2 2 2 7" xfId="32846" xr:uid="{00000000-0005-0000-0000-000056830000}"/>
    <cellStyle name="Suma 2 2 2 2 2 2 3" xfId="32847" xr:uid="{00000000-0005-0000-0000-000057830000}"/>
    <cellStyle name="Suma 2 2 2 2 2 2 3 2" xfId="32848" xr:uid="{00000000-0005-0000-0000-000058830000}"/>
    <cellStyle name="Suma 2 2 2 2 2 2 3 2 2" xfId="32849" xr:uid="{00000000-0005-0000-0000-000059830000}"/>
    <cellStyle name="Suma 2 2 2 2 2 2 3 3" xfId="32850" xr:uid="{00000000-0005-0000-0000-00005A830000}"/>
    <cellStyle name="Suma 2 2 2 2 2 2 4" xfId="32851" xr:uid="{00000000-0005-0000-0000-00005B830000}"/>
    <cellStyle name="Suma 2 2 2 2 2 2 4 2" xfId="32852" xr:uid="{00000000-0005-0000-0000-00005C830000}"/>
    <cellStyle name="Suma 2 2 2 2 2 2 4 2 2" xfId="32853" xr:uid="{00000000-0005-0000-0000-00005D830000}"/>
    <cellStyle name="Suma 2 2 2 2 2 2 4 3" xfId="32854" xr:uid="{00000000-0005-0000-0000-00005E830000}"/>
    <cellStyle name="Suma 2 2 2 2 2 2 5" xfId="32855" xr:uid="{00000000-0005-0000-0000-00005F830000}"/>
    <cellStyle name="Suma 2 2 2 2 2 2 5 2" xfId="32856" xr:uid="{00000000-0005-0000-0000-000060830000}"/>
    <cellStyle name="Suma 2 2 2 2 2 2 5 2 2" xfId="32857" xr:uid="{00000000-0005-0000-0000-000061830000}"/>
    <cellStyle name="Suma 2 2 2 2 2 2 5 3" xfId="32858" xr:uid="{00000000-0005-0000-0000-000062830000}"/>
    <cellStyle name="Suma 2 2 2 2 2 2 6" xfId="32859" xr:uid="{00000000-0005-0000-0000-000063830000}"/>
    <cellStyle name="Suma 2 2 2 2 2 2 6 2" xfId="32860" xr:uid="{00000000-0005-0000-0000-000064830000}"/>
    <cellStyle name="Suma 2 2 2 2 2 2 6 2 2" xfId="32861" xr:uid="{00000000-0005-0000-0000-000065830000}"/>
    <cellStyle name="Suma 2 2 2 2 2 2 6 3" xfId="32862" xr:uid="{00000000-0005-0000-0000-000066830000}"/>
    <cellStyle name="Suma 2 2 2 2 2 2 7" xfId="32863" xr:uid="{00000000-0005-0000-0000-000067830000}"/>
    <cellStyle name="Suma 2 2 2 2 2 2 7 2" xfId="32864" xr:uid="{00000000-0005-0000-0000-000068830000}"/>
    <cellStyle name="Suma 2 2 2 2 2 2 7 2 2" xfId="32865" xr:uid="{00000000-0005-0000-0000-000069830000}"/>
    <cellStyle name="Suma 2 2 2 2 2 2 7 2 2 2" xfId="32866" xr:uid="{00000000-0005-0000-0000-00006A830000}"/>
    <cellStyle name="Suma 2 2 2 2 2 2 7 2 3" xfId="32867" xr:uid="{00000000-0005-0000-0000-00006B830000}"/>
    <cellStyle name="Suma 2 2 2 2 2 2 7 3" xfId="32868" xr:uid="{00000000-0005-0000-0000-00006C830000}"/>
    <cellStyle name="Suma 2 2 2 2 2 2 7 3 2" xfId="32869" xr:uid="{00000000-0005-0000-0000-00006D830000}"/>
    <cellStyle name="Suma 2 2 2 2 2 2 7 3 2 2" xfId="32870" xr:uid="{00000000-0005-0000-0000-00006E830000}"/>
    <cellStyle name="Suma 2 2 2 2 2 2 7 3 3" xfId="32871" xr:uid="{00000000-0005-0000-0000-00006F830000}"/>
    <cellStyle name="Suma 2 2 2 2 2 2 7 4" xfId="32872" xr:uid="{00000000-0005-0000-0000-000070830000}"/>
    <cellStyle name="Suma 2 2 2 2 2 2 7 4 2" xfId="32873" xr:uid="{00000000-0005-0000-0000-000071830000}"/>
    <cellStyle name="Suma 2 2 2 2 2 2 7 4 2 2" xfId="32874" xr:uid="{00000000-0005-0000-0000-000072830000}"/>
    <cellStyle name="Suma 2 2 2 2 2 2 7 4 3" xfId="32875" xr:uid="{00000000-0005-0000-0000-000073830000}"/>
    <cellStyle name="Suma 2 2 2 2 2 2 7 5" xfId="32876" xr:uid="{00000000-0005-0000-0000-000074830000}"/>
    <cellStyle name="Suma 2 2 2 2 2 2 7 5 2" xfId="32877" xr:uid="{00000000-0005-0000-0000-000075830000}"/>
    <cellStyle name="Suma 2 2 2 2 2 2 7 6" xfId="32878" xr:uid="{00000000-0005-0000-0000-000076830000}"/>
    <cellStyle name="Suma 2 2 2 2 2 2 7 6 2" xfId="32879" xr:uid="{00000000-0005-0000-0000-000077830000}"/>
    <cellStyle name="Suma 2 2 2 2 2 2 7 7" xfId="32880" xr:uid="{00000000-0005-0000-0000-000078830000}"/>
    <cellStyle name="Suma 2 2 2 2 2 2 8" xfId="32881" xr:uid="{00000000-0005-0000-0000-000079830000}"/>
    <cellStyle name="Suma 2 2 2 2 2 2 8 2" xfId="32882" xr:uid="{00000000-0005-0000-0000-00007A830000}"/>
    <cellStyle name="Suma 2 2 2 2 2 2 8 2 2" xfId="32883" xr:uid="{00000000-0005-0000-0000-00007B830000}"/>
    <cellStyle name="Suma 2 2 2 2 2 2 8 3" xfId="32884" xr:uid="{00000000-0005-0000-0000-00007C830000}"/>
    <cellStyle name="Suma 2 2 2 2 2 2 9" xfId="32885" xr:uid="{00000000-0005-0000-0000-00007D830000}"/>
    <cellStyle name="Suma 2 2 2 2 2 2 9 2" xfId="32886" xr:uid="{00000000-0005-0000-0000-00007E830000}"/>
    <cellStyle name="Suma 2 2 2 2 2 2 9 2 2" xfId="32887" xr:uid="{00000000-0005-0000-0000-00007F830000}"/>
    <cellStyle name="Suma 2 2 2 2 2 2 9 3" xfId="32888" xr:uid="{00000000-0005-0000-0000-000080830000}"/>
    <cellStyle name="Suma 2 2 2 2 2 3" xfId="32889" xr:uid="{00000000-0005-0000-0000-000081830000}"/>
    <cellStyle name="Suma 2 2 2 2 2 3 2" xfId="32890" xr:uid="{00000000-0005-0000-0000-000082830000}"/>
    <cellStyle name="Suma 2 2 2 2 2 3 2 2" xfId="32891" xr:uid="{00000000-0005-0000-0000-000083830000}"/>
    <cellStyle name="Suma 2 2 2 2 2 3 2 2 2" xfId="32892" xr:uid="{00000000-0005-0000-0000-000084830000}"/>
    <cellStyle name="Suma 2 2 2 2 2 3 2 2 2 2" xfId="32893" xr:uid="{00000000-0005-0000-0000-000085830000}"/>
    <cellStyle name="Suma 2 2 2 2 2 3 2 2 3" xfId="32894" xr:uid="{00000000-0005-0000-0000-000086830000}"/>
    <cellStyle name="Suma 2 2 2 2 2 3 2 3" xfId="32895" xr:uid="{00000000-0005-0000-0000-000087830000}"/>
    <cellStyle name="Suma 2 2 2 2 2 3 2 3 2" xfId="32896" xr:uid="{00000000-0005-0000-0000-000088830000}"/>
    <cellStyle name="Suma 2 2 2 2 2 3 2 3 2 2" xfId="32897" xr:uid="{00000000-0005-0000-0000-000089830000}"/>
    <cellStyle name="Suma 2 2 2 2 2 3 2 3 3" xfId="32898" xr:uid="{00000000-0005-0000-0000-00008A830000}"/>
    <cellStyle name="Suma 2 2 2 2 2 3 2 4" xfId="32899" xr:uid="{00000000-0005-0000-0000-00008B830000}"/>
    <cellStyle name="Suma 2 2 2 2 2 3 2 4 2" xfId="32900" xr:uid="{00000000-0005-0000-0000-00008C830000}"/>
    <cellStyle name="Suma 2 2 2 2 2 3 2 4 2 2" xfId="32901" xr:uid="{00000000-0005-0000-0000-00008D830000}"/>
    <cellStyle name="Suma 2 2 2 2 2 3 2 4 3" xfId="32902" xr:uid="{00000000-0005-0000-0000-00008E830000}"/>
    <cellStyle name="Suma 2 2 2 2 2 3 2 5" xfId="32903" xr:uid="{00000000-0005-0000-0000-00008F830000}"/>
    <cellStyle name="Suma 2 2 2 2 2 3 2 5 2" xfId="32904" xr:uid="{00000000-0005-0000-0000-000090830000}"/>
    <cellStyle name="Suma 2 2 2 2 2 3 2 6" xfId="32905" xr:uid="{00000000-0005-0000-0000-000091830000}"/>
    <cellStyle name="Suma 2 2 2 2 2 3 2 6 2" xfId="32906" xr:uid="{00000000-0005-0000-0000-000092830000}"/>
    <cellStyle name="Suma 2 2 2 2 2 3 2 7" xfId="32907" xr:uid="{00000000-0005-0000-0000-000093830000}"/>
    <cellStyle name="Suma 2 2 2 2 2 3 3" xfId="32908" xr:uid="{00000000-0005-0000-0000-000094830000}"/>
    <cellStyle name="Suma 2 2 2 2 2 3 3 2" xfId="32909" xr:uid="{00000000-0005-0000-0000-000095830000}"/>
    <cellStyle name="Suma 2 2 2 2 2 3 3 2 2" xfId="32910" xr:uid="{00000000-0005-0000-0000-000096830000}"/>
    <cellStyle name="Suma 2 2 2 2 2 3 3 3" xfId="32911" xr:uid="{00000000-0005-0000-0000-000097830000}"/>
    <cellStyle name="Suma 2 2 2 2 2 3 4" xfId="32912" xr:uid="{00000000-0005-0000-0000-000098830000}"/>
    <cellStyle name="Suma 2 2 2 2 2 3 4 2" xfId="32913" xr:uid="{00000000-0005-0000-0000-000099830000}"/>
    <cellStyle name="Suma 2 2 2 2 2 3 4 2 2" xfId="32914" xr:uid="{00000000-0005-0000-0000-00009A830000}"/>
    <cellStyle name="Suma 2 2 2 2 2 3 4 3" xfId="32915" xr:uid="{00000000-0005-0000-0000-00009B830000}"/>
    <cellStyle name="Suma 2 2 2 2 2 3 5" xfId="32916" xr:uid="{00000000-0005-0000-0000-00009C830000}"/>
    <cellStyle name="Suma 2 2 2 2 2 3 5 2" xfId="32917" xr:uid="{00000000-0005-0000-0000-00009D830000}"/>
    <cellStyle name="Suma 2 2 2 2 2 3 5 2 2" xfId="32918" xr:uid="{00000000-0005-0000-0000-00009E830000}"/>
    <cellStyle name="Suma 2 2 2 2 2 3 5 3" xfId="32919" xr:uid="{00000000-0005-0000-0000-00009F830000}"/>
    <cellStyle name="Suma 2 2 2 2 2 3 6" xfId="32920" xr:uid="{00000000-0005-0000-0000-0000A0830000}"/>
    <cellStyle name="Suma 2 2 2 2 2 3 6 2" xfId="32921" xr:uid="{00000000-0005-0000-0000-0000A1830000}"/>
    <cellStyle name="Suma 2 2 2 2 2 3 7" xfId="32922" xr:uid="{00000000-0005-0000-0000-0000A2830000}"/>
    <cellStyle name="Suma 2 2 2 2 2 3 7 2" xfId="32923" xr:uid="{00000000-0005-0000-0000-0000A3830000}"/>
    <cellStyle name="Suma 2 2 2 2 2 3 8" xfId="32924" xr:uid="{00000000-0005-0000-0000-0000A4830000}"/>
    <cellStyle name="Suma 2 2 2 2 2 4" xfId="32925" xr:uid="{00000000-0005-0000-0000-0000A5830000}"/>
    <cellStyle name="Suma 2 2 2 2 2 4 2" xfId="32926" xr:uid="{00000000-0005-0000-0000-0000A6830000}"/>
    <cellStyle name="Suma 2 2 2 2 2 4 2 2" xfId="32927" xr:uid="{00000000-0005-0000-0000-0000A7830000}"/>
    <cellStyle name="Suma 2 2 2 2 2 4 3" xfId="32928" xr:uid="{00000000-0005-0000-0000-0000A8830000}"/>
    <cellStyle name="Suma 2 2 2 2 2 5" xfId="32929" xr:uid="{00000000-0005-0000-0000-0000A9830000}"/>
    <cellStyle name="Suma 2 2 2 2 2 5 2" xfId="32930" xr:uid="{00000000-0005-0000-0000-0000AA830000}"/>
    <cellStyle name="Suma 2 2 2 2 2 5 2 2" xfId="32931" xr:uid="{00000000-0005-0000-0000-0000AB830000}"/>
    <cellStyle name="Suma 2 2 2 2 2 5 3" xfId="32932" xr:uid="{00000000-0005-0000-0000-0000AC830000}"/>
    <cellStyle name="Suma 2 2 2 2 2 6" xfId="32933" xr:uid="{00000000-0005-0000-0000-0000AD830000}"/>
    <cellStyle name="Suma 2 2 2 2 2 6 2" xfId="32934" xr:uid="{00000000-0005-0000-0000-0000AE830000}"/>
    <cellStyle name="Suma 2 2 2 2 2 6 2 2" xfId="32935" xr:uid="{00000000-0005-0000-0000-0000AF830000}"/>
    <cellStyle name="Suma 2 2 2 2 2 6 3" xfId="32936" xr:uid="{00000000-0005-0000-0000-0000B0830000}"/>
    <cellStyle name="Suma 2 2 2 2 2 7" xfId="32937" xr:uid="{00000000-0005-0000-0000-0000B1830000}"/>
    <cellStyle name="Suma 2 2 2 2 2 7 2" xfId="32938" xr:uid="{00000000-0005-0000-0000-0000B2830000}"/>
    <cellStyle name="Suma 2 2 2 2 2 7 2 2" xfId="32939" xr:uid="{00000000-0005-0000-0000-0000B3830000}"/>
    <cellStyle name="Suma 2 2 2 2 2 7 2 2 2" xfId="32940" xr:uid="{00000000-0005-0000-0000-0000B4830000}"/>
    <cellStyle name="Suma 2 2 2 2 2 7 2 3" xfId="32941" xr:uid="{00000000-0005-0000-0000-0000B5830000}"/>
    <cellStyle name="Suma 2 2 2 2 2 7 3" xfId="32942" xr:uid="{00000000-0005-0000-0000-0000B6830000}"/>
    <cellStyle name="Suma 2 2 2 2 2 7 3 2" xfId="32943" xr:uid="{00000000-0005-0000-0000-0000B7830000}"/>
    <cellStyle name="Suma 2 2 2 2 2 7 3 2 2" xfId="32944" xr:uid="{00000000-0005-0000-0000-0000B8830000}"/>
    <cellStyle name="Suma 2 2 2 2 2 7 3 3" xfId="32945" xr:uid="{00000000-0005-0000-0000-0000B9830000}"/>
    <cellStyle name="Suma 2 2 2 2 2 7 4" xfId="32946" xr:uid="{00000000-0005-0000-0000-0000BA830000}"/>
    <cellStyle name="Suma 2 2 2 2 2 7 4 2" xfId="32947" xr:uid="{00000000-0005-0000-0000-0000BB830000}"/>
    <cellStyle name="Suma 2 2 2 2 2 7 4 2 2" xfId="32948" xr:uid="{00000000-0005-0000-0000-0000BC830000}"/>
    <cellStyle name="Suma 2 2 2 2 2 7 4 3" xfId="32949" xr:uid="{00000000-0005-0000-0000-0000BD830000}"/>
    <cellStyle name="Suma 2 2 2 2 2 7 5" xfId="32950" xr:uid="{00000000-0005-0000-0000-0000BE830000}"/>
    <cellStyle name="Suma 2 2 2 2 2 7 5 2" xfId="32951" xr:uid="{00000000-0005-0000-0000-0000BF830000}"/>
    <cellStyle name="Suma 2 2 2 2 2 7 6" xfId="32952" xr:uid="{00000000-0005-0000-0000-0000C0830000}"/>
    <cellStyle name="Suma 2 2 2 2 2 7 6 2" xfId="32953" xr:uid="{00000000-0005-0000-0000-0000C1830000}"/>
    <cellStyle name="Suma 2 2 2 2 2 7 7" xfId="32954" xr:uid="{00000000-0005-0000-0000-0000C2830000}"/>
    <cellStyle name="Suma 2 2 2 2 2 8" xfId="32955" xr:uid="{00000000-0005-0000-0000-0000C3830000}"/>
    <cellStyle name="Suma 2 2 2 2 2 8 2" xfId="32956" xr:uid="{00000000-0005-0000-0000-0000C4830000}"/>
    <cellStyle name="Suma 2 2 2 2 2 8 2 2" xfId="32957" xr:uid="{00000000-0005-0000-0000-0000C5830000}"/>
    <cellStyle name="Suma 2 2 2 2 2 8 3" xfId="32958" xr:uid="{00000000-0005-0000-0000-0000C6830000}"/>
    <cellStyle name="Suma 2 2 2 2 2 9" xfId="32959" xr:uid="{00000000-0005-0000-0000-0000C7830000}"/>
    <cellStyle name="Suma 2 2 2 2 2 9 2" xfId="32960" xr:uid="{00000000-0005-0000-0000-0000C8830000}"/>
    <cellStyle name="Suma 2 2 2 2 2 9 2 2" xfId="32961" xr:uid="{00000000-0005-0000-0000-0000C9830000}"/>
    <cellStyle name="Suma 2 2 2 2 2 9 3" xfId="32962" xr:uid="{00000000-0005-0000-0000-0000CA830000}"/>
    <cellStyle name="Suma 2 2 2 2 3" xfId="32963" xr:uid="{00000000-0005-0000-0000-0000CB830000}"/>
    <cellStyle name="Suma 2 2 2 2 3 2" xfId="32964" xr:uid="{00000000-0005-0000-0000-0000CC830000}"/>
    <cellStyle name="Suma 2 2 2 2 3 2 2" xfId="32965" xr:uid="{00000000-0005-0000-0000-0000CD830000}"/>
    <cellStyle name="Suma 2 2 2 2 3 2 2 2" xfId="32966" xr:uid="{00000000-0005-0000-0000-0000CE830000}"/>
    <cellStyle name="Suma 2 2 2 2 3 2 2 2 2" xfId="32967" xr:uid="{00000000-0005-0000-0000-0000CF830000}"/>
    <cellStyle name="Suma 2 2 2 2 3 2 2 3" xfId="32968" xr:uid="{00000000-0005-0000-0000-0000D0830000}"/>
    <cellStyle name="Suma 2 2 2 2 3 2 3" xfId="32969" xr:uid="{00000000-0005-0000-0000-0000D1830000}"/>
    <cellStyle name="Suma 2 2 2 2 3 2 3 2" xfId="32970" xr:uid="{00000000-0005-0000-0000-0000D2830000}"/>
    <cellStyle name="Suma 2 2 2 2 3 2 3 2 2" xfId="32971" xr:uid="{00000000-0005-0000-0000-0000D3830000}"/>
    <cellStyle name="Suma 2 2 2 2 3 2 3 3" xfId="32972" xr:uid="{00000000-0005-0000-0000-0000D4830000}"/>
    <cellStyle name="Suma 2 2 2 2 3 2 4" xfId="32973" xr:uid="{00000000-0005-0000-0000-0000D5830000}"/>
    <cellStyle name="Suma 2 2 2 2 3 2 4 2" xfId="32974" xr:uid="{00000000-0005-0000-0000-0000D6830000}"/>
    <cellStyle name="Suma 2 2 2 2 3 2 4 2 2" xfId="32975" xr:uid="{00000000-0005-0000-0000-0000D7830000}"/>
    <cellStyle name="Suma 2 2 2 2 3 2 4 3" xfId="32976" xr:uid="{00000000-0005-0000-0000-0000D8830000}"/>
    <cellStyle name="Suma 2 2 2 2 3 2 5" xfId="32977" xr:uid="{00000000-0005-0000-0000-0000D9830000}"/>
    <cellStyle name="Suma 2 2 2 2 3 2 5 2" xfId="32978" xr:uid="{00000000-0005-0000-0000-0000DA830000}"/>
    <cellStyle name="Suma 2 2 2 2 3 2 6" xfId="32979" xr:uid="{00000000-0005-0000-0000-0000DB830000}"/>
    <cellStyle name="Suma 2 2 2 2 3 2 6 2" xfId="32980" xr:uid="{00000000-0005-0000-0000-0000DC830000}"/>
    <cellStyle name="Suma 2 2 2 2 3 2 7" xfId="32981" xr:uid="{00000000-0005-0000-0000-0000DD830000}"/>
    <cellStyle name="Suma 2 2 2 2 3 3" xfId="32982" xr:uid="{00000000-0005-0000-0000-0000DE830000}"/>
    <cellStyle name="Suma 2 2 2 2 3 3 2" xfId="32983" xr:uid="{00000000-0005-0000-0000-0000DF830000}"/>
    <cellStyle name="Suma 2 2 2 2 3 3 2 2" xfId="32984" xr:uid="{00000000-0005-0000-0000-0000E0830000}"/>
    <cellStyle name="Suma 2 2 2 2 3 3 3" xfId="32985" xr:uid="{00000000-0005-0000-0000-0000E1830000}"/>
    <cellStyle name="Suma 2 2 2 2 3 4" xfId="32986" xr:uid="{00000000-0005-0000-0000-0000E2830000}"/>
    <cellStyle name="Suma 2 2 2 2 3 4 2" xfId="32987" xr:uid="{00000000-0005-0000-0000-0000E3830000}"/>
    <cellStyle name="Suma 2 2 2 2 3 4 2 2" xfId="32988" xr:uid="{00000000-0005-0000-0000-0000E4830000}"/>
    <cellStyle name="Suma 2 2 2 2 3 4 3" xfId="32989" xr:uid="{00000000-0005-0000-0000-0000E5830000}"/>
    <cellStyle name="Suma 2 2 2 2 3 5" xfId="32990" xr:uid="{00000000-0005-0000-0000-0000E6830000}"/>
    <cellStyle name="Suma 2 2 2 2 3 5 2" xfId="32991" xr:uid="{00000000-0005-0000-0000-0000E7830000}"/>
    <cellStyle name="Suma 2 2 2 2 3 5 2 2" xfId="32992" xr:uid="{00000000-0005-0000-0000-0000E8830000}"/>
    <cellStyle name="Suma 2 2 2 2 3 5 3" xfId="32993" xr:uid="{00000000-0005-0000-0000-0000E9830000}"/>
    <cellStyle name="Suma 2 2 2 2 3 6" xfId="32994" xr:uid="{00000000-0005-0000-0000-0000EA830000}"/>
    <cellStyle name="Suma 2 2 2 2 3 6 2" xfId="32995" xr:uid="{00000000-0005-0000-0000-0000EB830000}"/>
    <cellStyle name="Suma 2 2 2 2 3 7" xfId="32996" xr:uid="{00000000-0005-0000-0000-0000EC830000}"/>
    <cellStyle name="Suma 2 2 2 2 3 7 2" xfId="32997" xr:uid="{00000000-0005-0000-0000-0000ED830000}"/>
    <cellStyle name="Suma 2 2 2 2 3 8" xfId="32998" xr:uid="{00000000-0005-0000-0000-0000EE830000}"/>
    <cellStyle name="Suma 2 2 2 2 4" xfId="32999" xr:uid="{00000000-0005-0000-0000-0000EF830000}"/>
    <cellStyle name="Suma 2 2 2 2 4 2" xfId="33000" xr:uid="{00000000-0005-0000-0000-0000F0830000}"/>
    <cellStyle name="Suma 2 2 2 2 4 2 2" xfId="33001" xr:uid="{00000000-0005-0000-0000-0000F1830000}"/>
    <cellStyle name="Suma 2 2 2 2 4 3" xfId="33002" xr:uid="{00000000-0005-0000-0000-0000F2830000}"/>
    <cellStyle name="Suma 2 2 2 2 5" xfId="33003" xr:uid="{00000000-0005-0000-0000-0000F3830000}"/>
    <cellStyle name="Suma 2 2 2 2 5 2" xfId="33004" xr:uid="{00000000-0005-0000-0000-0000F4830000}"/>
    <cellStyle name="Suma 2 2 2 2 5 2 2" xfId="33005" xr:uid="{00000000-0005-0000-0000-0000F5830000}"/>
    <cellStyle name="Suma 2 2 2 2 5 3" xfId="33006" xr:uid="{00000000-0005-0000-0000-0000F6830000}"/>
    <cellStyle name="Suma 2 2 2 2 6" xfId="33007" xr:uid="{00000000-0005-0000-0000-0000F7830000}"/>
    <cellStyle name="Suma 2 2 2 2 6 2" xfId="33008" xr:uid="{00000000-0005-0000-0000-0000F8830000}"/>
    <cellStyle name="Suma 2 2 2 2 6 2 2" xfId="33009" xr:uid="{00000000-0005-0000-0000-0000F9830000}"/>
    <cellStyle name="Suma 2 2 2 2 6 3" xfId="33010" xr:uid="{00000000-0005-0000-0000-0000FA830000}"/>
    <cellStyle name="Suma 2 2 2 2 7" xfId="33011" xr:uid="{00000000-0005-0000-0000-0000FB830000}"/>
    <cellStyle name="Suma 2 2 2 2 7 2" xfId="33012" xr:uid="{00000000-0005-0000-0000-0000FC830000}"/>
    <cellStyle name="Suma 2 2 2 2 7 2 2" xfId="33013" xr:uid="{00000000-0005-0000-0000-0000FD830000}"/>
    <cellStyle name="Suma 2 2 2 2 7 3" xfId="33014" xr:uid="{00000000-0005-0000-0000-0000FE830000}"/>
    <cellStyle name="Suma 2 2 2 2 8" xfId="33015" xr:uid="{00000000-0005-0000-0000-0000FF830000}"/>
    <cellStyle name="Suma 2 2 2 2 8 2" xfId="33016" xr:uid="{00000000-0005-0000-0000-000000840000}"/>
    <cellStyle name="Suma 2 2 2 2 8 2 2" xfId="33017" xr:uid="{00000000-0005-0000-0000-000001840000}"/>
    <cellStyle name="Suma 2 2 2 2 8 2 2 2" xfId="33018" xr:uid="{00000000-0005-0000-0000-000002840000}"/>
    <cellStyle name="Suma 2 2 2 2 8 2 3" xfId="33019" xr:uid="{00000000-0005-0000-0000-000003840000}"/>
    <cellStyle name="Suma 2 2 2 2 8 3" xfId="33020" xr:uid="{00000000-0005-0000-0000-000004840000}"/>
    <cellStyle name="Suma 2 2 2 2 8 3 2" xfId="33021" xr:uid="{00000000-0005-0000-0000-000005840000}"/>
    <cellStyle name="Suma 2 2 2 2 8 3 2 2" xfId="33022" xr:uid="{00000000-0005-0000-0000-000006840000}"/>
    <cellStyle name="Suma 2 2 2 2 8 3 3" xfId="33023" xr:uid="{00000000-0005-0000-0000-000007840000}"/>
    <cellStyle name="Suma 2 2 2 2 8 4" xfId="33024" xr:uid="{00000000-0005-0000-0000-000008840000}"/>
    <cellStyle name="Suma 2 2 2 2 8 4 2" xfId="33025" xr:uid="{00000000-0005-0000-0000-000009840000}"/>
    <cellStyle name="Suma 2 2 2 2 8 4 2 2" xfId="33026" xr:uid="{00000000-0005-0000-0000-00000A840000}"/>
    <cellStyle name="Suma 2 2 2 2 8 4 3" xfId="33027" xr:uid="{00000000-0005-0000-0000-00000B840000}"/>
    <cellStyle name="Suma 2 2 2 2 8 5" xfId="33028" xr:uid="{00000000-0005-0000-0000-00000C840000}"/>
    <cellStyle name="Suma 2 2 2 2 8 5 2" xfId="33029" xr:uid="{00000000-0005-0000-0000-00000D840000}"/>
    <cellStyle name="Suma 2 2 2 2 8 6" xfId="33030" xr:uid="{00000000-0005-0000-0000-00000E840000}"/>
    <cellStyle name="Suma 2 2 2 2 8 6 2" xfId="33031" xr:uid="{00000000-0005-0000-0000-00000F840000}"/>
    <cellStyle name="Suma 2 2 2 2 8 7" xfId="33032" xr:uid="{00000000-0005-0000-0000-000010840000}"/>
    <cellStyle name="Suma 2 2 2 2 9" xfId="33033" xr:uid="{00000000-0005-0000-0000-000011840000}"/>
    <cellStyle name="Suma 2 2 2 2 9 2" xfId="33034" xr:uid="{00000000-0005-0000-0000-000012840000}"/>
    <cellStyle name="Suma 2 2 2 2 9 2 2" xfId="33035" xr:uid="{00000000-0005-0000-0000-000013840000}"/>
    <cellStyle name="Suma 2 2 2 2 9 3" xfId="33036" xr:uid="{00000000-0005-0000-0000-000014840000}"/>
    <cellStyle name="Suma 2 2 2 3" xfId="33037" xr:uid="{00000000-0005-0000-0000-000015840000}"/>
    <cellStyle name="Suma 2 2 2 3 2" xfId="33038" xr:uid="{00000000-0005-0000-0000-000016840000}"/>
    <cellStyle name="Suma 2 2 2 3 2 2" xfId="33039" xr:uid="{00000000-0005-0000-0000-000017840000}"/>
    <cellStyle name="Suma 2 2 2 3 3" xfId="33040" xr:uid="{00000000-0005-0000-0000-000018840000}"/>
    <cellStyle name="Suma 2 2 2 4" xfId="33041" xr:uid="{00000000-0005-0000-0000-000019840000}"/>
    <cellStyle name="Suma 2 2 2 4 10" xfId="33042" xr:uid="{00000000-0005-0000-0000-00001A840000}"/>
    <cellStyle name="Suma 2 2 2 4 10 2" xfId="33043" xr:uid="{00000000-0005-0000-0000-00001B840000}"/>
    <cellStyle name="Suma 2 2 2 4 11" xfId="33044" xr:uid="{00000000-0005-0000-0000-00001C840000}"/>
    <cellStyle name="Suma 2 2 2 4 11 2" xfId="33045" xr:uid="{00000000-0005-0000-0000-00001D840000}"/>
    <cellStyle name="Suma 2 2 2 4 12" xfId="33046" xr:uid="{00000000-0005-0000-0000-00001E840000}"/>
    <cellStyle name="Suma 2 2 2 4 2" xfId="33047" xr:uid="{00000000-0005-0000-0000-00001F840000}"/>
    <cellStyle name="Suma 2 2 2 4 2 2" xfId="33048" xr:uid="{00000000-0005-0000-0000-000020840000}"/>
    <cellStyle name="Suma 2 2 2 4 2 2 2" xfId="33049" xr:uid="{00000000-0005-0000-0000-000021840000}"/>
    <cellStyle name="Suma 2 2 2 4 2 2 2 2" xfId="33050" xr:uid="{00000000-0005-0000-0000-000022840000}"/>
    <cellStyle name="Suma 2 2 2 4 2 2 2 2 2" xfId="33051" xr:uid="{00000000-0005-0000-0000-000023840000}"/>
    <cellStyle name="Suma 2 2 2 4 2 2 2 3" xfId="33052" xr:uid="{00000000-0005-0000-0000-000024840000}"/>
    <cellStyle name="Suma 2 2 2 4 2 2 3" xfId="33053" xr:uid="{00000000-0005-0000-0000-000025840000}"/>
    <cellStyle name="Suma 2 2 2 4 2 2 3 2" xfId="33054" xr:uid="{00000000-0005-0000-0000-000026840000}"/>
    <cellStyle name="Suma 2 2 2 4 2 2 3 2 2" xfId="33055" xr:uid="{00000000-0005-0000-0000-000027840000}"/>
    <cellStyle name="Suma 2 2 2 4 2 2 3 3" xfId="33056" xr:uid="{00000000-0005-0000-0000-000028840000}"/>
    <cellStyle name="Suma 2 2 2 4 2 2 4" xfId="33057" xr:uid="{00000000-0005-0000-0000-000029840000}"/>
    <cellStyle name="Suma 2 2 2 4 2 2 4 2" xfId="33058" xr:uid="{00000000-0005-0000-0000-00002A840000}"/>
    <cellStyle name="Suma 2 2 2 4 2 2 4 2 2" xfId="33059" xr:uid="{00000000-0005-0000-0000-00002B840000}"/>
    <cellStyle name="Suma 2 2 2 4 2 2 4 3" xfId="33060" xr:uid="{00000000-0005-0000-0000-00002C840000}"/>
    <cellStyle name="Suma 2 2 2 4 2 2 5" xfId="33061" xr:uid="{00000000-0005-0000-0000-00002D840000}"/>
    <cellStyle name="Suma 2 2 2 4 2 2 5 2" xfId="33062" xr:uid="{00000000-0005-0000-0000-00002E840000}"/>
    <cellStyle name="Suma 2 2 2 4 2 2 6" xfId="33063" xr:uid="{00000000-0005-0000-0000-00002F840000}"/>
    <cellStyle name="Suma 2 2 2 4 2 2 6 2" xfId="33064" xr:uid="{00000000-0005-0000-0000-000030840000}"/>
    <cellStyle name="Suma 2 2 2 4 2 2 7" xfId="33065" xr:uid="{00000000-0005-0000-0000-000031840000}"/>
    <cellStyle name="Suma 2 2 2 4 2 3" xfId="33066" xr:uid="{00000000-0005-0000-0000-000032840000}"/>
    <cellStyle name="Suma 2 2 2 4 2 3 2" xfId="33067" xr:uid="{00000000-0005-0000-0000-000033840000}"/>
    <cellStyle name="Suma 2 2 2 4 2 3 2 2" xfId="33068" xr:uid="{00000000-0005-0000-0000-000034840000}"/>
    <cellStyle name="Suma 2 2 2 4 2 3 3" xfId="33069" xr:uid="{00000000-0005-0000-0000-000035840000}"/>
    <cellStyle name="Suma 2 2 2 4 2 4" xfId="33070" xr:uid="{00000000-0005-0000-0000-000036840000}"/>
    <cellStyle name="Suma 2 2 2 4 2 4 2" xfId="33071" xr:uid="{00000000-0005-0000-0000-000037840000}"/>
    <cellStyle name="Suma 2 2 2 4 2 4 2 2" xfId="33072" xr:uid="{00000000-0005-0000-0000-000038840000}"/>
    <cellStyle name="Suma 2 2 2 4 2 4 3" xfId="33073" xr:uid="{00000000-0005-0000-0000-000039840000}"/>
    <cellStyle name="Suma 2 2 2 4 2 5" xfId="33074" xr:uid="{00000000-0005-0000-0000-00003A840000}"/>
    <cellStyle name="Suma 2 2 2 4 2 5 2" xfId="33075" xr:uid="{00000000-0005-0000-0000-00003B840000}"/>
    <cellStyle name="Suma 2 2 2 4 2 5 2 2" xfId="33076" xr:uid="{00000000-0005-0000-0000-00003C840000}"/>
    <cellStyle name="Suma 2 2 2 4 2 5 3" xfId="33077" xr:uid="{00000000-0005-0000-0000-00003D840000}"/>
    <cellStyle name="Suma 2 2 2 4 2 6" xfId="33078" xr:uid="{00000000-0005-0000-0000-00003E840000}"/>
    <cellStyle name="Suma 2 2 2 4 2 6 2" xfId="33079" xr:uid="{00000000-0005-0000-0000-00003F840000}"/>
    <cellStyle name="Suma 2 2 2 4 2 7" xfId="33080" xr:uid="{00000000-0005-0000-0000-000040840000}"/>
    <cellStyle name="Suma 2 2 2 4 2 7 2" xfId="33081" xr:uid="{00000000-0005-0000-0000-000041840000}"/>
    <cellStyle name="Suma 2 2 2 4 2 8" xfId="33082" xr:uid="{00000000-0005-0000-0000-000042840000}"/>
    <cellStyle name="Suma 2 2 2 4 3" xfId="33083" xr:uid="{00000000-0005-0000-0000-000043840000}"/>
    <cellStyle name="Suma 2 2 2 4 3 2" xfId="33084" xr:uid="{00000000-0005-0000-0000-000044840000}"/>
    <cellStyle name="Suma 2 2 2 4 3 2 2" xfId="33085" xr:uid="{00000000-0005-0000-0000-000045840000}"/>
    <cellStyle name="Suma 2 2 2 4 3 3" xfId="33086" xr:uid="{00000000-0005-0000-0000-000046840000}"/>
    <cellStyle name="Suma 2 2 2 4 4" xfId="33087" xr:uid="{00000000-0005-0000-0000-000047840000}"/>
    <cellStyle name="Suma 2 2 2 4 4 2" xfId="33088" xr:uid="{00000000-0005-0000-0000-000048840000}"/>
    <cellStyle name="Suma 2 2 2 4 4 2 2" xfId="33089" xr:uid="{00000000-0005-0000-0000-000049840000}"/>
    <cellStyle name="Suma 2 2 2 4 4 3" xfId="33090" xr:uid="{00000000-0005-0000-0000-00004A840000}"/>
    <cellStyle name="Suma 2 2 2 4 5" xfId="33091" xr:uid="{00000000-0005-0000-0000-00004B840000}"/>
    <cellStyle name="Suma 2 2 2 4 5 2" xfId="33092" xr:uid="{00000000-0005-0000-0000-00004C840000}"/>
    <cellStyle name="Suma 2 2 2 4 5 2 2" xfId="33093" xr:uid="{00000000-0005-0000-0000-00004D840000}"/>
    <cellStyle name="Suma 2 2 2 4 5 3" xfId="33094" xr:uid="{00000000-0005-0000-0000-00004E840000}"/>
    <cellStyle name="Suma 2 2 2 4 6" xfId="33095" xr:uid="{00000000-0005-0000-0000-00004F840000}"/>
    <cellStyle name="Suma 2 2 2 4 6 2" xfId="33096" xr:uid="{00000000-0005-0000-0000-000050840000}"/>
    <cellStyle name="Suma 2 2 2 4 6 2 2" xfId="33097" xr:uid="{00000000-0005-0000-0000-000051840000}"/>
    <cellStyle name="Suma 2 2 2 4 6 3" xfId="33098" xr:uid="{00000000-0005-0000-0000-000052840000}"/>
    <cellStyle name="Suma 2 2 2 4 7" xfId="33099" xr:uid="{00000000-0005-0000-0000-000053840000}"/>
    <cellStyle name="Suma 2 2 2 4 7 2" xfId="33100" xr:uid="{00000000-0005-0000-0000-000054840000}"/>
    <cellStyle name="Suma 2 2 2 4 7 2 2" xfId="33101" xr:uid="{00000000-0005-0000-0000-000055840000}"/>
    <cellStyle name="Suma 2 2 2 4 7 2 2 2" xfId="33102" xr:uid="{00000000-0005-0000-0000-000056840000}"/>
    <cellStyle name="Suma 2 2 2 4 7 2 3" xfId="33103" xr:uid="{00000000-0005-0000-0000-000057840000}"/>
    <cellStyle name="Suma 2 2 2 4 7 3" xfId="33104" xr:uid="{00000000-0005-0000-0000-000058840000}"/>
    <cellStyle name="Suma 2 2 2 4 7 3 2" xfId="33105" xr:uid="{00000000-0005-0000-0000-000059840000}"/>
    <cellStyle name="Suma 2 2 2 4 7 3 2 2" xfId="33106" xr:uid="{00000000-0005-0000-0000-00005A840000}"/>
    <cellStyle name="Suma 2 2 2 4 7 3 3" xfId="33107" xr:uid="{00000000-0005-0000-0000-00005B840000}"/>
    <cellStyle name="Suma 2 2 2 4 7 4" xfId="33108" xr:uid="{00000000-0005-0000-0000-00005C840000}"/>
    <cellStyle name="Suma 2 2 2 4 7 4 2" xfId="33109" xr:uid="{00000000-0005-0000-0000-00005D840000}"/>
    <cellStyle name="Suma 2 2 2 4 7 4 2 2" xfId="33110" xr:uid="{00000000-0005-0000-0000-00005E840000}"/>
    <cellStyle name="Suma 2 2 2 4 7 4 3" xfId="33111" xr:uid="{00000000-0005-0000-0000-00005F840000}"/>
    <cellStyle name="Suma 2 2 2 4 7 5" xfId="33112" xr:uid="{00000000-0005-0000-0000-000060840000}"/>
    <cellStyle name="Suma 2 2 2 4 7 5 2" xfId="33113" xr:uid="{00000000-0005-0000-0000-000061840000}"/>
    <cellStyle name="Suma 2 2 2 4 7 6" xfId="33114" xr:uid="{00000000-0005-0000-0000-000062840000}"/>
    <cellStyle name="Suma 2 2 2 4 7 6 2" xfId="33115" xr:uid="{00000000-0005-0000-0000-000063840000}"/>
    <cellStyle name="Suma 2 2 2 4 7 7" xfId="33116" xr:uid="{00000000-0005-0000-0000-000064840000}"/>
    <cellStyle name="Suma 2 2 2 4 8" xfId="33117" xr:uid="{00000000-0005-0000-0000-000065840000}"/>
    <cellStyle name="Suma 2 2 2 4 8 2" xfId="33118" xr:uid="{00000000-0005-0000-0000-000066840000}"/>
    <cellStyle name="Suma 2 2 2 4 8 2 2" xfId="33119" xr:uid="{00000000-0005-0000-0000-000067840000}"/>
    <cellStyle name="Suma 2 2 2 4 8 3" xfId="33120" xr:uid="{00000000-0005-0000-0000-000068840000}"/>
    <cellStyle name="Suma 2 2 2 4 9" xfId="33121" xr:uid="{00000000-0005-0000-0000-000069840000}"/>
    <cellStyle name="Suma 2 2 2 4 9 2" xfId="33122" xr:uid="{00000000-0005-0000-0000-00006A840000}"/>
    <cellStyle name="Suma 2 2 2 4 9 2 2" xfId="33123" xr:uid="{00000000-0005-0000-0000-00006B840000}"/>
    <cellStyle name="Suma 2 2 2 4 9 3" xfId="33124" xr:uid="{00000000-0005-0000-0000-00006C840000}"/>
    <cellStyle name="Suma 2 2 2 5" xfId="33125" xr:uid="{00000000-0005-0000-0000-00006D840000}"/>
    <cellStyle name="Suma 2 2 2 5 2" xfId="33126" xr:uid="{00000000-0005-0000-0000-00006E840000}"/>
    <cellStyle name="Suma 2 2 2 5 2 2" xfId="33127" xr:uid="{00000000-0005-0000-0000-00006F840000}"/>
    <cellStyle name="Suma 2 2 2 5 2 2 2" xfId="33128" xr:uid="{00000000-0005-0000-0000-000070840000}"/>
    <cellStyle name="Suma 2 2 2 5 2 2 2 2" xfId="33129" xr:uid="{00000000-0005-0000-0000-000071840000}"/>
    <cellStyle name="Suma 2 2 2 5 2 2 3" xfId="33130" xr:uid="{00000000-0005-0000-0000-000072840000}"/>
    <cellStyle name="Suma 2 2 2 5 2 3" xfId="33131" xr:uid="{00000000-0005-0000-0000-000073840000}"/>
    <cellStyle name="Suma 2 2 2 5 2 3 2" xfId="33132" xr:uid="{00000000-0005-0000-0000-000074840000}"/>
    <cellStyle name="Suma 2 2 2 5 2 3 2 2" xfId="33133" xr:uid="{00000000-0005-0000-0000-000075840000}"/>
    <cellStyle name="Suma 2 2 2 5 2 3 3" xfId="33134" xr:uid="{00000000-0005-0000-0000-000076840000}"/>
    <cellStyle name="Suma 2 2 2 5 2 4" xfId="33135" xr:uid="{00000000-0005-0000-0000-000077840000}"/>
    <cellStyle name="Suma 2 2 2 5 2 4 2" xfId="33136" xr:uid="{00000000-0005-0000-0000-000078840000}"/>
    <cellStyle name="Suma 2 2 2 5 2 4 2 2" xfId="33137" xr:uid="{00000000-0005-0000-0000-000079840000}"/>
    <cellStyle name="Suma 2 2 2 5 2 4 3" xfId="33138" xr:uid="{00000000-0005-0000-0000-00007A840000}"/>
    <cellStyle name="Suma 2 2 2 5 2 5" xfId="33139" xr:uid="{00000000-0005-0000-0000-00007B840000}"/>
    <cellStyle name="Suma 2 2 2 5 2 5 2" xfId="33140" xr:uid="{00000000-0005-0000-0000-00007C840000}"/>
    <cellStyle name="Suma 2 2 2 5 2 6" xfId="33141" xr:uid="{00000000-0005-0000-0000-00007D840000}"/>
    <cellStyle name="Suma 2 2 2 5 2 6 2" xfId="33142" xr:uid="{00000000-0005-0000-0000-00007E840000}"/>
    <cellStyle name="Suma 2 2 2 5 2 7" xfId="33143" xr:uid="{00000000-0005-0000-0000-00007F840000}"/>
    <cellStyle name="Suma 2 2 2 5 3" xfId="33144" xr:uid="{00000000-0005-0000-0000-000080840000}"/>
    <cellStyle name="Suma 2 2 2 5 3 2" xfId="33145" xr:uid="{00000000-0005-0000-0000-000081840000}"/>
    <cellStyle name="Suma 2 2 2 5 3 2 2" xfId="33146" xr:uid="{00000000-0005-0000-0000-000082840000}"/>
    <cellStyle name="Suma 2 2 2 5 3 3" xfId="33147" xr:uid="{00000000-0005-0000-0000-000083840000}"/>
    <cellStyle name="Suma 2 2 2 5 4" xfId="33148" xr:uid="{00000000-0005-0000-0000-000084840000}"/>
    <cellStyle name="Suma 2 2 2 5 4 2" xfId="33149" xr:uid="{00000000-0005-0000-0000-000085840000}"/>
    <cellStyle name="Suma 2 2 2 5 4 2 2" xfId="33150" xr:uid="{00000000-0005-0000-0000-000086840000}"/>
    <cellStyle name="Suma 2 2 2 5 4 3" xfId="33151" xr:uid="{00000000-0005-0000-0000-000087840000}"/>
    <cellStyle name="Suma 2 2 2 5 5" xfId="33152" xr:uid="{00000000-0005-0000-0000-000088840000}"/>
    <cellStyle name="Suma 2 2 2 5 5 2" xfId="33153" xr:uid="{00000000-0005-0000-0000-000089840000}"/>
    <cellStyle name="Suma 2 2 2 5 5 2 2" xfId="33154" xr:uid="{00000000-0005-0000-0000-00008A840000}"/>
    <cellStyle name="Suma 2 2 2 5 5 3" xfId="33155" xr:uid="{00000000-0005-0000-0000-00008B840000}"/>
    <cellStyle name="Suma 2 2 2 5 6" xfId="33156" xr:uid="{00000000-0005-0000-0000-00008C840000}"/>
    <cellStyle name="Suma 2 2 2 5 6 2" xfId="33157" xr:uid="{00000000-0005-0000-0000-00008D840000}"/>
    <cellStyle name="Suma 2 2 2 5 7" xfId="33158" xr:uid="{00000000-0005-0000-0000-00008E840000}"/>
    <cellStyle name="Suma 2 2 2 5 7 2" xfId="33159" xr:uid="{00000000-0005-0000-0000-00008F840000}"/>
    <cellStyle name="Suma 2 2 2 5 8" xfId="33160" xr:uid="{00000000-0005-0000-0000-000090840000}"/>
    <cellStyle name="Suma 2 2 2 6" xfId="33161" xr:uid="{00000000-0005-0000-0000-000091840000}"/>
    <cellStyle name="Suma 2 2 2 6 2" xfId="33162" xr:uid="{00000000-0005-0000-0000-000092840000}"/>
    <cellStyle name="Suma 2 2 2 6 2 2" xfId="33163" xr:uid="{00000000-0005-0000-0000-000093840000}"/>
    <cellStyle name="Suma 2 2 2 6 3" xfId="33164" xr:uid="{00000000-0005-0000-0000-000094840000}"/>
    <cellStyle name="Suma 2 2 2 7" xfId="33165" xr:uid="{00000000-0005-0000-0000-000095840000}"/>
    <cellStyle name="Suma 2 2 2 7 2" xfId="33166" xr:uid="{00000000-0005-0000-0000-000096840000}"/>
    <cellStyle name="Suma 2 2 2 7 2 2" xfId="33167" xr:uid="{00000000-0005-0000-0000-000097840000}"/>
    <cellStyle name="Suma 2 2 2 7 3" xfId="33168" xr:uid="{00000000-0005-0000-0000-000098840000}"/>
    <cellStyle name="Suma 2 2 2 8" xfId="33169" xr:uid="{00000000-0005-0000-0000-000099840000}"/>
    <cellStyle name="Suma 2 2 2 8 2" xfId="33170" xr:uid="{00000000-0005-0000-0000-00009A840000}"/>
    <cellStyle name="Suma 2 2 2 8 2 2" xfId="33171" xr:uid="{00000000-0005-0000-0000-00009B840000}"/>
    <cellStyle name="Suma 2 2 2 8 3" xfId="33172" xr:uid="{00000000-0005-0000-0000-00009C840000}"/>
    <cellStyle name="Suma 2 2 2 9" xfId="33173" xr:uid="{00000000-0005-0000-0000-00009D840000}"/>
    <cellStyle name="Suma 2 2 2 9 2" xfId="33174" xr:uid="{00000000-0005-0000-0000-00009E840000}"/>
    <cellStyle name="Suma 2 2 2 9 2 2" xfId="33175" xr:uid="{00000000-0005-0000-0000-00009F840000}"/>
    <cellStyle name="Suma 2 2 2 9 2 2 2" xfId="33176" xr:uid="{00000000-0005-0000-0000-0000A0840000}"/>
    <cellStyle name="Suma 2 2 2 9 2 3" xfId="33177" xr:uid="{00000000-0005-0000-0000-0000A1840000}"/>
    <cellStyle name="Suma 2 2 2 9 3" xfId="33178" xr:uid="{00000000-0005-0000-0000-0000A2840000}"/>
    <cellStyle name="Suma 2 2 2 9 3 2" xfId="33179" xr:uid="{00000000-0005-0000-0000-0000A3840000}"/>
    <cellStyle name="Suma 2 2 2 9 3 2 2" xfId="33180" xr:uid="{00000000-0005-0000-0000-0000A4840000}"/>
    <cellStyle name="Suma 2 2 2 9 3 3" xfId="33181" xr:uid="{00000000-0005-0000-0000-0000A5840000}"/>
    <cellStyle name="Suma 2 2 2 9 4" xfId="33182" xr:uid="{00000000-0005-0000-0000-0000A6840000}"/>
    <cellStyle name="Suma 2 2 2 9 4 2" xfId="33183" xr:uid="{00000000-0005-0000-0000-0000A7840000}"/>
    <cellStyle name="Suma 2 2 2 9 4 2 2" xfId="33184" xr:uid="{00000000-0005-0000-0000-0000A8840000}"/>
    <cellStyle name="Suma 2 2 2 9 4 3" xfId="33185" xr:uid="{00000000-0005-0000-0000-0000A9840000}"/>
    <cellStyle name="Suma 2 2 2 9 5" xfId="33186" xr:uid="{00000000-0005-0000-0000-0000AA840000}"/>
    <cellStyle name="Suma 2 2 2 9 5 2" xfId="33187" xr:uid="{00000000-0005-0000-0000-0000AB840000}"/>
    <cellStyle name="Suma 2 2 2 9 6" xfId="33188" xr:uid="{00000000-0005-0000-0000-0000AC840000}"/>
    <cellStyle name="Suma 2 2 2 9 6 2" xfId="33189" xr:uid="{00000000-0005-0000-0000-0000AD840000}"/>
    <cellStyle name="Suma 2 2 2 9 7" xfId="33190" xr:uid="{00000000-0005-0000-0000-0000AE840000}"/>
    <cellStyle name="Suma 2 2 20" xfId="33191" xr:uid="{00000000-0005-0000-0000-0000AF840000}"/>
    <cellStyle name="Suma 2 2 20 2" xfId="33192" xr:uid="{00000000-0005-0000-0000-0000B0840000}"/>
    <cellStyle name="Suma 2 2 20 2 2" xfId="33193" xr:uid="{00000000-0005-0000-0000-0000B1840000}"/>
    <cellStyle name="Suma 2 2 20 3" xfId="33194" xr:uid="{00000000-0005-0000-0000-0000B2840000}"/>
    <cellStyle name="Suma 2 2 21" xfId="33195" xr:uid="{00000000-0005-0000-0000-0000B3840000}"/>
    <cellStyle name="Suma 2 2 21 2" xfId="33196" xr:uid="{00000000-0005-0000-0000-0000B4840000}"/>
    <cellStyle name="Suma 2 2 22" xfId="33197" xr:uid="{00000000-0005-0000-0000-0000B5840000}"/>
    <cellStyle name="Suma 2 2 3" xfId="33198" xr:uid="{00000000-0005-0000-0000-0000B6840000}"/>
    <cellStyle name="Suma 2 2 3 2" xfId="33199" xr:uid="{00000000-0005-0000-0000-0000B7840000}"/>
    <cellStyle name="Suma 2 2 3 2 2" xfId="33200" xr:uid="{00000000-0005-0000-0000-0000B8840000}"/>
    <cellStyle name="Suma 2 2 3 3" xfId="33201" xr:uid="{00000000-0005-0000-0000-0000B9840000}"/>
    <cellStyle name="Suma 2 2 4" xfId="33202" xr:uid="{00000000-0005-0000-0000-0000BA840000}"/>
    <cellStyle name="Suma 2 2 4 2" xfId="33203" xr:uid="{00000000-0005-0000-0000-0000BB840000}"/>
    <cellStyle name="Suma 2 2 4 2 2" xfId="33204" xr:uid="{00000000-0005-0000-0000-0000BC840000}"/>
    <cellStyle name="Suma 2 2 4 3" xfId="33205" xr:uid="{00000000-0005-0000-0000-0000BD840000}"/>
    <cellStyle name="Suma 2 2 5" xfId="33206" xr:uid="{00000000-0005-0000-0000-0000BE840000}"/>
    <cellStyle name="Suma 2 2 5 2" xfId="33207" xr:uid="{00000000-0005-0000-0000-0000BF840000}"/>
    <cellStyle name="Suma 2 2 5 2 2" xfId="33208" xr:uid="{00000000-0005-0000-0000-0000C0840000}"/>
    <cellStyle name="Suma 2 2 5 3" xfId="33209" xr:uid="{00000000-0005-0000-0000-0000C1840000}"/>
    <cellStyle name="Suma 2 2 6" xfId="33210" xr:uid="{00000000-0005-0000-0000-0000C2840000}"/>
    <cellStyle name="Suma 2 2 6 2" xfId="33211" xr:uid="{00000000-0005-0000-0000-0000C3840000}"/>
    <cellStyle name="Suma 2 2 6 2 2" xfId="33212" xr:uid="{00000000-0005-0000-0000-0000C4840000}"/>
    <cellStyle name="Suma 2 2 6 3" xfId="33213" xr:uid="{00000000-0005-0000-0000-0000C5840000}"/>
    <cellStyle name="Suma 2 2 7" xfId="33214" xr:uid="{00000000-0005-0000-0000-0000C6840000}"/>
    <cellStyle name="Suma 2 2 7 2" xfId="33215" xr:uid="{00000000-0005-0000-0000-0000C7840000}"/>
    <cellStyle name="Suma 2 2 7 2 2" xfId="33216" xr:uid="{00000000-0005-0000-0000-0000C8840000}"/>
    <cellStyle name="Suma 2 2 7 3" xfId="33217" xr:uid="{00000000-0005-0000-0000-0000C9840000}"/>
    <cellStyle name="Suma 2 2 8" xfId="33218" xr:uid="{00000000-0005-0000-0000-0000CA840000}"/>
    <cellStyle name="Suma 2 2 8 2" xfId="33219" xr:uid="{00000000-0005-0000-0000-0000CB840000}"/>
    <cellStyle name="Suma 2 2 8 2 2" xfId="33220" xr:uid="{00000000-0005-0000-0000-0000CC840000}"/>
    <cellStyle name="Suma 2 2 8 3" xfId="33221" xr:uid="{00000000-0005-0000-0000-0000CD840000}"/>
    <cellStyle name="Suma 2 2 9" xfId="33222" xr:uid="{00000000-0005-0000-0000-0000CE840000}"/>
    <cellStyle name="Suma 2 2 9 2" xfId="33223" xr:uid="{00000000-0005-0000-0000-0000CF840000}"/>
    <cellStyle name="Suma 2 2 9 2 2" xfId="33224" xr:uid="{00000000-0005-0000-0000-0000D0840000}"/>
    <cellStyle name="Suma 2 2 9 3" xfId="33225" xr:uid="{00000000-0005-0000-0000-0000D1840000}"/>
    <cellStyle name="Suma 2 3" xfId="33226" xr:uid="{00000000-0005-0000-0000-0000D2840000}"/>
    <cellStyle name="Suma 2 3 2" xfId="33227" xr:uid="{00000000-0005-0000-0000-0000D3840000}"/>
    <cellStyle name="Suma 2 3 2 2" xfId="33228" xr:uid="{00000000-0005-0000-0000-0000D4840000}"/>
    <cellStyle name="Suma 2 3 3" xfId="33229" xr:uid="{00000000-0005-0000-0000-0000D5840000}"/>
    <cellStyle name="Suma 2 4" xfId="33230" xr:uid="{00000000-0005-0000-0000-0000D6840000}"/>
    <cellStyle name="Suma 2 4 2" xfId="33231" xr:uid="{00000000-0005-0000-0000-0000D7840000}"/>
    <cellStyle name="Suma 2 4 2 2" xfId="33232" xr:uid="{00000000-0005-0000-0000-0000D8840000}"/>
    <cellStyle name="Suma 2 4 3" xfId="33233" xr:uid="{00000000-0005-0000-0000-0000D9840000}"/>
    <cellStyle name="Suma 2 5" xfId="33234" xr:uid="{00000000-0005-0000-0000-0000DA840000}"/>
    <cellStyle name="Suma 2 5 2" xfId="33235" xr:uid="{00000000-0005-0000-0000-0000DB840000}"/>
    <cellStyle name="Suma 2 5 2 2" xfId="33236" xr:uid="{00000000-0005-0000-0000-0000DC840000}"/>
    <cellStyle name="Suma 2 5 3" xfId="33237" xr:uid="{00000000-0005-0000-0000-0000DD840000}"/>
    <cellStyle name="Suma 2 6" xfId="33238" xr:uid="{00000000-0005-0000-0000-0000DE840000}"/>
    <cellStyle name="Suma 2 6 10" xfId="33239" xr:uid="{00000000-0005-0000-0000-0000DF840000}"/>
    <cellStyle name="Suma 2 6 10 2" xfId="33240" xr:uid="{00000000-0005-0000-0000-0000E0840000}"/>
    <cellStyle name="Suma 2 6 10 2 2" xfId="33241" xr:uid="{00000000-0005-0000-0000-0000E1840000}"/>
    <cellStyle name="Suma 2 6 10 3" xfId="33242" xr:uid="{00000000-0005-0000-0000-0000E2840000}"/>
    <cellStyle name="Suma 2 6 11" xfId="33243" xr:uid="{00000000-0005-0000-0000-0000E3840000}"/>
    <cellStyle name="Suma 2 6 11 2" xfId="33244" xr:uid="{00000000-0005-0000-0000-0000E4840000}"/>
    <cellStyle name="Suma 2 6 11 2 2" xfId="33245" xr:uid="{00000000-0005-0000-0000-0000E5840000}"/>
    <cellStyle name="Suma 2 6 11 3" xfId="33246" xr:uid="{00000000-0005-0000-0000-0000E6840000}"/>
    <cellStyle name="Suma 2 6 12" xfId="33247" xr:uid="{00000000-0005-0000-0000-0000E7840000}"/>
    <cellStyle name="Suma 2 6 12 2" xfId="33248" xr:uid="{00000000-0005-0000-0000-0000E8840000}"/>
    <cellStyle name="Suma 2 6 13" xfId="33249" xr:uid="{00000000-0005-0000-0000-0000E9840000}"/>
    <cellStyle name="Suma 2 6 13 2" xfId="33250" xr:uid="{00000000-0005-0000-0000-0000EA840000}"/>
    <cellStyle name="Suma 2 6 14" xfId="33251" xr:uid="{00000000-0005-0000-0000-0000EB840000}"/>
    <cellStyle name="Suma 2 6 2" xfId="33252" xr:uid="{00000000-0005-0000-0000-0000EC840000}"/>
    <cellStyle name="Suma 2 6 2 10" xfId="33253" xr:uid="{00000000-0005-0000-0000-0000ED840000}"/>
    <cellStyle name="Suma 2 6 2 10 2" xfId="33254" xr:uid="{00000000-0005-0000-0000-0000EE840000}"/>
    <cellStyle name="Suma 2 6 2 10 2 2" xfId="33255" xr:uid="{00000000-0005-0000-0000-0000EF840000}"/>
    <cellStyle name="Suma 2 6 2 10 3" xfId="33256" xr:uid="{00000000-0005-0000-0000-0000F0840000}"/>
    <cellStyle name="Suma 2 6 2 11" xfId="33257" xr:uid="{00000000-0005-0000-0000-0000F1840000}"/>
    <cellStyle name="Suma 2 6 2 11 2" xfId="33258" xr:uid="{00000000-0005-0000-0000-0000F2840000}"/>
    <cellStyle name="Suma 2 6 2 11 2 2" xfId="33259" xr:uid="{00000000-0005-0000-0000-0000F3840000}"/>
    <cellStyle name="Suma 2 6 2 11 3" xfId="33260" xr:uid="{00000000-0005-0000-0000-0000F4840000}"/>
    <cellStyle name="Suma 2 6 2 12" xfId="33261" xr:uid="{00000000-0005-0000-0000-0000F5840000}"/>
    <cellStyle name="Suma 2 6 2 12 2" xfId="33262" xr:uid="{00000000-0005-0000-0000-0000F6840000}"/>
    <cellStyle name="Suma 2 6 2 13" xfId="33263" xr:uid="{00000000-0005-0000-0000-0000F7840000}"/>
    <cellStyle name="Suma 2 6 2 13 2" xfId="33264" xr:uid="{00000000-0005-0000-0000-0000F8840000}"/>
    <cellStyle name="Suma 2 6 2 14" xfId="33265" xr:uid="{00000000-0005-0000-0000-0000F9840000}"/>
    <cellStyle name="Suma 2 6 2 2" xfId="33266" xr:uid="{00000000-0005-0000-0000-0000FA840000}"/>
    <cellStyle name="Suma 2 6 2 2 10" xfId="33267" xr:uid="{00000000-0005-0000-0000-0000FB840000}"/>
    <cellStyle name="Suma 2 6 2 2 10 2" xfId="33268" xr:uid="{00000000-0005-0000-0000-0000FC840000}"/>
    <cellStyle name="Suma 2 6 2 2 10 2 2" xfId="33269" xr:uid="{00000000-0005-0000-0000-0000FD840000}"/>
    <cellStyle name="Suma 2 6 2 2 10 3" xfId="33270" xr:uid="{00000000-0005-0000-0000-0000FE840000}"/>
    <cellStyle name="Suma 2 6 2 2 11" xfId="33271" xr:uid="{00000000-0005-0000-0000-0000FF840000}"/>
    <cellStyle name="Suma 2 6 2 2 11 2" xfId="33272" xr:uid="{00000000-0005-0000-0000-000000850000}"/>
    <cellStyle name="Suma 2 6 2 2 12" xfId="33273" xr:uid="{00000000-0005-0000-0000-000001850000}"/>
    <cellStyle name="Suma 2 6 2 2 12 2" xfId="33274" xr:uid="{00000000-0005-0000-0000-000002850000}"/>
    <cellStyle name="Suma 2 6 2 2 13" xfId="33275" xr:uid="{00000000-0005-0000-0000-000003850000}"/>
    <cellStyle name="Suma 2 6 2 2 2" xfId="33276" xr:uid="{00000000-0005-0000-0000-000004850000}"/>
    <cellStyle name="Suma 2 6 2 2 2 10" xfId="33277" xr:uid="{00000000-0005-0000-0000-000005850000}"/>
    <cellStyle name="Suma 2 6 2 2 2 10 2" xfId="33278" xr:uid="{00000000-0005-0000-0000-000006850000}"/>
    <cellStyle name="Suma 2 6 2 2 2 11" xfId="33279" xr:uid="{00000000-0005-0000-0000-000007850000}"/>
    <cellStyle name="Suma 2 6 2 2 2 11 2" xfId="33280" xr:uid="{00000000-0005-0000-0000-000008850000}"/>
    <cellStyle name="Suma 2 6 2 2 2 12" xfId="33281" xr:uid="{00000000-0005-0000-0000-000009850000}"/>
    <cellStyle name="Suma 2 6 2 2 2 2" xfId="33282" xr:uid="{00000000-0005-0000-0000-00000A850000}"/>
    <cellStyle name="Suma 2 6 2 2 2 2 10" xfId="33283" xr:uid="{00000000-0005-0000-0000-00000B850000}"/>
    <cellStyle name="Suma 2 6 2 2 2 2 10 2" xfId="33284" xr:uid="{00000000-0005-0000-0000-00000C850000}"/>
    <cellStyle name="Suma 2 6 2 2 2 2 11" xfId="33285" xr:uid="{00000000-0005-0000-0000-00000D850000}"/>
    <cellStyle name="Suma 2 6 2 2 2 2 11 2" xfId="33286" xr:uid="{00000000-0005-0000-0000-00000E850000}"/>
    <cellStyle name="Suma 2 6 2 2 2 2 12" xfId="33287" xr:uid="{00000000-0005-0000-0000-00000F850000}"/>
    <cellStyle name="Suma 2 6 2 2 2 2 2" xfId="33288" xr:uid="{00000000-0005-0000-0000-000010850000}"/>
    <cellStyle name="Suma 2 6 2 2 2 2 2 2" xfId="33289" xr:uid="{00000000-0005-0000-0000-000011850000}"/>
    <cellStyle name="Suma 2 6 2 2 2 2 2 2 2" xfId="33290" xr:uid="{00000000-0005-0000-0000-000012850000}"/>
    <cellStyle name="Suma 2 6 2 2 2 2 2 2 2 2" xfId="33291" xr:uid="{00000000-0005-0000-0000-000013850000}"/>
    <cellStyle name="Suma 2 6 2 2 2 2 2 2 2 2 2" xfId="33292" xr:uid="{00000000-0005-0000-0000-000014850000}"/>
    <cellStyle name="Suma 2 6 2 2 2 2 2 2 2 3" xfId="33293" xr:uid="{00000000-0005-0000-0000-000015850000}"/>
    <cellStyle name="Suma 2 6 2 2 2 2 2 2 3" xfId="33294" xr:uid="{00000000-0005-0000-0000-000016850000}"/>
    <cellStyle name="Suma 2 6 2 2 2 2 2 2 3 2" xfId="33295" xr:uid="{00000000-0005-0000-0000-000017850000}"/>
    <cellStyle name="Suma 2 6 2 2 2 2 2 2 3 2 2" xfId="33296" xr:uid="{00000000-0005-0000-0000-000018850000}"/>
    <cellStyle name="Suma 2 6 2 2 2 2 2 2 3 3" xfId="33297" xr:uid="{00000000-0005-0000-0000-000019850000}"/>
    <cellStyle name="Suma 2 6 2 2 2 2 2 2 4" xfId="33298" xr:uid="{00000000-0005-0000-0000-00001A850000}"/>
    <cellStyle name="Suma 2 6 2 2 2 2 2 2 4 2" xfId="33299" xr:uid="{00000000-0005-0000-0000-00001B850000}"/>
    <cellStyle name="Suma 2 6 2 2 2 2 2 2 4 2 2" xfId="33300" xr:uid="{00000000-0005-0000-0000-00001C850000}"/>
    <cellStyle name="Suma 2 6 2 2 2 2 2 2 4 3" xfId="33301" xr:uid="{00000000-0005-0000-0000-00001D850000}"/>
    <cellStyle name="Suma 2 6 2 2 2 2 2 2 5" xfId="33302" xr:uid="{00000000-0005-0000-0000-00001E850000}"/>
    <cellStyle name="Suma 2 6 2 2 2 2 2 2 5 2" xfId="33303" xr:uid="{00000000-0005-0000-0000-00001F850000}"/>
    <cellStyle name="Suma 2 6 2 2 2 2 2 2 6" xfId="33304" xr:uid="{00000000-0005-0000-0000-000020850000}"/>
    <cellStyle name="Suma 2 6 2 2 2 2 2 2 6 2" xfId="33305" xr:uid="{00000000-0005-0000-0000-000021850000}"/>
    <cellStyle name="Suma 2 6 2 2 2 2 2 2 7" xfId="33306" xr:uid="{00000000-0005-0000-0000-000022850000}"/>
    <cellStyle name="Suma 2 6 2 2 2 2 2 3" xfId="33307" xr:uid="{00000000-0005-0000-0000-000023850000}"/>
    <cellStyle name="Suma 2 6 2 2 2 2 2 3 2" xfId="33308" xr:uid="{00000000-0005-0000-0000-000024850000}"/>
    <cellStyle name="Suma 2 6 2 2 2 2 2 3 2 2" xfId="33309" xr:uid="{00000000-0005-0000-0000-000025850000}"/>
    <cellStyle name="Suma 2 6 2 2 2 2 2 3 3" xfId="33310" xr:uid="{00000000-0005-0000-0000-000026850000}"/>
    <cellStyle name="Suma 2 6 2 2 2 2 2 4" xfId="33311" xr:uid="{00000000-0005-0000-0000-000027850000}"/>
    <cellStyle name="Suma 2 6 2 2 2 2 2 4 2" xfId="33312" xr:uid="{00000000-0005-0000-0000-000028850000}"/>
    <cellStyle name="Suma 2 6 2 2 2 2 2 4 2 2" xfId="33313" xr:uid="{00000000-0005-0000-0000-000029850000}"/>
    <cellStyle name="Suma 2 6 2 2 2 2 2 4 3" xfId="33314" xr:uid="{00000000-0005-0000-0000-00002A850000}"/>
    <cellStyle name="Suma 2 6 2 2 2 2 2 5" xfId="33315" xr:uid="{00000000-0005-0000-0000-00002B850000}"/>
    <cellStyle name="Suma 2 6 2 2 2 2 2 5 2" xfId="33316" xr:uid="{00000000-0005-0000-0000-00002C850000}"/>
    <cellStyle name="Suma 2 6 2 2 2 2 2 5 2 2" xfId="33317" xr:uid="{00000000-0005-0000-0000-00002D850000}"/>
    <cellStyle name="Suma 2 6 2 2 2 2 2 5 3" xfId="33318" xr:uid="{00000000-0005-0000-0000-00002E850000}"/>
    <cellStyle name="Suma 2 6 2 2 2 2 2 6" xfId="33319" xr:uid="{00000000-0005-0000-0000-00002F850000}"/>
    <cellStyle name="Suma 2 6 2 2 2 2 2 6 2" xfId="33320" xr:uid="{00000000-0005-0000-0000-000030850000}"/>
    <cellStyle name="Suma 2 6 2 2 2 2 2 7" xfId="33321" xr:uid="{00000000-0005-0000-0000-000031850000}"/>
    <cellStyle name="Suma 2 6 2 2 2 2 2 7 2" xfId="33322" xr:uid="{00000000-0005-0000-0000-000032850000}"/>
    <cellStyle name="Suma 2 6 2 2 2 2 2 8" xfId="33323" xr:uid="{00000000-0005-0000-0000-000033850000}"/>
    <cellStyle name="Suma 2 6 2 2 2 2 3" xfId="33324" xr:uid="{00000000-0005-0000-0000-000034850000}"/>
    <cellStyle name="Suma 2 6 2 2 2 2 3 2" xfId="33325" xr:uid="{00000000-0005-0000-0000-000035850000}"/>
    <cellStyle name="Suma 2 6 2 2 2 2 3 2 2" xfId="33326" xr:uid="{00000000-0005-0000-0000-000036850000}"/>
    <cellStyle name="Suma 2 6 2 2 2 2 3 3" xfId="33327" xr:uid="{00000000-0005-0000-0000-000037850000}"/>
    <cellStyle name="Suma 2 6 2 2 2 2 4" xfId="33328" xr:uid="{00000000-0005-0000-0000-000038850000}"/>
    <cellStyle name="Suma 2 6 2 2 2 2 4 2" xfId="33329" xr:uid="{00000000-0005-0000-0000-000039850000}"/>
    <cellStyle name="Suma 2 6 2 2 2 2 4 2 2" xfId="33330" xr:uid="{00000000-0005-0000-0000-00003A850000}"/>
    <cellStyle name="Suma 2 6 2 2 2 2 4 3" xfId="33331" xr:uid="{00000000-0005-0000-0000-00003B850000}"/>
    <cellStyle name="Suma 2 6 2 2 2 2 5" xfId="33332" xr:uid="{00000000-0005-0000-0000-00003C850000}"/>
    <cellStyle name="Suma 2 6 2 2 2 2 5 2" xfId="33333" xr:uid="{00000000-0005-0000-0000-00003D850000}"/>
    <cellStyle name="Suma 2 6 2 2 2 2 5 2 2" xfId="33334" xr:uid="{00000000-0005-0000-0000-00003E850000}"/>
    <cellStyle name="Suma 2 6 2 2 2 2 5 3" xfId="33335" xr:uid="{00000000-0005-0000-0000-00003F850000}"/>
    <cellStyle name="Suma 2 6 2 2 2 2 6" xfId="33336" xr:uid="{00000000-0005-0000-0000-000040850000}"/>
    <cellStyle name="Suma 2 6 2 2 2 2 6 2" xfId="33337" xr:uid="{00000000-0005-0000-0000-000041850000}"/>
    <cellStyle name="Suma 2 6 2 2 2 2 6 2 2" xfId="33338" xr:uid="{00000000-0005-0000-0000-000042850000}"/>
    <cellStyle name="Suma 2 6 2 2 2 2 6 3" xfId="33339" xr:uid="{00000000-0005-0000-0000-000043850000}"/>
    <cellStyle name="Suma 2 6 2 2 2 2 7" xfId="33340" xr:uid="{00000000-0005-0000-0000-000044850000}"/>
    <cellStyle name="Suma 2 6 2 2 2 2 7 2" xfId="33341" xr:uid="{00000000-0005-0000-0000-000045850000}"/>
    <cellStyle name="Suma 2 6 2 2 2 2 7 2 2" xfId="33342" xr:uid="{00000000-0005-0000-0000-000046850000}"/>
    <cellStyle name="Suma 2 6 2 2 2 2 7 2 2 2" xfId="33343" xr:uid="{00000000-0005-0000-0000-000047850000}"/>
    <cellStyle name="Suma 2 6 2 2 2 2 7 2 3" xfId="33344" xr:uid="{00000000-0005-0000-0000-000048850000}"/>
    <cellStyle name="Suma 2 6 2 2 2 2 7 3" xfId="33345" xr:uid="{00000000-0005-0000-0000-000049850000}"/>
    <cellStyle name="Suma 2 6 2 2 2 2 7 3 2" xfId="33346" xr:uid="{00000000-0005-0000-0000-00004A850000}"/>
    <cellStyle name="Suma 2 6 2 2 2 2 7 3 2 2" xfId="33347" xr:uid="{00000000-0005-0000-0000-00004B850000}"/>
    <cellStyle name="Suma 2 6 2 2 2 2 7 3 3" xfId="33348" xr:uid="{00000000-0005-0000-0000-00004C850000}"/>
    <cellStyle name="Suma 2 6 2 2 2 2 7 4" xfId="33349" xr:uid="{00000000-0005-0000-0000-00004D850000}"/>
    <cellStyle name="Suma 2 6 2 2 2 2 7 4 2" xfId="33350" xr:uid="{00000000-0005-0000-0000-00004E850000}"/>
    <cellStyle name="Suma 2 6 2 2 2 2 7 4 2 2" xfId="33351" xr:uid="{00000000-0005-0000-0000-00004F850000}"/>
    <cellStyle name="Suma 2 6 2 2 2 2 7 4 3" xfId="33352" xr:uid="{00000000-0005-0000-0000-000050850000}"/>
    <cellStyle name="Suma 2 6 2 2 2 2 7 5" xfId="33353" xr:uid="{00000000-0005-0000-0000-000051850000}"/>
    <cellStyle name="Suma 2 6 2 2 2 2 7 5 2" xfId="33354" xr:uid="{00000000-0005-0000-0000-000052850000}"/>
    <cellStyle name="Suma 2 6 2 2 2 2 7 6" xfId="33355" xr:uid="{00000000-0005-0000-0000-000053850000}"/>
    <cellStyle name="Suma 2 6 2 2 2 2 7 6 2" xfId="33356" xr:uid="{00000000-0005-0000-0000-000054850000}"/>
    <cellStyle name="Suma 2 6 2 2 2 2 7 7" xfId="33357" xr:uid="{00000000-0005-0000-0000-000055850000}"/>
    <cellStyle name="Suma 2 6 2 2 2 2 8" xfId="33358" xr:uid="{00000000-0005-0000-0000-000056850000}"/>
    <cellStyle name="Suma 2 6 2 2 2 2 8 2" xfId="33359" xr:uid="{00000000-0005-0000-0000-000057850000}"/>
    <cellStyle name="Suma 2 6 2 2 2 2 8 2 2" xfId="33360" xr:uid="{00000000-0005-0000-0000-000058850000}"/>
    <cellStyle name="Suma 2 6 2 2 2 2 8 3" xfId="33361" xr:uid="{00000000-0005-0000-0000-000059850000}"/>
    <cellStyle name="Suma 2 6 2 2 2 2 9" xfId="33362" xr:uid="{00000000-0005-0000-0000-00005A850000}"/>
    <cellStyle name="Suma 2 6 2 2 2 2 9 2" xfId="33363" xr:uid="{00000000-0005-0000-0000-00005B850000}"/>
    <cellStyle name="Suma 2 6 2 2 2 2 9 2 2" xfId="33364" xr:uid="{00000000-0005-0000-0000-00005C850000}"/>
    <cellStyle name="Suma 2 6 2 2 2 2 9 3" xfId="33365" xr:uid="{00000000-0005-0000-0000-00005D850000}"/>
    <cellStyle name="Suma 2 6 2 2 2 3" xfId="33366" xr:uid="{00000000-0005-0000-0000-00005E850000}"/>
    <cellStyle name="Suma 2 6 2 2 2 3 2" xfId="33367" xr:uid="{00000000-0005-0000-0000-00005F850000}"/>
    <cellStyle name="Suma 2 6 2 2 2 3 2 2" xfId="33368" xr:uid="{00000000-0005-0000-0000-000060850000}"/>
    <cellStyle name="Suma 2 6 2 2 2 3 2 2 2" xfId="33369" xr:uid="{00000000-0005-0000-0000-000061850000}"/>
    <cellStyle name="Suma 2 6 2 2 2 3 2 2 2 2" xfId="33370" xr:uid="{00000000-0005-0000-0000-000062850000}"/>
    <cellStyle name="Suma 2 6 2 2 2 3 2 2 3" xfId="33371" xr:uid="{00000000-0005-0000-0000-000063850000}"/>
    <cellStyle name="Suma 2 6 2 2 2 3 2 3" xfId="33372" xr:uid="{00000000-0005-0000-0000-000064850000}"/>
    <cellStyle name="Suma 2 6 2 2 2 3 2 3 2" xfId="33373" xr:uid="{00000000-0005-0000-0000-000065850000}"/>
    <cellStyle name="Suma 2 6 2 2 2 3 2 3 2 2" xfId="33374" xr:uid="{00000000-0005-0000-0000-000066850000}"/>
    <cellStyle name="Suma 2 6 2 2 2 3 2 3 3" xfId="33375" xr:uid="{00000000-0005-0000-0000-000067850000}"/>
    <cellStyle name="Suma 2 6 2 2 2 3 2 4" xfId="33376" xr:uid="{00000000-0005-0000-0000-000068850000}"/>
    <cellStyle name="Suma 2 6 2 2 2 3 2 4 2" xfId="33377" xr:uid="{00000000-0005-0000-0000-000069850000}"/>
    <cellStyle name="Suma 2 6 2 2 2 3 2 4 2 2" xfId="33378" xr:uid="{00000000-0005-0000-0000-00006A850000}"/>
    <cellStyle name="Suma 2 6 2 2 2 3 2 4 3" xfId="33379" xr:uid="{00000000-0005-0000-0000-00006B850000}"/>
    <cellStyle name="Suma 2 6 2 2 2 3 2 5" xfId="33380" xr:uid="{00000000-0005-0000-0000-00006C850000}"/>
    <cellStyle name="Suma 2 6 2 2 2 3 2 5 2" xfId="33381" xr:uid="{00000000-0005-0000-0000-00006D850000}"/>
    <cellStyle name="Suma 2 6 2 2 2 3 2 6" xfId="33382" xr:uid="{00000000-0005-0000-0000-00006E850000}"/>
    <cellStyle name="Suma 2 6 2 2 2 3 2 6 2" xfId="33383" xr:uid="{00000000-0005-0000-0000-00006F850000}"/>
    <cellStyle name="Suma 2 6 2 2 2 3 2 7" xfId="33384" xr:uid="{00000000-0005-0000-0000-000070850000}"/>
    <cellStyle name="Suma 2 6 2 2 2 3 3" xfId="33385" xr:uid="{00000000-0005-0000-0000-000071850000}"/>
    <cellStyle name="Suma 2 6 2 2 2 3 3 2" xfId="33386" xr:uid="{00000000-0005-0000-0000-000072850000}"/>
    <cellStyle name="Suma 2 6 2 2 2 3 3 2 2" xfId="33387" xr:uid="{00000000-0005-0000-0000-000073850000}"/>
    <cellStyle name="Suma 2 6 2 2 2 3 3 3" xfId="33388" xr:uid="{00000000-0005-0000-0000-000074850000}"/>
    <cellStyle name="Suma 2 6 2 2 2 3 4" xfId="33389" xr:uid="{00000000-0005-0000-0000-000075850000}"/>
    <cellStyle name="Suma 2 6 2 2 2 3 4 2" xfId="33390" xr:uid="{00000000-0005-0000-0000-000076850000}"/>
    <cellStyle name="Suma 2 6 2 2 2 3 4 2 2" xfId="33391" xr:uid="{00000000-0005-0000-0000-000077850000}"/>
    <cellStyle name="Suma 2 6 2 2 2 3 4 3" xfId="33392" xr:uid="{00000000-0005-0000-0000-000078850000}"/>
    <cellStyle name="Suma 2 6 2 2 2 3 5" xfId="33393" xr:uid="{00000000-0005-0000-0000-000079850000}"/>
    <cellStyle name="Suma 2 6 2 2 2 3 5 2" xfId="33394" xr:uid="{00000000-0005-0000-0000-00007A850000}"/>
    <cellStyle name="Suma 2 6 2 2 2 3 5 2 2" xfId="33395" xr:uid="{00000000-0005-0000-0000-00007B850000}"/>
    <cellStyle name="Suma 2 6 2 2 2 3 5 3" xfId="33396" xr:uid="{00000000-0005-0000-0000-00007C850000}"/>
    <cellStyle name="Suma 2 6 2 2 2 3 6" xfId="33397" xr:uid="{00000000-0005-0000-0000-00007D850000}"/>
    <cellStyle name="Suma 2 6 2 2 2 3 6 2" xfId="33398" xr:uid="{00000000-0005-0000-0000-00007E850000}"/>
    <cellStyle name="Suma 2 6 2 2 2 3 7" xfId="33399" xr:uid="{00000000-0005-0000-0000-00007F850000}"/>
    <cellStyle name="Suma 2 6 2 2 2 3 7 2" xfId="33400" xr:uid="{00000000-0005-0000-0000-000080850000}"/>
    <cellStyle name="Suma 2 6 2 2 2 3 8" xfId="33401" xr:uid="{00000000-0005-0000-0000-000081850000}"/>
    <cellStyle name="Suma 2 6 2 2 2 4" xfId="33402" xr:uid="{00000000-0005-0000-0000-000082850000}"/>
    <cellStyle name="Suma 2 6 2 2 2 4 2" xfId="33403" xr:uid="{00000000-0005-0000-0000-000083850000}"/>
    <cellStyle name="Suma 2 6 2 2 2 4 2 2" xfId="33404" xr:uid="{00000000-0005-0000-0000-000084850000}"/>
    <cellStyle name="Suma 2 6 2 2 2 4 3" xfId="33405" xr:uid="{00000000-0005-0000-0000-000085850000}"/>
    <cellStyle name="Suma 2 6 2 2 2 5" xfId="33406" xr:uid="{00000000-0005-0000-0000-000086850000}"/>
    <cellStyle name="Suma 2 6 2 2 2 5 2" xfId="33407" xr:uid="{00000000-0005-0000-0000-000087850000}"/>
    <cellStyle name="Suma 2 6 2 2 2 5 2 2" xfId="33408" xr:uid="{00000000-0005-0000-0000-000088850000}"/>
    <cellStyle name="Suma 2 6 2 2 2 5 3" xfId="33409" xr:uid="{00000000-0005-0000-0000-000089850000}"/>
    <cellStyle name="Suma 2 6 2 2 2 6" xfId="33410" xr:uid="{00000000-0005-0000-0000-00008A850000}"/>
    <cellStyle name="Suma 2 6 2 2 2 6 2" xfId="33411" xr:uid="{00000000-0005-0000-0000-00008B850000}"/>
    <cellStyle name="Suma 2 6 2 2 2 6 2 2" xfId="33412" xr:uid="{00000000-0005-0000-0000-00008C850000}"/>
    <cellStyle name="Suma 2 6 2 2 2 6 3" xfId="33413" xr:uid="{00000000-0005-0000-0000-00008D850000}"/>
    <cellStyle name="Suma 2 6 2 2 2 7" xfId="33414" xr:uid="{00000000-0005-0000-0000-00008E850000}"/>
    <cellStyle name="Suma 2 6 2 2 2 7 2" xfId="33415" xr:uid="{00000000-0005-0000-0000-00008F850000}"/>
    <cellStyle name="Suma 2 6 2 2 2 7 2 2" xfId="33416" xr:uid="{00000000-0005-0000-0000-000090850000}"/>
    <cellStyle name="Suma 2 6 2 2 2 7 2 2 2" xfId="33417" xr:uid="{00000000-0005-0000-0000-000091850000}"/>
    <cellStyle name="Suma 2 6 2 2 2 7 2 3" xfId="33418" xr:uid="{00000000-0005-0000-0000-000092850000}"/>
    <cellStyle name="Suma 2 6 2 2 2 7 3" xfId="33419" xr:uid="{00000000-0005-0000-0000-000093850000}"/>
    <cellStyle name="Suma 2 6 2 2 2 7 3 2" xfId="33420" xr:uid="{00000000-0005-0000-0000-000094850000}"/>
    <cellStyle name="Suma 2 6 2 2 2 7 3 2 2" xfId="33421" xr:uid="{00000000-0005-0000-0000-000095850000}"/>
    <cellStyle name="Suma 2 6 2 2 2 7 3 3" xfId="33422" xr:uid="{00000000-0005-0000-0000-000096850000}"/>
    <cellStyle name="Suma 2 6 2 2 2 7 4" xfId="33423" xr:uid="{00000000-0005-0000-0000-000097850000}"/>
    <cellStyle name="Suma 2 6 2 2 2 7 4 2" xfId="33424" xr:uid="{00000000-0005-0000-0000-000098850000}"/>
    <cellStyle name="Suma 2 6 2 2 2 7 4 2 2" xfId="33425" xr:uid="{00000000-0005-0000-0000-000099850000}"/>
    <cellStyle name="Suma 2 6 2 2 2 7 4 3" xfId="33426" xr:uid="{00000000-0005-0000-0000-00009A850000}"/>
    <cellStyle name="Suma 2 6 2 2 2 7 5" xfId="33427" xr:uid="{00000000-0005-0000-0000-00009B850000}"/>
    <cellStyle name="Suma 2 6 2 2 2 7 5 2" xfId="33428" xr:uid="{00000000-0005-0000-0000-00009C850000}"/>
    <cellStyle name="Suma 2 6 2 2 2 7 6" xfId="33429" xr:uid="{00000000-0005-0000-0000-00009D850000}"/>
    <cellStyle name="Suma 2 6 2 2 2 7 6 2" xfId="33430" xr:uid="{00000000-0005-0000-0000-00009E850000}"/>
    <cellStyle name="Suma 2 6 2 2 2 7 7" xfId="33431" xr:uid="{00000000-0005-0000-0000-00009F850000}"/>
    <cellStyle name="Suma 2 6 2 2 2 8" xfId="33432" xr:uid="{00000000-0005-0000-0000-0000A0850000}"/>
    <cellStyle name="Suma 2 6 2 2 2 8 2" xfId="33433" xr:uid="{00000000-0005-0000-0000-0000A1850000}"/>
    <cellStyle name="Suma 2 6 2 2 2 8 2 2" xfId="33434" xr:uid="{00000000-0005-0000-0000-0000A2850000}"/>
    <cellStyle name="Suma 2 6 2 2 2 8 3" xfId="33435" xr:uid="{00000000-0005-0000-0000-0000A3850000}"/>
    <cellStyle name="Suma 2 6 2 2 2 9" xfId="33436" xr:uid="{00000000-0005-0000-0000-0000A4850000}"/>
    <cellStyle name="Suma 2 6 2 2 2 9 2" xfId="33437" xr:uid="{00000000-0005-0000-0000-0000A5850000}"/>
    <cellStyle name="Suma 2 6 2 2 2 9 2 2" xfId="33438" xr:uid="{00000000-0005-0000-0000-0000A6850000}"/>
    <cellStyle name="Suma 2 6 2 2 2 9 3" xfId="33439" xr:uid="{00000000-0005-0000-0000-0000A7850000}"/>
    <cellStyle name="Suma 2 6 2 2 3" xfId="33440" xr:uid="{00000000-0005-0000-0000-0000A8850000}"/>
    <cellStyle name="Suma 2 6 2 2 3 2" xfId="33441" xr:uid="{00000000-0005-0000-0000-0000A9850000}"/>
    <cellStyle name="Suma 2 6 2 2 3 2 2" xfId="33442" xr:uid="{00000000-0005-0000-0000-0000AA850000}"/>
    <cellStyle name="Suma 2 6 2 2 3 2 2 2" xfId="33443" xr:uid="{00000000-0005-0000-0000-0000AB850000}"/>
    <cellStyle name="Suma 2 6 2 2 3 2 2 2 2" xfId="33444" xr:uid="{00000000-0005-0000-0000-0000AC850000}"/>
    <cellStyle name="Suma 2 6 2 2 3 2 2 3" xfId="33445" xr:uid="{00000000-0005-0000-0000-0000AD850000}"/>
    <cellStyle name="Suma 2 6 2 2 3 2 3" xfId="33446" xr:uid="{00000000-0005-0000-0000-0000AE850000}"/>
    <cellStyle name="Suma 2 6 2 2 3 2 3 2" xfId="33447" xr:uid="{00000000-0005-0000-0000-0000AF850000}"/>
    <cellStyle name="Suma 2 6 2 2 3 2 3 2 2" xfId="33448" xr:uid="{00000000-0005-0000-0000-0000B0850000}"/>
    <cellStyle name="Suma 2 6 2 2 3 2 3 3" xfId="33449" xr:uid="{00000000-0005-0000-0000-0000B1850000}"/>
    <cellStyle name="Suma 2 6 2 2 3 2 4" xfId="33450" xr:uid="{00000000-0005-0000-0000-0000B2850000}"/>
    <cellStyle name="Suma 2 6 2 2 3 2 4 2" xfId="33451" xr:uid="{00000000-0005-0000-0000-0000B3850000}"/>
    <cellStyle name="Suma 2 6 2 2 3 2 4 2 2" xfId="33452" xr:uid="{00000000-0005-0000-0000-0000B4850000}"/>
    <cellStyle name="Suma 2 6 2 2 3 2 4 3" xfId="33453" xr:uid="{00000000-0005-0000-0000-0000B5850000}"/>
    <cellStyle name="Suma 2 6 2 2 3 2 5" xfId="33454" xr:uid="{00000000-0005-0000-0000-0000B6850000}"/>
    <cellStyle name="Suma 2 6 2 2 3 2 5 2" xfId="33455" xr:uid="{00000000-0005-0000-0000-0000B7850000}"/>
    <cellStyle name="Suma 2 6 2 2 3 2 6" xfId="33456" xr:uid="{00000000-0005-0000-0000-0000B8850000}"/>
    <cellStyle name="Suma 2 6 2 2 3 2 6 2" xfId="33457" xr:uid="{00000000-0005-0000-0000-0000B9850000}"/>
    <cellStyle name="Suma 2 6 2 2 3 2 7" xfId="33458" xr:uid="{00000000-0005-0000-0000-0000BA850000}"/>
    <cellStyle name="Suma 2 6 2 2 3 3" xfId="33459" xr:uid="{00000000-0005-0000-0000-0000BB850000}"/>
    <cellStyle name="Suma 2 6 2 2 3 3 2" xfId="33460" xr:uid="{00000000-0005-0000-0000-0000BC850000}"/>
    <cellStyle name="Suma 2 6 2 2 3 3 2 2" xfId="33461" xr:uid="{00000000-0005-0000-0000-0000BD850000}"/>
    <cellStyle name="Suma 2 6 2 2 3 3 3" xfId="33462" xr:uid="{00000000-0005-0000-0000-0000BE850000}"/>
    <cellStyle name="Suma 2 6 2 2 3 4" xfId="33463" xr:uid="{00000000-0005-0000-0000-0000BF850000}"/>
    <cellStyle name="Suma 2 6 2 2 3 4 2" xfId="33464" xr:uid="{00000000-0005-0000-0000-0000C0850000}"/>
    <cellStyle name="Suma 2 6 2 2 3 4 2 2" xfId="33465" xr:uid="{00000000-0005-0000-0000-0000C1850000}"/>
    <cellStyle name="Suma 2 6 2 2 3 4 3" xfId="33466" xr:uid="{00000000-0005-0000-0000-0000C2850000}"/>
    <cellStyle name="Suma 2 6 2 2 3 5" xfId="33467" xr:uid="{00000000-0005-0000-0000-0000C3850000}"/>
    <cellStyle name="Suma 2 6 2 2 3 5 2" xfId="33468" xr:uid="{00000000-0005-0000-0000-0000C4850000}"/>
    <cellStyle name="Suma 2 6 2 2 3 5 2 2" xfId="33469" xr:uid="{00000000-0005-0000-0000-0000C5850000}"/>
    <cellStyle name="Suma 2 6 2 2 3 5 3" xfId="33470" xr:uid="{00000000-0005-0000-0000-0000C6850000}"/>
    <cellStyle name="Suma 2 6 2 2 3 6" xfId="33471" xr:uid="{00000000-0005-0000-0000-0000C7850000}"/>
    <cellStyle name="Suma 2 6 2 2 3 6 2" xfId="33472" xr:uid="{00000000-0005-0000-0000-0000C8850000}"/>
    <cellStyle name="Suma 2 6 2 2 3 7" xfId="33473" xr:uid="{00000000-0005-0000-0000-0000C9850000}"/>
    <cellStyle name="Suma 2 6 2 2 3 7 2" xfId="33474" xr:uid="{00000000-0005-0000-0000-0000CA850000}"/>
    <cellStyle name="Suma 2 6 2 2 3 8" xfId="33475" xr:uid="{00000000-0005-0000-0000-0000CB850000}"/>
    <cellStyle name="Suma 2 6 2 2 4" xfId="33476" xr:uid="{00000000-0005-0000-0000-0000CC850000}"/>
    <cellStyle name="Suma 2 6 2 2 4 2" xfId="33477" xr:uid="{00000000-0005-0000-0000-0000CD850000}"/>
    <cellStyle name="Suma 2 6 2 2 4 2 2" xfId="33478" xr:uid="{00000000-0005-0000-0000-0000CE850000}"/>
    <cellStyle name="Suma 2 6 2 2 4 3" xfId="33479" xr:uid="{00000000-0005-0000-0000-0000CF850000}"/>
    <cellStyle name="Suma 2 6 2 2 5" xfId="33480" xr:uid="{00000000-0005-0000-0000-0000D0850000}"/>
    <cellStyle name="Suma 2 6 2 2 5 2" xfId="33481" xr:uid="{00000000-0005-0000-0000-0000D1850000}"/>
    <cellStyle name="Suma 2 6 2 2 5 2 2" xfId="33482" xr:uid="{00000000-0005-0000-0000-0000D2850000}"/>
    <cellStyle name="Suma 2 6 2 2 5 3" xfId="33483" xr:uid="{00000000-0005-0000-0000-0000D3850000}"/>
    <cellStyle name="Suma 2 6 2 2 6" xfId="33484" xr:uid="{00000000-0005-0000-0000-0000D4850000}"/>
    <cellStyle name="Suma 2 6 2 2 6 2" xfId="33485" xr:uid="{00000000-0005-0000-0000-0000D5850000}"/>
    <cellStyle name="Suma 2 6 2 2 6 2 2" xfId="33486" xr:uid="{00000000-0005-0000-0000-0000D6850000}"/>
    <cellStyle name="Suma 2 6 2 2 6 3" xfId="33487" xr:uid="{00000000-0005-0000-0000-0000D7850000}"/>
    <cellStyle name="Suma 2 6 2 2 7" xfId="33488" xr:uid="{00000000-0005-0000-0000-0000D8850000}"/>
    <cellStyle name="Suma 2 6 2 2 7 2" xfId="33489" xr:uid="{00000000-0005-0000-0000-0000D9850000}"/>
    <cellStyle name="Suma 2 6 2 2 7 2 2" xfId="33490" xr:uid="{00000000-0005-0000-0000-0000DA850000}"/>
    <cellStyle name="Suma 2 6 2 2 7 3" xfId="33491" xr:uid="{00000000-0005-0000-0000-0000DB850000}"/>
    <cellStyle name="Suma 2 6 2 2 8" xfId="33492" xr:uid="{00000000-0005-0000-0000-0000DC850000}"/>
    <cellStyle name="Suma 2 6 2 2 8 2" xfId="33493" xr:uid="{00000000-0005-0000-0000-0000DD850000}"/>
    <cellStyle name="Suma 2 6 2 2 8 2 2" xfId="33494" xr:uid="{00000000-0005-0000-0000-0000DE850000}"/>
    <cellStyle name="Suma 2 6 2 2 8 2 2 2" xfId="33495" xr:uid="{00000000-0005-0000-0000-0000DF850000}"/>
    <cellStyle name="Suma 2 6 2 2 8 2 3" xfId="33496" xr:uid="{00000000-0005-0000-0000-0000E0850000}"/>
    <cellStyle name="Suma 2 6 2 2 8 3" xfId="33497" xr:uid="{00000000-0005-0000-0000-0000E1850000}"/>
    <cellStyle name="Suma 2 6 2 2 8 3 2" xfId="33498" xr:uid="{00000000-0005-0000-0000-0000E2850000}"/>
    <cellStyle name="Suma 2 6 2 2 8 3 2 2" xfId="33499" xr:uid="{00000000-0005-0000-0000-0000E3850000}"/>
    <cellStyle name="Suma 2 6 2 2 8 3 3" xfId="33500" xr:uid="{00000000-0005-0000-0000-0000E4850000}"/>
    <cellStyle name="Suma 2 6 2 2 8 4" xfId="33501" xr:uid="{00000000-0005-0000-0000-0000E5850000}"/>
    <cellStyle name="Suma 2 6 2 2 8 4 2" xfId="33502" xr:uid="{00000000-0005-0000-0000-0000E6850000}"/>
    <cellStyle name="Suma 2 6 2 2 8 4 2 2" xfId="33503" xr:uid="{00000000-0005-0000-0000-0000E7850000}"/>
    <cellStyle name="Suma 2 6 2 2 8 4 3" xfId="33504" xr:uid="{00000000-0005-0000-0000-0000E8850000}"/>
    <cellStyle name="Suma 2 6 2 2 8 5" xfId="33505" xr:uid="{00000000-0005-0000-0000-0000E9850000}"/>
    <cellStyle name="Suma 2 6 2 2 8 5 2" xfId="33506" xr:uid="{00000000-0005-0000-0000-0000EA850000}"/>
    <cellStyle name="Suma 2 6 2 2 8 6" xfId="33507" xr:uid="{00000000-0005-0000-0000-0000EB850000}"/>
    <cellStyle name="Suma 2 6 2 2 8 6 2" xfId="33508" xr:uid="{00000000-0005-0000-0000-0000EC850000}"/>
    <cellStyle name="Suma 2 6 2 2 8 7" xfId="33509" xr:uid="{00000000-0005-0000-0000-0000ED850000}"/>
    <cellStyle name="Suma 2 6 2 2 9" xfId="33510" xr:uid="{00000000-0005-0000-0000-0000EE850000}"/>
    <cellStyle name="Suma 2 6 2 2 9 2" xfId="33511" xr:uid="{00000000-0005-0000-0000-0000EF850000}"/>
    <cellStyle name="Suma 2 6 2 2 9 2 2" xfId="33512" xr:uid="{00000000-0005-0000-0000-0000F0850000}"/>
    <cellStyle name="Suma 2 6 2 2 9 3" xfId="33513" xr:uid="{00000000-0005-0000-0000-0000F1850000}"/>
    <cellStyle name="Suma 2 6 2 3" xfId="33514" xr:uid="{00000000-0005-0000-0000-0000F2850000}"/>
    <cellStyle name="Suma 2 6 2 3 2" xfId="33515" xr:uid="{00000000-0005-0000-0000-0000F3850000}"/>
    <cellStyle name="Suma 2 6 2 3 2 2" xfId="33516" xr:uid="{00000000-0005-0000-0000-0000F4850000}"/>
    <cellStyle name="Suma 2 6 2 3 3" xfId="33517" xr:uid="{00000000-0005-0000-0000-0000F5850000}"/>
    <cellStyle name="Suma 2 6 2 4" xfId="33518" xr:uid="{00000000-0005-0000-0000-0000F6850000}"/>
    <cellStyle name="Suma 2 6 2 4 10" xfId="33519" xr:uid="{00000000-0005-0000-0000-0000F7850000}"/>
    <cellStyle name="Suma 2 6 2 4 10 2" xfId="33520" xr:uid="{00000000-0005-0000-0000-0000F8850000}"/>
    <cellStyle name="Suma 2 6 2 4 11" xfId="33521" xr:uid="{00000000-0005-0000-0000-0000F9850000}"/>
    <cellStyle name="Suma 2 6 2 4 11 2" xfId="33522" xr:uid="{00000000-0005-0000-0000-0000FA850000}"/>
    <cellStyle name="Suma 2 6 2 4 12" xfId="33523" xr:uid="{00000000-0005-0000-0000-0000FB850000}"/>
    <cellStyle name="Suma 2 6 2 4 2" xfId="33524" xr:uid="{00000000-0005-0000-0000-0000FC850000}"/>
    <cellStyle name="Suma 2 6 2 4 2 2" xfId="33525" xr:uid="{00000000-0005-0000-0000-0000FD850000}"/>
    <cellStyle name="Suma 2 6 2 4 2 2 2" xfId="33526" xr:uid="{00000000-0005-0000-0000-0000FE850000}"/>
    <cellStyle name="Suma 2 6 2 4 2 2 2 2" xfId="33527" xr:uid="{00000000-0005-0000-0000-0000FF850000}"/>
    <cellStyle name="Suma 2 6 2 4 2 2 2 2 2" xfId="33528" xr:uid="{00000000-0005-0000-0000-000000860000}"/>
    <cellStyle name="Suma 2 6 2 4 2 2 2 3" xfId="33529" xr:uid="{00000000-0005-0000-0000-000001860000}"/>
    <cellStyle name="Suma 2 6 2 4 2 2 3" xfId="33530" xr:uid="{00000000-0005-0000-0000-000002860000}"/>
    <cellStyle name="Suma 2 6 2 4 2 2 3 2" xfId="33531" xr:uid="{00000000-0005-0000-0000-000003860000}"/>
    <cellStyle name="Suma 2 6 2 4 2 2 3 2 2" xfId="33532" xr:uid="{00000000-0005-0000-0000-000004860000}"/>
    <cellStyle name="Suma 2 6 2 4 2 2 3 3" xfId="33533" xr:uid="{00000000-0005-0000-0000-000005860000}"/>
    <cellStyle name="Suma 2 6 2 4 2 2 4" xfId="33534" xr:uid="{00000000-0005-0000-0000-000006860000}"/>
    <cellStyle name="Suma 2 6 2 4 2 2 4 2" xfId="33535" xr:uid="{00000000-0005-0000-0000-000007860000}"/>
    <cellStyle name="Suma 2 6 2 4 2 2 4 2 2" xfId="33536" xr:uid="{00000000-0005-0000-0000-000008860000}"/>
    <cellStyle name="Suma 2 6 2 4 2 2 4 3" xfId="33537" xr:uid="{00000000-0005-0000-0000-000009860000}"/>
    <cellStyle name="Suma 2 6 2 4 2 2 5" xfId="33538" xr:uid="{00000000-0005-0000-0000-00000A860000}"/>
    <cellStyle name="Suma 2 6 2 4 2 2 5 2" xfId="33539" xr:uid="{00000000-0005-0000-0000-00000B860000}"/>
    <cellStyle name="Suma 2 6 2 4 2 2 6" xfId="33540" xr:uid="{00000000-0005-0000-0000-00000C860000}"/>
    <cellStyle name="Suma 2 6 2 4 2 2 6 2" xfId="33541" xr:uid="{00000000-0005-0000-0000-00000D860000}"/>
    <cellStyle name="Suma 2 6 2 4 2 2 7" xfId="33542" xr:uid="{00000000-0005-0000-0000-00000E860000}"/>
    <cellStyle name="Suma 2 6 2 4 2 3" xfId="33543" xr:uid="{00000000-0005-0000-0000-00000F860000}"/>
    <cellStyle name="Suma 2 6 2 4 2 3 2" xfId="33544" xr:uid="{00000000-0005-0000-0000-000010860000}"/>
    <cellStyle name="Suma 2 6 2 4 2 3 2 2" xfId="33545" xr:uid="{00000000-0005-0000-0000-000011860000}"/>
    <cellStyle name="Suma 2 6 2 4 2 3 3" xfId="33546" xr:uid="{00000000-0005-0000-0000-000012860000}"/>
    <cellStyle name="Suma 2 6 2 4 2 4" xfId="33547" xr:uid="{00000000-0005-0000-0000-000013860000}"/>
    <cellStyle name="Suma 2 6 2 4 2 4 2" xfId="33548" xr:uid="{00000000-0005-0000-0000-000014860000}"/>
    <cellStyle name="Suma 2 6 2 4 2 4 2 2" xfId="33549" xr:uid="{00000000-0005-0000-0000-000015860000}"/>
    <cellStyle name="Suma 2 6 2 4 2 4 3" xfId="33550" xr:uid="{00000000-0005-0000-0000-000016860000}"/>
    <cellStyle name="Suma 2 6 2 4 2 5" xfId="33551" xr:uid="{00000000-0005-0000-0000-000017860000}"/>
    <cellStyle name="Suma 2 6 2 4 2 5 2" xfId="33552" xr:uid="{00000000-0005-0000-0000-000018860000}"/>
    <cellStyle name="Suma 2 6 2 4 2 5 2 2" xfId="33553" xr:uid="{00000000-0005-0000-0000-000019860000}"/>
    <cellStyle name="Suma 2 6 2 4 2 5 3" xfId="33554" xr:uid="{00000000-0005-0000-0000-00001A860000}"/>
    <cellStyle name="Suma 2 6 2 4 2 6" xfId="33555" xr:uid="{00000000-0005-0000-0000-00001B860000}"/>
    <cellStyle name="Suma 2 6 2 4 2 6 2" xfId="33556" xr:uid="{00000000-0005-0000-0000-00001C860000}"/>
    <cellStyle name="Suma 2 6 2 4 2 7" xfId="33557" xr:uid="{00000000-0005-0000-0000-00001D860000}"/>
    <cellStyle name="Suma 2 6 2 4 2 7 2" xfId="33558" xr:uid="{00000000-0005-0000-0000-00001E860000}"/>
    <cellStyle name="Suma 2 6 2 4 2 8" xfId="33559" xr:uid="{00000000-0005-0000-0000-00001F860000}"/>
    <cellStyle name="Suma 2 6 2 4 3" xfId="33560" xr:uid="{00000000-0005-0000-0000-000020860000}"/>
    <cellStyle name="Suma 2 6 2 4 3 2" xfId="33561" xr:uid="{00000000-0005-0000-0000-000021860000}"/>
    <cellStyle name="Suma 2 6 2 4 3 2 2" xfId="33562" xr:uid="{00000000-0005-0000-0000-000022860000}"/>
    <cellStyle name="Suma 2 6 2 4 3 3" xfId="33563" xr:uid="{00000000-0005-0000-0000-000023860000}"/>
    <cellStyle name="Suma 2 6 2 4 4" xfId="33564" xr:uid="{00000000-0005-0000-0000-000024860000}"/>
    <cellStyle name="Suma 2 6 2 4 4 2" xfId="33565" xr:uid="{00000000-0005-0000-0000-000025860000}"/>
    <cellStyle name="Suma 2 6 2 4 4 2 2" xfId="33566" xr:uid="{00000000-0005-0000-0000-000026860000}"/>
    <cellStyle name="Suma 2 6 2 4 4 3" xfId="33567" xr:uid="{00000000-0005-0000-0000-000027860000}"/>
    <cellStyle name="Suma 2 6 2 4 5" xfId="33568" xr:uid="{00000000-0005-0000-0000-000028860000}"/>
    <cellStyle name="Suma 2 6 2 4 5 2" xfId="33569" xr:uid="{00000000-0005-0000-0000-000029860000}"/>
    <cellStyle name="Suma 2 6 2 4 5 2 2" xfId="33570" xr:uid="{00000000-0005-0000-0000-00002A860000}"/>
    <cellStyle name="Suma 2 6 2 4 5 3" xfId="33571" xr:uid="{00000000-0005-0000-0000-00002B860000}"/>
    <cellStyle name="Suma 2 6 2 4 6" xfId="33572" xr:uid="{00000000-0005-0000-0000-00002C860000}"/>
    <cellStyle name="Suma 2 6 2 4 6 2" xfId="33573" xr:uid="{00000000-0005-0000-0000-00002D860000}"/>
    <cellStyle name="Suma 2 6 2 4 6 2 2" xfId="33574" xr:uid="{00000000-0005-0000-0000-00002E860000}"/>
    <cellStyle name="Suma 2 6 2 4 6 3" xfId="33575" xr:uid="{00000000-0005-0000-0000-00002F860000}"/>
    <cellStyle name="Suma 2 6 2 4 7" xfId="33576" xr:uid="{00000000-0005-0000-0000-000030860000}"/>
    <cellStyle name="Suma 2 6 2 4 7 2" xfId="33577" xr:uid="{00000000-0005-0000-0000-000031860000}"/>
    <cellStyle name="Suma 2 6 2 4 7 2 2" xfId="33578" xr:uid="{00000000-0005-0000-0000-000032860000}"/>
    <cellStyle name="Suma 2 6 2 4 7 2 2 2" xfId="33579" xr:uid="{00000000-0005-0000-0000-000033860000}"/>
    <cellStyle name="Suma 2 6 2 4 7 2 3" xfId="33580" xr:uid="{00000000-0005-0000-0000-000034860000}"/>
    <cellStyle name="Suma 2 6 2 4 7 3" xfId="33581" xr:uid="{00000000-0005-0000-0000-000035860000}"/>
    <cellStyle name="Suma 2 6 2 4 7 3 2" xfId="33582" xr:uid="{00000000-0005-0000-0000-000036860000}"/>
    <cellStyle name="Suma 2 6 2 4 7 3 2 2" xfId="33583" xr:uid="{00000000-0005-0000-0000-000037860000}"/>
    <cellStyle name="Suma 2 6 2 4 7 3 3" xfId="33584" xr:uid="{00000000-0005-0000-0000-000038860000}"/>
    <cellStyle name="Suma 2 6 2 4 7 4" xfId="33585" xr:uid="{00000000-0005-0000-0000-000039860000}"/>
    <cellStyle name="Suma 2 6 2 4 7 4 2" xfId="33586" xr:uid="{00000000-0005-0000-0000-00003A860000}"/>
    <cellStyle name="Suma 2 6 2 4 7 4 2 2" xfId="33587" xr:uid="{00000000-0005-0000-0000-00003B860000}"/>
    <cellStyle name="Suma 2 6 2 4 7 4 3" xfId="33588" xr:uid="{00000000-0005-0000-0000-00003C860000}"/>
    <cellStyle name="Suma 2 6 2 4 7 5" xfId="33589" xr:uid="{00000000-0005-0000-0000-00003D860000}"/>
    <cellStyle name="Suma 2 6 2 4 7 5 2" xfId="33590" xr:uid="{00000000-0005-0000-0000-00003E860000}"/>
    <cellStyle name="Suma 2 6 2 4 7 6" xfId="33591" xr:uid="{00000000-0005-0000-0000-00003F860000}"/>
    <cellStyle name="Suma 2 6 2 4 7 6 2" xfId="33592" xr:uid="{00000000-0005-0000-0000-000040860000}"/>
    <cellStyle name="Suma 2 6 2 4 7 7" xfId="33593" xr:uid="{00000000-0005-0000-0000-000041860000}"/>
    <cellStyle name="Suma 2 6 2 4 8" xfId="33594" xr:uid="{00000000-0005-0000-0000-000042860000}"/>
    <cellStyle name="Suma 2 6 2 4 8 2" xfId="33595" xr:uid="{00000000-0005-0000-0000-000043860000}"/>
    <cellStyle name="Suma 2 6 2 4 8 2 2" xfId="33596" xr:uid="{00000000-0005-0000-0000-000044860000}"/>
    <cellStyle name="Suma 2 6 2 4 8 3" xfId="33597" xr:uid="{00000000-0005-0000-0000-000045860000}"/>
    <cellStyle name="Suma 2 6 2 4 9" xfId="33598" xr:uid="{00000000-0005-0000-0000-000046860000}"/>
    <cellStyle name="Suma 2 6 2 4 9 2" xfId="33599" xr:uid="{00000000-0005-0000-0000-000047860000}"/>
    <cellStyle name="Suma 2 6 2 4 9 2 2" xfId="33600" xr:uid="{00000000-0005-0000-0000-000048860000}"/>
    <cellStyle name="Suma 2 6 2 4 9 3" xfId="33601" xr:uid="{00000000-0005-0000-0000-000049860000}"/>
    <cellStyle name="Suma 2 6 2 5" xfId="33602" xr:uid="{00000000-0005-0000-0000-00004A860000}"/>
    <cellStyle name="Suma 2 6 2 5 2" xfId="33603" xr:uid="{00000000-0005-0000-0000-00004B860000}"/>
    <cellStyle name="Suma 2 6 2 5 2 2" xfId="33604" xr:uid="{00000000-0005-0000-0000-00004C860000}"/>
    <cellStyle name="Suma 2 6 2 5 2 2 2" xfId="33605" xr:uid="{00000000-0005-0000-0000-00004D860000}"/>
    <cellStyle name="Suma 2 6 2 5 2 2 2 2" xfId="33606" xr:uid="{00000000-0005-0000-0000-00004E860000}"/>
    <cellStyle name="Suma 2 6 2 5 2 2 3" xfId="33607" xr:uid="{00000000-0005-0000-0000-00004F860000}"/>
    <cellStyle name="Suma 2 6 2 5 2 3" xfId="33608" xr:uid="{00000000-0005-0000-0000-000050860000}"/>
    <cellStyle name="Suma 2 6 2 5 2 3 2" xfId="33609" xr:uid="{00000000-0005-0000-0000-000051860000}"/>
    <cellStyle name="Suma 2 6 2 5 2 3 2 2" xfId="33610" xr:uid="{00000000-0005-0000-0000-000052860000}"/>
    <cellStyle name="Suma 2 6 2 5 2 3 3" xfId="33611" xr:uid="{00000000-0005-0000-0000-000053860000}"/>
    <cellStyle name="Suma 2 6 2 5 2 4" xfId="33612" xr:uid="{00000000-0005-0000-0000-000054860000}"/>
    <cellStyle name="Suma 2 6 2 5 2 4 2" xfId="33613" xr:uid="{00000000-0005-0000-0000-000055860000}"/>
    <cellStyle name="Suma 2 6 2 5 2 4 2 2" xfId="33614" xr:uid="{00000000-0005-0000-0000-000056860000}"/>
    <cellStyle name="Suma 2 6 2 5 2 4 3" xfId="33615" xr:uid="{00000000-0005-0000-0000-000057860000}"/>
    <cellStyle name="Suma 2 6 2 5 2 5" xfId="33616" xr:uid="{00000000-0005-0000-0000-000058860000}"/>
    <cellStyle name="Suma 2 6 2 5 2 5 2" xfId="33617" xr:uid="{00000000-0005-0000-0000-000059860000}"/>
    <cellStyle name="Suma 2 6 2 5 2 6" xfId="33618" xr:uid="{00000000-0005-0000-0000-00005A860000}"/>
    <cellStyle name="Suma 2 6 2 5 2 6 2" xfId="33619" xr:uid="{00000000-0005-0000-0000-00005B860000}"/>
    <cellStyle name="Suma 2 6 2 5 2 7" xfId="33620" xr:uid="{00000000-0005-0000-0000-00005C860000}"/>
    <cellStyle name="Suma 2 6 2 5 3" xfId="33621" xr:uid="{00000000-0005-0000-0000-00005D860000}"/>
    <cellStyle name="Suma 2 6 2 5 3 2" xfId="33622" xr:uid="{00000000-0005-0000-0000-00005E860000}"/>
    <cellStyle name="Suma 2 6 2 5 3 2 2" xfId="33623" xr:uid="{00000000-0005-0000-0000-00005F860000}"/>
    <cellStyle name="Suma 2 6 2 5 3 3" xfId="33624" xr:uid="{00000000-0005-0000-0000-000060860000}"/>
    <cellStyle name="Suma 2 6 2 5 4" xfId="33625" xr:uid="{00000000-0005-0000-0000-000061860000}"/>
    <cellStyle name="Suma 2 6 2 5 4 2" xfId="33626" xr:uid="{00000000-0005-0000-0000-000062860000}"/>
    <cellStyle name="Suma 2 6 2 5 4 2 2" xfId="33627" xr:uid="{00000000-0005-0000-0000-000063860000}"/>
    <cellStyle name="Suma 2 6 2 5 4 3" xfId="33628" xr:uid="{00000000-0005-0000-0000-000064860000}"/>
    <cellStyle name="Suma 2 6 2 5 5" xfId="33629" xr:uid="{00000000-0005-0000-0000-000065860000}"/>
    <cellStyle name="Suma 2 6 2 5 5 2" xfId="33630" xr:uid="{00000000-0005-0000-0000-000066860000}"/>
    <cellStyle name="Suma 2 6 2 5 5 2 2" xfId="33631" xr:uid="{00000000-0005-0000-0000-000067860000}"/>
    <cellStyle name="Suma 2 6 2 5 5 3" xfId="33632" xr:uid="{00000000-0005-0000-0000-000068860000}"/>
    <cellStyle name="Suma 2 6 2 5 6" xfId="33633" xr:uid="{00000000-0005-0000-0000-000069860000}"/>
    <cellStyle name="Suma 2 6 2 5 6 2" xfId="33634" xr:uid="{00000000-0005-0000-0000-00006A860000}"/>
    <cellStyle name="Suma 2 6 2 5 7" xfId="33635" xr:uid="{00000000-0005-0000-0000-00006B860000}"/>
    <cellStyle name="Suma 2 6 2 5 7 2" xfId="33636" xr:uid="{00000000-0005-0000-0000-00006C860000}"/>
    <cellStyle name="Suma 2 6 2 5 8" xfId="33637" xr:uid="{00000000-0005-0000-0000-00006D860000}"/>
    <cellStyle name="Suma 2 6 2 6" xfId="33638" xr:uid="{00000000-0005-0000-0000-00006E860000}"/>
    <cellStyle name="Suma 2 6 2 6 2" xfId="33639" xr:uid="{00000000-0005-0000-0000-00006F860000}"/>
    <cellStyle name="Suma 2 6 2 6 2 2" xfId="33640" xr:uid="{00000000-0005-0000-0000-000070860000}"/>
    <cellStyle name="Suma 2 6 2 6 3" xfId="33641" xr:uid="{00000000-0005-0000-0000-000071860000}"/>
    <cellStyle name="Suma 2 6 2 7" xfId="33642" xr:uid="{00000000-0005-0000-0000-000072860000}"/>
    <cellStyle name="Suma 2 6 2 7 2" xfId="33643" xr:uid="{00000000-0005-0000-0000-000073860000}"/>
    <cellStyle name="Suma 2 6 2 7 2 2" xfId="33644" xr:uid="{00000000-0005-0000-0000-000074860000}"/>
    <cellStyle name="Suma 2 6 2 7 3" xfId="33645" xr:uid="{00000000-0005-0000-0000-000075860000}"/>
    <cellStyle name="Suma 2 6 2 8" xfId="33646" xr:uid="{00000000-0005-0000-0000-000076860000}"/>
    <cellStyle name="Suma 2 6 2 8 2" xfId="33647" xr:uid="{00000000-0005-0000-0000-000077860000}"/>
    <cellStyle name="Suma 2 6 2 8 2 2" xfId="33648" xr:uid="{00000000-0005-0000-0000-000078860000}"/>
    <cellStyle name="Suma 2 6 2 8 3" xfId="33649" xr:uid="{00000000-0005-0000-0000-000079860000}"/>
    <cellStyle name="Suma 2 6 2 9" xfId="33650" xr:uid="{00000000-0005-0000-0000-00007A860000}"/>
    <cellStyle name="Suma 2 6 2 9 2" xfId="33651" xr:uid="{00000000-0005-0000-0000-00007B860000}"/>
    <cellStyle name="Suma 2 6 2 9 2 2" xfId="33652" xr:uid="{00000000-0005-0000-0000-00007C860000}"/>
    <cellStyle name="Suma 2 6 2 9 2 2 2" xfId="33653" xr:uid="{00000000-0005-0000-0000-00007D860000}"/>
    <cellStyle name="Suma 2 6 2 9 2 3" xfId="33654" xr:uid="{00000000-0005-0000-0000-00007E860000}"/>
    <cellStyle name="Suma 2 6 2 9 3" xfId="33655" xr:uid="{00000000-0005-0000-0000-00007F860000}"/>
    <cellStyle name="Suma 2 6 2 9 3 2" xfId="33656" xr:uid="{00000000-0005-0000-0000-000080860000}"/>
    <cellStyle name="Suma 2 6 2 9 3 2 2" xfId="33657" xr:uid="{00000000-0005-0000-0000-000081860000}"/>
    <cellStyle name="Suma 2 6 2 9 3 3" xfId="33658" xr:uid="{00000000-0005-0000-0000-000082860000}"/>
    <cellStyle name="Suma 2 6 2 9 4" xfId="33659" xr:uid="{00000000-0005-0000-0000-000083860000}"/>
    <cellStyle name="Suma 2 6 2 9 4 2" xfId="33660" xr:uid="{00000000-0005-0000-0000-000084860000}"/>
    <cellStyle name="Suma 2 6 2 9 4 2 2" xfId="33661" xr:uid="{00000000-0005-0000-0000-000085860000}"/>
    <cellStyle name="Suma 2 6 2 9 4 3" xfId="33662" xr:uid="{00000000-0005-0000-0000-000086860000}"/>
    <cellStyle name="Suma 2 6 2 9 5" xfId="33663" xr:uid="{00000000-0005-0000-0000-000087860000}"/>
    <cellStyle name="Suma 2 6 2 9 5 2" xfId="33664" xr:uid="{00000000-0005-0000-0000-000088860000}"/>
    <cellStyle name="Suma 2 6 2 9 6" xfId="33665" xr:uid="{00000000-0005-0000-0000-000089860000}"/>
    <cellStyle name="Suma 2 6 2 9 6 2" xfId="33666" xr:uid="{00000000-0005-0000-0000-00008A860000}"/>
    <cellStyle name="Suma 2 6 2 9 7" xfId="33667" xr:uid="{00000000-0005-0000-0000-00008B860000}"/>
    <cellStyle name="Suma 2 6 3" xfId="33668" xr:uid="{00000000-0005-0000-0000-00008C860000}"/>
    <cellStyle name="Suma 2 6 3 10" xfId="33669" xr:uid="{00000000-0005-0000-0000-00008D860000}"/>
    <cellStyle name="Suma 2 6 3 10 2" xfId="33670" xr:uid="{00000000-0005-0000-0000-00008E860000}"/>
    <cellStyle name="Suma 2 6 3 10 2 2" xfId="33671" xr:uid="{00000000-0005-0000-0000-00008F860000}"/>
    <cellStyle name="Suma 2 6 3 10 3" xfId="33672" xr:uid="{00000000-0005-0000-0000-000090860000}"/>
    <cellStyle name="Suma 2 6 3 11" xfId="33673" xr:uid="{00000000-0005-0000-0000-000091860000}"/>
    <cellStyle name="Suma 2 6 3 11 2" xfId="33674" xr:uid="{00000000-0005-0000-0000-000092860000}"/>
    <cellStyle name="Suma 2 6 3 12" xfId="33675" xr:uid="{00000000-0005-0000-0000-000093860000}"/>
    <cellStyle name="Suma 2 6 3 12 2" xfId="33676" xr:uid="{00000000-0005-0000-0000-000094860000}"/>
    <cellStyle name="Suma 2 6 3 13" xfId="33677" xr:uid="{00000000-0005-0000-0000-000095860000}"/>
    <cellStyle name="Suma 2 6 3 2" xfId="33678" xr:uid="{00000000-0005-0000-0000-000096860000}"/>
    <cellStyle name="Suma 2 6 3 2 10" xfId="33679" xr:uid="{00000000-0005-0000-0000-000097860000}"/>
    <cellStyle name="Suma 2 6 3 2 10 2" xfId="33680" xr:uid="{00000000-0005-0000-0000-000098860000}"/>
    <cellStyle name="Suma 2 6 3 2 11" xfId="33681" xr:uid="{00000000-0005-0000-0000-000099860000}"/>
    <cellStyle name="Suma 2 6 3 2 11 2" xfId="33682" xr:uid="{00000000-0005-0000-0000-00009A860000}"/>
    <cellStyle name="Suma 2 6 3 2 12" xfId="33683" xr:uid="{00000000-0005-0000-0000-00009B860000}"/>
    <cellStyle name="Suma 2 6 3 2 2" xfId="33684" xr:uid="{00000000-0005-0000-0000-00009C860000}"/>
    <cellStyle name="Suma 2 6 3 2 2 10" xfId="33685" xr:uid="{00000000-0005-0000-0000-00009D860000}"/>
    <cellStyle name="Suma 2 6 3 2 2 10 2" xfId="33686" xr:uid="{00000000-0005-0000-0000-00009E860000}"/>
    <cellStyle name="Suma 2 6 3 2 2 11" xfId="33687" xr:uid="{00000000-0005-0000-0000-00009F860000}"/>
    <cellStyle name="Suma 2 6 3 2 2 11 2" xfId="33688" xr:uid="{00000000-0005-0000-0000-0000A0860000}"/>
    <cellStyle name="Suma 2 6 3 2 2 12" xfId="33689" xr:uid="{00000000-0005-0000-0000-0000A1860000}"/>
    <cellStyle name="Suma 2 6 3 2 2 2" xfId="33690" xr:uid="{00000000-0005-0000-0000-0000A2860000}"/>
    <cellStyle name="Suma 2 6 3 2 2 2 2" xfId="33691" xr:uid="{00000000-0005-0000-0000-0000A3860000}"/>
    <cellStyle name="Suma 2 6 3 2 2 2 2 2" xfId="33692" xr:uid="{00000000-0005-0000-0000-0000A4860000}"/>
    <cellStyle name="Suma 2 6 3 2 2 2 2 2 2" xfId="33693" xr:uid="{00000000-0005-0000-0000-0000A5860000}"/>
    <cellStyle name="Suma 2 6 3 2 2 2 2 2 2 2" xfId="33694" xr:uid="{00000000-0005-0000-0000-0000A6860000}"/>
    <cellStyle name="Suma 2 6 3 2 2 2 2 2 3" xfId="33695" xr:uid="{00000000-0005-0000-0000-0000A7860000}"/>
    <cellStyle name="Suma 2 6 3 2 2 2 2 3" xfId="33696" xr:uid="{00000000-0005-0000-0000-0000A8860000}"/>
    <cellStyle name="Suma 2 6 3 2 2 2 2 3 2" xfId="33697" xr:uid="{00000000-0005-0000-0000-0000A9860000}"/>
    <cellStyle name="Suma 2 6 3 2 2 2 2 3 2 2" xfId="33698" xr:uid="{00000000-0005-0000-0000-0000AA860000}"/>
    <cellStyle name="Suma 2 6 3 2 2 2 2 3 3" xfId="33699" xr:uid="{00000000-0005-0000-0000-0000AB860000}"/>
    <cellStyle name="Suma 2 6 3 2 2 2 2 4" xfId="33700" xr:uid="{00000000-0005-0000-0000-0000AC860000}"/>
    <cellStyle name="Suma 2 6 3 2 2 2 2 4 2" xfId="33701" xr:uid="{00000000-0005-0000-0000-0000AD860000}"/>
    <cellStyle name="Suma 2 6 3 2 2 2 2 4 2 2" xfId="33702" xr:uid="{00000000-0005-0000-0000-0000AE860000}"/>
    <cellStyle name="Suma 2 6 3 2 2 2 2 4 3" xfId="33703" xr:uid="{00000000-0005-0000-0000-0000AF860000}"/>
    <cellStyle name="Suma 2 6 3 2 2 2 2 5" xfId="33704" xr:uid="{00000000-0005-0000-0000-0000B0860000}"/>
    <cellStyle name="Suma 2 6 3 2 2 2 2 5 2" xfId="33705" xr:uid="{00000000-0005-0000-0000-0000B1860000}"/>
    <cellStyle name="Suma 2 6 3 2 2 2 2 6" xfId="33706" xr:uid="{00000000-0005-0000-0000-0000B2860000}"/>
    <cellStyle name="Suma 2 6 3 2 2 2 2 6 2" xfId="33707" xr:uid="{00000000-0005-0000-0000-0000B3860000}"/>
    <cellStyle name="Suma 2 6 3 2 2 2 2 7" xfId="33708" xr:uid="{00000000-0005-0000-0000-0000B4860000}"/>
    <cellStyle name="Suma 2 6 3 2 2 2 3" xfId="33709" xr:uid="{00000000-0005-0000-0000-0000B5860000}"/>
    <cellStyle name="Suma 2 6 3 2 2 2 3 2" xfId="33710" xr:uid="{00000000-0005-0000-0000-0000B6860000}"/>
    <cellStyle name="Suma 2 6 3 2 2 2 3 2 2" xfId="33711" xr:uid="{00000000-0005-0000-0000-0000B7860000}"/>
    <cellStyle name="Suma 2 6 3 2 2 2 3 3" xfId="33712" xr:uid="{00000000-0005-0000-0000-0000B8860000}"/>
    <cellStyle name="Suma 2 6 3 2 2 2 4" xfId="33713" xr:uid="{00000000-0005-0000-0000-0000B9860000}"/>
    <cellStyle name="Suma 2 6 3 2 2 2 4 2" xfId="33714" xr:uid="{00000000-0005-0000-0000-0000BA860000}"/>
    <cellStyle name="Suma 2 6 3 2 2 2 4 2 2" xfId="33715" xr:uid="{00000000-0005-0000-0000-0000BB860000}"/>
    <cellStyle name="Suma 2 6 3 2 2 2 4 3" xfId="33716" xr:uid="{00000000-0005-0000-0000-0000BC860000}"/>
    <cellStyle name="Suma 2 6 3 2 2 2 5" xfId="33717" xr:uid="{00000000-0005-0000-0000-0000BD860000}"/>
    <cellStyle name="Suma 2 6 3 2 2 2 5 2" xfId="33718" xr:uid="{00000000-0005-0000-0000-0000BE860000}"/>
    <cellStyle name="Suma 2 6 3 2 2 2 5 2 2" xfId="33719" xr:uid="{00000000-0005-0000-0000-0000BF860000}"/>
    <cellStyle name="Suma 2 6 3 2 2 2 5 3" xfId="33720" xr:uid="{00000000-0005-0000-0000-0000C0860000}"/>
    <cellStyle name="Suma 2 6 3 2 2 2 6" xfId="33721" xr:uid="{00000000-0005-0000-0000-0000C1860000}"/>
    <cellStyle name="Suma 2 6 3 2 2 2 6 2" xfId="33722" xr:uid="{00000000-0005-0000-0000-0000C2860000}"/>
    <cellStyle name="Suma 2 6 3 2 2 2 7" xfId="33723" xr:uid="{00000000-0005-0000-0000-0000C3860000}"/>
    <cellStyle name="Suma 2 6 3 2 2 2 7 2" xfId="33724" xr:uid="{00000000-0005-0000-0000-0000C4860000}"/>
    <cellStyle name="Suma 2 6 3 2 2 2 8" xfId="33725" xr:uid="{00000000-0005-0000-0000-0000C5860000}"/>
    <cellStyle name="Suma 2 6 3 2 2 3" xfId="33726" xr:uid="{00000000-0005-0000-0000-0000C6860000}"/>
    <cellStyle name="Suma 2 6 3 2 2 3 2" xfId="33727" xr:uid="{00000000-0005-0000-0000-0000C7860000}"/>
    <cellStyle name="Suma 2 6 3 2 2 3 2 2" xfId="33728" xr:uid="{00000000-0005-0000-0000-0000C8860000}"/>
    <cellStyle name="Suma 2 6 3 2 2 3 3" xfId="33729" xr:uid="{00000000-0005-0000-0000-0000C9860000}"/>
    <cellStyle name="Suma 2 6 3 2 2 4" xfId="33730" xr:uid="{00000000-0005-0000-0000-0000CA860000}"/>
    <cellStyle name="Suma 2 6 3 2 2 4 2" xfId="33731" xr:uid="{00000000-0005-0000-0000-0000CB860000}"/>
    <cellStyle name="Suma 2 6 3 2 2 4 2 2" xfId="33732" xr:uid="{00000000-0005-0000-0000-0000CC860000}"/>
    <cellStyle name="Suma 2 6 3 2 2 4 3" xfId="33733" xr:uid="{00000000-0005-0000-0000-0000CD860000}"/>
    <cellStyle name="Suma 2 6 3 2 2 5" xfId="33734" xr:uid="{00000000-0005-0000-0000-0000CE860000}"/>
    <cellStyle name="Suma 2 6 3 2 2 5 2" xfId="33735" xr:uid="{00000000-0005-0000-0000-0000CF860000}"/>
    <cellStyle name="Suma 2 6 3 2 2 5 2 2" xfId="33736" xr:uid="{00000000-0005-0000-0000-0000D0860000}"/>
    <cellStyle name="Suma 2 6 3 2 2 5 3" xfId="33737" xr:uid="{00000000-0005-0000-0000-0000D1860000}"/>
    <cellStyle name="Suma 2 6 3 2 2 6" xfId="33738" xr:uid="{00000000-0005-0000-0000-0000D2860000}"/>
    <cellStyle name="Suma 2 6 3 2 2 6 2" xfId="33739" xr:uid="{00000000-0005-0000-0000-0000D3860000}"/>
    <cellStyle name="Suma 2 6 3 2 2 6 2 2" xfId="33740" xr:uid="{00000000-0005-0000-0000-0000D4860000}"/>
    <cellStyle name="Suma 2 6 3 2 2 6 3" xfId="33741" xr:uid="{00000000-0005-0000-0000-0000D5860000}"/>
    <cellStyle name="Suma 2 6 3 2 2 7" xfId="33742" xr:uid="{00000000-0005-0000-0000-0000D6860000}"/>
    <cellStyle name="Suma 2 6 3 2 2 7 2" xfId="33743" xr:uid="{00000000-0005-0000-0000-0000D7860000}"/>
    <cellStyle name="Suma 2 6 3 2 2 7 2 2" xfId="33744" xr:uid="{00000000-0005-0000-0000-0000D8860000}"/>
    <cellStyle name="Suma 2 6 3 2 2 7 2 2 2" xfId="33745" xr:uid="{00000000-0005-0000-0000-0000D9860000}"/>
    <cellStyle name="Suma 2 6 3 2 2 7 2 3" xfId="33746" xr:uid="{00000000-0005-0000-0000-0000DA860000}"/>
    <cellStyle name="Suma 2 6 3 2 2 7 3" xfId="33747" xr:uid="{00000000-0005-0000-0000-0000DB860000}"/>
    <cellStyle name="Suma 2 6 3 2 2 7 3 2" xfId="33748" xr:uid="{00000000-0005-0000-0000-0000DC860000}"/>
    <cellStyle name="Suma 2 6 3 2 2 7 3 2 2" xfId="33749" xr:uid="{00000000-0005-0000-0000-0000DD860000}"/>
    <cellStyle name="Suma 2 6 3 2 2 7 3 3" xfId="33750" xr:uid="{00000000-0005-0000-0000-0000DE860000}"/>
    <cellStyle name="Suma 2 6 3 2 2 7 4" xfId="33751" xr:uid="{00000000-0005-0000-0000-0000DF860000}"/>
    <cellStyle name="Suma 2 6 3 2 2 7 4 2" xfId="33752" xr:uid="{00000000-0005-0000-0000-0000E0860000}"/>
    <cellStyle name="Suma 2 6 3 2 2 7 4 2 2" xfId="33753" xr:uid="{00000000-0005-0000-0000-0000E1860000}"/>
    <cellStyle name="Suma 2 6 3 2 2 7 4 3" xfId="33754" xr:uid="{00000000-0005-0000-0000-0000E2860000}"/>
    <cellStyle name="Suma 2 6 3 2 2 7 5" xfId="33755" xr:uid="{00000000-0005-0000-0000-0000E3860000}"/>
    <cellStyle name="Suma 2 6 3 2 2 7 5 2" xfId="33756" xr:uid="{00000000-0005-0000-0000-0000E4860000}"/>
    <cellStyle name="Suma 2 6 3 2 2 7 6" xfId="33757" xr:uid="{00000000-0005-0000-0000-0000E5860000}"/>
    <cellStyle name="Suma 2 6 3 2 2 7 6 2" xfId="33758" xr:uid="{00000000-0005-0000-0000-0000E6860000}"/>
    <cellStyle name="Suma 2 6 3 2 2 7 7" xfId="33759" xr:uid="{00000000-0005-0000-0000-0000E7860000}"/>
    <cellStyle name="Suma 2 6 3 2 2 8" xfId="33760" xr:uid="{00000000-0005-0000-0000-0000E8860000}"/>
    <cellStyle name="Suma 2 6 3 2 2 8 2" xfId="33761" xr:uid="{00000000-0005-0000-0000-0000E9860000}"/>
    <cellStyle name="Suma 2 6 3 2 2 8 2 2" xfId="33762" xr:uid="{00000000-0005-0000-0000-0000EA860000}"/>
    <cellStyle name="Suma 2 6 3 2 2 8 3" xfId="33763" xr:uid="{00000000-0005-0000-0000-0000EB860000}"/>
    <cellStyle name="Suma 2 6 3 2 2 9" xfId="33764" xr:uid="{00000000-0005-0000-0000-0000EC860000}"/>
    <cellStyle name="Suma 2 6 3 2 2 9 2" xfId="33765" xr:uid="{00000000-0005-0000-0000-0000ED860000}"/>
    <cellStyle name="Suma 2 6 3 2 2 9 2 2" xfId="33766" xr:uid="{00000000-0005-0000-0000-0000EE860000}"/>
    <cellStyle name="Suma 2 6 3 2 2 9 3" xfId="33767" xr:uid="{00000000-0005-0000-0000-0000EF860000}"/>
    <cellStyle name="Suma 2 6 3 2 3" xfId="33768" xr:uid="{00000000-0005-0000-0000-0000F0860000}"/>
    <cellStyle name="Suma 2 6 3 2 3 2" xfId="33769" xr:uid="{00000000-0005-0000-0000-0000F1860000}"/>
    <cellStyle name="Suma 2 6 3 2 3 2 2" xfId="33770" xr:uid="{00000000-0005-0000-0000-0000F2860000}"/>
    <cellStyle name="Suma 2 6 3 2 3 2 2 2" xfId="33771" xr:uid="{00000000-0005-0000-0000-0000F3860000}"/>
    <cellStyle name="Suma 2 6 3 2 3 2 2 2 2" xfId="33772" xr:uid="{00000000-0005-0000-0000-0000F4860000}"/>
    <cellStyle name="Suma 2 6 3 2 3 2 2 3" xfId="33773" xr:uid="{00000000-0005-0000-0000-0000F5860000}"/>
    <cellStyle name="Suma 2 6 3 2 3 2 3" xfId="33774" xr:uid="{00000000-0005-0000-0000-0000F6860000}"/>
    <cellStyle name="Suma 2 6 3 2 3 2 3 2" xfId="33775" xr:uid="{00000000-0005-0000-0000-0000F7860000}"/>
    <cellStyle name="Suma 2 6 3 2 3 2 3 2 2" xfId="33776" xr:uid="{00000000-0005-0000-0000-0000F8860000}"/>
    <cellStyle name="Suma 2 6 3 2 3 2 3 3" xfId="33777" xr:uid="{00000000-0005-0000-0000-0000F9860000}"/>
    <cellStyle name="Suma 2 6 3 2 3 2 4" xfId="33778" xr:uid="{00000000-0005-0000-0000-0000FA860000}"/>
    <cellStyle name="Suma 2 6 3 2 3 2 4 2" xfId="33779" xr:uid="{00000000-0005-0000-0000-0000FB860000}"/>
    <cellStyle name="Suma 2 6 3 2 3 2 4 2 2" xfId="33780" xr:uid="{00000000-0005-0000-0000-0000FC860000}"/>
    <cellStyle name="Suma 2 6 3 2 3 2 4 3" xfId="33781" xr:uid="{00000000-0005-0000-0000-0000FD860000}"/>
    <cellStyle name="Suma 2 6 3 2 3 2 5" xfId="33782" xr:uid="{00000000-0005-0000-0000-0000FE860000}"/>
    <cellStyle name="Suma 2 6 3 2 3 2 5 2" xfId="33783" xr:uid="{00000000-0005-0000-0000-0000FF860000}"/>
    <cellStyle name="Suma 2 6 3 2 3 2 6" xfId="33784" xr:uid="{00000000-0005-0000-0000-000000870000}"/>
    <cellStyle name="Suma 2 6 3 2 3 2 6 2" xfId="33785" xr:uid="{00000000-0005-0000-0000-000001870000}"/>
    <cellStyle name="Suma 2 6 3 2 3 2 7" xfId="33786" xr:uid="{00000000-0005-0000-0000-000002870000}"/>
    <cellStyle name="Suma 2 6 3 2 3 3" xfId="33787" xr:uid="{00000000-0005-0000-0000-000003870000}"/>
    <cellStyle name="Suma 2 6 3 2 3 3 2" xfId="33788" xr:uid="{00000000-0005-0000-0000-000004870000}"/>
    <cellStyle name="Suma 2 6 3 2 3 3 2 2" xfId="33789" xr:uid="{00000000-0005-0000-0000-000005870000}"/>
    <cellStyle name="Suma 2 6 3 2 3 3 3" xfId="33790" xr:uid="{00000000-0005-0000-0000-000006870000}"/>
    <cellStyle name="Suma 2 6 3 2 3 4" xfId="33791" xr:uid="{00000000-0005-0000-0000-000007870000}"/>
    <cellStyle name="Suma 2 6 3 2 3 4 2" xfId="33792" xr:uid="{00000000-0005-0000-0000-000008870000}"/>
    <cellStyle name="Suma 2 6 3 2 3 4 2 2" xfId="33793" xr:uid="{00000000-0005-0000-0000-000009870000}"/>
    <cellStyle name="Suma 2 6 3 2 3 4 3" xfId="33794" xr:uid="{00000000-0005-0000-0000-00000A870000}"/>
    <cellStyle name="Suma 2 6 3 2 3 5" xfId="33795" xr:uid="{00000000-0005-0000-0000-00000B870000}"/>
    <cellStyle name="Suma 2 6 3 2 3 5 2" xfId="33796" xr:uid="{00000000-0005-0000-0000-00000C870000}"/>
    <cellStyle name="Suma 2 6 3 2 3 5 2 2" xfId="33797" xr:uid="{00000000-0005-0000-0000-00000D870000}"/>
    <cellStyle name="Suma 2 6 3 2 3 5 3" xfId="33798" xr:uid="{00000000-0005-0000-0000-00000E870000}"/>
    <cellStyle name="Suma 2 6 3 2 3 6" xfId="33799" xr:uid="{00000000-0005-0000-0000-00000F870000}"/>
    <cellStyle name="Suma 2 6 3 2 3 6 2" xfId="33800" xr:uid="{00000000-0005-0000-0000-000010870000}"/>
    <cellStyle name="Suma 2 6 3 2 3 7" xfId="33801" xr:uid="{00000000-0005-0000-0000-000011870000}"/>
    <cellStyle name="Suma 2 6 3 2 3 7 2" xfId="33802" xr:uid="{00000000-0005-0000-0000-000012870000}"/>
    <cellStyle name="Suma 2 6 3 2 3 8" xfId="33803" xr:uid="{00000000-0005-0000-0000-000013870000}"/>
    <cellStyle name="Suma 2 6 3 2 4" xfId="33804" xr:uid="{00000000-0005-0000-0000-000014870000}"/>
    <cellStyle name="Suma 2 6 3 2 4 2" xfId="33805" xr:uid="{00000000-0005-0000-0000-000015870000}"/>
    <cellStyle name="Suma 2 6 3 2 4 2 2" xfId="33806" xr:uid="{00000000-0005-0000-0000-000016870000}"/>
    <cellStyle name="Suma 2 6 3 2 4 3" xfId="33807" xr:uid="{00000000-0005-0000-0000-000017870000}"/>
    <cellStyle name="Suma 2 6 3 2 5" xfId="33808" xr:uid="{00000000-0005-0000-0000-000018870000}"/>
    <cellStyle name="Suma 2 6 3 2 5 2" xfId="33809" xr:uid="{00000000-0005-0000-0000-000019870000}"/>
    <cellStyle name="Suma 2 6 3 2 5 2 2" xfId="33810" xr:uid="{00000000-0005-0000-0000-00001A870000}"/>
    <cellStyle name="Suma 2 6 3 2 5 3" xfId="33811" xr:uid="{00000000-0005-0000-0000-00001B870000}"/>
    <cellStyle name="Suma 2 6 3 2 6" xfId="33812" xr:uid="{00000000-0005-0000-0000-00001C870000}"/>
    <cellStyle name="Suma 2 6 3 2 6 2" xfId="33813" xr:uid="{00000000-0005-0000-0000-00001D870000}"/>
    <cellStyle name="Suma 2 6 3 2 6 2 2" xfId="33814" xr:uid="{00000000-0005-0000-0000-00001E870000}"/>
    <cellStyle name="Suma 2 6 3 2 6 3" xfId="33815" xr:uid="{00000000-0005-0000-0000-00001F870000}"/>
    <cellStyle name="Suma 2 6 3 2 7" xfId="33816" xr:uid="{00000000-0005-0000-0000-000020870000}"/>
    <cellStyle name="Suma 2 6 3 2 7 2" xfId="33817" xr:uid="{00000000-0005-0000-0000-000021870000}"/>
    <cellStyle name="Suma 2 6 3 2 7 2 2" xfId="33818" xr:uid="{00000000-0005-0000-0000-000022870000}"/>
    <cellStyle name="Suma 2 6 3 2 7 2 2 2" xfId="33819" xr:uid="{00000000-0005-0000-0000-000023870000}"/>
    <cellStyle name="Suma 2 6 3 2 7 2 3" xfId="33820" xr:uid="{00000000-0005-0000-0000-000024870000}"/>
    <cellStyle name="Suma 2 6 3 2 7 3" xfId="33821" xr:uid="{00000000-0005-0000-0000-000025870000}"/>
    <cellStyle name="Suma 2 6 3 2 7 3 2" xfId="33822" xr:uid="{00000000-0005-0000-0000-000026870000}"/>
    <cellStyle name="Suma 2 6 3 2 7 3 2 2" xfId="33823" xr:uid="{00000000-0005-0000-0000-000027870000}"/>
    <cellStyle name="Suma 2 6 3 2 7 3 3" xfId="33824" xr:uid="{00000000-0005-0000-0000-000028870000}"/>
    <cellStyle name="Suma 2 6 3 2 7 4" xfId="33825" xr:uid="{00000000-0005-0000-0000-000029870000}"/>
    <cellStyle name="Suma 2 6 3 2 7 4 2" xfId="33826" xr:uid="{00000000-0005-0000-0000-00002A870000}"/>
    <cellStyle name="Suma 2 6 3 2 7 4 2 2" xfId="33827" xr:uid="{00000000-0005-0000-0000-00002B870000}"/>
    <cellStyle name="Suma 2 6 3 2 7 4 3" xfId="33828" xr:uid="{00000000-0005-0000-0000-00002C870000}"/>
    <cellStyle name="Suma 2 6 3 2 7 5" xfId="33829" xr:uid="{00000000-0005-0000-0000-00002D870000}"/>
    <cellStyle name="Suma 2 6 3 2 7 5 2" xfId="33830" xr:uid="{00000000-0005-0000-0000-00002E870000}"/>
    <cellStyle name="Suma 2 6 3 2 7 6" xfId="33831" xr:uid="{00000000-0005-0000-0000-00002F870000}"/>
    <cellStyle name="Suma 2 6 3 2 7 6 2" xfId="33832" xr:uid="{00000000-0005-0000-0000-000030870000}"/>
    <cellStyle name="Suma 2 6 3 2 7 7" xfId="33833" xr:uid="{00000000-0005-0000-0000-000031870000}"/>
    <cellStyle name="Suma 2 6 3 2 8" xfId="33834" xr:uid="{00000000-0005-0000-0000-000032870000}"/>
    <cellStyle name="Suma 2 6 3 2 8 2" xfId="33835" xr:uid="{00000000-0005-0000-0000-000033870000}"/>
    <cellStyle name="Suma 2 6 3 2 8 2 2" xfId="33836" xr:uid="{00000000-0005-0000-0000-000034870000}"/>
    <cellStyle name="Suma 2 6 3 2 8 3" xfId="33837" xr:uid="{00000000-0005-0000-0000-000035870000}"/>
    <cellStyle name="Suma 2 6 3 2 9" xfId="33838" xr:uid="{00000000-0005-0000-0000-000036870000}"/>
    <cellStyle name="Suma 2 6 3 2 9 2" xfId="33839" xr:uid="{00000000-0005-0000-0000-000037870000}"/>
    <cellStyle name="Suma 2 6 3 2 9 2 2" xfId="33840" xr:uid="{00000000-0005-0000-0000-000038870000}"/>
    <cellStyle name="Suma 2 6 3 2 9 3" xfId="33841" xr:uid="{00000000-0005-0000-0000-000039870000}"/>
    <cellStyle name="Suma 2 6 3 3" xfId="33842" xr:uid="{00000000-0005-0000-0000-00003A870000}"/>
    <cellStyle name="Suma 2 6 3 3 2" xfId="33843" xr:uid="{00000000-0005-0000-0000-00003B870000}"/>
    <cellStyle name="Suma 2 6 3 3 2 2" xfId="33844" xr:uid="{00000000-0005-0000-0000-00003C870000}"/>
    <cellStyle name="Suma 2 6 3 3 2 2 2" xfId="33845" xr:uid="{00000000-0005-0000-0000-00003D870000}"/>
    <cellStyle name="Suma 2 6 3 3 2 2 2 2" xfId="33846" xr:uid="{00000000-0005-0000-0000-00003E870000}"/>
    <cellStyle name="Suma 2 6 3 3 2 2 3" xfId="33847" xr:uid="{00000000-0005-0000-0000-00003F870000}"/>
    <cellStyle name="Suma 2 6 3 3 2 3" xfId="33848" xr:uid="{00000000-0005-0000-0000-000040870000}"/>
    <cellStyle name="Suma 2 6 3 3 2 3 2" xfId="33849" xr:uid="{00000000-0005-0000-0000-000041870000}"/>
    <cellStyle name="Suma 2 6 3 3 2 3 2 2" xfId="33850" xr:uid="{00000000-0005-0000-0000-000042870000}"/>
    <cellStyle name="Suma 2 6 3 3 2 3 3" xfId="33851" xr:uid="{00000000-0005-0000-0000-000043870000}"/>
    <cellStyle name="Suma 2 6 3 3 2 4" xfId="33852" xr:uid="{00000000-0005-0000-0000-000044870000}"/>
    <cellStyle name="Suma 2 6 3 3 2 4 2" xfId="33853" xr:uid="{00000000-0005-0000-0000-000045870000}"/>
    <cellStyle name="Suma 2 6 3 3 2 4 2 2" xfId="33854" xr:uid="{00000000-0005-0000-0000-000046870000}"/>
    <cellStyle name="Suma 2 6 3 3 2 4 3" xfId="33855" xr:uid="{00000000-0005-0000-0000-000047870000}"/>
    <cellStyle name="Suma 2 6 3 3 2 5" xfId="33856" xr:uid="{00000000-0005-0000-0000-000048870000}"/>
    <cellStyle name="Suma 2 6 3 3 2 5 2" xfId="33857" xr:uid="{00000000-0005-0000-0000-000049870000}"/>
    <cellStyle name="Suma 2 6 3 3 2 6" xfId="33858" xr:uid="{00000000-0005-0000-0000-00004A870000}"/>
    <cellStyle name="Suma 2 6 3 3 2 6 2" xfId="33859" xr:uid="{00000000-0005-0000-0000-00004B870000}"/>
    <cellStyle name="Suma 2 6 3 3 2 7" xfId="33860" xr:uid="{00000000-0005-0000-0000-00004C870000}"/>
    <cellStyle name="Suma 2 6 3 3 3" xfId="33861" xr:uid="{00000000-0005-0000-0000-00004D870000}"/>
    <cellStyle name="Suma 2 6 3 3 3 2" xfId="33862" xr:uid="{00000000-0005-0000-0000-00004E870000}"/>
    <cellStyle name="Suma 2 6 3 3 3 2 2" xfId="33863" xr:uid="{00000000-0005-0000-0000-00004F870000}"/>
    <cellStyle name="Suma 2 6 3 3 3 3" xfId="33864" xr:uid="{00000000-0005-0000-0000-000050870000}"/>
    <cellStyle name="Suma 2 6 3 3 4" xfId="33865" xr:uid="{00000000-0005-0000-0000-000051870000}"/>
    <cellStyle name="Suma 2 6 3 3 4 2" xfId="33866" xr:uid="{00000000-0005-0000-0000-000052870000}"/>
    <cellStyle name="Suma 2 6 3 3 4 2 2" xfId="33867" xr:uid="{00000000-0005-0000-0000-000053870000}"/>
    <cellStyle name="Suma 2 6 3 3 4 3" xfId="33868" xr:uid="{00000000-0005-0000-0000-000054870000}"/>
    <cellStyle name="Suma 2 6 3 3 5" xfId="33869" xr:uid="{00000000-0005-0000-0000-000055870000}"/>
    <cellStyle name="Suma 2 6 3 3 5 2" xfId="33870" xr:uid="{00000000-0005-0000-0000-000056870000}"/>
    <cellStyle name="Suma 2 6 3 3 5 2 2" xfId="33871" xr:uid="{00000000-0005-0000-0000-000057870000}"/>
    <cellStyle name="Suma 2 6 3 3 5 3" xfId="33872" xr:uid="{00000000-0005-0000-0000-000058870000}"/>
    <cellStyle name="Suma 2 6 3 3 6" xfId="33873" xr:uid="{00000000-0005-0000-0000-000059870000}"/>
    <cellStyle name="Suma 2 6 3 3 6 2" xfId="33874" xr:uid="{00000000-0005-0000-0000-00005A870000}"/>
    <cellStyle name="Suma 2 6 3 3 7" xfId="33875" xr:uid="{00000000-0005-0000-0000-00005B870000}"/>
    <cellStyle name="Suma 2 6 3 3 7 2" xfId="33876" xr:uid="{00000000-0005-0000-0000-00005C870000}"/>
    <cellStyle name="Suma 2 6 3 3 8" xfId="33877" xr:uid="{00000000-0005-0000-0000-00005D870000}"/>
    <cellStyle name="Suma 2 6 3 4" xfId="33878" xr:uid="{00000000-0005-0000-0000-00005E870000}"/>
    <cellStyle name="Suma 2 6 3 4 2" xfId="33879" xr:uid="{00000000-0005-0000-0000-00005F870000}"/>
    <cellStyle name="Suma 2 6 3 4 2 2" xfId="33880" xr:uid="{00000000-0005-0000-0000-000060870000}"/>
    <cellStyle name="Suma 2 6 3 4 3" xfId="33881" xr:uid="{00000000-0005-0000-0000-000061870000}"/>
    <cellStyle name="Suma 2 6 3 5" xfId="33882" xr:uid="{00000000-0005-0000-0000-000062870000}"/>
    <cellStyle name="Suma 2 6 3 5 2" xfId="33883" xr:uid="{00000000-0005-0000-0000-000063870000}"/>
    <cellStyle name="Suma 2 6 3 5 2 2" xfId="33884" xr:uid="{00000000-0005-0000-0000-000064870000}"/>
    <cellStyle name="Suma 2 6 3 5 3" xfId="33885" xr:uid="{00000000-0005-0000-0000-000065870000}"/>
    <cellStyle name="Suma 2 6 3 6" xfId="33886" xr:uid="{00000000-0005-0000-0000-000066870000}"/>
    <cellStyle name="Suma 2 6 3 6 2" xfId="33887" xr:uid="{00000000-0005-0000-0000-000067870000}"/>
    <cellStyle name="Suma 2 6 3 6 2 2" xfId="33888" xr:uid="{00000000-0005-0000-0000-000068870000}"/>
    <cellStyle name="Suma 2 6 3 6 3" xfId="33889" xr:uid="{00000000-0005-0000-0000-000069870000}"/>
    <cellStyle name="Suma 2 6 3 7" xfId="33890" xr:uid="{00000000-0005-0000-0000-00006A870000}"/>
    <cellStyle name="Suma 2 6 3 7 2" xfId="33891" xr:uid="{00000000-0005-0000-0000-00006B870000}"/>
    <cellStyle name="Suma 2 6 3 7 2 2" xfId="33892" xr:uid="{00000000-0005-0000-0000-00006C870000}"/>
    <cellStyle name="Suma 2 6 3 7 3" xfId="33893" xr:uid="{00000000-0005-0000-0000-00006D870000}"/>
    <cellStyle name="Suma 2 6 3 8" xfId="33894" xr:uid="{00000000-0005-0000-0000-00006E870000}"/>
    <cellStyle name="Suma 2 6 3 8 2" xfId="33895" xr:uid="{00000000-0005-0000-0000-00006F870000}"/>
    <cellStyle name="Suma 2 6 3 8 2 2" xfId="33896" xr:uid="{00000000-0005-0000-0000-000070870000}"/>
    <cellStyle name="Suma 2 6 3 8 2 2 2" xfId="33897" xr:uid="{00000000-0005-0000-0000-000071870000}"/>
    <cellStyle name="Suma 2 6 3 8 2 3" xfId="33898" xr:uid="{00000000-0005-0000-0000-000072870000}"/>
    <cellStyle name="Suma 2 6 3 8 3" xfId="33899" xr:uid="{00000000-0005-0000-0000-000073870000}"/>
    <cellStyle name="Suma 2 6 3 8 3 2" xfId="33900" xr:uid="{00000000-0005-0000-0000-000074870000}"/>
    <cellStyle name="Suma 2 6 3 8 3 2 2" xfId="33901" xr:uid="{00000000-0005-0000-0000-000075870000}"/>
    <cellStyle name="Suma 2 6 3 8 3 3" xfId="33902" xr:uid="{00000000-0005-0000-0000-000076870000}"/>
    <cellStyle name="Suma 2 6 3 8 4" xfId="33903" xr:uid="{00000000-0005-0000-0000-000077870000}"/>
    <cellStyle name="Suma 2 6 3 8 4 2" xfId="33904" xr:uid="{00000000-0005-0000-0000-000078870000}"/>
    <cellStyle name="Suma 2 6 3 8 4 2 2" xfId="33905" xr:uid="{00000000-0005-0000-0000-000079870000}"/>
    <cellStyle name="Suma 2 6 3 8 4 3" xfId="33906" xr:uid="{00000000-0005-0000-0000-00007A870000}"/>
    <cellStyle name="Suma 2 6 3 8 5" xfId="33907" xr:uid="{00000000-0005-0000-0000-00007B870000}"/>
    <cellStyle name="Suma 2 6 3 8 5 2" xfId="33908" xr:uid="{00000000-0005-0000-0000-00007C870000}"/>
    <cellStyle name="Suma 2 6 3 8 6" xfId="33909" xr:uid="{00000000-0005-0000-0000-00007D870000}"/>
    <cellStyle name="Suma 2 6 3 8 6 2" xfId="33910" xr:uid="{00000000-0005-0000-0000-00007E870000}"/>
    <cellStyle name="Suma 2 6 3 8 7" xfId="33911" xr:uid="{00000000-0005-0000-0000-00007F870000}"/>
    <cellStyle name="Suma 2 6 3 9" xfId="33912" xr:uid="{00000000-0005-0000-0000-000080870000}"/>
    <cellStyle name="Suma 2 6 3 9 2" xfId="33913" xr:uid="{00000000-0005-0000-0000-000081870000}"/>
    <cellStyle name="Suma 2 6 3 9 2 2" xfId="33914" xr:uid="{00000000-0005-0000-0000-000082870000}"/>
    <cellStyle name="Suma 2 6 3 9 3" xfId="33915" xr:uid="{00000000-0005-0000-0000-000083870000}"/>
    <cellStyle name="Suma 2 6 4" xfId="33916" xr:uid="{00000000-0005-0000-0000-000084870000}"/>
    <cellStyle name="Suma 2 6 4 10" xfId="33917" xr:uid="{00000000-0005-0000-0000-000085870000}"/>
    <cellStyle name="Suma 2 6 4 10 2" xfId="33918" xr:uid="{00000000-0005-0000-0000-000086870000}"/>
    <cellStyle name="Suma 2 6 4 11" xfId="33919" xr:uid="{00000000-0005-0000-0000-000087870000}"/>
    <cellStyle name="Suma 2 6 4 11 2" xfId="33920" xr:uid="{00000000-0005-0000-0000-000088870000}"/>
    <cellStyle name="Suma 2 6 4 12" xfId="33921" xr:uid="{00000000-0005-0000-0000-000089870000}"/>
    <cellStyle name="Suma 2 6 4 2" xfId="33922" xr:uid="{00000000-0005-0000-0000-00008A870000}"/>
    <cellStyle name="Suma 2 6 4 2 2" xfId="33923" xr:uid="{00000000-0005-0000-0000-00008B870000}"/>
    <cellStyle name="Suma 2 6 4 2 2 2" xfId="33924" xr:uid="{00000000-0005-0000-0000-00008C870000}"/>
    <cellStyle name="Suma 2 6 4 2 2 2 2" xfId="33925" xr:uid="{00000000-0005-0000-0000-00008D870000}"/>
    <cellStyle name="Suma 2 6 4 2 2 2 2 2" xfId="33926" xr:uid="{00000000-0005-0000-0000-00008E870000}"/>
    <cellStyle name="Suma 2 6 4 2 2 2 3" xfId="33927" xr:uid="{00000000-0005-0000-0000-00008F870000}"/>
    <cellStyle name="Suma 2 6 4 2 2 3" xfId="33928" xr:uid="{00000000-0005-0000-0000-000090870000}"/>
    <cellStyle name="Suma 2 6 4 2 2 3 2" xfId="33929" xr:uid="{00000000-0005-0000-0000-000091870000}"/>
    <cellStyle name="Suma 2 6 4 2 2 3 2 2" xfId="33930" xr:uid="{00000000-0005-0000-0000-000092870000}"/>
    <cellStyle name="Suma 2 6 4 2 2 3 3" xfId="33931" xr:uid="{00000000-0005-0000-0000-000093870000}"/>
    <cellStyle name="Suma 2 6 4 2 2 4" xfId="33932" xr:uid="{00000000-0005-0000-0000-000094870000}"/>
    <cellStyle name="Suma 2 6 4 2 2 4 2" xfId="33933" xr:uid="{00000000-0005-0000-0000-000095870000}"/>
    <cellStyle name="Suma 2 6 4 2 2 4 2 2" xfId="33934" xr:uid="{00000000-0005-0000-0000-000096870000}"/>
    <cellStyle name="Suma 2 6 4 2 2 4 3" xfId="33935" xr:uid="{00000000-0005-0000-0000-000097870000}"/>
    <cellStyle name="Suma 2 6 4 2 2 5" xfId="33936" xr:uid="{00000000-0005-0000-0000-000098870000}"/>
    <cellStyle name="Suma 2 6 4 2 2 5 2" xfId="33937" xr:uid="{00000000-0005-0000-0000-000099870000}"/>
    <cellStyle name="Suma 2 6 4 2 2 6" xfId="33938" xr:uid="{00000000-0005-0000-0000-00009A870000}"/>
    <cellStyle name="Suma 2 6 4 2 2 6 2" xfId="33939" xr:uid="{00000000-0005-0000-0000-00009B870000}"/>
    <cellStyle name="Suma 2 6 4 2 2 7" xfId="33940" xr:uid="{00000000-0005-0000-0000-00009C870000}"/>
    <cellStyle name="Suma 2 6 4 2 3" xfId="33941" xr:uid="{00000000-0005-0000-0000-00009D870000}"/>
    <cellStyle name="Suma 2 6 4 2 3 2" xfId="33942" xr:uid="{00000000-0005-0000-0000-00009E870000}"/>
    <cellStyle name="Suma 2 6 4 2 3 2 2" xfId="33943" xr:uid="{00000000-0005-0000-0000-00009F870000}"/>
    <cellStyle name="Suma 2 6 4 2 3 3" xfId="33944" xr:uid="{00000000-0005-0000-0000-0000A0870000}"/>
    <cellStyle name="Suma 2 6 4 2 4" xfId="33945" xr:uid="{00000000-0005-0000-0000-0000A1870000}"/>
    <cellStyle name="Suma 2 6 4 2 4 2" xfId="33946" xr:uid="{00000000-0005-0000-0000-0000A2870000}"/>
    <cellStyle name="Suma 2 6 4 2 4 2 2" xfId="33947" xr:uid="{00000000-0005-0000-0000-0000A3870000}"/>
    <cellStyle name="Suma 2 6 4 2 4 3" xfId="33948" xr:uid="{00000000-0005-0000-0000-0000A4870000}"/>
    <cellStyle name="Suma 2 6 4 2 5" xfId="33949" xr:uid="{00000000-0005-0000-0000-0000A5870000}"/>
    <cellStyle name="Suma 2 6 4 2 5 2" xfId="33950" xr:uid="{00000000-0005-0000-0000-0000A6870000}"/>
    <cellStyle name="Suma 2 6 4 2 5 2 2" xfId="33951" xr:uid="{00000000-0005-0000-0000-0000A7870000}"/>
    <cellStyle name="Suma 2 6 4 2 5 3" xfId="33952" xr:uid="{00000000-0005-0000-0000-0000A8870000}"/>
    <cellStyle name="Suma 2 6 4 2 6" xfId="33953" xr:uid="{00000000-0005-0000-0000-0000A9870000}"/>
    <cellStyle name="Suma 2 6 4 2 6 2" xfId="33954" xr:uid="{00000000-0005-0000-0000-0000AA870000}"/>
    <cellStyle name="Suma 2 6 4 2 7" xfId="33955" xr:uid="{00000000-0005-0000-0000-0000AB870000}"/>
    <cellStyle name="Suma 2 6 4 2 7 2" xfId="33956" xr:uid="{00000000-0005-0000-0000-0000AC870000}"/>
    <cellStyle name="Suma 2 6 4 2 8" xfId="33957" xr:uid="{00000000-0005-0000-0000-0000AD870000}"/>
    <cellStyle name="Suma 2 6 4 3" xfId="33958" xr:uid="{00000000-0005-0000-0000-0000AE870000}"/>
    <cellStyle name="Suma 2 6 4 3 2" xfId="33959" xr:uid="{00000000-0005-0000-0000-0000AF870000}"/>
    <cellStyle name="Suma 2 6 4 3 2 2" xfId="33960" xr:uid="{00000000-0005-0000-0000-0000B0870000}"/>
    <cellStyle name="Suma 2 6 4 3 3" xfId="33961" xr:uid="{00000000-0005-0000-0000-0000B1870000}"/>
    <cellStyle name="Suma 2 6 4 4" xfId="33962" xr:uid="{00000000-0005-0000-0000-0000B2870000}"/>
    <cellStyle name="Suma 2 6 4 4 2" xfId="33963" xr:uid="{00000000-0005-0000-0000-0000B3870000}"/>
    <cellStyle name="Suma 2 6 4 4 2 2" xfId="33964" xr:uid="{00000000-0005-0000-0000-0000B4870000}"/>
    <cellStyle name="Suma 2 6 4 4 3" xfId="33965" xr:uid="{00000000-0005-0000-0000-0000B5870000}"/>
    <cellStyle name="Suma 2 6 4 5" xfId="33966" xr:uid="{00000000-0005-0000-0000-0000B6870000}"/>
    <cellStyle name="Suma 2 6 4 5 2" xfId="33967" xr:uid="{00000000-0005-0000-0000-0000B7870000}"/>
    <cellStyle name="Suma 2 6 4 5 2 2" xfId="33968" xr:uid="{00000000-0005-0000-0000-0000B8870000}"/>
    <cellStyle name="Suma 2 6 4 5 3" xfId="33969" xr:uid="{00000000-0005-0000-0000-0000B9870000}"/>
    <cellStyle name="Suma 2 6 4 6" xfId="33970" xr:uid="{00000000-0005-0000-0000-0000BA870000}"/>
    <cellStyle name="Suma 2 6 4 6 2" xfId="33971" xr:uid="{00000000-0005-0000-0000-0000BB870000}"/>
    <cellStyle name="Suma 2 6 4 6 2 2" xfId="33972" xr:uid="{00000000-0005-0000-0000-0000BC870000}"/>
    <cellStyle name="Suma 2 6 4 6 3" xfId="33973" xr:uid="{00000000-0005-0000-0000-0000BD870000}"/>
    <cellStyle name="Suma 2 6 4 7" xfId="33974" xr:uid="{00000000-0005-0000-0000-0000BE870000}"/>
    <cellStyle name="Suma 2 6 4 7 2" xfId="33975" xr:uid="{00000000-0005-0000-0000-0000BF870000}"/>
    <cellStyle name="Suma 2 6 4 7 2 2" xfId="33976" xr:uid="{00000000-0005-0000-0000-0000C0870000}"/>
    <cellStyle name="Suma 2 6 4 7 2 2 2" xfId="33977" xr:uid="{00000000-0005-0000-0000-0000C1870000}"/>
    <cellStyle name="Suma 2 6 4 7 2 3" xfId="33978" xr:uid="{00000000-0005-0000-0000-0000C2870000}"/>
    <cellStyle name="Suma 2 6 4 7 3" xfId="33979" xr:uid="{00000000-0005-0000-0000-0000C3870000}"/>
    <cellStyle name="Suma 2 6 4 7 3 2" xfId="33980" xr:uid="{00000000-0005-0000-0000-0000C4870000}"/>
    <cellStyle name="Suma 2 6 4 7 3 2 2" xfId="33981" xr:uid="{00000000-0005-0000-0000-0000C5870000}"/>
    <cellStyle name="Suma 2 6 4 7 3 3" xfId="33982" xr:uid="{00000000-0005-0000-0000-0000C6870000}"/>
    <cellStyle name="Suma 2 6 4 7 4" xfId="33983" xr:uid="{00000000-0005-0000-0000-0000C7870000}"/>
    <cellStyle name="Suma 2 6 4 7 4 2" xfId="33984" xr:uid="{00000000-0005-0000-0000-0000C8870000}"/>
    <cellStyle name="Suma 2 6 4 7 4 2 2" xfId="33985" xr:uid="{00000000-0005-0000-0000-0000C9870000}"/>
    <cellStyle name="Suma 2 6 4 7 4 3" xfId="33986" xr:uid="{00000000-0005-0000-0000-0000CA870000}"/>
    <cellStyle name="Suma 2 6 4 7 5" xfId="33987" xr:uid="{00000000-0005-0000-0000-0000CB870000}"/>
    <cellStyle name="Suma 2 6 4 7 5 2" xfId="33988" xr:uid="{00000000-0005-0000-0000-0000CC870000}"/>
    <cellStyle name="Suma 2 6 4 7 6" xfId="33989" xr:uid="{00000000-0005-0000-0000-0000CD870000}"/>
    <cellStyle name="Suma 2 6 4 7 6 2" xfId="33990" xr:uid="{00000000-0005-0000-0000-0000CE870000}"/>
    <cellStyle name="Suma 2 6 4 7 7" xfId="33991" xr:uid="{00000000-0005-0000-0000-0000CF870000}"/>
    <cellStyle name="Suma 2 6 4 8" xfId="33992" xr:uid="{00000000-0005-0000-0000-0000D0870000}"/>
    <cellStyle name="Suma 2 6 4 8 2" xfId="33993" xr:uid="{00000000-0005-0000-0000-0000D1870000}"/>
    <cellStyle name="Suma 2 6 4 8 2 2" xfId="33994" xr:uid="{00000000-0005-0000-0000-0000D2870000}"/>
    <cellStyle name="Suma 2 6 4 8 3" xfId="33995" xr:uid="{00000000-0005-0000-0000-0000D3870000}"/>
    <cellStyle name="Suma 2 6 4 9" xfId="33996" xr:uid="{00000000-0005-0000-0000-0000D4870000}"/>
    <cellStyle name="Suma 2 6 4 9 2" xfId="33997" xr:uid="{00000000-0005-0000-0000-0000D5870000}"/>
    <cellStyle name="Suma 2 6 4 9 2 2" xfId="33998" xr:uid="{00000000-0005-0000-0000-0000D6870000}"/>
    <cellStyle name="Suma 2 6 4 9 3" xfId="33999" xr:uid="{00000000-0005-0000-0000-0000D7870000}"/>
    <cellStyle name="Suma 2 6 5" xfId="34000" xr:uid="{00000000-0005-0000-0000-0000D8870000}"/>
    <cellStyle name="Suma 2 6 5 2" xfId="34001" xr:uid="{00000000-0005-0000-0000-0000D9870000}"/>
    <cellStyle name="Suma 2 6 5 2 2" xfId="34002" xr:uid="{00000000-0005-0000-0000-0000DA870000}"/>
    <cellStyle name="Suma 2 6 5 2 2 2" xfId="34003" xr:uid="{00000000-0005-0000-0000-0000DB870000}"/>
    <cellStyle name="Suma 2 6 5 2 2 2 2" xfId="34004" xr:uid="{00000000-0005-0000-0000-0000DC870000}"/>
    <cellStyle name="Suma 2 6 5 2 2 3" xfId="34005" xr:uid="{00000000-0005-0000-0000-0000DD870000}"/>
    <cellStyle name="Suma 2 6 5 2 3" xfId="34006" xr:uid="{00000000-0005-0000-0000-0000DE870000}"/>
    <cellStyle name="Suma 2 6 5 2 3 2" xfId="34007" xr:uid="{00000000-0005-0000-0000-0000DF870000}"/>
    <cellStyle name="Suma 2 6 5 2 3 2 2" xfId="34008" xr:uid="{00000000-0005-0000-0000-0000E0870000}"/>
    <cellStyle name="Suma 2 6 5 2 3 3" xfId="34009" xr:uid="{00000000-0005-0000-0000-0000E1870000}"/>
    <cellStyle name="Suma 2 6 5 2 4" xfId="34010" xr:uid="{00000000-0005-0000-0000-0000E2870000}"/>
    <cellStyle name="Suma 2 6 5 2 4 2" xfId="34011" xr:uid="{00000000-0005-0000-0000-0000E3870000}"/>
    <cellStyle name="Suma 2 6 5 2 4 2 2" xfId="34012" xr:uid="{00000000-0005-0000-0000-0000E4870000}"/>
    <cellStyle name="Suma 2 6 5 2 4 3" xfId="34013" xr:uid="{00000000-0005-0000-0000-0000E5870000}"/>
    <cellStyle name="Suma 2 6 5 2 5" xfId="34014" xr:uid="{00000000-0005-0000-0000-0000E6870000}"/>
    <cellStyle name="Suma 2 6 5 2 5 2" xfId="34015" xr:uid="{00000000-0005-0000-0000-0000E7870000}"/>
    <cellStyle name="Suma 2 6 5 2 6" xfId="34016" xr:uid="{00000000-0005-0000-0000-0000E8870000}"/>
    <cellStyle name="Suma 2 6 5 2 6 2" xfId="34017" xr:uid="{00000000-0005-0000-0000-0000E9870000}"/>
    <cellStyle name="Suma 2 6 5 2 7" xfId="34018" xr:uid="{00000000-0005-0000-0000-0000EA870000}"/>
    <cellStyle name="Suma 2 6 5 3" xfId="34019" xr:uid="{00000000-0005-0000-0000-0000EB870000}"/>
    <cellStyle name="Suma 2 6 5 3 2" xfId="34020" xr:uid="{00000000-0005-0000-0000-0000EC870000}"/>
    <cellStyle name="Suma 2 6 5 3 2 2" xfId="34021" xr:uid="{00000000-0005-0000-0000-0000ED870000}"/>
    <cellStyle name="Suma 2 6 5 3 3" xfId="34022" xr:uid="{00000000-0005-0000-0000-0000EE870000}"/>
    <cellStyle name="Suma 2 6 5 4" xfId="34023" xr:uid="{00000000-0005-0000-0000-0000EF870000}"/>
    <cellStyle name="Suma 2 6 5 4 2" xfId="34024" xr:uid="{00000000-0005-0000-0000-0000F0870000}"/>
    <cellStyle name="Suma 2 6 5 4 2 2" xfId="34025" xr:uid="{00000000-0005-0000-0000-0000F1870000}"/>
    <cellStyle name="Suma 2 6 5 4 3" xfId="34026" xr:uid="{00000000-0005-0000-0000-0000F2870000}"/>
    <cellStyle name="Suma 2 6 5 5" xfId="34027" xr:uid="{00000000-0005-0000-0000-0000F3870000}"/>
    <cellStyle name="Suma 2 6 5 5 2" xfId="34028" xr:uid="{00000000-0005-0000-0000-0000F4870000}"/>
    <cellStyle name="Suma 2 6 5 5 2 2" xfId="34029" xr:uid="{00000000-0005-0000-0000-0000F5870000}"/>
    <cellStyle name="Suma 2 6 5 5 3" xfId="34030" xr:uid="{00000000-0005-0000-0000-0000F6870000}"/>
    <cellStyle name="Suma 2 6 5 6" xfId="34031" xr:uid="{00000000-0005-0000-0000-0000F7870000}"/>
    <cellStyle name="Suma 2 6 5 6 2" xfId="34032" xr:uid="{00000000-0005-0000-0000-0000F8870000}"/>
    <cellStyle name="Suma 2 6 5 7" xfId="34033" xr:uid="{00000000-0005-0000-0000-0000F9870000}"/>
    <cellStyle name="Suma 2 6 5 7 2" xfId="34034" xr:uid="{00000000-0005-0000-0000-0000FA870000}"/>
    <cellStyle name="Suma 2 6 5 8" xfId="34035" xr:uid="{00000000-0005-0000-0000-0000FB870000}"/>
    <cellStyle name="Suma 2 6 6" xfId="34036" xr:uid="{00000000-0005-0000-0000-0000FC870000}"/>
    <cellStyle name="Suma 2 6 6 2" xfId="34037" xr:uid="{00000000-0005-0000-0000-0000FD870000}"/>
    <cellStyle name="Suma 2 6 6 2 2" xfId="34038" xr:uid="{00000000-0005-0000-0000-0000FE870000}"/>
    <cellStyle name="Suma 2 6 6 3" xfId="34039" xr:uid="{00000000-0005-0000-0000-0000FF870000}"/>
    <cellStyle name="Suma 2 6 7" xfId="34040" xr:uid="{00000000-0005-0000-0000-000000880000}"/>
    <cellStyle name="Suma 2 6 7 2" xfId="34041" xr:uid="{00000000-0005-0000-0000-000001880000}"/>
    <cellStyle name="Suma 2 6 7 2 2" xfId="34042" xr:uid="{00000000-0005-0000-0000-000002880000}"/>
    <cellStyle name="Suma 2 6 7 3" xfId="34043" xr:uid="{00000000-0005-0000-0000-000003880000}"/>
    <cellStyle name="Suma 2 6 8" xfId="34044" xr:uid="{00000000-0005-0000-0000-000004880000}"/>
    <cellStyle name="Suma 2 6 8 2" xfId="34045" xr:uid="{00000000-0005-0000-0000-000005880000}"/>
    <cellStyle name="Suma 2 6 8 2 2" xfId="34046" xr:uid="{00000000-0005-0000-0000-000006880000}"/>
    <cellStyle name="Suma 2 6 8 3" xfId="34047" xr:uid="{00000000-0005-0000-0000-000007880000}"/>
    <cellStyle name="Suma 2 6 9" xfId="34048" xr:uid="{00000000-0005-0000-0000-000008880000}"/>
    <cellStyle name="Suma 2 6 9 2" xfId="34049" xr:uid="{00000000-0005-0000-0000-000009880000}"/>
    <cellStyle name="Suma 2 6 9 2 2" xfId="34050" xr:uid="{00000000-0005-0000-0000-00000A880000}"/>
    <cellStyle name="Suma 2 6 9 2 2 2" xfId="34051" xr:uid="{00000000-0005-0000-0000-00000B880000}"/>
    <cellStyle name="Suma 2 6 9 2 3" xfId="34052" xr:uid="{00000000-0005-0000-0000-00000C880000}"/>
    <cellStyle name="Suma 2 6 9 3" xfId="34053" xr:uid="{00000000-0005-0000-0000-00000D880000}"/>
    <cellStyle name="Suma 2 6 9 3 2" xfId="34054" xr:uid="{00000000-0005-0000-0000-00000E880000}"/>
    <cellStyle name="Suma 2 6 9 3 2 2" xfId="34055" xr:uid="{00000000-0005-0000-0000-00000F880000}"/>
    <cellStyle name="Suma 2 6 9 3 3" xfId="34056" xr:uid="{00000000-0005-0000-0000-000010880000}"/>
    <cellStyle name="Suma 2 6 9 4" xfId="34057" xr:uid="{00000000-0005-0000-0000-000011880000}"/>
    <cellStyle name="Suma 2 6 9 4 2" xfId="34058" xr:uid="{00000000-0005-0000-0000-000012880000}"/>
    <cellStyle name="Suma 2 6 9 4 2 2" xfId="34059" xr:uid="{00000000-0005-0000-0000-000013880000}"/>
    <cellStyle name="Suma 2 6 9 4 3" xfId="34060" xr:uid="{00000000-0005-0000-0000-000014880000}"/>
    <cellStyle name="Suma 2 6 9 5" xfId="34061" xr:uid="{00000000-0005-0000-0000-000015880000}"/>
    <cellStyle name="Suma 2 6 9 5 2" xfId="34062" xr:uid="{00000000-0005-0000-0000-000016880000}"/>
    <cellStyle name="Suma 2 6 9 6" xfId="34063" xr:uid="{00000000-0005-0000-0000-000017880000}"/>
    <cellStyle name="Suma 2 6 9 6 2" xfId="34064" xr:uid="{00000000-0005-0000-0000-000018880000}"/>
    <cellStyle name="Suma 2 6 9 7" xfId="34065" xr:uid="{00000000-0005-0000-0000-000019880000}"/>
    <cellStyle name="Suma 2 7" xfId="34066" xr:uid="{00000000-0005-0000-0000-00001A880000}"/>
    <cellStyle name="Suma 2 7 2" xfId="34067" xr:uid="{00000000-0005-0000-0000-00001B880000}"/>
    <cellStyle name="Suma 2 7 2 2" xfId="34068" xr:uid="{00000000-0005-0000-0000-00001C880000}"/>
    <cellStyle name="Suma 2 7 3" xfId="34069" xr:uid="{00000000-0005-0000-0000-00001D880000}"/>
    <cellStyle name="Suma 2 8" xfId="34070" xr:uid="{00000000-0005-0000-0000-00001E880000}"/>
    <cellStyle name="Suma 2 8 2" xfId="34071" xr:uid="{00000000-0005-0000-0000-00001F880000}"/>
    <cellStyle name="Suma 2 8 2 2" xfId="34072" xr:uid="{00000000-0005-0000-0000-000020880000}"/>
    <cellStyle name="Suma 2 8 3" xfId="34073" xr:uid="{00000000-0005-0000-0000-000021880000}"/>
    <cellStyle name="Suma 2 9" xfId="34074" xr:uid="{00000000-0005-0000-0000-000022880000}"/>
    <cellStyle name="Suma 2 9 2" xfId="34075" xr:uid="{00000000-0005-0000-0000-000023880000}"/>
    <cellStyle name="Suma 2 9 2 2" xfId="34076" xr:uid="{00000000-0005-0000-0000-000024880000}"/>
    <cellStyle name="Suma 2 9 3" xfId="34077" xr:uid="{00000000-0005-0000-0000-000025880000}"/>
    <cellStyle name="Suma 3" xfId="336" xr:uid="{00000000-0005-0000-0000-000026880000}"/>
    <cellStyle name="Suma 3 2" xfId="34079" xr:uid="{00000000-0005-0000-0000-000027880000}"/>
    <cellStyle name="Suma 3 2 2" xfId="34080" xr:uid="{00000000-0005-0000-0000-000028880000}"/>
    <cellStyle name="Suma 3 3" xfId="34081" xr:uid="{00000000-0005-0000-0000-000029880000}"/>
    <cellStyle name="Suma 3 3 2" xfId="34082" xr:uid="{00000000-0005-0000-0000-00002A880000}"/>
    <cellStyle name="Suma 3 4" xfId="34083" xr:uid="{00000000-0005-0000-0000-00002B880000}"/>
    <cellStyle name="Suma 3 4 2" xfId="34084" xr:uid="{00000000-0005-0000-0000-00002C880000}"/>
    <cellStyle name="Suma 3 5" xfId="34085" xr:uid="{00000000-0005-0000-0000-00002D880000}"/>
    <cellStyle name="Suma 3 5 2" xfId="34086" xr:uid="{00000000-0005-0000-0000-00002E880000}"/>
    <cellStyle name="Suma 3 6" xfId="34087" xr:uid="{00000000-0005-0000-0000-00002F880000}"/>
    <cellStyle name="Suma 3 7" xfId="34088" xr:uid="{00000000-0005-0000-0000-000030880000}"/>
    <cellStyle name="Suma 3 8" xfId="34078" xr:uid="{00000000-0005-0000-0000-000031880000}"/>
    <cellStyle name="Suma 4" xfId="337" xr:uid="{00000000-0005-0000-0000-000032880000}"/>
    <cellStyle name="Suma 4 2" xfId="34090" xr:uid="{00000000-0005-0000-0000-000033880000}"/>
    <cellStyle name="Suma 4 2 2" xfId="34091" xr:uid="{00000000-0005-0000-0000-000034880000}"/>
    <cellStyle name="Suma 4 3" xfId="34092" xr:uid="{00000000-0005-0000-0000-000035880000}"/>
    <cellStyle name="Suma 4 3 2" xfId="34093" xr:uid="{00000000-0005-0000-0000-000036880000}"/>
    <cellStyle name="Suma 4 4" xfId="34094" xr:uid="{00000000-0005-0000-0000-000037880000}"/>
    <cellStyle name="Suma 4 4 2" xfId="34095" xr:uid="{00000000-0005-0000-0000-000038880000}"/>
    <cellStyle name="Suma 4 5" xfId="34096" xr:uid="{00000000-0005-0000-0000-000039880000}"/>
    <cellStyle name="Suma 4 5 2" xfId="34097" xr:uid="{00000000-0005-0000-0000-00003A880000}"/>
    <cellStyle name="Suma 4 6" xfId="34098" xr:uid="{00000000-0005-0000-0000-00003B880000}"/>
    <cellStyle name="Suma 4 7" xfId="34099" xr:uid="{00000000-0005-0000-0000-00003C880000}"/>
    <cellStyle name="Suma 4 8" xfId="34089" xr:uid="{00000000-0005-0000-0000-00003D880000}"/>
    <cellStyle name="Suma 5" xfId="338" xr:uid="{00000000-0005-0000-0000-00003E880000}"/>
    <cellStyle name="Suma 5 2" xfId="34101" xr:uid="{00000000-0005-0000-0000-00003F880000}"/>
    <cellStyle name="Suma 5 2 2" xfId="34102" xr:uid="{00000000-0005-0000-0000-000040880000}"/>
    <cellStyle name="Suma 5 3" xfId="34103" xr:uid="{00000000-0005-0000-0000-000041880000}"/>
    <cellStyle name="Suma 5 3 2" xfId="34104" xr:uid="{00000000-0005-0000-0000-000042880000}"/>
    <cellStyle name="Suma 5 4" xfId="34105" xr:uid="{00000000-0005-0000-0000-000043880000}"/>
    <cellStyle name="Suma 5 4 2" xfId="34106" xr:uid="{00000000-0005-0000-0000-000044880000}"/>
    <cellStyle name="Suma 5 5" xfId="34107" xr:uid="{00000000-0005-0000-0000-000045880000}"/>
    <cellStyle name="Suma 5 5 2" xfId="34108" xr:uid="{00000000-0005-0000-0000-000046880000}"/>
    <cellStyle name="Suma 5 6" xfId="34109" xr:uid="{00000000-0005-0000-0000-000047880000}"/>
    <cellStyle name="Suma 5 7" xfId="34110" xr:uid="{00000000-0005-0000-0000-000048880000}"/>
    <cellStyle name="Suma 5 8" xfId="34100" xr:uid="{00000000-0005-0000-0000-000049880000}"/>
    <cellStyle name="Suma 6" xfId="339" xr:uid="{00000000-0005-0000-0000-00004A880000}"/>
    <cellStyle name="Suma 6 2" xfId="34112" xr:uid="{00000000-0005-0000-0000-00004B880000}"/>
    <cellStyle name="Suma 6 2 2" xfId="34113" xr:uid="{00000000-0005-0000-0000-00004C880000}"/>
    <cellStyle name="Suma 6 3" xfId="34114" xr:uid="{00000000-0005-0000-0000-00004D880000}"/>
    <cellStyle name="Suma 6 3 2" xfId="34115" xr:uid="{00000000-0005-0000-0000-00004E880000}"/>
    <cellStyle name="Suma 6 4" xfId="34116" xr:uid="{00000000-0005-0000-0000-00004F880000}"/>
    <cellStyle name="Suma 6 4 2" xfId="34117" xr:uid="{00000000-0005-0000-0000-000050880000}"/>
    <cellStyle name="Suma 6 5" xfId="34118" xr:uid="{00000000-0005-0000-0000-000051880000}"/>
    <cellStyle name="Suma 6 5 2" xfId="34119" xr:uid="{00000000-0005-0000-0000-000052880000}"/>
    <cellStyle name="Suma 6 6" xfId="34120" xr:uid="{00000000-0005-0000-0000-000053880000}"/>
    <cellStyle name="Suma 6 7" xfId="34121" xr:uid="{00000000-0005-0000-0000-000054880000}"/>
    <cellStyle name="Suma 6 8" xfId="34111" xr:uid="{00000000-0005-0000-0000-000055880000}"/>
    <cellStyle name="Suma 7" xfId="340" xr:uid="{00000000-0005-0000-0000-000056880000}"/>
    <cellStyle name="Suma 7 2" xfId="34123" xr:uid="{00000000-0005-0000-0000-000057880000}"/>
    <cellStyle name="Suma 7 2 2" xfId="34124" xr:uid="{00000000-0005-0000-0000-000058880000}"/>
    <cellStyle name="Suma 7 3" xfId="34125" xr:uid="{00000000-0005-0000-0000-000059880000}"/>
    <cellStyle name="Suma 7 3 2" xfId="34126" xr:uid="{00000000-0005-0000-0000-00005A880000}"/>
    <cellStyle name="Suma 7 4" xfId="34127" xr:uid="{00000000-0005-0000-0000-00005B880000}"/>
    <cellStyle name="Suma 7 4 2" xfId="34128" xr:uid="{00000000-0005-0000-0000-00005C880000}"/>
    <cellStyle name="Suma 7 5" xfId="34129" xr:uid="{00000000-0005-0000-0000-00005D880000}"/>
    <cellStyle name="Suma 7 5 2" xfId="34130" xr:uid="{00000000-0005-0000-0000-00005E880000}"/>
    <cellStyle name="Suma 7 6" xfId="34131" xr:uid="{00000000-0005-0000-0000-00005F880000}"/>
    <cellStyle name="Suma 7 7" xfId="34132" xr:uid="{00000000-0005-0000-0000-000060880000}"/>
    <cellStyle name="Suma 7 8" xfId="34122" xr:uid="{00000000-0005-0000-0000-000061880000}"/>
    <cellStyle name="Suma 8" xfId="34133" xr:uid="{00000000-0005-0000-0000-000062880000}"/>
    <cellStyle name="Suma 8 2" xfId="34134" xr:uid="{00000000-0005-0000-0000-000063880000}"/>
    <cellStyle name="Suma 8 2 2" xfId="34135" xr:uid="{00000000-0005-0000-0000-000064880000}"/>
    <cellStyle name="Suma 8 3" xfId="34136" xr:uid="{00000000-0005-0000-0000-000065880000}"/>
    <cellStyle name="Suma 8 3 2" xfId="34137" xr:uid="{00000000-0005-0000-0000-000066880000}"/>
    <cellStyle name="Suma 8 4" xfId="34138" xr:uid="{00000000-0005-0000-0000-000067880000}"/>
    <cellStyle name="Suma 8 4 2" xfId="34139" xr:uid="{00000000-0005-0000-0000-000068880000}"/>
    <cellStyle name="Suma 8 5" xfId="34140" xr:uid="{00000000-0005-0000-0000-000069880000}"/>
    <cellStyle name="Suma 8 5 2" xfId="34141" xr:uid="{00000000-0005-0000-0000-00006A880000}"/>
    <cellStyle name="Suma 8 6" xfId="34142" xr:uid="{00000000-0005-0000-0000-00006B880000}"/>
    <cellStyle name="Suma 9" xfId="34143" xr:uid="{00000000-0005-0000-0000-00006C880000}"/>
    <cellStyle name="Suma 9 2" xfId="34144" xr:uid="{00000000-0005-0000-0000-00006D880000}"/>
    <cellStyle name="Suma 9 2 2" xfId="34145" xr:uid="{00000000-0005-0000-0000-00006E880000}"/>
    <cellStyle name="Suma 9 3" xfId="34146" xr:uid="{00000000-0005-0000-0000-00006F880000}"/>
    <cellStyle name="Tekst objaśnienia 1" xfId="34147" xr:uid="{00000000-0005-0000-0000-000070880000}"/>
    <cellStyle name="Tekst objaśnienia 10" xfId="34148" xr:uid="{00000000-0005-0000-0000-000071880000}"/>
    <cellStyle name="Tekst objaśnienia 11" xfId="34149" xr:uid="{00000000-0005-0000-0000-000072880000}"/>
    <cellStyle name="Tekst objaśnienia 12" xfId="34150" xr:uid="{00000000-0005-0000-0000-000073880000}"/>
    <cellStyle name="Tekst objaśnienia 13" xfId="34151" xr:uid="{00000000-0005-0000-0000-000074880000}"/>
    <cellStyle name="Tekst objaśnienia 14" xfId="34152" xr:uid="{00000000-0005-0000-0000-000075880000}"/>
    <cellStyle name="Tekst objaśnienia 15" xfId="34153" xr:uid="{00000000-0005-0000-0000-000076880000}"/>
    <cellStyle name="Tekst objaśnienia 16" xfId="34154" xr:uid="{00000000-0005-0000-0000-000077880000}"/>
    <cellStyle name="Tekst objaśnienia 17" xfId="34155" xr:uid="{00000000-0005-0000-0000-000078880000}"/>
    <cellStyle name="Tekst objaśnienia 18" xfId="34156" xr:uid="{00000000-0005-0000-0000-000079880000}"/>
    <cellStyle name="Tekst objaśnienia 19" xfId="34157" xr:uid="{00000000-0005-0000-0000-00007A880000}"/>
    <cellStyle name="Tekst objaśnienia 2" xfId="341" xr:uid="{00000000-0005-0000-0000-00007B880000}"/>
    <cellStyle name="Tekst objaśnienia 2 10" xfId="34158" xr:uid="{00000000-0005-0000-0000-00007C880000}"/>
    <cellStyle name="Tekst objaśnienia 2 11" xfId="34159" xr:uid="{00000000-0005-0000-0000-00007D880000}"/>
    <cellStyle name="Tekst objaśnienia 2 12" xfId="34160" xr:uid="{00000000-0005-0000-0000-00007E880000}"/>
    <cellStyle name="Tekst objaśnienia 2 13" xfId="38627" xr:uid="{00000000-0005-0000-0000-00007F880000}"/>
    <cellStyle name="Tekst objaśnienia 2 2" xfId="34161" xr:uid="{00000000-0005-0000-0000-000080880000}"/>
    <cellStyle name="Tekst objaśnienia 2 3" xfId="34162" xr:uid="{00000000-0005-0000-0000-000081880000}"/>
    <cellStyle name="Tekst objaśnienia 2 4" xfId="34163" xr:uid="{00000000-0005-0000-0000-000082880000}"/>
    <cellStyle name="Tekst objaśnienia 2 5" xfId="34164" xr:uid="{00000000-0005-0000-0000-000083880000}"/>
    <cellStyle name="Tekst objaśnienia 2 6" xfId="34165" xr:uid="{00000000-0005-0000-0000-000084880000}"/>
    <cellStyle name="Tekst objaśnienia 2 7" xfId="34166" xr:uid="{00000000-0005-0000-0000-000085880000}"/>
    <cellStyle name="Tekst objaśnienia 2 8" xfId="34167" xr:uid="{00000000-0005-0000-0000-000086880000}"/>
    <cellStyle name="Tekst objaśnienia 2 9" xfId="34168" xr:uid="{00000000-0005-0000-0000-000087880000}"/>
    <cellStyle name="Tekst objaśnienia 3" xfId="342" xr:uid="{00000000-0005-0000-0000-000088880000}"/>
    <cellStyle name="Tekst objaśnienia 4" xfId="343" xr:uid="{00000000-0005-0000-0000-000089880000}"/>
    <cellStyle name="Tekst objaśnienia 5" xfId="344" xr:uid="{00000000-0005-0000-0000-00008A880000}"/>
    <cellStyle name="Tekst objaśnienia 6" xfId="345" xr:uid="{00000000-0005-0000-0000-00008B880000}"/>
    <cellStyle name="Tekst objaśnienia 7" xfId="346" xr:uid="{00000000-0005-0000-0000-00008C880000}"/>
    <cellStyle name="Tekst objaśnienia 8" xfId="34169" xr:uid="{00000000-0005-0000-0000-00008D880000}"/>
    <cellStyle name="Tekst objaśnienia 9" xfId="34170" xr:uid="{00000000-0005-0000-0000-00008E880000}"/>
    <cellStyle name="Tekst ostrzeżenia 1" xfId="34171" xr:uid="{00000000-0005-0000-0000-00008F880000}"/>
    <cellStyle name="Tekst ostrzeżenia 10" xfId="34172" xr:uid="{00000000-0005-0000-0000-000090880000}"/>
    <cellStyle name="Tekst ostrzeżenia 11" xfId="34173" xr:uid="{00000000-0005-0000-0000-000091880000}"/>
    <cellStyle name="Tekst ostrzeżenia 12" xfId="34174" xr:uid="{00000000-0005-0000-0000-000092880000}"/>
    <cellStyle name="Tekst ostrzeżenia 13" xfId="34175" xr:uid="{00000000-0005-0000-0000-000093880000}"/>
    <cellStyle name="Tekst ostrzeżenia 14" xfId="34176" xr:uid="{00000000-0005-0000-0000-000094880000}"/>
    <cellStyle name="Tekst ostrzeżenia 15" xfId="34177" xr:uid="{00000000-0005-0000-0000-000095880000}"/>
    <cellStyle name="Tekst ostrzeżenia 16" xfId="34178" xr:uid="{00000000-0005-0000-0000-000096880000}"/>
    <cellStyle name="Tekst ostrzeżenia 17" xfId="34179" xr:uid="{00000000-0005-0000-0000-000097880000}"/>
    <cellStyle name="Tekst ostrzeżenia 18" xfId="34180" xr:uid="{00000000-0005-0000-0000-000098880000}"/>
    <cellStyle name="Tekst ostrzeżenia 19" xfId="34181" xr:uid="{00000000-0005-0000-0000-000099880000}"/>
    <cellStyle name="Tekst ostrzeżenia 2" xfId="347" xr:uid="{00000000-0005-0000-0000-00009A880000}"/>
    <cellStyle name="Tekst ostrzeżenia 2 10" xfId="34182" xr:uid="{00000000-0005-0000-0000-00009B880000}"/>
    <cellStyle name="Tekst ostrzeżenia 2 11" xfId="34183" xr:uid="{00000000-0005-0000-0000-00009C880000}"/>
    <cellStyle name="Tekst ostrzeżenia 2 12" xfId="34184" xr:uid="{00000000-0005-0000-0000-00009D880000}"/>
    <cellStyle name="Tekst ostrzeżenia 2 13" xfId="38628" xr:uid="{00000000-0005-0000-0000-00009E880000}"/>
    <cellStyle name="Tekst ostrzeżenia 2 2" xfId="34185" xr:uid="{00000000-0005-0000-0000-00009F880000}"/>
    <cellStyle name="Tekst ostrzeżenia 2 3" xfId="34186" xr:uid="{00000000-0005-0000-0000-0000A0880000}"/>
    <cellStyle name="Tekst ostrzeżenia 2 4" xfId="34187" xr:uid="{00000000-0005-0000-0000-0000A1880000}"/>
    <cellStyle name="Tekst ostrzeżenia 2 5" xfId="34188" xr:uid="{00000000-0005-0000-0000-0000A2880000}"/>
    <cellStyle name="Tekst ostrzeżenia 2 6" xfId="34189" xr:uid="{00000000-0005-0000-0000-0000A3880000}"/>
    <cellStyle name="Tekst ostrzeżenia 2 7" xfId="34190" xr:uid="{00000000-0005-0000-0000-0000A4880000}"/>
    <cellStyle name="Tekst ostrzeżenia 2 8" xfId="34191" xr:uid="{00000000-0005-0000-0000-0000A5880000}"/>
    <cellStyle name="Tekst ostrzeżenia 2 9" xfId="34192" xr:uid="{00000000-0005-0000-0000-0000A6880000}"/>
    <cellStyle name="Tekst ostrzeżenia 3" xfId="348" xr:uid="{00000000-0005-0000-0000-0000A7880000}"/>
    <cellStyle name="Tekst ostrzeżenia 4" xfId="349" xr:uid="{00000000-0005-0000-0000-0000A8880000}"/>
    <cellStyle name="Tekst ostrzeżenia 5" xfId="350" xr:uid="{00000000-0005-0000-0000-0000A9880000}"/>
    <cellStyle name="Tekst ostrzeżenia 6" xfId="351" xr:uid="{00000000-0005-0000-0000-0000AA880000}"/>
    <cellStyle name="Tekst ostrzeżenia 7" xfId="352" xr:uid="{00000000-0005-0000-0000-0000AB880000}"/>
    <cellStyle name="Tekst ostrzeżenia 8" xfId="34193" xr:uid="{00000000-0005-0000-0000-0000AC880000}"/>
    <cellStyle name="Tekst ostrzeżenia 9" xfId="34194" xr:uid="{00000000-0005-0000-0000-0000AD880000}"/>
    <cellStyle name="Texto de advertencia" xfId="34195" xr:uid="{00000000-0005-0000-0000-0000AE880000}"/>
    <cellStyle name="Texto explicativo" xfId="34196" xr:uid="{00000000-0005-0000-0000-0000AF880000}"/>
    <cellStyle name="Title" xfId="34197" xr:uid="{00000000-0005-0000-0000-0000B0880000}"/>
    <cellStyle name="Title 2" xfId="34198" xr:uid="{00000000-0005-0000-0000-0000B1880000}"/>
    <cellStyle name="Title_PGE Rzeszów Budget" xfId="38678" xr:uid="{0218490C-DA63-438B-9B50-05FD3E5729BF}"/>
    <cellStyle name="Título" xfId="34199" xr:uid="{00000000-0005-0000-0000-0000B2880000}"/>
    <cellStyle name="Título 1" xfId="34200" xr:uid="{00000000-0005-0000-0000-0000B3880000}"/>
    <cellStyle name="Título 2" xfId="34201" xr:uid="{00000000-0005-0000-0000-0000B4880000}"/>
    <cellStyle name="Título 3" xfId="34202" xr:uid="{00000000-0005-0000-0000-0000B5880000}"/>
    <cellStyle name="Total" xfId="34203" xr:uid="{00000000-0005-0000-0000-0000B6880000}"/>
    <cellStyle name="Total 10" xfId="34204" xr:uid="{00000000-0005-0000-0000-0000B7880000}"/>
    <cellStyle name="Total 10 2" xfId="34205" xr:uid="{00000000-0005-0000-0000-0000B8880000}"/>
    <cellStyle name="Total 11" xfId="34206" xr:uid="{00000000-0005-0000-0000-0000B9880000}"/>
    <cellStyle name="Total 11 2" xfId="34207" xr:uid="{00000000-0005-0000-0000-0000BA880000}"/>
    <cellStyle name="Total 12" xfId="34208" xr:uid="{00000000-0005-0000-0000-0000BB880000}"/>
    <cellStyle name="Total 12 2" xfId="34209" xr:uid="{00000000-0005-0000-0000-0000BC880000}"/>
    <cellStyle name="Total 13" xfId="34210" xr:uid="{00000000-0005-0000-0000-0000BD880000}"/>
    <cellStyle name="Total 13 2" xfId="34211" xr:uid="{00000000-0005-0000-0000-0000BE880000}"/>
    <cellStyle name="Total 14" xfId="34212" xr:uid="{00000000-0005-0000-0000-0000BF880000}"/>
    <cellStyle name="Total 2" xfId="34213" xr:uid="{00000000-0005-0000-0000-0000C0880000}"/>
    <cellStyle name="Total 2 2" xfId="34214" xr:uid="{00000000-0005-0000-0000-0000C1880000}"/>
    <cellStyle name="Total 2 2 2" xfId="34215" xr:uid="{00000000-0005-0000-0000-0000C2880000}"/>
    <cellStyle name="Total 2 3" xfId="34216" xr:uid="{00000000-0005-0000-0000-0000C3880000}"/>
    <cellStyle name="Total 3" xfId="34217" xr:uid="{00000000-0005-0000-0000-0000C4880000}"/>
    <cellStyle name="Total 3 2" xfId="34218" xr:uid="{00000000-0005-0000-0000-0000C5880000}"/>
    <cellStyle name="Total 3 2 2" xfId="34219" xr:uid="{00000000-0005-0000-0000-0000C6880000}"/>
    <cellStyle name="Total 3 3" xfId="34220" xr:uid="{00000000-0005-0000-0000-0000C7880000}"/>
    <cellStyle name="Total 4" xfId="34221" xr:uid="{00000000-0005-0000-0000-0000C8880000}"/>
    <cellStyle name="Total 4 2" xfId="34222" xr:uid="{00000000-0005-0000-0000-0000C9880000}"/>
    <cellStyle name="Total 4 2 2" xfId="34223" xr:uid="{00000000-0005-0000-0000-0000CA880000}"/>
    <cellStyle name="Total 4 3" xfId="34224" xr:uid="{00000000-0005-0000-0000-0000CB880000}"/>
    <cellStyle name="Total 5" xfId="34225" xr:uid="{00000000-0005-0000-0000-0000CC880000}"/>
    <cellStyle name="Total 5 2" xfId="34226" xr:uid="{00000000-0005-0000-0000-0000CD880000}"/>
    <cellStyle name="Total 5 2 2" xfId="34227" xr:uid="{00000000-0005-0000-0000-0000CE880000}"/>
    <cellStyle name="Total 5 3" xfId="34228" xr:uid="{00000000-0005-0000-0000-0000CF880000}"/>
    <cellStyle name="Total 6" xfId="34229" xr:uid="{00000000-0005-0000-0000-0000D0880000}"/>
    <cellStyle name="Total 6 2" xfId="34230" xr:uid="{00000000-0005-0000-0000-0000D1880000}"/>
    <cellStyle name="Total 6 2 2" xfId="34231" xr:uid="{00000000-0005-0000-0000-0000D2880000}"/>
    <cellStyle name="Total 6 3" xfId="34232" xr:uid="{00000000-0005-0000-0000-0000D3880000}"/>
    <cellStyle name="Total 7" xfId="34233" xr:uid="{00000000-0005-0000-0000-0000D4880000}"/>
    <cellStyle name="Total 7 2" xfId="34234" xr:uid="{00000000-0005-0000-0000-0000D5880000}"/>
    <cellStyle name="Total 7 2 2" xfId="34235" xr:uid="{00000000-0005-0000-0000-0000D6880000}"/>
    <cellStyle name="Total 7 3" xfId="34236" xr:uid="{00000000-0005-0000-0000-0000D7880000}"/>
    <cellStyle name="Total 8" xfId="34237" xr:uid="{00000000-0005-0000-0000-0000D8880000}"/>
    <cellStyle name="Total 8 2" xfId="34238" xr:uid="{00000000-0005-0000-0000-0000D9880000}"/>
    <cellStyle name="Total 8 2 2" xfId="34239" xr:uid="{00000000-0005-0000-0000-0000DA880000}"/>
    <cellStyle name="Total 8 3" xfId="34240" xr:uid="{00000000-0005-0000-0000-0000DB880000}"/>
    <cellStyle name="Total 9" xfId="34241" xr:uid="{00000000-0005-0000-0000-0000DC880000}"/>
    <cellStyle name="Total 9 2" xfId="34242" xr:uid="{00000000-0005-0000-0000-0000DD880000}"/>
    <cellStyle name="Total 9 2 2" xfId="34243" xr:uid="{00000000-0005-0000-0000-0000DE880000}"/>
    <cellStyle name="Total 9 3" xfId="34244" xr:uid="{00000000-0005-0000-0000-0000DF880000}"/>
    <cellStyle name="Total_PGE Rzeszów Budget" xfId="38679" xr:uid="{D3B62B2D-2D3B-4CEF-9493-FF75D4A3D48D}"/>
    <cellStyle name="Tyt obiektu" xfId="38688" xr:uid="{639606B4-68FA-4F04-A6DD-B13E6237ABCD}"/>
    <cellStyle name="Tyt projektu" xfId="38693" xr:uid="{B627714C-AB4D-40F5-99B7-C3A18D6BD6DE}"/>
    <cellStyle name="Tytuł 1" xfId="34245" xr:uid="{00000000-0005-0000-0000-0000E0880000}"/>
    <cellStyle name="Tytuł 10" xfId="34246" xr:uid="{00000000-0005-0000-0000-0000E1880000}"/>
    <cellStyle name="Tytuł 11" xfId="34247" xr:uid="{00000000-0005-0000-0000-0000E2880000}"/>
    <cellStyle name="Tytuł 12" xfId="34248" xr:uid="{00000000-0005-0000-0000-0000E3880000}"/>
    <cellStyle name="Tytuł 13" xfId="34249" xr:uid="{00000000-0005-0000-0000-0000E4880000}"/>
    <cellStyle name="Tytuł 14" xfId="34250" xr:uid="{00000000-0005-0000-0000-0000E5880000}"/>
    <cellStyle name="Tytuł 15" xfId="34251" xr:uid="{00000000-0005-0000-0000-0000E6880000}"/>
    <cellStyle name="Tytuł 16" xfId="34252" xr:uid="{00000000-0005-0000-0000-0000E7880000}"/>
    <cellStyle name="Tytuł 17" xfId="34253" xr:uid="{00000000-0005-0000-0000-0000E8880000}"/>
    <cellStyle name="Tytuł 18" xfId="34254" xr:uid="{00000000-0005-0000-0000-0000E9880000}"/>
    <cellStyle name="Tytuł 19" xfId="34255" xr:uid="{00000000-0005-0000-0000-0000EA880000}"/>
    <cellStyle name="Tytuł 2" xfId="353" xr:uid="{00000000-0005-0000-0000-0000EB880000}"/>
    <cellStyle name="Tytuł 2 10" xfId="34257" xr:uid="{00000000-0005-0000-0000-0000EC880000}"/>
    <cellStyle name="Tytuł 2 11" xfId="34258" xr:uid="{00000000-0005-0000-0000-0000ED880000}"/>
    <cellStyle name="Tytuł 2 12" xfId="34259" xr:uid="{00000000-0005-0000-0000-0000EE880000}"/>
    <cellStyle name="Tytuł 2 13" xfId="34260" xr:uid="{00000000-0005-0000-0000-0000EF880000}"/>
    <cellStyle name="Tytuł 2 13 2" xfId="34261" xr:uid="{00000000-0005-0000-0000-0000F0880000}"/>
    <cellStyle name="Tytuł 2 13 3" xfId="34262" xr:uid="{00000000-0005-0000-0000-0000F1880000}"/>
    <cellStyle name="Tytuł 2 14" xfId="34263" xr:uid="{00000000-0005-0000-0000-0000F2880000}"/>
    <cellStyle name="Tytuł 2 14 2" xfId="34264" xr:uid="{00000000-0005-0000-0000-0000F3880000}"/>
    <cellStyle name="Tytuł 2 14 3" xfId="34265" xr:uid="{00000000-0005-0000-0000-0000F4880000}"/>
    <cellStyle name="Tytuł 2 15" xfId="34266" xr:uid="{00000000-0005-0000-0000-0000F5880000}"/>
    <cellStyle name="Tytuł 2 16" xfId="34256" xr:uid="{00000000-0005-0000-0000-0000F6880000}"/>
    <cellStyle name="Tytuł 2 17" xfId="38629" xr:uid="{00000000-0005-0000-0000-0000F7880000}"/>
    <cellStyle name="Tytuł 2 2" xfId="34267" xr:uid="{00000000-0005-0000-0000-0000F8880000}"/>
    <cellStyle name="Tytuł 2 2 10" xfId="34268" xr:uid="{00000000-0005-0000-0000-0000F9880000}"/>
    <cellStyle name="Tytuł 2 2 10 10" xfId="34269" xr:uid="{00000000-0005-0000-0000-0000FA880000}"/>
    <cellStyle name="Tytuł 2 2 10 11" xfId="34270" xr:uid="{00000000-0005-0000-0000-0000FB880000}"/>
    <cellStyle name="Tytuł 2 2 10 12" xfId="34271" xr:uid="{00000000-0005-0000-0000-0000FC880000}"/>
    <cellStyle name="Tytuł 2 2 10 2" xfId="34272" xr:uid="{00000000-0005-0000-0000-0000FD880000}"/>
    <cellStyle name="Tytuł 2 2 10 2 10" xfId="34273" xr:uid="{00000000-0005-0000-0000-0000FE880000}"/>
    <cellStyle name="Tytuł 2 2 10 2 11" xfId="34274" xr:uid="{00000000-0005-0000-0000-0000FF880000}"/>
    <cellStyle name="Tytuł 2 2 10 2 2" xfId="34275" xr:uid="{00000000-0005-0000-0000-000000890000}"/>
    <cellStyle name="Tytuł 2 2 10 2 2 10" xfId="34276" xr:uid="{00000000-0005-0000-0000-000001890000}"/>
    <cellStyle name="Tytuł 2 2 10 2 2 11" xfId="34277" xr:uid="{00000000-0005-0000-0000-000002890000}"/>
    <cellStyle name="Tytuł 2 2 10 2 2 2" xfId="34278" xr:uid="{00000000-0005-0000-0000-000003890000}"/>
    <cellStyle name="Tytuł 2 2 10 2 2 2 2" xfId="34279" xr:uid="{00000000-0005-0000-0000-000004890000}"/>
    <cellStyle name="Tytuł 2 2 10 2 2 2 2 2" xfId="34280" xr:uid="{00000000-0005-0000-0000-000005890000}"/>
    <cellStyle name="Tytuł 2 2 10 2 2 2 2 3" xfId="34281" xr:uid="{00000000-0005-0000-0000-000006890000}"/>
    <cellStyle name="Tytuł 2 2 10 2 2 2 2 4" xfId="34282" xr:uid="{00000000-0005-0000-0000-000007890000}"/>
    <cellStyle name="Tytuł 2 2 10 2 2 2 2 5" xfId="34283" xr:uid="{00000000-0005-0000-0000-000008890000}"/>
    <cellStyle name="Tytuł 2 2 10 2 2 2 2 6" xfId="34284" xr:uid="{00000000-0005-0000-0000-000009890000}"/>
    <cellStyle name="Tytuł 2 2 10 2 2 2 3" xfId="34285" xr:uid="{00000000-0005-0000-0000-00000A890000}"/>
    <cellStyle name="Tytuł 2 2 10 2 2 2 4" xfId="34286" xr:uid="{00000000-0005-0000-0000-00000B890000}"/>
    <cellStyle name="Tytuł 2 2 10 2 2 2 5" xfId="34287" xr:uid="{00000000-0005-0000-0000-00000C890000}"/>
    <cellStyle name="Tytuł 2 2 10 2 2 2 6" xfId="34288" xr:uid="{00000000-0005-0000-0000-00000D890000}"/>
    <cellStyle name="Tytuł 2 2 10 2 2 2 7" xfId="34289" xr:uid="{00000000-0005-0000-0000-00000E890000}"/>
    <cellStyle name="Tytuł 2 2 10 2 2 3" xfId="34290" xr:uid="{00000000-0005-0000-0000-00000F890000}"/>
    <cellStyle name="Tytuł 2 2 10 2 2 4" xfId="34291" xr:uid="{00000000-0005-0000-0000-000010890000}"/>
    <cellStyle name="Tytuł 2 2 10 2 2 5" xfId="34292" xr:uid="{00000000-0005-0000-0000-000011890000}"/>
    <cellStyle name="Tytuł 2 2 10 2 2 6" xfId="34293" xr:uid="{00000000-0005-0000-0000-000012890000}"/>
    <cellStyle name="Tytuł 2 2 10 2 2 7" xfId="34294" xr:uid="{00000000-0005-0000-0000-000013890000}"/>
    <cellStyle name="Tytuł 2 2 10 2 2 7 2" xfId="34295" xr:uid="{00000000-0005-0000-0000-000014890000}"/>
    <cellStyle name="Tytuł 2 2 10 2 2 7 3" xfId="34296" xr:uid="{00000000-0005-0000-0000-000015890000}"/>
    <cellStyle name="Tytuł 2 2 10 2 2 7 4" xfId="34297" xr:uid="{00000000-0005-0000-0000-000016890000}"/>
    <cellStyle name="Tytuł 2 2 10 2 2 7 5" xfId="34298" xr:uid="{00000000-0005-0000-0000-000017890000}"/>
    <cellStyle name="Tytuł 2 2 10 2 2 7 6" xfId="34299" xr:uid="{00000000-0005-0000-0000-000018890000}"/>
    <cellStyle name="Tytuł 2 2 10 2 2 8" xfId="34300" xr:uid="{00000000-0005-0000-0000-000019890000}"/>
    <cellStyle name="Tytuł 2 2 10 2 2 9" xfId="34301" xr:uid="{00000000-0005-0000-0000-00001A890000}"/>
    <cellStyle name="Tytuł 2 2 10 2 3" xfId="34302" xr:uid="{00000000-0005-0000-0000-00001B890000}"/>
    <cellStyle name="Tytuł 2 2 10 2 3 2" xfId="34303" xr:uid="{00000000-0005-0000-0000-00001C890000}"/>
    <cellStyle name="Tytuł 2 2 10 2 3 2 2" xfId="34304" xr:uid="{00000000-0005-0000-0000-00001D890000}"/>
    <cellStyle name="Tytuł 2 2 10 2 3 2 3" xfId="34305" xr:uid="{00000000-0005-0000-0000-00001E890000}"/>
    <cellStyle name="Tytuł 2 2 10 2 3 2 4" xfId="34306" xr:uid="{00000000-0005-0000-0000-00001F890000}"/>
    <cellStyle name="Tytuł 2 2 10 2 3 2 5" xfId="34307" xr:uid="{00000000-0005-0000-0000-000020890000}"/>
    <cellStyle name="Tytuł 2 2 10 2 3 2 6" xfId="34308" xr:uid="{00000000-0005-0000-0000-000021890000}"/>
    <cellStyle name="Tytuł 2 2 10 2 3 3" xfId="34309" xr:uid="{00000000-0005-0000-0000-000022890000}"/>
    <cellStyle name="Tytuł 2 2 10 2 3 4" xfId="34310" xr:uid="{00000000-0005-0000-0000-000023890000}"/>
    <cellStyle name="Tytuł 2 2 10 2 3 5" xfId="34311" xr:uid="{00000000-0005-0000-0000-000024890000}"/>
    <cellStyle name="Tytuł 2 2 10 2 3 6" xfId="34312" xr:uid="{00000000-0005-0000-0000-000025890000}"/>
    <cellStyle name="Tytuł 2 2 10 2 3 7" xfId="34313" xr:uid="{00000000-0005-0000-0000-000026890000}"/>
    <cellStyle name="Tytuł 2 2 10 2 4" xfId="34314" xr:uid="{00000000-0005-0000-0000-000027890000}"/>
    <cellStyle name="Tytuł 2 2 10 2 5" xfId="34315" xr:uid="{00000000-0005-0000-0000-000028890000}"/>
    <cellStyle name="Tytuł 2 2 10 2 6" xfId="34316" xr:uid="{00000000-0005-0000-0000-000029890000}"/>
    <cellStyle name="Tytuł 2 2 10 2 7" xfId="34317" xr:uid="{00000000-0005-0000-0000-00002A890000}"/>
    <cellStyle name="Tytuł 2 2 10 2 7 2" xfId="34318" xr:uid="{00000000-0005-0000-0000-00002B890000}"/>
    <cellStyle name="Tytuł 2 2 10 2 7 3" xfId="34319" xr:uid="{00000000-0005-0000-0000-00002C890000}"/>
    <cellStyle name="Tytuł 2 2 10 2 7 4" xfId="34320" xr:uid="{00000000-0005-0000-0000-00002D890000}"/>
    <cellStyle name="Tytuł 2 2 10 2 7 5" xfId="34321" xr:uid="{00000000-0005-0000-0000-00002E890000}"/>
    <cellStyle name="Tytuł 2 2 10 2 7 6" xfId="34322" xr:uid="{00000000-0005-0000-0000-00002F890000}"/>
    <cellStyle name="Tytuł 2 2 10 2 8" xfId="34323" xr:uid="{00000000-0005-0000-0000-000030890000}"/>
    <cellStyle name="Tytuł 2 2 10 2 9" xfId="34324" xr:uid="{00000000-0005-0000-0000-000031890000}"/>
    <cellStyle name="Tytuł 2 2 10 3" xfId="34325" xr:uid="{00000000-0005-0000-0000-000032890000}"/>
    <cellStyle name="Tytuł 2 2 10 3 2" xfId="34326" xr:uid="{00000000-0005-0000-0000-000033890000}"/>
    <cellStyle name="Tytuł 2 2 10 3 2 2" xfId="34327" xr:uid="{00000000-0005-0000-0000-000034890000}"/>
    <cellStyle name="Tytuł 2 2 10 3 2 3" xfId="34328" xr:uid="{00000000-0005-0000-0000-000035890000}"/>
    <cellStyle name="Tytuł 2 2 10 3 2 4" xfId="34329" xr:uid="{00000000-0005-0000-0000-000036890000}"/>
    <cellStyle name="Tytuł 2 2 10 3 2 5" xfId="34330" xr:uid="{00000000-0005-0000-0000-000037890000}"/>
    <cellStyle name="Tytuł 2 2 10 3 2 6" xfId="34331" xr:uid="{00000000-0005-0000-0000-000038890000}"/>
    <cellStyle name="Tytuł 2 2 10 3 3" xfId="34332" xr:uid="{00000000-0005-0000-0000-000039890000}"/>
    <cellStyle name="Tytuł 2 2 10 3 4" xfId="34333" xr:uid="{00000000-0005-0000-0000-00003A890000}"/>
    <cellStyle name="Tytuł 2 2 10 3 5" xfId="34334" xr:uid="{00000000-0005-0000-0000-00003B890000}"/>
    <cellStyle name="Tytuł 2 2 10 3 6" xfId="34335" xr:uid="{00000000-0005-0000-0000-00003C890000}"/>
    <cellStyle name="Tytuł 2 2 10 3 7" xfId="34336" xr:uid="{00000000-0005-0000-0000-00003D890000}"/>
    <cellStyle name="Tytuł 2 2 10 4" xfId="34337" xr:uid="{00000000-0005-0000-0000-00003E890000}"/>
    <cellStyle name="Tytuł 2 2 10 5" xfId="34338" xr:uid="{00000000-0005-0000-0000-00003F890000}"/>
    <cellStyle name="Tytuł 2 2 10 6" xfId="34339" xr:uid="{00000000-0005-0000-0000-000040890000}"/>
    <cellStyle name="Tytuł 2 2 10 7" xfId="34340" xr:uid="{00000000-0005-0000-0000-000041890000}"/>
    <cellStyle name="Tytuł 2 2 10 8" xfId="34341" xr:uid="{00000000-0005-0000-0000-000042890000}"/>
    <cellStyle name="Tytuł 2 2 10 8 2" xfId="34342" xr:uid="{00000000-0005-0000-0000-000043890000}"/>
    <cellStyle name="Tytuł 2 2 10 8 3" xfId="34343" xr:uid="{00000000-0005-0000-0000-000044890000}"/>
    <cellStyle name="Tytuł 2 2 10 8 4" xfId="34344" xr:uid="{00000000-0005-0000-0000-000045890000}"/>
    <cellStyle name="Tytuł 2 2 10 8 5" xfId="34345" xr:uid="{00000000-0005-0000-0000-000046890000}"/>
    <cellStyle name="Tytuł 2 2 10 8 6" xfId="34346" xr:uid="{00000000-0005-0000-0000-000047890000}"/>
    <cellStyle name="Tytuł 2 2 10 9" xfId="34347" xr:uid="{00000000-0005-0000-0000-000048890000}"/>
    <cellStyle name="Tytuł 2 2 11" xfId="34348" xr:uid="{00000000-0005-0000-0000-000049890000}"/>
    <cellStyle name="Tytuł 2 2 11 10" xfId="34349" xr:uid="{00000000-0005-0000-0000-00004A890000}"/>
    <cellStyle name="Tytuł 2 2 11 11" xfId="34350" xr:uid="{00000000-0005-0000-0000-00004B890000}"/>
    <cellStyle name="Tytuł 2 2 11 2" xfId="34351" xr:uid="{00000000-0005-0000-0000-00004C890000}"/>
    <cellStyle name="Tytuł 2 2 11 2 2" xfId="34352" xr:uid="{00000000-0005-0000-0000-00004D890000}"/>
    <cellStyle name="Tytuł 2 2 11 2 2 2" xfId="34353" xr:uid="{00000000-0005-0000-0000-00004E890000}"/>
    <cellStyle name="Tytuł 2 2 11 2 2 3" xfId="34354" xr:uid="{00000000-0005-0000-0000-00004F890000}"/>
    <cellStyle name="Tytuł 2 2 11 2 2 4" xfId="34355" xr:uid="{00000000-0005-0000-0000-000050890000}"/>
    <cellStyle name="Tytuł 2 2 11 2 2 5" xfId="34356" xr:uid="{00000000-0005-0000-0000-000051890000}"/>
    <cellStyle name="Tytuł 2 2 11 2 2 6" xfId="34357" xr:uid="{00000000-0005-0000-0000-000052890000}"/>
    <cellStyle name="Tytuł 2 2 11 2 3" xfId="34358" xr:uid="{00000000-0005-0000-0000-000053890000}"/>
    <cellStyle name="Tytuł 2 2 11 2 4" xfId="34359" xr:uid="{00000000-0005-0000-0000-000054890000}"/>
    <cellStyle name="Tytuł 2 2 11 2 5" xfId="34360" xr:uid="{00000000-0005-0000-0000-000055890000}"/>
    <cellStyle name="Tytuł 2 2 11 2 6" xfId="34361" xr:uid="{00000000-0005-0000-0000-000056890000}"/>
    <cellStyle name="Tytuł 2 2 11 2 7" xfId="34362" xr:uid="{00000000-0005-0000-0000-000057890000}"/>
    <cellStyle name="Tytuł 2 2 11 3" xfId="34363" xr:uid="{00000000-0005-0000-0000-000058890000}"/>
    <cellStyle name="Tytuł 2 2 11 4" xfId="34364" xr:uid="{00000000-0005-0000-0000-000059890000}"/>
    <cellStyle name="Tytuł 2 2 11 5" xfId="34365" xr:uid="{00000000-0005-0000-0000-00005A890000}"/>
    <cellStyle name="Tytuł 2 2 11 6" xfId="34366" xr:uid="{00000000-0005-0000-0000-00005B890000}"/>
    <cellStyle name="Tytuł 2 2 11 7" xfId="34367" xr:uid="{00000000-0005-0000-0000-00005C890000}"/>
    <cellStyle name="Tytuł 2 2 11 7 2" xfId="34368" xr:uid="{00000000-0005-0000-0000-00005D890000}"/>
    <cellStyle name="Tytuł 2 2 11 7 3" xfId="34369" xr:uid="{00000000-0005-0000-0000-00005E890000}"/>
    <cellStyle name="Tytuł 2 2 11 7 4" xfId="34370" xr:uid="{00000000-0005-0000-0000-00005F890000}"/>
    <cellStyle name="Tytuł 2 2 11 7 5" xfId="34371" xr:uid="{00000000-0005-0000-0000-000060890000}"/>
    <cellStyle name="Tytuł 2 2 11 7 6" xfId="34372" xr:uid="{00000000-0005-0000-0000-000061890000}"/>
    <cellStyle name="Tytuł 2 2 11 8" xfId="34373" xr:uid="{00000000-0005-0000-0000-000062890000}"/>
    <cellStyle name="Tytuł 2 2 11 9" xfId="34374" xr:uid="{00000000-0005-0000-0000-000063890000}"/>
    <cellStyle name="Tytuł 2 2 12" xfId="34375" xr:uid="{00000000-0005-0000-0000-000064890000}"/>
    <cellStyle name="Tytuł 2 2 12 2" xfId="34376" xr:uid="{00000000-0005-0000-0000-000065890000}"/>
    <cellStyle name="Tytuł 2 2 12 2 2" xfId="34377" xr:uid="{00000000-0005-0000-0000-000066890000}"/>
    <cellStyle name="Tytuł 2 2 12 2 3" xfId="34378" xr:uid="{00000000-0005-0000-0000-000067890000}"/>
    <cellStyle name="Tytuł 2 2 12 2 4" xfId="34379" xr:uid="{00000000-0005-0000-0000-000068890000}"/>
    <cellStyle name="Tytuł 2 2 12 2 5" xfId="34380" xr:uid="{00000000-0005-0000-0000-000069890000}"/>
    <cellStyle name="Tytuł 2 2 12 2 6" xfId="34381" xr:uid="{00000000-0005-0000-0000-00006A890000}"/>
    <cellStyle name="Tytuł 2 2 12 3" xfId="34382" xr:uid="{00000000-0005-0000-0000-00006B890000}"/>
    <cellStyle name="Tytuł 2 2 12 4" xfId="34383" xr:uid="{00000000-0005-0000-0000-00006C890000}"/>
    <cellStyle name="Tytuł 2 2 12 5" xfId="34384" xr:uid="{00000000-0005-0000-0000-00006D890000}"/>
    <cellStyle name="Tytuł 2 2 12 6" xfId="34385" xr:uid="{00000000-0005-0000-0000-00006E890000}"/>
    <cellStyle name="Tytuł 2 2 12 7" xfId="34386" xr:uid="{00000000-0005-0000-0000-00006F890000}"/>
    <cellStyle name="Tytuł 2 2 13" xfId="34387" xr:uid="{00000000-0005-0000-0000-000070890000}"/>
    <cellStyle name="Tytuł 2 2 14" xfId="34388" xr:uid="{00000000-0005-0000-0000-000071890000}"/>
    <cellStyle name="Tytuł 2 2 15" xfId="34389" xr:uid="{00000000-0005-0000-0000-000072890000}"/>
    <cellStyle name="Tytuł 2 2 16" xfId="34390" xr:uid="{00000000-0005-0000-0000-000073890000}"/>
    <cellStyle name="Tytuł 2 2 17" xfId="34391" xr:uid="{00000000-0005-0000-0000-000074890000}"/>
    <cellStyle name="Tytuł 2 2 18" xfId="34392" xr:uid="{00000000-0005-0000-0000-000075890000}"/>
    <cellStyle name="Tytuł 2 2 18 2" xfId="34393" xr:uid="{00000000-0005-0000-0000-000076890000}"/>
    <cellStyle name="Tytuł 2 2 18 3" xfId="34394" xr:uid="{00000000-0005-0000-0000-000077890000}"/>
    <cellStyle name="Tytuł 2 2 18 4" xfId="34395" xr:uid="{00000000-0005-0000-0000-000078890000}"/>
    <cellStyle name="Tytuł 2 2 18 5" xfId="34396" xr:uid="{00000000-0005-0000-0000-000079890000}"/>
    <cellStyle name="Tytuł 2 2 18 6" xfId="34397" xr:uid="{00000000-0005-0000-0000-00007A890000}"/>
    <cellStyle name="Tytuł 2 2 19" xfId="34398" xr:uid="{00000000-0005-0000-0000-00007B890000}"/>
    <cellStyle name="Tytuł 2 2 2" xfId="34399" xr:uid="{00000000-0005-0000-0000-00007C890000}"/>
    <cellStyle name="Tytuł 2 2 2 10" xfId="34400" xr:uid="{00000000-0005-0000-0000-00007D890000}"/>
    <cellStyle name="Tytuł 2 2 2 11" xfId="34401" xr:uid="{00000000-0005-0000-0000-00007E890000}"/>
    <cellStyle name="Tytuł 2 2 2 2" xfId="34402" xr:uid="{00000000-0005-0000-0000-00007F890000}"/>
    <cellStyle name="Tytuł 2 2 2 2 10" xfId="34403" xr:uid="{00000000-0005-0000-0000-000080890000}"/>
    <cellStyle name="Tytuł 2 2 2 2 2" xfId="34404" xr:uid="{00000000-0005-0000-0000-000081890000}"/>
    <cellStyle name="Tytuł 2 2 2 2 2 2" xfId="34405" xr:uid="{00000000-0005-0000-0000-000082890000}"/>
    <cellStyle name="Tytuł 2 2 2 2 2 2 2" xfId="34406" xr:uid="{00000000-0005-0000-0000-000083890000}"/>
    <cellStyle name="Tytuł 2 2 2 2 2 2 2 2" xfId="34407" xr:uid="{00000000-0005-0000-0000-000084890000}"/>
    <cellStyle name="Tytuł 2 2 2 2 2 2 2 2 2" xfId="34408" xr:uid="{00000000-0005-0000-0000-000085890000}"/>
    <cellStyle name="Tytuł 2 2 2 2 2 2 2 2 3" xfId="34409" xr:uid="{00000000-0005-0000-0000-000086890000}"/>
    <cellStyle name="Tytuł 2 2 2 2 2 2 2 2 4" xfId="34410" xr:uid="{00000000-0005-0000-0000-000087890000}"/>
    <cellStyle name="Tytuł 2 2 2 2 2 2 2 3" xfId="34411" xr:uid="{00000000-0005-0000-0000-000088890000}"/>
    <cellStyle name="Tytuł 2 2 2 2 2 2 2 4" xfId="34412" xr:uid="{00000000-0005-0000-0000-000089890000}"/>
    <cellStyle name="Tytuł 2 2 2 2 2 2 2 5" xfId="34413" xr:uid="{00000000-0005-0000-0000-00008A890000}"/>
    <cellStyle name="Tytuł 2 2 2 2 2 2 3" xfId="34414" xr:uid="{00000000-0005-0000-0000-00008B890000}"/>
    <cellStyle name="Tytuł 2 2 2 2 2 2 4" xfId="34415" xr:uid="{00000000-0005-0000-0000-00008C890000}"/>
    <cellStyle name="Tytuł 2 2 2 2 2 2 5" xfId="34416" xr:uid="{00000000-0005-0000-0000-00008D890000}"/>
    <cellStyle name="Tytuł 2 2 2 2 2 2 6" xfId="34417" xr:uid="{00000000-0005-0000-0000-00008E890000}"/>
    <cellStyle name="Tytuł 2 2 2 2 2 2 7" xfId="34418" xr:uid="{00000000-0005-0000-0000-00008F890000}"/>
    <cellStyle name="Tytuł 2 2 2 2 2 2 7 2" xfId="34419" xr:uid="{00000000-0005-0000-0000-000090890000}"/>
    <cellStyle name="Tytuł 2 2 2 2 2 2 7 3" xfId="34420" xr:uid="{00000000-0005-0000-0000-000091890000}"/>
    <cellStyle name="Tytuł 2 2 2 2 2 2 7 4" xfId="34421" xr:uid="{00000000-0005-0000-0000-000092890000}"/>
    <cellStyle name="Tytuł 2 2 2 2 2 2 7 5" xfId="34422" xr:uid="{00000000-0005-0000-0000-000093890000}"/>
    <cellStyle name="Tytuł 2 2 2 2 2 2 7 6" xfId="34423" xr:uid="{00000000-0005-0000-0000-000094890000}"/>
    <cellStyle name="Tytuł 2 2 2 2 2 2 8" xfId="34424" xr:uid="{00000000-0005-0000-0000-000095890000}"/>
    <cellStyle name="Tytuł 2 2 2 2 2 2 9" xfId="34425" xr:uid="{00000000-0005-0000-0000-000096890000}"/>
    <cellStyle name="Tytuł 2 2 2 2 2 3" xfId="34426" xr:uid="{00000000-0005-0000-0000-000097890000}"/>
    <cellStyle name="Tytuł 2 2 2 2 2 3 2" xfId="34427" xr:uid="{00000000-0005-0000-0000-000098890000}"/>
    <cellStyle name="Tytuł 2 2 2 2 2 3 2 2" xfId="34428" xr:uid="{00000000-0005-0000-0000-000099890000}"/>
    <cellStyle name="Tytuł 2 2 2 2 2 3 2 3" xfId="34429" xr:uid="{00000000-0005-0000-0000-00009A890000}"/>
    <cellStyle name="Tytuł 2 2 2 2 2 3 2 4" xfId="34430" xr:uid="{00000000-0005-0000-0000-00009B890000}"/>
    <cellStyle name="Tytuł 2 2 2 2 2 3 2 5" xfId="34431" xr:uid="{00000000-0005-0000-0000-00009C890000}"/>
    <cellStyle name="Tytuł 2 2 2 2 2 3 2 6" xfId="34432" xr:uid="{00000000-0005-0000-0000-00009D890000}"/>
    <cellStyle name="Tytuł 2 2 2 2 2 3 3" xfId="34433" xr:uid="{00000000-0005-0000-0000-00009E890000}"/>
    <cellStyle name="Tytuł 2 2 2 2 2 3 4" xfId="34434" xr:uid="{00000000-0005-0000-0000-00009F890000}"/>
    <cellStyle name="Tytuł 2 2 2 2 2 3 5" xfId="34435" xr:uid="{00000000-0005-0000-0000-0000A0890000}"/>
    <cellStyle name="Tytuł 2 2 2 2 2 3 6" xfId="34436" xr:uid="{00000000-0005-0000-0000-0000A1890000}"/>
    <cellStyle name="Tytuł 2 2 2 2 2 3 7" xfId="34437" xr:uid="{00000000-0005-0000-0000-0000A2890000}"/>
    <cellStyle name="Tytuł 2 2 2 2 2 4" xfId="34438" xr:uid="{00000000-0005-0000-0000-0000A3890000}"/>
    <cellStyle name="Tytuł 2 2 2 2 2 5" xfId="34439" xr:uid="{00000000-0005-0000-0000-0000A4890000}"/>
    <cellStyle name="Tytuł 2 2 2 2 2 6" xfId="34440" xr:uid="{00000000-0005-0000-0000-0000A5890000}"/>
    <cellStyle name="Tytuł 2 2 2 2 2 7" xfId="34441" xr:uid="{00000000-0005-0000-0000-0000A6890000}"/>
    <cellStyle name="Tytuł 2 2 2 2 2 7 2" xfId="34442" xr:uid="{00000000-0005-0000-0000-0000A7890000}"/>
    <cellStyle name="Tytuł 2 2 2 2 2 7 3" xfId="34443" xr:uid="{00000000-0005-0000-0000-0000A8890000}"/>
    <cellStyle name="Tytuł 2 2 2 2 2 7 4" xfId="34444" xr:uid="{00000000-0005-0000-0000-0000A9890000}"/>
    <cellStyle name="Tytuł 2 2 2 2 2 7 5" xfId="34445" xr:uid="{00000000-0005-0000-0000-0000AA890000}"/>
    <cellStyle name="Tytuł 2 2 2 2 2 7 6" xfId="34446" xr:uid="{00000000-0005-0000-0000-0000AB890000}"/>
    <cellStyle name="Tytuł 2 2 2 2 2 8" xfId="34447" xr:uid="{00000000-0005-0000-0000-0000AC890000}"/>
    <cellStyle name="Tytuł 2 2 2 2 2 9" xfId="34448" xr:uid="{00000000-0005-0000-0000-0000AD890000}"/>
    <cellStyle name="Tytuł 2 2 2 2 3" xfId="34449" xr:uid="{00000000-0005-0000-0000-0000AE890000}"/>
    <cellStyle name="Tytuł 2 2 2 2 3 2" xfId="34450" xr:uid="{00000000-0005-0000-0000-0000AF890000}"/>
    <cellStyle name="Tytuł 2 2 2 2 3 2 2" xfId="34451" xr:uid="{00000000-0005-0000-0000-0000B0890000}"/>
    <cellStyle name="Tytuł 2 2 2 2 3 2 3" xfId="34452" xr:uid="{00000000-0005-0000-0000-0000B1890000}"/>
    <cellStyle name="Tytuł 2 2 2 2 3 2 4" xfId="34453" xr:uid="{00000000-0005-0000-0000-0000B2890000}"/>
    <cellStyle name="Tytuł 2 2 2 2 3 2 5" xfId="34454" xr:uid="{00000000-0005-0000-0000-0000B3890000}"/>
    <cellStyle name="Tytuł 2 2 2 2 3 2 6" xfId="34455" xr:uid="{00000000-0005-0000-0000-0000B4890000}"/>
    <cellStyle name="Tytuł 2 2 2 2 3 3" xfId="34456" xr:uid="{00000000-0005-0000-0000-0000B5890000}"/>
    <cellStyle name="Tytuł 2 2 2 2 3 4" xfId="34457" xr:uid="{00000000-0005-0000-0000-0000B6890000}"/>
    <cellStyle name="Tytuł 2 2 2 2 3 5" xfId="34458" xr:uid="{00000000-0005-0000-0000-0000B7890000}"/>
    <cellStyle name="Tytuł 2 2 2 2 3 6" xfId="34459" xr:uid="{00000000-0005-0000-0000-0000B8890000}"/>
    <cellStyle name="Tytuł 2 2 2 2 3 7" xfId="34460" xr:uid="{00000000-0005-0000-0000-0000B9890000}"/>
    <cellStyle name="Tytuł 2 2 2 2 4" xfId="34461" xr:uid="{00000000-0005-0000-0000-0000BA890000}"/>
    <cellStyle name="Tytuł 2 2 2 2 5" xfId="34462" xr:uid="{00000000-0005-0000-0000-0000BB890000}"/>
    <cellStyle name="Tytuł 2 2 2 2 6" xfId="34463" xr:uid="{00000000-0005-0000-0000-0000BC890000}"/>
    <cellStyle name="Tytuł 2 2 2 2 7" xfId="34464" xr:uid="{00000000-0005-0000-0000-0000BD890000}"/>
    <cellStyle name="Tytuł 2 2 2 2 8" xfId="34465" xr:uid="{00000000-0005-0000-0000-0000BE890000}"/>
    <cellStyle name="Tytuł 2 2 2 2 8 2" xfId="34466" xr:uid="{00000000-0005-0000-0000-0000BF890000}"/>
    <cellStyle name="Tytuł 2 2 2 2 8 3" xfId="34467" xr:uid="{00000000-0005-0000-0000-0000C0890000}"/>
    <cellStyle name="Tytuł 2 2 2 2 8 4" xfId="34468" xr:uid="{00000000-0005-0000-0000-0000C1890000}"/>
    <cellStyle name="Tytuł 2 2 2 2 8 5" xfId="34469" xr:uid="{00000000-0005-0000-0000-0000C2890000}"/>
    <cellStyle name="Tytuł 2 2 2 2 8 6" xfId="34470" xr:uid="{00000000-0005-0000-0000-0000C3890000}"/>
    <cellStyle name="Tytuł 2 2 2 2 9" xfId="34471" xr:uid="{00000000-0005-0000-0000-0000C4890000}"/>
    <cellStyle name="Tytuł 2 2 2 3" xfId="34472" xr:uid="{00000000-0005-0000-0000-0000C5890000}"/>
    <cellStyle name="Tytuł 2 2 2 4" xfId="34473" xr:uid="{00000000-0005-0000-0000-0000C6890000}"/>
    <cellStyle name="Tytuł 2 2 2 4 10" xfId="34474" xr:uid="{00000000-0005-0000-0000-0000C7890000}"/>
    <cellStyle name="Tytuł 2 2 2 4 11" xfId="34475" xr:uid="{00000000-0005-0000-0000-0000C8890000}"/>
    <cellStyle name="Tytuł 2 2 2 4 2" xfId="34476" xr:uid="{00000000-0005-0000-0000-0000C9890000}"/>
    <cellStyle name="Tytuł 2 2 2 4 2 2" xfId="34477" xr:uid="{00000000-0005-0000-0000-0000CA890000}"/>
    <cellStyle name="Tytuł 2 2 2 4 2 2 2" xfId="34478" xr:uid="{00000000-0005-0000-0000-0000CB890000}"/>
    <cellStyle name="Tytuł 2 2 2 4 2 2 3" xfId="34479" xr:uid="{00000000-0005-0000-0000-0000CC890000}"/>
    <cellStyle name="Tytuł 2 2 2 4 2 2 4" xfId="34480" xr:uid="{00000000-0005-0000-0000-0000CD890000}"/>
    <cellStyle name="Tytuł 2 2 2 4 2 2 5" xfId="34481" xr:uid="{00000000-0005-0000-0000-0000CE890000}"/>
    <cellStyle name="Tytuł 2 2 2 4 2 2 6" xfId="34482" xr:uid="{00000000-0005-0000-0000-0000CF890000}"/>
    <cellStyle name="Tytuł 2 2 2 4 2 3" xfId="34483" xr:uid="{00000000-0005-0000-0000-0000D0890000}"/>
    <cellStyle name="Tytuł 2 2 2 4 2 4" xfId="34484" xr:uid="{00000000-0005-0000-0000-0000D1890000}"/>
    <cellStyle name="Tytuł 2 2 2 4 2 5" xfId="34485" xr:uid="{00000000-0005-0000-0000-0000D2890000}"/>
    <cellStyle name="Tytuł 2 2 2 4 2 6" xfId="34486" xr:uid="{00000000-0005-0000-0000-0000D3890000}"/>
    <cellStyle name="Tytuł 2 2 2 4 2 7" xfId="34487" xr:uid="{00000000-0005-0000-0000-0000D4890000}"/>
    <cellStyle name="Tytuł 2 2 2 4 3" xfId="34488" xr:uid="{00000000-0005-0000-0000-0000D5890000}"/>
    <cellStyle name="Tytuł 2 2 2 4 4" xfId="34489" xr:uid="{00000000-0005-0000-0000-0000D6890000}"/>
    <cellStyle name="Tytuł 2 2 2 4 5" xfId="34490" xr:uid="{00000000-0005-0000-0000-0000D7890000}"/>
    <cellStyle name="Tytuł 2 2 2 4 6" xfId="34491" xr:uid="{00000000-0005-0000-0000-0000D8890000}"/>
    <cellStyle name="Tytuł 2 2 2 4 7" xfId="34492" xr:uid="{00000000-0005-0000-0000-0000D9890000}"/>
    <cellStyle name="Tytuł 2 2 2 4 7 2" xfId="34493" xr:uid="{00000000-0005-0000-0000-0000DA890000}"/>
    <cellStyle name="Tytuł 2 2 2 4 7 3" xfId="34494" xr:uid="{00000000-0005-0000-0000-0000DB890000}"/>
    <cellStyle name="Tytuł 2 2 2 4 7 4" xfId="34495" xr:uid="{00000000-0005-0000-0000-0000DC890000}"/>
    <cellStyle name="Tytuł 2 2 2 4 7 5" xfId="34496" xr:uid="{00000000-0005-0000-0000-0000DD890000}"/>
    <cellStyle name="Tytuł 2 2 2 4 7 6" xfId="34497" xr:uid="{00000000-0005-0000-0000-0000DE890000}"/>
    <cellStyle name="Tytuł 2 2 2 4 8" xfId="34498" xr:uid="{00000000-0005-0000-0000-0000DF890000}"/>
    <cellStyle name="Tytuł 2 2 2 4 9" xfId="34499" xr:uid="{00000000-0005-0000-0000-0000E0890000}"/>
    <cellStyle name="Tytuł 2 2 2 5" xfId="34500" xr:uid="{00000000-0005-0000-0000-0000E1890000}"/>
    <cellStyle name="Tytuł 2 2 2 5 2" xfId="34501" xr:uid="{00000000-0005-0000-0000-0000E2890000}"/>
    <cellStyle name="Tytuł 2 2 2 5 2 2" xfId="34502" xr:uid="{00000000-0005-0000-0000-0000E3890000}"/>
    <cellStyle name="Tytuł 2 2 2 5 2 3" xfId="34503" xr:uid="{00000000-0005-0000-0000-0000E4890000}"/>
    <cellStyle name="Tytuł 2 2 2 5 2 4" xfId="34504" xr:uid="{00000000-0005-0000-0000-0000E5890000}"/>
    <cellStyle name="Tytuł 2 2 2 5 2 5" xfId="34505" xr:uid="{00000000-0005-0000-0000-0000E6890000}"/>
    <cellStyle name="Tytuł 2 2 2 5 2 6" xfId="34506" xr:uid="{00000000-0005-0000-0000-0000E7890000}"/>
    <cellStyle name="Tytuł 2 2 2 5 3" xfId="34507" xr:uid="{00000000-0005-0000-0000-0000E8890000}"/>
    <cellStyle name="Tytuł 2 2 2 5 4" xfId="34508" xr:uid="{00000000-0005-0000-0000-0000E9890000}"/>
    <cellStyle name="Tytuł 2 2 2 5 5" xfId="34509" xr:uid="{00000000-0005-0000-0000-0000EA890000}"/>
    <cellStyle name="Tytuł 2 2 2 5 6" xfId="34510" xr:uid="{00000000-0005-0000-0000-0000EB890000}"/>
    <cellStyle name="Tytuł 2 2 2 5 7" xfId="34511" xr:uid="{00000000-0005-0000-0000-0000EC890000}"/>
    <cellStyle name="Tytuł 2 2 2 6" xfId="34512" xr:uid="{00000000-0005-0000-0000-0000ED890000}"/>
    <cellStyle name="Tytuł 2 2 2 7" xfId="34513" xr:uid="{00000000-0005-0000-0000-0000EE890000}"/>
    <cellStyle name="Tytuł 2 2 2 8" xfId="34514" xr:uid="{00000000-0005-0000-0000-0000EF890000}"/>
    <cellStyle name="Tytuł 2 2 2 9" xfId="34515" xr:uid="{00000000-0005-0000-0000-0000F0890000}"/>
    <cellStyle name="Tytuł 2 2 2 9 2" xfId="34516" xr:uid="{00000000-0005-0000-0000-0000F1890000}"/>
    <cellStyle name="Tytuł 2 2 2 9 3" xfId="34517" xr:uid="{00000000-0005-0000-0000-0000F2890000}"/>
    <cellStyle name="Tytuł 2 2 2 9 4" xfId="34518" xr:uid="{00000000-0005-0000-0000-0000F3890000}"/>
    <cellStyle name="Tytuł 2 2 2 9 5" xfId="34519" xr:uid="{00000000-0005-0000-0000-0000F4890000}"/>
    <cellStyle name="Tytuł 2 2 2 9 6" xfId="34520" xr:uid="{00000000-0005-0000-0000-0000F5890000}"/>
    <cellStyle name="Tytuł 2 2 20" xfId="34521" xr:uid="{00000000-0005-0000-0000-0000F6890000}"/>
    <cellStyle name="Tytuł 2 2 3" xfId="34522" xr:uid="{00000000-0005-0000-0000-0000F7890000}"/>
    <cellStyle name="Tytuł 2 2 4" xfId="34523" xr:uid="{00000000-0005-0000-0000-0000F8890000}"/>
    <cellStyle name="Tytuł 2 2 5" xfId="34524" xr:uid="{00000000-0005-0000-0000-0000F9890000}"/>
    <cellStyle name="Tytuł 2 2 6" xfId="34525" xr:uid="{00000000-0005-0000-0000-0000FA890000}"/>
    <cellStyle name="Tytuł 2 2 7" xfId="34526" xr:uid="{00000000-0005-0000-0000-0000FB890000}"/>
    <cellStyle name="Tytuł 2 2 8" xfId="34527" xr:uid="{00000000-0005-0000-0000-0000FC890000}"/>
    <cellStyle name="Tytuł 2 2 9" xfId="34528" xr:uid="{00000000-0005-0000-0000-0000FD890000}"/>
    <cellStyle name="Tytuł 2 3" xfId="34529" xr:uid="{00000000-0005-0000-0000-0000FE890000}"/>
    <cellStyle name="Tytuł 2 4" xfId="34530" xr:uid="{00000000-0005-0000-0000-0000FF890000}"/>
    <cellStyle name="Tytuł 2 5" xfId="34531" xr:uid="{00000000-0005-0000-0000-0000008A0000}"/>
    <cellStyle name="Tytuł 2 6" xfId="34532" xr:uid="{00000000-0005-0000-0000-0000018A0000}"/>
    <cellStyle name="Tytuł 2 6 10" xfId="34533" xr:uid="{00000000-0005-0000-0000-0000028A0000}"/>
    <cellStyle name="Tytuł 2 6 11" xfId="34534" xr:uid="{00000000-0005-0000-0000-0000038A0000}"/>
    <cellStyle name="Tytuł 2 6 12" xfId="34535" xr:uid="{00000000-0005-0000-0000-0000048A0000}"/>
    <cellStyle name="Tytuł 2 6 13" xfId="34536" xr:uid="{00000000-0005-0000-0000-0000058A0000}"/>
    <cellStyle name="Tytuł 2 6 2" xfId="34537" xr:uid="{00000000-0005-0000-0000-0000068A0000}"/>
    <cellStyle name="Tytuł 2 6 2 10" xfId="34538" xr:uid="{00000000-0005-0000-0000-0000078A0000}"/>
    <cellStyle name="Tytuł 2 6 2 11" xfId="34539" xr:uid="{00000000-0005-0000-0000-0000088A0000}"/>
    <cellStyle name="Tytuł 2 6 2 12" xfId="34540" xr:uid="{00000000-0005-0000-0000-0000098A0000}"/>
    <cellStyle name="Tytuł 2 6 2 13" xfId="34541" xr:uid="{00000000-0005-0000-0000-00000A8A0000}"/>
    <cellStyle name="Tytuł 2 6 2 2" xfId="34542" xr:uid="{00000000-0005-0000-0000-00000B8A0000}"/>
    <cellStyle name="Tytuł 2 6 2 2 10" xfId="34543" xr:uid="{00000000-0005-0000-0000-00000C8A0000}"/>
    <cellStyle name="Tytuł 2 6 2 2 11" xfId="34544" xr:uid="{00000000-0005-0000-0000-00000D8A0000}"/>
    <cellStyle name="Tytuł 2 6 2 2 12" xfId="34545" xr:uid="{00000000-0005-0000-0000-00000E8A0000}"/>
    <cellStyle name="Tytuł 2 6 2 2 2" xfId="34546" xr:uid="{00000000-0005-0000-0000-00000F8A0000}"/>
    <cellStyle name="Tytuł 2 6 2 2 2 10" xfId="34547" xr:uid="{00000000-0005-0000-0000-0000108A0000}"/>
    <cellStyle name="Tytuł 2 6 2 2 2 11" xfId="34548" xr:uid="{00000000-0005-0000-0000-0000118A0000}"/>
    <cellStyle name="Tytuł 2 6 2 2 2 2" xfId="34549" xr:uid="{00000000-0005-0000-0000-0000128A0000}"/>
    <cellStyle name="Tytuł 2 6 2 2 2 2 10" xfId="34550" xr:uid="{00000000-0005-0000-0000-0000138A0000}"/>
    <cellStyle name="Tytuł 2 6 2 2 2 2 11" xfId="34551" xr:uid="{00000000-0005-0000-0000-0000148A0000}"/>
    <cellStyle name="Tytuł 2 6 2 2 2 2 2" xfId="34552" xr:uid="{00000000-0005-0000-0000-0000158A0000}"/>
    <cellStyle name="Tytuł 2 6 2 2 2 2 2 2" xfId="34553" xr:uid="{00000000-0005-0000-0000-0000168A0000}"/>
    <cellStyle name="Tytuł 2 6 2 2 2 2 2 2 2" xfId="34554" xr:uid="{00000000-0005-0000-0000-0000178A0000}"/>
    <cellStyle name="Tytuł 2 6 2 2 2 2 2 2 3" xfId="34555" xr:uid="{00000000-0005-0000-0000-0000188A0000}"/>
    <cellStyle name="Tytuł 2 6 2 2 2 2 2 2 4" xfId="34556" xr:uid="{00000000-0005-0000-0000-0000198A0000}"/>
    <cellStyle name="Tytuł 2 6 2 2 2 2 2 2 5" xfId="34557" xr:uid="{00000000-0005-0000-0000-00001A8A0000}"/>
    <cellStyle name="Tytuł 2 6 2 2 2 2 2 2 6" xfId="34558" xr:uid="{00000000-0005-0000-0000-00001B8A0000}"/>
    <cellStyle name="Tytuł 2 6 2 2 2 2 2 3" xfId="34559" xr:uid="{00000000-0005-0000-0000-00001C8A0000}"/>
    <cellStyle name="Tytuł 2 6 2 2 2 2 2 4" xfId="34560" xr:uid="{00000000-0005-0000-0000-00001D8A0000}"/>
    <cellStyle name="Tytuł 2 6 2 2 2 2 2 5" xfId="34561" xr:uid="{00000000-0005-0000-0000-00001E8A0000}"/>
    <cellStyle name="Tytuł 2 6 2 2 2 2 2 6" xfId="34562" xr:uid="{00000000-0005-0000-0000-00001F8A0000}"/>
    <cellStyle name="Tytuł 2 6 2 2 2 2 2 7" xfId="34563" xr:uid="{00000000-0005-0000-0000-0000208A0000}"/>
    <cellStyle name="Tytuł 2 6 2 2 2 2 3" xfId="34564" xr:uid="{00000000-0005-0000-0000-0000218A0000}"/>
    <cellStyle name="Tytuł 2 6 2 2 2 2 4" xfId="34565" xr:uid="{00000000-0005-0000-0000-0000228A0000}"/>
    <cellStyle name="Tytuł 2 6 2 2 2 2 5" xfId="34566" xr:uid="{00000000-0005-0000-0000-0000238A0000}"/>
    <cellStyle name="Tytuł 2 6 2 2 2 2 6" xfId="34567" xr:uid="{00000000-0005-0000-0000-0000248A0000}"/>
    <cellStyle name="Tytuł 2 6 2 2 2 2 7" xfId="34568" xr:uid="{00000000-0005-0000-0000-0000258A0000}"/>
    <cellStyle name="Tytuł 2 6 2 2 2 2 7 2" xfId="34569" xr:uid="{00000000-0005-0000-0000-0000268A0000}"/>
    <cellStyle name="Tytuł 2 6 2 2 2 2 7 3" xfId="34570" xr:uid="{00000000-0005-0000-0000-0000278A0000}"/>
    <cellStyle name="Tytuł 2 6 2 2 2 2 7 4" xfId="34571" xr:uid="{00000000-0005-0000-0000-0000288A0000}"/>
    <cellStyle name="Tytuł 2 6 2 2 2 2 7 5" xfId="34572" xr:uid="{00000000-0005-0000-0000-0000298A0000}"/>
    <cellStyle name="Tytuł 2 6 2 2 2 2 7 6" xfId="34573" xr:uid="{00000000-0005-0000-0000-00002A8A0000}"/>
    <cellStyle name="Tytuł 2 6 2 2 2 2 8" xfId="34574" xr:uid="{00000000-0005-0000-0000-00002B8A0000}"/>
    <cellStyle name="Tytuł 2 6 2 2 2 2 9" xfId="34575" xr:uid="{00000000-0005-0000-0000-00002C8A0000}"/>
    <cellStyle name="Tytuł 2 6 2 2 2 3" xfId="34576" xr:uid="{00000000-0005-0000-0000-00002D8A0000}"/>
    <cellStyle name="Tytuł 2 6 2 2 2 3 2" xfId="34577" xr:uid="{00000000-0005-0000-0000-00002E8A0000}"/>
    <cellStyle name="Tytuł 2 6 2 2 2 3 2 2" xfId="34578" xr:uid="{00000000-0005-0000-0000-00002F8A0000}"/>
    <cellStyle name="Tytuł 2 6 2 2 2 3 2 3" xfId="34579" xr:uid="{00000000-0005-0000-0000-0000308A0000}"/>
    <cellStyle name="Tytuł 2 6 2 2 2 3 2 4" xfId="34580" xr:uid="{00000000-0005-0000-0000-0000318A0000}"/>
    <cellStyle name="Tytuł 2 6 2 2 2 3 2 5" xfId="34581" xr:uid="{00000000-0005-0000-0000-0000328A0000}"/>
    <cellStyle name="Tytuł 2 6 2 2 2 3 2 6" xfId="34582" xr:uid="{00000000-0005-0000-0000-0000338A0000}"/>
    <cellStyle name="Tytuł 2 6 2 2 2 3 3" xfId="34583" xr:uid="{00000000-0005-0000-0000-0000348A0000}"/>
    <cellStyle name="Tytuł 2 6 2 2 2 3 4" xfId="34584" xr:uid="{00000000-0005-0000-0000-0000358A0000}"/>
    <cellStyle name="Tytuł 2 6 2 2 2 3 5" xfId="34585" xr:uid="{00000000-0005-0000-0000-0000368A0000}"/>
    <cellStyle name="Tytuł 2 6 2 2 2 3 6" xfId="34586" xr:uid="{00000000-0005-0000-0000-0000378A0000}"/>
    <cellStyle name="Tytuł 2 6 2 2 2 3 7" xfId="34587" xr:uid="{00000000-0005-0000-0000-0000388A0000}"/>
    <cellStyle name="Tytuł 2 6 2 2 2 4" xfId="34588" xr:uid="{00000000-0005-0000-0000-0000398A0000}"/>
    <cellStyle name="Tytuł 2 6 2 2 2 5" xfId="34589" xr:uid="{00000000-0005-0000-0000-00003A8A0000}"/>
    <cellStyle name="Tytuł 2 6 2 2 2 6" xfId="34590" xr:uid="{00000000-0005-0000-0000-00003B8A0000}"/>
    <cellStyle name="Tytuł 2 6 2 2 2 7" xfId="34591" xr:uid="{00000000-0005-0000-0000-00003C8A0000}"/>
    <cellStyle name="Tytuł 2 6 2 2 2 7 2" xfId="34592" xr:uid="{00000000-0005-0000-0000-00003D8A0000}"/>
    <cellStyle name="Tytuł 2 6 2 2 2 7 3" xfId="34593" xr:uid="{00000000-0005-0000-0000-00003E8A0000}"/>
    <cellStyle name="Tytuł 2 6 2 2 2 7 4" xfId="34594" xr:uid="{00000000-0005-0000-0000-00003F8A0000}"/>
    <cellStyle name="Tytuł 2 6 2 2 2 7 5" xfId="34595" xr:uid="{00000000-0005-0000-0000-0000408A0000}"/>
    <cellStyle name="Tytuł 2 6 2 2 2 7 6" xfId="34596" xr:uid="{00000000-0005-0000-0000-0000418A0000}"/>
    <cellStyle name="Tytuł 2 6 2 2 2 8" xfId="34597" xr:uid="{00000000-0005-0000-0000-0000428A0000}"/>
    <cellStyle name="Tytuł 2 6 2 2 2 9" xfId="34598" xr:uid="{00000000-0005-0000-0000-0000438A0000}"/>
    <cellStyle name="Tytuł 2 6 2 2 3" xfId="34599" xr:uid="{00000000-0005-0000-0000-0000448A0000}"/>
    <cellStyle name="Tytuł 2 6 2 2 3 2" xfId="34600" xr:uid="{00000000-0005-0000-0000-0000458A0000}"/>
    <cellStyle name="Tytuł 2 6 2 2 3 2 2" xfId="34601" xr:uid="{00000000-0005-0000-0000-0000468A0000}"/>
    <cellStyle name="Tytuł 2 6 2 2 3 2 3" xfId="34602" xr:uid="{00000000-0005-0000-0000-0000478A0000}"/>
    <cellStyle name="Tytuł 2 6 2 2 3 2 4" xfId="34603" xr:uid="{00000000-0005-0000-0000-0000488A0000}"/>
    <cellStyle name="Tytuł 2 6 2 2 3 2 5" xfId="34604" xr:uid="{00000000-0005-0000-0000-0000498A0000}"/>
    <cellStyle name="Tytuł 2 6 2 2 3 2 6" xfId="34605" xr:uid="{00000000-0005-0000-0000-00004A8A0000}"/>
    <cellStyle name="Tytuł 2 6 2 2 3 3" xfId="34606" xr:uid="{00000000-0005-0000-0000-00004B8A0000}"/>
    <cellStyle name="Tytuł 2 6 2 2 3 4" xfId="34607" xr:uid="{00000000-0005-0000-0000-00004C8A0000}"/>
    <cellStyle name="Tytuł 2 6 2 2 3 5" xfId="34608" xr:uid="{00000000-0005-0000-0000-00004D8A0000}"/>
    <cellStyle name="Tytuł 2 6 2 2 3 6" xfId="34609" xr:uid="{00000000-0005-0000-0000-00004E8A0000}"/>
    <cellStyle name="Tytuł 2 6 2 2 3 7" xfId="34610" xr:uid="{00000000-0005-0000-0000-00004F8A0000}"/>
    <cellStyle name="Tytuł 2 6 2 2 4" xfId="34611" xr:uid="{00000000-0005-0000-0000-0000508A0000}"/>
    <cellStyle name="Tytuł 2 6 2 2 5" xfId="34612" xr:uid="{00000000-0005-0000-0000-0000518A0000}"/>
    <cellStyle name="Tytuł 2 6 2 2 6" xfId="34613" xr:uid="{00000000-0005-0000-0000-0000528A0000}"/>
    <cellStyle name="Tytuł 2 6 2 2 7" xfId="34614" xr:uid="{00000000-0005-0000-0000-0000538A0000}"/>
    <cellStyle name="Tytuł 2 6 2 2 8" xfId="34615" xr:uid="{00000000-0005-0000-0000-0000548A0000}"/>
    <cellStyle name="Tytuł 2 6 2 2 8 2" xfId="34616" xr:uid="{00000000-0005-0000-0000-0000558A0000}"/>
    <cellStyle name="Tytuł 2 6 2 2 8 3" xfId="34617" xr:uid="{00000000-0005-0000-0000-0000568A0000}"/>
    <cellStyle name="Tytuł 2 6 2 2 8 4" xfId="34618" xr:uid="{00000000-0005-0000-0000-0000578A0000}"/>
    <cellStyle name="Tytuł 2 6 2 2 8 5" xfId="34619" xr:uid="{00000000-0005-0000-0000-0000588A0000}"/>
    <cellStyle name="Tytuł 2 6 2 2 8 6" xfId="34620" xr:uid="{00000000-0005-0000-0000-0000598A0000}"/>
    <cellStyle name="Tytuł 2 6 2 2 9" xfId="34621" xr:uid="{00000000-0005-0000-0000-00005A8A0000}"/>
    <cellStyle name="Tytuł 2 6 2 3" xfId="34622" xr:uid="{00000000-0005-0000-0000-00005B8A0000}"/>
    <cellStyle name="Tytuł 2 6 2 4" xfId="34623" xr:uid="{00000000-0005-0000-0000-00005C8A0000}"/>
    <cellStyle name="Tytuł 2 6 2 4 10" xfId="34624" xr:uid="{00000000-0005-0000-0000-00005D8A0000}"/>
    <cellStyle name="Tytuł 2 6 2 4 11" xfId="34625" xr:uid="{00000000-0005-0000-0000-00005E8A0000}"/>
    <cellStyle name="Tytuł 2 6 2 4 2" xfId="34626" xr:uid="{00000000-0005-0000-0000-00005F8A0000}"/>
    <cellStyle name="Tytuł 2 6 2 4 2 2" xfId="34627" xr:uid="{00000000-0005-0000-0000-0000608A0000}"/>
    <cellStyle name="Tytuł 2 6 2 4 2 2 2" xfId="34628" xr:uid="{00000000-0005-0000-0000-0000618A0000}"/>
    <cellStyle name="Tytuł 2 6 2 4 2 2 3" xfId="34629" xr:uid="{00000000-0005-0000-0000-0000628A0000}"/>
    <cellStyle name="Tytuł 2 6 2 4 2 2 4" xfId="34630" xr:uid="{00000000-0005-0000-0000-0000638A0000}"/>
    <cellStyle name="Tytuł 2 6 2 4 2 2 5" xfId="34631" xr:uid="{00000000-0005-0000-0000-0000648A0000}"/>
    <cellStyle name="Tytuł 2 6 2 4 2 2 6" xfId="34632" xr:uid="{00000000-0005-0000-0000-0000658A0000}"/>
    <cellStyle name="Tytuł 2 6 2 4 2 3" xfId="34633" xr:uid="{00000000-0005-0000-0000-0000668A0000}"/>
    <cellStyle name="Tytuł 2 6 2 4 2 4" xfId="34634" xr:uid="{00000000-0005-0000-0000-0000678A0000}"/>
    <cellStyle name="Tytuł 2 6 2 4 2 5" xfId="34635" xr:uid="{00000000-0005-0000-0000-0000688A0000}"/>
    <cellStyle name="Tytuł 2 6 2 4 2 6" xfId="34636" xr:uid="{00000000-0005-0000-0000-0000698A0000}"/>
    <cellStyle name="Tytuł 2 6 2 4 2 7" xfId="34637" xr:uid="{00000000-0005-0000-0000-00006A8A0000}"/>
    <cellStyle name="Tytuł 2 6 2 4 3" xfId="34638" xr:uid="{00000000-0005-0000-0000-00006B8A0000}"/>
    <cellStyle name="Tytuł 2 6 2 4 4" xfId="34639" xr:uid="{00000000-0005-0000-0000-00006C8A0000}"/>
    <cellStyle name="Tytuł 2 6 2 4 5" xfId="34640" xr:uid="{00000000-0005-0000-0000-00006D8A0000}"/>
    <cellStyle name="Tytuł 2 6 2 4 6" xfId="34641" xr:uid="{00000000-0005-0000-0000-00006E8A0000}"/>
    <cellStyle name="Tytuł 2 6 2 4 7" xfId="34642" xr:uid="{00000000-0005-0000-0000-00006F8A0000}"/>
    <cellStyle name="Tytuł 2 6 2 4 7 2" xfId="34643" xr:uid="{00000000-0005-0000-0000-0000708A0000}"/>
    <cellStyle name="Tytuł 2 6 2 4 7 3" xfId="34644" xr:uid="{00000000-0005-0000-0000-0000718A0000}"/>
    <cellStyle name="Tytuł 2 6 2 4 7 4" xfId="34645" xr:uid="{00000000-0005-0000-0000-0000728A0000}"/>
    <cellStyle name="Tytuł 2 6 2 4 7 5" xfId="34646" xr:uid="{00000000-0005-0000-0000-0000738A0000}"/>
    <cellStyle name="Tytuł 2 6 2 4 7 6" xfId="34647" xr:uid="{00000000-0005-0000-0000-0000748A0000}"/>
    <cellStyle name="Tytuł 2 6 2 4 8" xfId="34648" xr:uid="{00000000-0005-0000-0000-0000758A0000}"/>
    <cellStyle name="Tytuł 2 6 2 4 9" xfId="34649" xr:uid="{00000000-0005-0000-0000-0000768A0000}"/>
    <cellStyle name="Tytuł 2 6 2 5" xfId="34650" xr:uid="{00000000-0005-0000-0000-0000778A0000}"/>
    <cellStyle name="Tytuł 2 6 2 5 2" xfId="34651" xr:uid="{00000000-0005-0000-0000-0000788A0000}"/>
    <cellStyle name="Tytuł 2 6 2 5 2 2" xfId="34652" xr:uid="{00000000-0005-0000-0000-0000798A0000}"/>
    <cellStyle name="Tytuł 2 6 2 5 2 3" xfId="34653" xr:uid="{00000000-0005-0000-0000-00007A8A0000}"/>
    <cellStyle name="Tytuł 2 6 2 5 2 4" xfId="34654" xr:uid="{00000000-0005-0000-0000-00007B8A0000}"/>
    <cellStyle name="Tytuł 2 6 2 5 2 5" xfId="34655" xr:uid="{00000000-0005-0000-0000-00007C8A0000}"/>
    <cellStyle name="Tytuł 2 6 2 5 2 6" xfId="34656" xr:uid="{00000000-0005-0000-0000-00007D8A0000}"/>
    <cellStyle name="Tytuł 2 6 2 5 3" xfId="34657" xr:uid="{00000000-0005-0000-0000-00007E8A0000}"/>
    <cellStyle name="Tytuł 2 6 2 5 4" xfId="34658" xr:uid="{00000000-0005-0000-0000-00007F8A0000}"/>
    <cellStyle name="Tytuł 2 6 2 5 5" xfId="34659" xr:uid="{00000000-0005-0000-0000-0000808A0000}"/>
    <cellStyle name="Tytuł 2 6 2 5 6" xfId="34660" xr:uid="{00000000-0005-0000-0000-0000818A0000}"/>
    <cellStyle name="Tytuł 2 6 2 5 7" xfId="34661" xr:uid="{00000000-0005-0000-0000-0000828A0000}"/>
    <cellStyle name="Tytuł 2 6 2 6" xfId="34662" xr:uid="{00000000-0005-0000-0000-0000838A0000}"/>
    <cellStyle name="Tytuł 2 6 2 7" xfId="34663" xr:uid="{00000000-0005-0000-0000-0000848A0000}"/>
    <cellStyle name="Tytuł 2 6 2 8" xfId="34664" xr:uid="{00000000-0005-0000-0000-0000858A0000}"/>
    <cellStyle name="Tytuł 2 6 2 9" xfId="34665" xr:uid="{00000000-0005-0000-0000-0000868A0000}"/>
    <cellStyle name="Tytuł 2 6 2 9 2" xfId="34666" xr:uid="{00000000-0005-0000-0000-0000878A0000}"/>
    <cellStyle name="Tytuł 2 6 2 9 3" xfId="34667" xr:uid="{00000000-0005-0000-0000-0000888A0000}"/>
    <cellStyle name="Tytuł 2 6 2 9 4" xfId="34668" xr:uid="{00000000-0005-0000-0000-0000898A0000}"/>
    <cellStyle name="Tytuł 2 6 2 9 5" xfId="34669" xr:uid="{00000000-0005-0000-0000-00008A8A0000}"/>
    <cellStyle name="Tytuł 2 6 2 9 6" xfId="34670" xr:uid="{00000000-0005-0000-0000-00008B8A0000}"/>
    <cellStyle name="Tytuł 2 6 3" xfId="34671" xr:uid="{00000000-0005-0000-0000-00008C8A0000}"/>
    <cellStyle name="Tytuł 2 6 3 10" xfId="34672" xr:uid="{00000000-0005-0000-0000-00008D8A0000}"/>
    <cellStyle name="Tytuł 2 6 3 11" xfId="34673" xr:uid="{00000000-0005-0000-0000-00008E8A0000}"/>
    <cellStyle name="Tytuł 2 6 3 12" xfId="34674" xr:uid="{00000000-0005-0000-0000-00008F8A0000}"/>
    <cellStyle name="Tytuł 2 6 3 2" xfId="34675" xr:uid="{00000000-0005-0000-0000-0000908A0000}"/>
    <cellStyle name="Tytuł 2 6 3 2 10" xfId="34676" xr:uid="{00000000-0005-0000-0000-0000918A0000}"/>
    <cellStyle name="Tytuł 2 6 3 2 11" xfId="34677" xr:uid="{00000000-0005-0000-0000-0000928A0000}"/>
    <cellStyle name="Tytuł 2 6 3 2 2" xfId="34678" xr:uid="{00000000-0005-0000-0000-0000938A0000}"/>
    <cellStyle name="Tytuł 2 6 3 2 2 10" xfId="34679" xr:uid="{00000000-0005-0000-0000-0000948A0000}"/>
    <cellStyle name="Tytuł 2 6 3 2 2 11" xfId="34680" xr:uid="{00000000-0005-0000-0000-0000958A0000}"/>
    <cellStyle name="Tytuł 2 6 3 2 2 2" xfId="34681" xr:uid="{00000000-0005-0000-0000-0000968A0000}"/>
    <cellStyle name="Tytuł 2 6 3 2 2 2 2" xfId="34682" xr:uid="{00000000-0005-0000-0000-0000978A0000}"/>
    <cellStyle name="Tytuł 2 6 3 2 2 2 2 2" xfId="34683" xr:uid="{00000000-0005-0000-0000-0000988A0000}"/>
    <cellStyle name="Tytuł 2 6 3 2 2 2 2 3" xfId="34684" xr:uid="{00000000-0005-0000-0000-0000998A0000}"/>
    <cellStyle name="Tytuł 2 6 3 2 2 2 2 4" xfId="34685" xr:uid="{00000000-0005-0000-0000-00009A8A0000}"/>
    <cellStyle name="Tytuł 2 6 3 2 2 2 2 5" xfId="34686" xr:uid="{00000000-0005-0000-0000-00009B8A0000}"/>
    <cellStyle name="Tytuł 2 6 3 2 2 2 2 6" xfId="34687" xr:uid="{00000000-0005-0000-0000-00009C8A0000}"/>
    <cellStyle name="Tytuł 2 6 3 2 2 2 3" xfId="34688" xr:uid="{00000000-0005-0000-0000-00009D8A0000}"/>
    <cellStyle name="Tytuł 2 6 3 2 2 2 4" xfId="34689" xr:uid="{00000000-0005-0000-0000-00009E8A0000}"/>
    <cellStyle name="Tytuł 2 6 3 2 2 2 5" xfId="34690" xr:uid="{00000000-0005-0000-0000-00009F8A0000}"/>
    <cellStyle name="Tytuł 2 6 3 2 2 2 6" xfId="34691" xr:uid="{00000000-0005-0000-0000-0000A08A0000}"/>
    <cellStyle name="Tytuł 2 6 3 2 2 2 7" xfId="34692" xr:uid="{00000000-0005-0000-0000-0000A18A0000}"/>
    <cellStyle name="Tytuł 2 6 3 2 2 3" xfId="34693" xr:uid="{00000000-0005-0000-0000-0000A28A0000}"/>
    <cellStyle name="Tytuł 2 6 3 2 2 4" xfId="34694" xr:uid="{00000000-0005-0000-0000-0000A38A0000}"/>
    <cellStyle name="Tytuł 2 6 3 2 2 5" xfId="34695" xr:uid="{00000000-0005-0000-0000-0000A48A0000}"/>
    <cellStyle name="Tytuł 2 6 3 2 2 6" xfId="34696" xr:uid="{00000000-0005-0000-0000-0000A58A0000}"/>
    <cellStyle name="Tytuł 2 6 3 2 2 7" xfId="34697" xr:uid="{00000000-0005-0000-0000-0000A68A0000}"/>
    <cellStyle name="Tytuł 2 6 3 2 2 7 2" xfId="34698" xr:uid="{00000000-0005-0000-0000-0000A78A0000}"/>
    <cellStyle name="Tytuł 2 6 3 2 2 7 3" xfId="34699" xr:uid="{00000000-0005-0000-0000-0000A88A0000}"/>
    <cellStyle name="Tytuł 2 6 3 2 2 7 4" xfId="34700" xr:uid="{00000000-0005-0000-0000-0000A98A0000}"/>
    <cellStyle name="Tytuł 2 6 3 2 2 7 5" xfId="34701" xr:uid="{00000000-0005-0000-0000-0000AA8A0000}"/>
    <cellStyle name="Tytuł 2 6 3 2 2 7 6" xfId="34702" xr:uid="{00000000-0005-0000-0000-0000AB8A0000}"/>
    <cellStyle name="Tytuł 2 6 3 2 2 8" xfId="34703" xr:uid="{00000000-0005-0000-0000-0000AC8A0000}"/>
    <cellStyle name="Tytuł 2 6 3 2 2 9" xfId="34704" xr:uid="{00000000-0005-0000-0000-0000AD8A0000}"/>
    <cellStyle name="Tytuł 2 6 3 2 3" xfId="34705" xr:uid="{00000000-0005-0000-0000-0000AE8A0000}"/>
    <cellStyle name="Tytuł 2 6 3 2 3 2" xfId="34706" xr:uid="{00000000-0005-0000-0000-0000AF8A0000}"/>
    <cellStyle name="Tytuł 2 6 3 2 3 2 2" xfId="34707" xr:uid="{00000000-0005-0000-0000-0000B08A0000}"/>
    <cellStyle name="Tytuł 2 6 3 2 3 2 3" xfId="34708" xr:uid="{00000000-0005-0000-0000-0000B18A0000}"/>
    <cellStyle name="Tytuł 2 6 3 2 3 2 4" xfId="34709" xr:uid="{00000000-0005-0000-0000-0000B28A0000}"/>
    <cellStyle name="Tytuł 2 6 3 2 3 2 5" xfId="34710" xr:uid="{00000000-0005-0000-0000-0000B38A0000}"/>
    <cellStyle name="Tytuł 2 6 3 2 3 2 6" xfId="34711" xr:uid="{00000000-0005-0000-0000-0000B48A0000}"/>
    <cellStyle name="Tytuł 2 6 3 2 3 3" xfId="34712" xr:uid="{00000000-0005-0000-0000-0000B58A0000}"/>
    <cellStyle name="Tytuł 2 6 3 2 3 4" xfId="34713" xr:uid="{00000000-0005-0000-0000-0000B68A0000}"/>
    <cellStyle name="Tytuł 2 6 3 2 3 5" xfId="34714" xr:uid="{00000000-0005-0000-0000-0000B78A0000}"/>
    <cellStyle name="Tytuł 2 6 3 2 3 6" xfId="34715" xr:uid="{00000000-0005-0000-0000-0000B88A0000}"/>
    <cellStyle name="Tytuł 2 6 3 2 3 7" xfId="34716" xr:uid="{00000000-0005-0000-0000-0000B98A0000}"/>
    <cellStyle name="Tytuł 2 6 3 2 4" xfId="34717" xr:uid="{00000000-0005-0000-0000-0000BA8A0000}"/>
    <cellStyle name="Tytuł 2 6 3 2 5" xfId="34718" xr:uid="{00000000-0005-0000-0000-0000BB8A0000}"/>
    <cellStyle name="Tytuł 2 6 3 2 6" xfId="34719" xr:uid="{00000000-0005-0000-0000-0000BC8A0000}"/>
    <cellStyle name="Tytuł 2 6 3 2 7" xfId="34720" xr:uid="{00000000-0005-0000-0000-0000BD8A0000}"/>
    <cellStyle name="Tytuł 2 6 3 2 7 2" xfId="34721" xr:uid="{00000000-0005-0000-0000-0000BE8A0000}"/>
    <cellStyle name="Tytuł 2 6 3 2 7 3" xfId="34722" xr:uid="{00000000-0005-0000-0000-0000BF8A0000}"/>
    <cellStyle name="Tytuł 2 6 3 2 7 4" xfId="34723" xr:uid="{00000000-0005-0000-0000-0000C08A0000}"/>
    <cellStyle name="Tytuł 2 6 3 2 7 5" xfId="34724" xr:uid="{00000000-0005-0000-0000-0000C18A0000}"/>
    <cellStyle name="Tytuł 2 6 3 2 7 6" xfId="34725" xr:uid="{00000000-0005-0000-0000-0000C28A0000}"/>
    <cellStyle name="Tytuł 2 6 3 2 8" xfId="34726" xr:uid="{00000000-0005-0000-0000-0000C38A0000}"/>
    <cellStyle name="Tytuł 2 6 3 2 9" xfId="34727" xr:uid="{00000000-0005-0000-0000-0000C48A0000}"/>
    <cellStyle name="Tytuł 2 6 3 3" xfId="34728" xr:uid="{00000000-0005-0000-0000-0000C58A0000}"/>
    <cellStyle name="Tytuł 2 6 3 3 2" xfId="34729" xr:uid="{00000000-0005-0000-0000-0000C68A0000}"/>
    <cellStyle name="Tytuł 2 6 3 3 2 2" xfId="34730" xr:uid="{00000000-0005-0000-0000-0000C78A0000}"/>
    <cellStyle name="Tytuł 2 6 3 3 2 3" xfId="34731" xr:uid="{00000000-0005-0000-0000-0000C88A0000}"/>
    <cellStyle name="Tytuł 2 6 3 3 2 4" xfId="34732" xr:uid="{00000000-0005-0000-0000-0000C98A0000}"/>
    <cellStyle name="Tytuł 2 6 3 3 2 5" xfId="34733" xr:uid="{00000000-0005-0000-0000-0000CA8A0000}"/>
    <cellStyle name="Tytuł 2 6 3 3 2 6" xfId="34734" xr:uid="{00000000-0005-0000-0000-0000CB8A0000}"/>
    <cellStyle name="Tytuł 2 6 3 3 3" xfId="34735" xr:uid="{00000000-0005-0000-0000-0000CC8A0000}"/>
    <cellStyle name="Tytuł 2 6 3 3 4" xfId="34736" xr:uid="{00000000-0005-0000-0000-0000CD8A0000}"/>
    <cellStyle name="Tytuł 2 6 3 3 5" xfId="34737" xr:uid="{00000000-0005-0000-0000-0000CE8A0000}"/>
    <cellStyle name="Tytuł 2 6 3 3 6" xfId="34738" xr:uid="{00000000-0005-0000-0000-0000CF8A0000}"/>
    <cellStyle name="Tytuł 2 6 3 3 7" xfId="34739" xr:uid="{00000000-0005-0000-0000-0000D08A0000}"/>
    <cellStyle name="Tytuł 2 6 3 4" xfId="34740" xr:uid="{00000000-0005-0000-0000-0000D18A0000}"/>
    <cellStyle name="Tytuł 2 6 3 5" xfId="34741" xr:uid="{00000000-0005-0000-0000-0000D28A0000}"/>
    <cellStyle name="Tytuł 2 6 3 6" xfId="34742" xr:uid="{00000000-0005-0000-0000-0000D38A0000}"/>
    <cellStyle name="Tytuł 2 6 3 7" xfId="34743" xr:uid="{00000000-0005-0000-0000-0000D48A0000}"/>
    <cellStyle name="Tytuł 2 6 3 8" xfId="34744" xr:uid="{00000000-0005-0000-0000-0000D58A0000}"/>
    <cellStyle name="Tytuł 2 6 3 8 2" xfId="34745" xr:uid="{00000000-0005-0000-0000-0000D68A0000}"/>
    <cellStyle name="Tytuł 2 6 3 8 3" xfId="34746" xr:uid="{00000000-0005-0000-0000-0000D78A0000}"/>
    <cellStyle name="Tytuł 2 6 3 8 4" xfId="34747" xr:uid="{00000000-0005-0000-0000-0000D88A0000}"/>
    <cellStyle name="Tytuł 2 6 3 8 5" xfId="34748" xr:uid="{00000000-0005-0000-0000-0000D98A0000}"/>
    <cellStyle name="Tytuł 2 6 3 8 6" xfId="34749" xr:uid="{00000000-0005-0000-0000-0000DA8A0000}"/>
    <cellStyle name="Tytuł 2 6 3 9" xfId="34750" xr:uid="{00000000-0005-0000-0000-0000DB8A0000}"/>
    <cellStyle name="Tytuł 2 6 4" xfId="34751" xr:uid="{00000000-0005-0000-0000-0000DC8A0000}"/>
    <cellStyle name="Tytuł 2 6 4 10" xfId="34752" xr:uid="{00000000-0005-0000-0000-0000DD8A0000}"/>
    <cellStyle name="Tytuł 2 6 4 11" xfId="34753" xr:uid="{00000000-0005-0000-0000-0000DE8A0000}"/>
    <cellStyle name="Tytuł 2 6 4 2" xfId="34754" xr:uid="{00000000-0005-0000-0000-0000DF8A0000}"/>
    <cellStyle name="Tytuł 2 6 4 2 2" xfId="34755" xr:uid="{00000000-0005-0000-0000-0000E08A0000}"/>
    <cellStyle name="Tytuł 2 6 4 2 2 2" xfId="34756" xr:uid="{00000000-0005-0000-0000-0000E18A0000}"/>
    <cellStyle name="Tytuł 2 6 4 2 2 3" xfId="34757" xr:uid="{00000000-0005-0000-0000-0000E28A0000}"/>
    <cellStyle name="Tytuł 2 6 4 2 2 4" xfId="34758" xr:uid="{00000000-0005-0000-0000-0000E38A0000}"/>
    <cellStyle name="Tytuł 2 6 4 2 2 5" xfId="34759" xr:uid="{00000000-0005-0000-0000-0000E48A0000}"/>
    <cellStyle name="Tytuł 2 6 4 2 2 6" xfId="34760" xr:uid="{00000000-0005-0000-0000-0000E58A0000}"/>
    <cellStyle name="Tytuł 2 6 4 2 3" xfId="34761" xr:uid="{00000000-0005-0000-0000-0000E68A0000}"/>
    <cellStyle name="Tytuł 2 6 4 2 4" xfId="34762" xr:uid="{00000000-0005-0000-0000-0000E78A0000}"/>
    <cellStyle name="Tytuł 2 6 4 2 5" xfId="34763" xr:uid="{00000000-0005-0000-0000-0000E88A0000}"/>
    <cellStyle name="Tytuł 2 6 4 2 6" xfId="34764" xr:uid="{00000000-0005-0000-0000-0000E98A0000}"/>
    <cellStyle name="Tytuł 2 6 4 2 7" xfId="34765" xr:uid="{00000000-0005-0000-0000-0000EA8A0000}"/>
    <cellStyle name="Tytuł 2 6 4 3" xfId="34766" xr:uid="{00000000-0005-0000-0000-0000EB8A0000}"/>
    <cellStyle name="Tytuł 2 6 4 4" xfId="34767" xr:uid="{00000000-0005-0000-0000-0000EC8A0000}"/>
    <cellStyle name="Tytuł 2 6 4 5" xfId="34768" xr:uid="{00000000-0005-0000-0000-0000ED8A0000}"/>
    <cellStyle name="Tytuł 2 6 4 6" xfId="34769" xr:uid="{00000000-0005-0000-0000-0000EE8A0000}"/>
    <cellStyle name="Tytuł 2 6 4 7" xfId="34770" xr:uid="{00000000-0005-0000-0000-0000EF8A0000}"/>
    <cellStyle name="Tytuł 2 6 4 7 2" xfId="34771" xr:uid="{00000000-0005-0000-0000-0000F08A0000}"/>
    <cellStyle name="Tytuł 2 6 4 7 3" xfId="34772" xr:uid="{00000000-0005-0000-0000-0000F18A0000}"/>
    <cellStyle name="Tytuł 2 6 4 7 4" xfId="34773" xr:uid="{00000000-0005-0000-0000-0000F28A0000}"/>
    <cellStyle name="Tytuł 2 6 4 7 5" xfId="34774" xr:uid="{00000000-0005-0000-0000-0000F38A0000}"/>
    <cellStyle name="Tytuł 2 6 4 7 6" xfId="34775" xr:uid="{00000000-0005-0000-0000-0000F48A0000}"/>
    <cellStyle name="Tytuł 2 6 4 8" xfId="34776" xr:uid="{00000000-0005-0000-0000-0000F58A0000}"/>
    <cellStyle name="Tytuł 2 6 4 9" xfId="34777" xr:uid="{00000000-0005-0000-0000-0000F68A0000}"/>
    <cellStyle name="Tytuł 2 6 5" xfId="34778" xr:uid="{00000000-0005-0000-0000-0000F78A0000}"/>
    <cellStyle name="Tytuł 2 6 5 2" xfId="34779" xr:uid="{00000000-0005-0000-0000-0000F88A0000}"/>
    <cellStyle name="Tytuł 2 6 5 2 2" xfId="34780" xr:uid="{00000000-0005-0000-0000-0000F98A0000}"/>
    <cellStyle name="Tytuł 2 6 5 2 3" xfId="34781" xr:uid="{00000000-0005-0000-0000-0000FA8A0000}"/>
    <cellStyle name="Tytuł 2 6 5 2 4" xfId="34782" xr:uid="{00000000-0005-0000-0000-0000FB8A0000}"/>
    <cellStyle name="Tytuł 2 6 5 2 5" xfId="34783" xr:uid="{00000000-0005-0000-0000-0000FC8A0000}"/>
    <cellStyle name="Tytuł 2 6 5 2 6" xfId="34784" xr:uid="{00000000-0005-0000-0000-0000FD8A0000}"/>
    <cellStyle name="Tytuł 2 6 5 3" xfId="34785" xr:uid="{00000000-0005-0000-0000-0000FE8A0000}"/>
    <cellStyle name="Tytuł 2 6 5 4" xfId="34786" xr:uid="{00000000-0005-0000-0000-0000FF8A0000}"/>
    <cellStyle name="Tytuł 2 6 5 5" xfId="34787" xr:uid="{00000000-0005-0000-0000-0000008B0000}"/>
    <cellStyle name="Tytuł 2 6 5 6" xfId="34788" xr:uid="{00000000-0005-0000-0000-0000018B0000}"/>
    <cellStyle name="Tytuł 2 6 5 7" xfId="34789" xr:uid="{00000000-0005-0000-0000-0000028B0000}"/>
    <cellStyle name="Tytuł 2 6 6" xfId="34790" xr:uid="{00000000-0005-0000-0000-0000038B0000}"/>
    <cellStyle name="Tytuł 2 6 7" xfId="34791" xr:uid="{00000000-0005-0000-0000-0000048B0000}"/>
    <cellStyle name="Tytuł 2 6 8" xfId="34792" xr:uid="{00000000-0005-0000-0000-0000058B0000}"/>
    <cellStyle name="Tytuł 2 6 9" xfId="34793" xr:uid="{00000000-0005-0000-0000-0000068B0000}"/>
    <cellStyle name="Tytuł 2 6 9 2" xfId="34794" xr:uid="{00000000-0005-0000-0000-0000078B0000}"/>
    <cellStyle name="Tytuł 2 6 9 3" xfId="34795" xr:uid="{00000000-0005-0000-0000-0000088B0000}"/>
    <cellStyle name="Tytuł 2 6 9 4" xfId="34796" xr:uid="{00000000-0005-0000-0000-0000098B0000}"/>
    <cellStyle name="Tytuł 2 6 9 5" xfId="34797" xr:uid="{00000000-0005-0000-0000-00000A8B0000}"/>
    <cellStyle name="Tytuł 2 6 9 6" xfId="34798" xr:uid="{00000000-0005-0000-0000-00000B8B0000}"/>
    <cellStyle name="Tytuł 2 7" xfId="34799" xr:uid="{00000000-0005-0000-0000-00000C8B0000}"/>
    <cellStyle name="Tytuł 2 8" xfId="34800" xr:uid="{00000000-0005-0000-0000-00000D8B0000}"/>
    <cellStyle name="Tytuł 2 9" xfId="34801" xr:uid="{00000000-0005-0000-0000-00000E8B0000}"/>
    <cellStyle name="Tytuł 3" xfId="354" xr:uid="{00000000-0005-0000-0000-00000F8B0000}"/>
    <cellStyle name="Tytuł 3 2" xfId="34803" xr:uid="{00000000-0005-0000-0000-0000108B0000}"/>
    <cellStyle name="Tytuł 3 3" xfId="34802" xr:uid="{00000000-0005-0000-0000-0000118B0000}"/>
    <cellStyle name="Tytuł 4" xfId="355" xr:uid="{00000000-0005-0000-0000-0000128B0000}"/>
    <cellStyle name="Tytuł 4 2" xfId="34805" xr:uid="{00000000-0005-0000-0000-0000138B0000}"/>
    <cellStyle name="Tytuł 4 3" xfId="34804" xr:uid="{00000000-0005-0000-0000-0000148B0000}"/>
    <cellStyle name="Tytuł 5" xfId="356" xr:uid="{00000000-0005-0000-0000-0000158B0000}"/>
    <cellStyle name="Tytuł 5 2" xfId="34807" xr:uid="{00000000-0005-0000-0000-0000168B0000}"/>
    <cellStyle name="Tytuł 5 3" xfId="34806" xr:uid="{00000000-0005-0000-0000-0000178B0000}"/>
    <cellStyle name="Tytuł 6" xfId="357" xr:uid="{00000000-0005-0000-0000-0000188B0000}"/>
    <cellStyle name="Tytuł 6 2" xfId="34809" xr:uid="{00000000-0005-0000-0000-0000198B0000}"/>
    <cellStyle name="Tytuł 6 3" xfId="34808" xr:uid="{00000000-0005-0000-0000-00001A8B0000}"/>
    <cellStyle name="Tytuł 7" xfId="358" xr:uid="{00000000-0005-0000-0000-00001B8B0000}"/>
    <cellStyle name="Tytuł 7 2" xfId="34811" xr:uid="{00000000-0005-0000-0000-00001C8B0000}"/>
    <cellStyle name="Tytuł 7 3" xfId="34810" xr:uid="{00000000-0005-0000-0000-00001D8B0000}"/>
    <cellStyle name="Tytuł 8" xfId="34812" xr:uid="{00000000-0005-0000-0000-00001E8B0000}"/>
    <cellStyle name="Tytuł 9" xfId="34813" xr:uid="{00000000-0005-0000-0000-00001F8B0000}"/>
    <cellStyle name="Unit" xfId="359" xr:uid="{00000000-0005-0000-0000-0000208B0000}"/>
    <cellStyle name="Uwaga 1" xfId="34814" xr:uid="{00000000-0005-0000-0000-0000218B0000}"/>
    <cellStyle name="Uwaga 1 2" xfId="34815" xr:uid="{00000000-0005-0000-0000-0000228B0000}"/>
    <cellStyle name="Uwaga 1 2 2" xfId="34816" xr:uid="{00000000-0005-0000-0000-0000238B0000}"/>
    <cellStyle name="Uwaga 1 3" xfId="34817" xr:uid="{00000000-0005-0000-0000-0000248B0000}"/>
    <cellStyle name="Uwaga 10" xfId="34818" xr:uid="{00000000-0005-0000-0000-0000258B0000}"/>
    <cellStyle name="Uwaga 10 2" xfId="34819" xr:uid="{00000000-0005-0000-0000-0000268B0000}"/>
    <cellStyle name="Uwaga 10 2 2" xfId="34820" xr:uid="{00000000-0005-0000-0000-0000278B0000}"/>
    <cellStyle name="Uwaga 10 3" xfId="34821" xr:uid="{00000000-0005-0000-0000-0000288B0000}"/>
    <cellStyle name="Uwaga 11" xfId="34822" xr:uid="{00000000-0005-0000-0000-0000298B0000}"/>
    <cellStyle name="Uwaga 11 2" xfId="34823" xr:uid="{00000000-0005-0000-0000-00002A8B0000}"/>
    <cellStyle name="Uwaga 11 2 2" xfId="34824" xr:uid="{00000000-0005-0000-0000-00002B8B0000}"/>
    <cellStyle name="Uwaga 11 3" xfId="34825" xr:uid="{00000000-0005-0000-0000-00002C8B0000}"/>
    <cellStyle name="Uwaga 12" xfId="34826" xr:uid="{00000000-0005-0000-0000-00002D8B0000}"/>
    <cellStyle name="Uwaga 12 2" xfId="34827" xr:uid="{00000000-0005-0000-0000-00002E8B0000}"/>
    <cellStyle name="Uwaga 12 2 2" xfId="34828" xr:uid="{00000000-0005-0000-0000-00002F8B0000}"/>
    <cellStyle name="Uwaga 12 3" xfId="34829" xr:uid="{00000000-0005-0000-0000-0000308B0000}"/>
    <cellStyle name="Uwaga 13" xfId="34830" xr:uid="{00000000-0005-0000-0000-0000318B0000}"/>
    <cellStyle name="Uwaga 13 2" xfId="34831" xr:uid="{00000000-0005-0000-0000-0000328B0000}"/>
    <cellStyle name="Uwaga 13 2 2" xfId="34832" xr:uid="{00000000-0005-0000-0000-0000338B0000}"/>
    <cellStyle name="Uwaga 13 3" xfId="34833" xr:uid="{00000000-0005-0000-0000-0000348B0000}"/>
    <cellStyle name="Uwaga 14" xfId="34834" xr:uid="{00000000-0005-0000-0000-0000358B0000}"/>
    <cellStyle name="Uwaga 14 2" xfId="34835" xr:uid="{00000000-0005-0000-0000-0000368B0000}"/>
    <cellStyle name="Uwaga 14 2 2" xfId="34836" xr:uid="{00000000-0005-0000-0000-0000378B0000}"/>
    <cellStyle name="Uwaga 14 3" xfId="34837" xr:uid="{00000000-0005-0000-0000-0000388B0000}"/>
    <cellStyle name="Uwaga 15" xfId="34838" xr:uid="{00000000-0005-0000-0000-0000398B0000}"/>
    <cellStyle name="Uwaga 15 2" xfId="34839" xr:uid="{00000000-0005-0000-0000-00003A8B0000}"/>
    <cellStyle name="Uwaga 15 2 2" xfId="34840" xr:uid="{00000000-0005-0000-0000-00003B8B0000}"/>
    <cellStyle name="Uwaga 15 3" xfId="34841" xr:uid="{00000000-0005-0000-0000-00003C8B0000}"/>
    <cellStyle name="Uwaga 16" xfId="34842" xr:uid="{00000000-0005-0000-0000-00003D8B0000}"/>
    <cellStyle name="Uwaga 16 2" xfId="34843" xr:uid="{00000000-0005-0000-0000-00003E8B0000}"/>
    <cellStyle name="Uwaga 16 2 2" xfId="34844" xr:uid="{00000000-0005-0000-0000-00003F8B0000}"/>
    <cellStyle name="Uwaga 16 3" xfId="34845" xr:uid="{00000000-0005-0000-0000-0000408B0000}"/>
    <cellStyle name="Uwaga 17" xfId="34846" xr:uid="{00000000-0005-0000-0000-0000418B0000}"/>
    <cellStyle name="Uwaga 17 2" xfId="34847" xr:uid="{00000000-0005-0000-0000-0000428B0000}"/>
    <cellStyle name="Uwaga 17 2 2" xfId="34848" xr:uid="{00000000-0005-0000-0000-0000438B0000}"/>
    <cellStyle name="Uwaga 17 3" xfId="34849" xr:uid="{00000000-0005-0000-0000-0000448B0000}"/>
    <cellStyle name="Uwaga 18" xfId="34850" xr:uid="{00000000-0005-0000-0000-0000458B0000}"/>
    <cellStyle name="Uwaga 18 2" xfId="34851" xr:uid="{00000000-0005-0000-0000-0000468B0000}"/>
    <cellStyle name="Uwaga 18 2 2" xfId="34852" xr:uid="{00000000-0005-0000-0000-0000478B0000}"/>
    <cellStyle name="Uwaga 18 3" xfId="34853" xr:uid="{00000000-0005-0000-0000-0000488B0000}"/>
    <cellStyle name="Uwaga 19" xfId="34854" xr:uid="{00000000-0005-0000-0000-0000498B0000}"/>
    <cellStyle name="Uwaga 19 2" xfId="34855" xr:uid="{00000000-0005-0000-0000-00004A8B0000}"/>
    <cellStyle name="Uwaga 19 2 2" xfId="34856" xr:uid="{00000000-0005-0000-0000-00004B8B0000}"/>
    <cellStyle name="Uwaga 19 3" xfId="34857" xr:uid="{00000000-0005-0000-0000-00004C8B0000}"/>
    <cellStyle name="Uwaga 2" xfId="360" xr:uid="{00000000-0005-0000-0000-00004D8B0000}"/>
    <cellStyle name="Uwaga 2 10" xfId="34859" xr:uid="{00000000-0005-0000-0000-00004E8B0000}"/>
    <cellStyle name="Uwaga 2 10 2" xfId="34860" xr:uid="{00000000-0005-0000-0000-00004F8B0000}"/>
    <cellStyle name="Uwaga 2 10 2 2" xfId="34861" xr:uid="{00000000-0005-0000-0000-0000508B0000}"/>
    <cellStyle name="Uwaga 2 10 3" xfId="34862" xr:uid="{00000000-0005-0000-0000-0000518B0000}"/>
    <cellStyle name="Uwaga 2 11" xfId="34863" xr:uid="{00000000-0005-0000-0000-0000528B0000}"/>
    <cellStyle name="Uwaga 2 11 2" xfId="34864" xr:uid="{00000000-0005-0000-0000-0000538B0000}"/>
    <cellStyle name="Uwaga 2 11 2 2" xfId="34865" xr:uid="{00000000-0005-0000-0000-0000548B0000}"/>
    <cellStyle name="Uwaga 2 11 3" xfId="34866" xr:uid="{00000000-0005-0000-0000-0000558B0000}"/>
    <cellStyle name="Uwaga 2 12" xfId="34867" xr:uid="{00000000-0005-0000-0000-0000568B0000}"/>
    <cellStyle name="Uwaga 2 12 2" xfId="34868" xr:uid="{00000000-0005-0000-0000-0000578B0000}"/>
    <cellStyle name="Uwaga 2 12 2 2" xfId="34869" xr:uid="{00000000-0005-0000-0000-0000588B0000}"/>
    <cellStyle name="Uwaga 2 12 3" xfId="34870" xr:uid="{00000000-0005-0000-0000-0000598B0000}"/>
    <cellStyle name="Uwaga 2 13" xfId="34871" xr:uid="{00000000-0005-0000-0000-00005A8B0000}"/>
    <cellStyle name="Uwaga 2 13 10" xfId="34872" xr:uid="{00000000-0005-0000-0000-00005B8B0000}"/>
    <cellStyle name="Uwaga 2 13 10 2" xfId="34873" xr:uid="{00000000-0005-0000-0000-00005C8B0000}"/>
    <cellStyle name="Uwaga 2 13 10 2 2" xfId="34874" xr:uid="{00000000-0005-0000-0000-00005D8B0000}"/>
    <cellStyle name="Uwaga 2 13 10 3" xfId="34875" xr:uid="{00000000-0005-0000-0000-00005E8B0000}"/>
    <cellStyle name="Uwaga 2 13 11" xfId="34876" xr:uid="{00000000-0005-0000-0000-00005F8B0000}"/>
    <cellStyle name="Uwaga 2 13 11 2" xfId="34877" xr:uid="{00000000-0005-0000-0000-0000608B0000}"/>
    <cellStyle name="Uwaga 2 13 12" xfId="34878" xr:uid="{00000000-0005-0000-0000-0000618B0000}"/>
    <cellStyle name="Uwaga 2 13 12 2" xfId="34879" xr:uid="{00000000-0005-0000-0000-0000628B0000}"/>
    <cellStyle name="Uwaga 2 13 13" xfId="34880" xr:uid="{00000000-0005-0000-0000-0000638B0000}"/>
    <cellStyle name="Uwaga 2 13 2" xfId="34881" xr:uid="{00000000-0005-0000-0000-0000648B0000}"/>
    <cellStyle name="Uwaga 2 13 2 10" xfId="34882" xr:uid="{00000000-0005-0000-0000-0000658B0000}"/>
    <cellStyle name="Uwaga 2 13 2 10 2" xfId="34883" xr:uid="{00000000-0005-0000-0000-0000668B0000}"/>
    <cellStyle name="Uwaga 2 13 2 11" xfId="34884" xr:uid="{00000000-0005-0000-0000-0000678B0000}"/>
    <cellStyle name="Uwaga 2 13 2 11 2" xfId="34885" xr:uid="{00000000-0005-0000-0000-0000688B0000}"/>
    <cellStyle name="Uwaga 2 13 2 12" xfId="34886" xr:uid="{00000000-0005-0000-0000-0000698B0000}"/>
    <cellStyle name="Uwaga 2 13 2 2" xfId="34887" xr:uid="{00000000-0005-0000-0000-00006A8B0000}"/>
    <cellStyle name="Uwaga 2 13 2 2 10" xfId="34888" xr:uid="{00000000-0005-0000-0000-00006B8B0000}"/>
    <cellStyle name="Uwaga 2 13 2 2 10 2" xfId="34889" xr:uid="{00000000-0005-0000-0000-00006C8B0000}"/>
    <cellStyle name="Uwaga 2 13 2 2 11" xfId="34890" xr:uid="{00000000-0005-0000-0000-00006D8B0000}"/>
    <cellStyle name="Uwaga 2 13 2 2 11 2" xfId="34891" xr:uid="{00000000-0005-0000-0000-00006E8B0000}"/>
    <cellStyle name="Uwaga 2 13 2 2 12" xfId="34892" xr:uid="{00000000-0005-0000-0000-00006F8B0000}"/>
    <cellStyle name="Uwaga 2 13 2 2 2" xfId="34893" xr:uid="{00000000-0005-0000-0000-0000708B0000}"/>
    <cellStyle name="Uwaga 2 13 2 2 2 2" xfId="34894" xr:uid="{00000000-0005-0000-0000-0000718B0000}"/>
    <cellStyle name="Uwaga 2 13 2 2 2 2 2" xfId="34895" xr:uid="{00000000-0005-0000-0000-0000728B0000}"/>
    <cellStyle name="Uwaga 2 13 2 2 2 2 2 2" xfId="34896" xr:uid="{00000000-0005-0000-0000-0000738B0000}"/>
    <cellStyle name="Uwaga 2 13 2 2 2 2 2 2 2" xfId="34897" xr:uid="{00000000-0005-0000-0000-0000748B0000}"/>
    <cellStyle name="Uwaga 2 13 2 2 2 2 2 3" xfId="34898" xr:uid="{00000000-0005-0000-0000-0000758B0000}"/>
    <cellStyle name="Uwaga 2 13 2 2 2 2 3" xfId="34899" xr:uid="{00000000-0005-0000-0000-0000768B0000}"/>
    <cellStyle name="Uwaga 2 13 2 2 2 2 3 2" xfId="34900" xr:uid="{00000000-0005-0000-0000-0000778B0000}"/>
    <cellStyle name="Uwaga 2 13 2 2 2 2 3 2 2" xfId="34901" xr:uid="{00000000-0005-0000-0000-0000788B0000}"/>
    <cellStyle name="Uwaga 2 13 2 2 2 2 3 3" xfId="34902" xr:uid="{00000000-0005-0000-0000-0000798B0000}"/>
    <cellStyle name="Uwaga 2 13 2 2 2 2 4" xfId="34903" xr:uid="{00000000-0005-0000-0000-00007A8B0000}"/>
    <cellStyle name="Uwaga 2 13 2 2 2 2 4 2" xfId="34904" xr:uid="{00000000-0005-0000-0000-00007B8B0000}"/>
    <cellStyle name="Uwaga 2 13 2 2 2 2 4 2 2" xfId="34905" xr:uid="{00000000-0005-0000-0000-00007C8B0000}"/>
    <cellStyle name="Uwaga 2 13 2 2 2 2 4 3" xfId="34906" xr:uid="{00000000-0005-0000-0000-00007D8B0000}"/>
    <cellStyle name="Uwaga 2 13 2 2 2 2 5" xfId="34907" xr:uid="{00000000-0005-0000-0000-00007E8B0000}"/>
    <cellStyle name="Uwaga 2 13 2 2 2 2 5 2" xfId="34908" xr:uid="{00000000-0005-0000-0000-00007F8B0000}"/>
    <cellStyle name="Uwaga 2 13 2 2 2 2 6" xfId="34909" xr:uid="{00000000-0005-0000-0000-0000808B0000}"/>
    <cellStyle name="Uwaga 2 13 2 2 2 2 6 2" xfId="34910" xr:uid="{00000000-0005-0000-0000-0000818B0000}"/>
    <cellStyle name="Uwaga 2 13 2 2 2 2 7" xfId="34911" xr:uid="{00000000-0005-0000-0000-0000828B0000}"/>
    <cellStyle name="Uwaga 2 13 2 2 2 3" xfId="34912" xr:uid="{00000000-0005-0000-0000-0000838B0000}"/>
    <cellStyle name="Uwaga 2 13 2 2 2 3 2" xfId="34913" xr:uid="{00000000-0005-0000-0000-0000848B0000}"/>
    <cellStyle name="Uwaga 2 13 2 2 2 3 2 2" xfId="34914" xr:uid="{00000000-0005-0000-0000-0000858B0000}"/>
    <cellStyle name="Uwaga 2 13 2 2 2 3 3" xfId="34915" xr:uid="{00000000-0005-0000-0000-0000868B0000}"/>
    <cellStyle name="Uwaga 2 13 2 2 2 4" xfId="34916" xr:uid="{00000000-0005-0000-0000-0000878B0000}"/>
    <cellStyle name="Uwaga 2 13 2 2 2 4 2" xfId="34917" xr:uid="{00000000-0005-0000-0000-0000888B0000}"/>
    <cellStyle name="Uwaga 2 13 2 2 2 4 2 2" xfId="34918" xr:uid="{00000000-0005-0000-0000-0000898B0000}"/>
    <cellStyle name="Uwaga 2 13 2 2 2 4 3" xfId="34919" xr:uid="{00000000-0005-0000-0000-00008A8B0000}"/>
    <cellStyle name="Uwaga 2 13 2 2 2 5" xfId="34920" xr:uid="{00000000-0005-0000-0000-00008B8B0000}"/>
    <cellStyle name="Uwaga 2 13 2 2 2 5 2" xfId="34921" xr:uid="{00000000-0005-0000-0000-00008C8B0000}"/>
    <cellStyle name="Uwaga 2 13 2 2 2 5 2 2" xfId="34922" xr:uid="{00000000-0005-0000-0000-00008D8B0000}"/>
    <cellStyle name="Uwaga 2 13 2 2 2 5 3" xfId="34923" xr:uid="{00000000-0005-0000-0000-00008E8B0000}"/>
    <cellStyle name="Uwaga 2 13 2 2 2 6" xfId="34924" xr:uid="{00000000-0005-0000-0000-00008F8B0000}"/>
    <cellStyle name="Uwaga 2 13 2 2 2 6 2" xfId="34925" xr:uid="{00000000-0005-0000-0000-0000908B0000}"/>
    <cellStyle name="Uwaga 2 13 2 2 2 7" xfId="34926" xr:uid="{00000000-0005-0000-0000-0000918B0000}"/>
    <cellStyle name="Uwaga 2 13 2 2 2 7 2" xfId="34927" xr:uid="{00000000-0005-0000-0000-0000928B0000}"/>
    <cellStyle name="Uwaga 2 13 2 2 2 8" xfId="34928" xr:uid="{00000000-0005-0000-0000-0000938B0000}"/>
    <cellStyle name="Uwaga 2 13 2 2 3" xfId="34929" xr:uid="{00000000-0005-0000-0000-0000948B0000}"/>
    <cellStyle name="Uwaga 2 13 2 2 3 2" xfId="34930" xr:uid="{00000000-0005-0000-0000-0000958B0000}"/>
    <cellStyle name="Uwaga 2 13 2 2 3 2 2" xfId="34931" xr:uid="{00000000-0005-0000-0000-0000968B0000}"/>
    <cellStyle name="Uwaga 2 13 2 2 3 3" xfId="34932" xr:uid="{00000000-0005-0000-0000-0000978B0000}"/>
    <cellStyle name="Uwaga 2 13 2 2 4" xfId="34933" xr:uid="{00000000-0005-0000-0000-0000988B0000}"/>
    <cellStyle name="Uwaga 2 13 2 2 4 2" xfId="34934" xr:uid="{00000000-0005-0000-0000-0000998B0000}"/>
    <cellStyle name="Uwaga 2 13 2 2 4 2 2" xfId="34935" xr:uid="{00000000-0005-0000-0000-00009A8B0000}"/>
    <cellStyle name="Uwaga 2 13 2 2 4 3" xfId="34936" xr:uid="{00000000-0005-0000-0000-00009B8B0000}"/>
    <cellStyle name="Uwaga 2 13 2 2 5" xfId="34937" xr:uid="{00000000-0005-0000-0000-00009C8B0000}"/>
    <cellStyle name="Uwaga 2 13 2 2 5 2" xfId="34938" xr:uid="{00000000-0005-0000-0000-00009D8B0000}"/>
    <cellStyle name="Uwaga 2 13 2 2 5 2 2" xfId="34939" xr:uid="{00000000-0005-0000-0000-00009E8B0000}"/>
    <cellStyle name="Uwaga 2 13 2 2 5 3" xfId="34940" xr:uid="{00000000-0005-0000-0000-00009F8B0000}"/>
    <cellStyle name="Uwaga 2 13 2 2 6" xfId="34941" xr:uid="{00000000-0005-0000-0000-0000A08B0000}"/>
    <cellStyle name="Uwaga 2 13 2 2 6 2" xfId="34942" xr:uid="{00000000-0005-0000-0000-0000A18B0000}"/>
    <cellStyle name="Uwaga 2 13 2 2 6 2 2" xfId="34943" xr:uid="{00000000-0005-0000-0000-0000A28B0000}"/>
    <cellStyle name="Uwaga 2 13 2 2 6 3" xfId="34944" xr:uid="{00000000-0005-0000-0000-0000A38B0000}"/>
    <cellStyle name="Uwaga 2 13 2 2 7" xfId="34945" xr:uid="{00000000-0005-0000-0000-0000A48B0000}"/>
    <cellStyle name="Uwaga 2 13 2 2 7 2" xfId="34946" xr:uid="{00000000-0005-0000-0000-0000A58B0000}"/>
    <cellStyle name="Uwaga 2 13 2 2 7 2 2" xfId="34947" xr:uid="{00000000-0005-0000-0000-0000A68B0000}"/>
    <cellStyle name="Uwaga 2 13 2 2 7 2 2 2" xfId="34948" xr:uid="{00000000-0005-0000-0000-0000A78B0000}"/>
    <cellStyle name="Uwaga 2 13 2 2 7 2 3" xfId="34949" xr:uid="{00000000-0005-0000-0000-0000A88B0000}"/>
    <cellStyle name="Uwaga 2 13 2 2 7 3" xfId="34950" xr:uid="{00000000-0005-0000-0000-0000A98B0000}"/>
    <cellStyle name="Uwaga 2 13 2 2 7 3 2" xfId="34951" xr:uid="{00000000-0005-0000-0000-0000AA8B0000}"/>
    <cellStyle name="Uwaga 2 13 2 2 7 3 2 2" xfId="34952" xr:uid="{00000000-0005-0000-0000-0000AB8B0000}"/>
    <cellStyle name="Uwaga 2 13 2 2 7 3 3" xfId="34953" xr:uid="{00000000-0005-0000-0000-0000AC8B0000}"/>
    <cellStyle name="Uwaga 2 13 2 2 7 4" xfId="34954" xr:uid="{00000000-0005-0000-0000-0000AD8B0000}"/>
    <cellStyle name="Uwaga 2 13 2 2 7 4 2" xfId="34955" xr:uid="{00000000-0005-0000-0000-0000AE8B0000}"/>
    <cellStyle name="Uwaga 2 13 2 2 7 4 2 2" xfId="34956" xr:uid="{00000000-0005-0000-0000-0000AF8B0000}"/>
    <cellStyle name="Uwaga 2 13 2 2 7 4 3" xfId="34957" xr:uid="{00000000-0005-0000-0000-0000B08B0000}"/>
    <cellStyle name="Uwaga 2 13 2 2 7 5" xfId="34958" xr:uid="{00000000-0005-0000-0000-0000B18B0000}"/>
    <cellStyle name="Uwaga 2 13 2 2 7 5 2" xfId="34959" xr:uid="{00000000-0005-0000-0000-0000B28B0000}"/>
    <cellStyle name="Uwaga 2 13 2 2 7 6" xfId="34960" xr:uid="{00000000-0005-0000-0000-0000B38B0000}"/>
    <cellStyle name="Uwaga 2 13 2 2 7 6 2" xfId="34961" xr:uid="{00000000-0005-0000-0000-0000B48B0000}"/>
    <cellStyle name="Uwaga 2 13 2 2 7 7" xfId="34962" xr:uid="{00000000-0005-0000-0000-0000B58B0000}"/>
    <cellStyle name="Uwaga 2 13 2 2 8" xfId="34963" xr:uid="{00000000-0005-0000-0000-0000B68B0000}"/>
    <cellStyle name="Uwaga 2 13 2 2 8 2" xfId="34964" xr:uid="{00000000-0005-0000-0000-0000B78B0000}"/>
    <cellStyle name="Uwaga 2 13 2 2 8 2 2" xfId="34965" xr:uid="{00000000-0005-0000-0000-0000B88B0000}"/>
    <cellStyle name="Uwaga 2 13 2 2 8 3" xfId="34966" xr:uid="{00000000-0005-0000-0000-0000B98B0000}"/>
    <cellStyle name="Uwaga 2 13 2 2 9" xfId="34967" xr:uid="{00000000-0005-0000-0000-0000BA8B0000}"/>
    <cellStyle name="Uwaga 2 13 2 2 9 2" xfId="34968" xr:uid="{00000000-0005-0000-0000-0000BB8B0000}"/>
    <cellStyle name="Uwaga 2 13 2 2 9 2 2" xfId="34969" xr:uid="{00000000-0005-0000-0000-0000BC8B0000}"/>
    <cellStyle name="Uwaga 2 13 2 2 9 3" xfId="34970" xr:uid="{00000000-0005-0000-0000-0000BD8B0000}"/>
    <cellStyle name="Uwaga 2 13 2 3" xfId="34971" xr:uid="{00000000-0005-0000-0000-0000BE8B0000}"/>
    <cellStyle name="Uwaga 2 13 2 3 2" xfId="34972" xr:uid="{00000000-0005-0000-0000-0000BF8B0000}"/>
    <cellStyle name="Uwaga 2 13 2 3 2 2" xfId="34973" xr:uid="{00000000-0005-0000-0000-0000C08B0000}"/>
    <cellStyle name="Uwaga 2 13 2 3 2 2 2" xfId="34974" xr:uid="{00000000-0005-0000-0000-0000C18B0000}"/>
    <cellStyle name="Uwaga 2 13 2 3 2 2 2 2" xfId="34975" xr:uid="{00000000-0005-0000-0000-0000C28B0000}"/>
    <cellStyle name="Uwaga 2 13 2 3 2 2 3" xfId="34976" xr:uid="{00000000-0005-0000-0000-0000C38B0000}"/>
    <cellStyle name="Uwaga 2 13 2 3 2 3" xfId="34977" xr:uid="{00000000-0005-0000-0000-0000C48B0000}"/>
    <cellStyle name="Uwaga 2 13 2 3 2 3 2" xfId="34978" xr:uid="{00000000-0005-0000-0000-0000C58B0000}"/>
    <cellStyle name="Uwaga 2 13 2 3 2 3 2 2" xfId="34979" xr:uid="{00000000-0005-0000-0000-0000C68B0000}"/>
    <cellStyle name="Uwaga 2 13 2 3 2 3 3" xfId="34980" xr:uid="{00000000-0005-0000-0000-0000C78B0000}"/>
    <cellStyle name="Uwaga 2 13 2 3 2 4" xfId="34981" xr:uid="{00000000-0005-0000-0000-0000C88B0000}"/>
    <cellStyle name="Uwaga 2 13 2 3 2 4 2" xfId="34982" xr:uid="{00000000-0005-0000-0000-0000C98B0000}"/>
    <cellStyle name="Uwaga 2 13 2 3 2 4 2 2" xfId="34983" xr:uid="{00000000-0005-0000-0000-0000CA8B0000}"/>
    <cellStyle name="Uwaga 2 13 2 3 2 4 3" xfId="34984" xr:uid="{00000000-0005-0000-0000-0000CB8B0000}"/>
    <cellStyle name="Uwaga 2 13 2 3 2 5" xfId="34985" xr:uid="{00000000-0005-0000-0000-0000CC8B0000}"/>
    <cellStyle name="Uwaga 2 13 2 3 2 5 2" xfId="34986" xr:uid="{00000000-0005-0000-0000-0000CD8B0000}"/>
    <cellStyle name="Uwaga 2 13 2 3 2 6" xfId="34987" xr:uid="{00000000-0005-0000-0000-0000CE8B0000}"/>
    <cellStyle name="Uwaga 2 13 2 3 2 6 2" xfId="34988" xr:uid="{00000000-0005-0000-0000-0000CF8B0000}"/>
    <cellStyle name="Uwaga 2 13 2 3 2 7" xfId="34989" xr:uid="{00000000-0005-0000-0000-0000D08B0000}"/>
    <cellStyle name="Uwaga 2 13 2 3 3" xfId="34990" xr:uid="{00000000-0005-0000-0000-0000D18B0000}"/>
    <cellStyle name="Uwaga 2 13 2 3 3 2" xfId="34991" xr:uid="{00000000-0005-0000-0000-0000D28B0000}"/>
    <cellStyle name="Uwaga 2 13 2 3 3 2 2" xfId="34992" xr:uid="{00000000-0005-0000-0000-0000D38B0000}"/>
    <cellStyle name="Uwaga 2 13 2 3 3 3" xfId="34993" xr:uid="{00000000-0005-0000-0000-0000D48B0000}"/>
    <cellStyle name="Uwaga 2 13 2 3 4" xfId="34994" xr:uid="{00000000-0005-0000-0000-0000D58B0000}"/>
    <cellStyle name="Uwaga 2 13 2 3 4 2" xfId="34995" xr:uid="{00000000-0005-0000-0000-0000D68B0000}"/>
    <cellStyle name="Uwaga 2 13 2 3 4 2 2" xfId="34996" xr:uid="{00000000-0005-0000-0000-0000D78B0000}"/>
    <cellStyle name="Uwaga 2 13 2 3 4 3" xfId="34997" xr:uid="{00000000-0005-0000-0000-0000D88B0000}"/>
    <cellStyle name="Uwaga 2 13 2 3 5" xfId="34998" xr:uid="{00000000-0005-0000-0000-0000D98B0000}"/>
    <cellStyle name="Uwaga 2 13 2 3 5 2" xfId="34999" xr:uid="{00000000-0005-0000-0000-0000DA8B0000}"/>
    <cellStyle name="Uwaga 2 13 2 3 5 2 2" xfId="35000" xr:uid="{00000000-0005-0000-0000-0000DB8B0000}"/>
    <cellStyle name="Uwaga 2 13 2 3 5 3" xfId="35001" xr:uid="{00000000-0005-0000-0000-0000DC8B0000}"/>
    <cellStyle name="Uwaga 2 13 2 3 6" xfId="35002" xr:uid="{00000000-0005-0000-0000-0000DD8B0000}"/>
    <cellStyle name="Uwaga 2 13 2 3 6 2" xfId="35003" xr:uid="{00000000-0005-0000-0000-0000DE8B0000}"/>
    <cellStyle name="Uwaga 2 13 2 3 7" xfId="35004" xr:uid="{00000000-0005-0000-0000-0000DF8B0000}"/>
    <cellStyle name="Uwaga 2 13 2 3 7 2" xfId="35005" xr:uid="{00000000-0005-0000-0000-0000E08B0000}"/>
    <cellStyle name="Uwaga 2 13 2 3 8" xfId="35006" xr:uid="{00000000-0005-0000-0000-0000E18B0000}"/>
    <cellStyle name="Uwaga 2 13 2 4" xfId="35007" xr:uid="{00000000-0005-0000-0000-0000E28B0000}"/>
    <cellStyle name="Uwaga 2 13 2 4 2" xfId="35008" xr:uid="{00000000-0005-0000-0000-0000E38B0000}"/>
    <cellStyle name="Uwaga 2 13 2 4 2 2" xfId="35009" xr:uid="{00000000-0005-0000-0000-0000E48B0000}"/>
    <cellStyle name="Uwaga 2 13 2 4 3" xfId="35010" xr:uid="{00000000-0005-0000-0000-0000E58B0000}"/>
    <cellStyle name="Uwaga 2 13 2 5" xfId="35011" xr:uid="{00000000-0005-0000-0000-0000E68B0000}"/>
    <cellStyle name="Uwaga 2 13 2 5 2" xfId="35012" xr:uid="{00000000-0005-0000-0000-0000E78B0000}"/>
    <cellStyle name="Uwaga 2 13 2 5 2 2" xfId="35013" xr:uid="{00000000-0005-0000-0000-0000E88B0000}"/>
    <cellStyle name="Uwaga 2 13 2 5 3" xfId="35014" xr:uid="{00000000-0005-0000-0000-0000E98B0000}"/>
    <cellStyle name="Uwaga 2 13 2 6" xfId="35015" xr:uid="{00000000-0005-0000-0000-0000EA8B0000}"/>
    <cellStyle name="Uwaga 2 13 2 6 2" xfId="35016" xr:uid="{00000000-0005-0000-0000-0000EB8B0000}"/>
    <cellStyle name="Uwaga 2 13 2 6 2 2" xfId="35017" xr:uid="{00000000-0005-0000-0000-0000EC8B0000}"/>
    <cellStyle name="Uwaga 2 13 2 6 3" xfId="35018" xr:uid="{00000000-0005-0000-0000-0000ED8B0000}"/>
    <cellStyle name="Uwaga 2 13 2 7" xfId="35019" xr:uid="{00000000-0005-0000-0000-0000EE8B0000}"/>
    <cellStyle name="Uwaga 2 13 2 7 2" xfId="35020" xr:uid="{00000000-0005-0000-0000-0000EF8B0000}"/>
    <cellStyle name="Uwaga 2 13 2 7 2 2" xfId="35021" xr:uid="{00000000-0005-0000-0000-0000F08B0000}"/>
    <cellStyle name="Uwaga 2 13 2 7 2 2 2" xfId="35022" xr:uid="{00000000-0005-0000-0000-0000F18B0000}"/>
    <cellStyle name="Uwaga 2 13 2 7 2 3" xfId="35023" xr:uid="{00000000-0005-0000-0000-0000F28B0000}"/>
    <cellStyle name="Uwaga 2 13 2 7 3" xfId="35024" xr:uid="{00000000-0005-0000-0000-0000F38B0000}"/>
    <cellStyle name="Uwaga 2 13 2 7 3 2" xfId="35025" xr:uid="{00000000-0005-0000-0000-0000F48B0000}"/>
    <cellStyle name="Uwaga 2 13 2 7 3 2 2" xfId="35026" xr:uid="{00000000-0005-0000-0000-0000F58B0000}"/>
    <cellStyle name="Uwaga 2 13 2 7 3 3" xfId="35027" xr:uid="{00000000-0005-0000-0000-0000F68B0000}"/>
    <cellStyle name="Uwaga 2 13 2 7 4" xfId="35028" xr:uid="{00000000-0005-0000-0000-0000F78B0000}"/>
    <cellStyle name="Uwaga 2 13 2 7 4 2" xfId="35029" xr:uid="{00000000-0005-0000-0000-0000F88B0000}"/>
    <cellStyle name="Uwaga 2 13 2 7 4 2 2" xfId="35030" xr:uid="{00000000-0005-0000-0000-0000F98B0000}"/>
    <cellStyle name="Uwaga 2 13 2 7 4 3" xfId="35031" xr:uid="{00000000-0005-0000-0000-0000FA8B0000}"/>
    <cellStyle name="Uwaga 2 13 2 7 5" xfId="35032" xr:uid="{00000000-0005-0000-0000-0000FB8B0000}"/>
    <cellStyle name="Uwaga 2 13 2 7 5 2" xfId="35033" xr:uid="{00000000-0005-0000-0000-0000FC8B0000}"/>
    <cellStyle name="Uwaga 2 13 2 7 6" xfId="35034" xr:uid="{00000000-0005-0000-0000-0000FD8B0000}"/>
    <cellStyle name="Uwaga 2 13 2 7 6 2" xfId="35035" xr:uid="{00000000-0005-0000-0000-0000FE8B0000}"/>
    <cellStyle name="Uwaga 2 13 2 7 7" xfId="35036" xr:uid="{00000000-0005-0000-0000-0000FF8B0000}"/>
    <cellStyle name="Uwaga 2 13 2 8" xfId="35037" xr:uid="{00000000-0005-0000-0000-0000008C0000}"/>
    <cellStyle name="Uwaga 2 13 2 8 2" xfId="35038" xr:uid="{00000000-0005-0000-0000-0000018C0000}"/>
    <cellStyle name="Uwaga 2 13 2 8 2 2" xfId="35039" xr:uid="{00000000-0005-0000-0000-0000028C0000}"/>
    <cellStyle name="Uwaga 2 13 2 8 3" xfId="35040" xr:uid="{00000000-0005-0000-0000-0000038C0000}"/>
    <cellStyle name="Uwaga 2 13 2 9" xfId="35041" xr:uid="{00000000-0005-0000-0000-0000048C0000}"/>
    <cellStyle name="Uwaga 2 13 2 9 2" xfId="35042" xr:uid="{00000000-0005-0000-0000-0000058C0000}"/>
    <cellStyle name="Uwaga 2 13 2 9 2 2" xfId="35043" xr:uid="{00000000-0005-0000-0000-0000068C0000}"/>
    <cellStyle name="Uwaga 2 13 2 9 3" xfId="35044" xr:uid="{00000000-0005-0000-0000-0000078C0000}"/>
    <cellStyle name="Uwaga 2 13 3" xfId="35045" xr:uid="{00000000-0005-0000-0000-0000088C0000}"/>
    <cellStyle name="Uwaga 2 13 3 2" xfId="35046" xr:uid="{00000000-0005-0000-0000-0000098C0000}"/>
    <cellStyle name="Uwaga 2 13 3 2 2" xfId="35047" xr:uid="{00000000-0005-0000-0000-00000A8C0000}"/>
    <cellStyle name="Uwaga 2 13 3 2 2 2" xfId="35048" xr:uid="{00000000-0005-0000-0000-00000B8C0000}"/>
    <cellStyle name="Uwaga 2 13 3 2 2 2 2" xfId="35049" xr:uid="{00000000-0005-0000-0000-00000C8C0000}"/>
    <cellStyle name="Uwaga 2 13 3 2 2 3" xfId="35050" xr:uid="{00000000-0005-0000-0000-00000D8C0000}"/>
    <cellStyle name="Uwaga 2 13 3 2 3" xfId="35051" xr:uid="{00000000-0005-0000-0000-00000E8C0000}"/>
    <cellStyle name="Uwaga 2 13 3 2 3 2" xfId="35052" xr:uid="{00000000-0005-0000-0000-00000F8C0000}"/>
    <cellStyle name="Uwaga 2 13 3 2 3 2 2" xfId="35053" xr:uid="{00000000-0005-0000-0000-0000108C0000}"/>
    <cellStyle name="Uwaga 2 13 3 2 3 3" xfId="35054" xr:uid="{00000000-0005-0000-0000-0000118C0000}"/>
    <cellStyle name="Uwaga 2 13 3 2 4" xfId="35055" xr:uid="{00000000-0005-0000-0000-0000128C0000}"/>
    <cellStyle name="Uwaga 2 13 3 2 4 2" xfId="35056" xr:uid="{00000000-0005-0000-0000-0000138C0000}"/>
    <cellStyle name="Uwaga 2 13 3 2 4 2 2" xfId="35057" xr:uid="{00000000-0005-0000-0000-0000148C0000}"/>
    <cellStyle name="Uwaga 2 13 3 2 4 3" xfId="35058" xr:uid="{00000000-0005-0000-0000-0000158C0000}"/>
    <cellStyle name="Uwaga 2 13 3 2 5" xfId="35059" xr:uid="{00000000-0005-0000-0000-0000168C0000}"/>
    <cellStyle name="Uwaga 2 13 3 2 5 2" xfId="35060" xr:uid="{00000000-0005-0000-0000-0000178C0000}"/>
    <cellStyle name="Uwaga 2 13 3 2 6" xfId="35061" xr:uid="{00000000-0005-0000-0000-0000188C0000}"/>
    <cellStyle name="Uwaga 2 13 3 2 6 2" xfId="35062" xr:uid="{00000000-0005-0000-0000-0000198C0000}"/>
    <cellStyle name="Uwaga 2 13 3 2 7" xfId="35063" xr:uid="{00000000-0005-0000-0000-00001A8C0000}"/>
    <cellStyle name="Uwaga 2 13 3 3" xfId="35064" xr:uid="{00000000-0005-0000-0000-00001B8C0000}"/>
    <cellStyle name="Uwaga 2 13 3 3 2" xfId="35065" xr:uid="{00000000-0005-0000-0000-00001C8C0000}"/>
    <cellStyle name="Uwaga 2 13 3 3 2 2" xfId="35066" xr:uid="{00000000-0005-0000-0000-00001D8C0000}"/>
    <cellStyle name="Uwaga 2 13 3 3 3" xfId="35067" xr:uid="{00000000-0005-0000-0000-00001E8C0000}"/>
    <cellStyle name="Uwaga 2 13 3 4" xfId="35068" xr:uid="{00000000-0005-0000-0000-00001F8C0000}"/>
    <cellStyle name="Uwaga 2 13 3 4 2" xfId="35069" xr:uid="{00000000-0005-0000-0000-0000208C0000}"/>
    <cellStyle name="Uwaga 2 13 3 4 2 2" xfId="35070" xr:uid="{00000000-0005-0000-0000-0000218C0000}"/>
    <cellStyle name="Uwaga 2 13 3 4 3" xfId="35071" xr:uid="{00000000-0005-0000-0000-0000228C0000}"/>
    <cellStyle name="Uwaga 2 13 3 5" xfId="35072" xr:uid="{00000000-0005-0000-0000-0000238C0000}"/>
    <cellStyle name="Uwaga 2 13 3 5 2" xfId="35073" xr:uid="{00000000-0005-0000-0000-0000248C0000}"/>
    <cellStyle name="Uwaga 2 13 3 5 2 2" xfId="35074" xr:uid="{00000000-0005-0000-0000-0000258C0000}"/>
    <cellStyle name="Uwaga 2 13 3 5 3" xfId="35075" xr:uid="{00000000-0005-0000-0000-0000268C0000}"/>
    <cellStyle name="Uwaga 2 13 3 6" xfId="35076" xr:uid="{00000000-0005-0000-0000-0000278C0000}"/>
    <cellStyle name="Uwaga 2 13 3 6 2" xfId="35077" xr:uid="{00000000-0005-0000-0000-0000288C0000}"/>
    <cellStyle name="Uwaga 2 13 3 7" xfId="35078" xr:uid="{00000000-0005-0000-0000-0000298C0000}"/>
    <cellStyle name="Uwaga 2 13 3 7 2" xfId="35079" xr:uid="{00000000-0005-0000-0000-00002A8C0000}"/>
    <cellStyle name="Uwaga 2 13 3 8" xfId="35080" xr:uid="{00000000-0005-0000-0000-00002B8C0000}"/>
    <cellStyle name="Uwaga 2 13 4" xfId="35081" xr:uid="{00000000-0005-0000-0000-00002C8C0000}"/>
    <cellStyle name="Uwaga 2 13 4 2" xfId="35082" xr:uid="{00000000-0005-0000-0000-00002D8C0000}"/>
    <cellStyle name="Uwaga 2 13 4 2 2" xfId="35083" xr:uid="{00000000-0005-0000-0000-00002E8C0000}"/>
    <cellStyle name="Uwaga 2 13 4 3" xfId="35084" xr:uid="{00000000-0005-0000-0000-00002F8C0000}"/>
    <cellStyle name="Uwaga 2 13 5" xfId="35085" xr:uid="{00000000-0005-0000-0000-0000308C0000}"/>
    <cellStyle name="Uwaga 2 13 5 2" xfId="35086" xr:uid="{00000000-0005-0000-0000-0000318C0000}"/>
    <cellStyle name="Uwaga 2 13 5 2 2" xfId="35087" xr:uid="{00000000-0005-0000-0000-0000328C0000}"/>
    <cellStyle name="Uwaga 2 13 5 3" xfId="35088" xr:uid="{00000000-0005-0000-0000-0000338C0000}"/>
    <cellStyle name="Uwaga 2 13 6" xfId="35089" xr:uid="{00000000-0005-0000-0000-0000348C0000}"/>
    <cellStyle name="Uwaga 2 13 6 2" xfId="35090" xr:uid="{00000000-0005-0000-0000-0000358C0000}"/>
    <cellStyle name="Uwaga 2 13 6 2 2" xfId="35091" xr:uid="{00000000-0005-0000-0000-0000368C0000}"/>
    <cellStyle name="Uwaga 2 13 6 3" xfId="35092" xr:uid="{00000000-0005-0000-0000-0000378C0000}"/>
    <cellStyle name="Uwaga 2 13 7" xfId="35093" xr:uid="{00000000-0005-0000-0000-0000388C0000}"/>
    <cellStyle name="Uwaga 2 13 7 2" xfId="35094" xr:uid="{00000000-0005-0000-0000-0000398C0000}"/>
    <cellStyle name="Uwaga 2 13 7 2 2" xfId="35095" xr:uid="{00000000-0005-0000-0000-00003A8C0000}"/>
    <cellStyle name="Uwaga 2 13 7 3" xfId="35096" xr:uid="{00000000-0005-0000-0000-00003B8C0000}"/>
    <cellStyle name="Uwaga 2 13 8" xfId="35097" xr:uid="{00000000-0005-0000-0000-00003C8C0000}"/>
    <cellStyle name="Uwaga 2 13 8 2" xfId="35098" xr:uid="{00000000-0005-0000-0000-00003D8C0000}"/>
    <cellStyle name="Uwaga 2 13 8 2 2" xfId="35099" xr:uid="{00000000-0005-0000-0000-00003E8C0000}"/>
    <cellStyle name="Uwaga 2 13 8 2 2 2" xfId="35100" xr:uid="{00000000-0005-0000-0000-00003F8C0000}"/>
    <cellStyle name="Uwaga 2 13 8 2 3" xfId="35101" xr:uid="{00000000-0005-0000-0000-0000408C0000}"/>
    <cellStyle name="Uwaga 2 13 8 3" xfId="35102" xr:uid="{00000000-0005-0000-0000-0000418C0000}"/>
    <cellStyle name="Uwaga 2 13 8 3 2" xfId="35103" xr:uid="{00000000-0005-0000-0000-0000428C0000}"/>
    <cellStyle name="Uwaga 2 13 8 3 2 2" xfId="35104" xr:uid="{00000000-0005-0000-0000-0000438C0000}"/>
    <cellStyle name="Uwaga 2 13 8 3 3" xfId="35105" xr:uid="{00000000-0005-0000-0000-0000448C0000}"/>
    <cellStyle name="Uwaga 2 13 8 4" xfId="35106" xr:uid="{00000000-0005-0000-0000-0000458C0000}"/>
    <cellStyle name="Uwaga 2 13 8 4 2" xfId="35107" xr:uid="{00000000-0005-0000-0000-0000468C0000}"/>
    <cellStyle name="Uwaga 2 13 8 4 2 2" xfId="35108" xr:uid="{00000000-0005-0000-0000-0000478C0000}"/>
    <cellStyle name="Uwaga 2 13 8 4 3" xfId="35109" xr:uid="{00000000-0005-0000-0000-0000488C0000}"/>
    <cellStyle name="Uwaga 2 13 8 5" xfId="35110" xr:uid="{00000000-0005-0000-0000-0000498C0000}"/>
    <cellStyle name="Uwaga 2 13 8 5 2" xfId="35111" xr:uid="{00000000-0005-0000-0000-00004A8C0000}"/>
    <cellStyle name="Uwaga 2 13 8 6" xfId="35112" xr:uid="{00000000-0005-0000-0000-00004B8C0000}"/>
    <cellStyle name="Uwaga 2 13 8 6 2" xfId="35113" xr:uid="{00000000-0005-0000-0000-00004C8C0000}"/>
    <cellStyle name="Uwaga 2 13 8 7" xfId="35114" xr:uid="{00000000-0005-0000-0000-00004D8C0000}"/>
    <cellStyle name="Uwaga 2 13 9" xfId="35115" xr:uid="{00000000-0005-0000-0000-00004E8C0000}"/>
    <cellStyle name="Uwaga 2 13 9 2" xfId="35116" xr:uid="{00000000-0005-0000-0000-00004F8C0000}"/>
    <cellStyle name="Uwaga 2 13 9 2 2" xfId="35117" xr:uid="{00000000-0005-0000-0000-0000508C0000}"/>
    <cellStyle name="Uwaga 2 13 9 3" xfId="35118" xr:uid="{00000000-0005-0000-0000-0000518C0000}"/>
    <cellStyle name="Uwaga 2 14" xfId="35119" xr:uid="{00000000-0005-0000-0000-0000528C0000}"/>
    <cellStyle name="Uwaga 2 14 10" xfId="35120" xr:uid="{00000000-0005-0000-0000-0000538C0000}"/>
    <cellStyle name="Uwaga 2 14 10 2" xfId="35121" xr:uid="{00000000-0005-0000-0000-0000548C0000}"/>
    <cellStyle name="Uwaga 2 14 11" xfId="35122" xr:uid="{00000000-0005-0000-0000-0000558C0000}"/>
    <cellStyle name="Uwaga 2 14 11 2" xfId="35123" xr:uid="{00000000-0005-0000-0000-0000568C0000}"/>
    <cellStyle name="Uwaga 2 14 12" xfId="35124" xr:uid="{00000000-0005-0000-0000-0000578C0000}"/>
    <cellStyle name="Uwaga 2 14 2" xfId="35125" xr:uid="{00000000-0005-0000-0000-0000588C0000}"/>
    <cellStyle name="Uwaga 2 14 2 2" xfId="35126" xr:uid="{00000000-0005-0000-0000-0000598C0000}"/>
    <cellStyle name="Uwaga 2 14 2 2 2" xfId="35127" xr:uid="{00000000-0005-0000-0000-00005A8C0000}"/>
    <cellStyle name="Uwaga 2 14 2 2 2 2" xfId="35128" xr:uid="{00000000-0005-0000-0000-00005B8C0000}"/>
    <cellStyle name="Uwaga 2 14 2 2 2 2 2" xfId="35129" xr:uid="{00000000-0005-0000-0000-00005C8C0000}"/>
    <cellStyle name="Uwaga 2 14 2 2 2 3" xfId="35130" xr:uid="{00000000-0005-0000-0000-00005D8C0000}"/>
    <cellStyle name="Uwaga 2 14 2 2 3" xfId="35131" xr:uid="{00000000-0005-0000-0000-00005E8C0000}"/>
    <cellStyle name="Uwaga 2 14 2 2 3 2" xfId="35132" xr:uid="{00000000-0005-0000-0000-00005F8C0000}"/>
    <cellStyle name="Uwaga 2 14 2 2 3 2 2" xfId="35133" xr:uid="{00000000-0005-0000-0000-0000608C0000}"/>
    <cellStyle name="Uwaga 2 14 2 2 3 3" xfId="35134" xr:uid="{00000000-0005-0000-0000-0000618C0000}"/>
    <cellStyle name="Uwaga 2 14 2 2 4" xfId="35135" xr:uid="{00000000-0005-0000-0000-0000628C0000}"/>
    <cellStyle name="Uwaga 2 14 2 2 4 2" xfId="35136" xr:uid="{00000000-0005-0000-0000-0000638C0000}"/>
    <cellStyle name="Uwaga 2 14 2 2 4 2 2" xfId="35137" xr:uid="{00000000-0005-0000-0000-0000648C0000}"/>
    <cellStyle name="Uwaga 2 14 2 2 4 3" xfId="35138" xr:uid="{00000000-0005-0000-0000-0000658C0000}"/>
    <cellStyle name="Uwaga 2 14 2 2 5" xfId="35139" xr:uid="{00000000-0005-0000-0000-0000668C0000}"/>
    <cellStyle name="Uwaga 2 14 2 2 5 2" xfId="35140" xr:uid="{00000000-0005-0000-0000-0000678C0000}"/>
    <cellStyle name="Uwaga 2 14 2 2 6" xfId="35141" xr:uid="{00000000-0005-0000-0000-0000688C0000}"/>
    <cellStyle name="Uwaga 2 14 2 2 6 2" xfId="35142" xr:uid="{00000000-0005-0000-0000-0000698C0000}"/>
    <cellStyle name="Uwaga 2 14 2 2 7" xfId="35143" xr:uid="{00000000-0005-0000-0000-00006A8C0000}"/>
    <cellStyle name="Uwaga 2 14 2 3" xfId="35144" xr:uid="{00000000-0005-0000-0000-00006B8C0000}"/>
    <cellStyle name="Uwaga 2 14 2 3 2" xfId="35145" xr:uid="{00000000-0005-0000-0000-00006C8C0000}"/>
    <cellStyle name="Uwaga 2 14 2 3 2 2" xfId="35146" xr:uid="{00000000-0005-0000-0000-00006D8C0000}"/>
    <cellStyle name="Uwaga 2 14 2 3 3" xfId="35147" xr:uid="{00000000-0005-0000-0000-00006E8C0000}"/>
    <cellStyle name="Uwaga 2 14 2 4" xfId="35148" xr:uid="{00000000-0005-0000-0000-00006F8C0000}"/>
    <cellStyle name="Uwaga 2 14 2 4 2" xfId="35149" xr:uid="{00000000-0005-0000-0000-0000708C0000}"/>
    <cellStyle name="Uwaga 2 14 2 4 2 2" xfId="35150" xr:uid="{00000000-0005-0000-0000-0000718C0000}"/>
    <cellStyle name="Uwaga 2 14 2 4 3" xfId="35151" xr:uid="{00000000-0005-0000-0000-0000728C0000}"/>
    <cellStyle name="Uwaga 2 14 2 5" xfId="35152" xr:uid="{00000000-0005-0000-0000-0000738C0000}"/>
    <cellStyle name="Uwaga 2 14 2 5 2" xfId="35153" xr:uid="{00000000-0005-0000-0000-0000748C0000}"/>
    <cellStyle name="Uwaga 2 14 2 5 2 2" xfId="35154" xr:uid="{00000000-0005-0000-0000-0000758C0000}"/>
    <cellStyle name="Uwaga 2 14 2 5 3" xfId="35155" xr:uid="{00000000-0005-0000-0000-0000768C0000}"/>
    <cellStyle name="Uwaga 2 14 2 6" xfId="35156" xr:uid="{00000000-0005-0000-0000-0000778C0000}"/>
    <cellStyle name="Uwaga 2 14 2 6 2" xfId="35157" xr:uid="{00000000-0005-0000-0000-0000788C0000}"/>
    <cellStyle name="Uwaga 2 14 2 7" xfId="35158" xr:uid="{00000000-0005-0000-0000-0000798C0000}"/>
    <cellStyle name="Uwaga 2 14 2 7 2" xfId="35159" xr:uid="{00000000-0005-0000-0000-00007A8C0000}"/>
    <cellStyle name="Uwaga 2 14 2 8" xfId="35160" xr:uid="{00000000-0005-0000-0000-00007B8C0000}"/>
    <cellStyle name="Uwaga 2 14 3" xfId="35161" xr:uid="{00000000-0005-0000-0000-00007C8C0000}"/>
    <cellStyle name="Uwaga 2 14 3 2" xfId="35162" xr:uid="{00000000-0005-0000-0000-00007D8C0000}"/>
    <cellStyle name="Uwaga 2 14 3 2 2" xfId="35163" xr:uid="{00000000-0005-0000-0000-00007E8C0000}"/>
    <cellStyle name="Uwaga 2 14 3 3" xfId="35164" xr:uid="{00000000-0005-0000-0000-00007F8C0000}"/>
    <cellStyle name="Uwaga 2 14 4" xfId="35165" xr:uid="{00000000-0005-0000-0000-0000808C0000}"/>
    <cellStyle name="Uwaga 2 14 4 2" xfId="35166" xr:uid="{00000000-0005-0000-0000-0000818C0000}"/>
    <cellStyle name="Uwaga 2 14 4 2 2" xfId="35167" xr:uid="{00000000-0005-0000-0000-0000828C0000}"/>
    <cellStyle name="Uwaga 2 14 4 3" xfId="35168" xr:uid="{00000000-0005-0000-0000-0000838C0000}"/>
    <cellStyle name="Uwaga 2 14 5" xfId="35169" xr:uid="{00000000-0005-0000-0000-0000848C0000}"/>
    <cellStyle name="Uwaga 2 14 5 2" xfId="35170" xr:uid="{00000000-0005-0000-0000-0000858C0000}"/>
    <cellStyle name="Uwaga 2 14 5 2 2" xfId="35171" xr:uid="{00000000-0005-0000-0000-0000868C0000}"/>
    <cellStyle name="Uwaga 2 14 5 3" xfId="35172" xr:uid="{00000000-0005-0000-0000-0000878C0000}"/>
    <cellStyle name="Uwaga 2 14 6" xfId="35173" xr:uid="{00000000-0005-0000-0000-0000888C0000}"/>
    <cellStyle name="Uwaga 2 14 6 2" xfId="35174" xr:uid="{00000000-0005-0000-0000-0000898C0000}"/>
    <cellStyle name="Uwaga 2 14 6 2 2" xfId="35175" xr:uid="{00000000-0005-0000-0000-00008A8C0000}"/>
    <cellStyle name="Uwaga 2 14 6 3" xfId="35176" xr:uid="{00000000-0005-0000-0000-00008B8C0000}"/>
    <cellStyle name="Uwaga 2 14 7" xfId="35177" xr:uid="{00000000-0005-0000-0000-00008C8C0000}"/>
    <cellStyle name="Uwaga 2 14 7 2" xfId="35178" xr:uid="{00000000-0005-0000-0000-00008D8C0000}"/>
    <cellStyle name="Uwaga 2 14 7 2 2" xfId="35179" xr:uid="{00000000-0005-0000-0000-00008E8C0000}"/>
    <cellStyle name="Uwaga 2 14 7 2 2 2" xfId="35180" xr:uid="{00000000-0005-0000-0000-00008F8C0000}"/>
    <cellStyle name="Uwaga 2 14 7 2 3" xfId="35181" xr:uid="{00000000-0005-0000-0000-0000908C0000}"/>
    <cellStyle name="Uwaga 2 14 7 3" xfId="35182" xr:uid="{00000000-0005-0000-0000-0000918C0000}"/>
    <cellStyle name="Uwaga 2 14 7 3 2" xfId="35183" xr:uid="{00000000-0005-0000-0000-0000928C0000}"/>
    <cellStyle name="Uwaga 2 14 7 3 2 2" xfId="35184" xr:uid="{00000000-0005-0000-0000-0000938C0000}"/>
    <cellStyle name="Uwaga 2 14 7 3 3" xfId="35185" xr:uid="{00000000-0005-0000-0000-0000948C0000}"/>
    <cellStyle name="Uwaga 2 14 7 4" xfId="35186" xr:uid="{00000000-0005-0000-0000-0000958C0000}"/>
    <cellStyle name="Uwaga 2 14 7 4 2" xfId="35187" xr:uid="{00000000-0005-0000-0000-0000968C0000}"/>
    <cellStyle name="Uwaga 2 14 7 4 2 2" xfId="35188" xr:uid="{00000000-0005-0000-0000-0000978C0000}"/>
    <cellStyle name="Uwaga 2 14 7 4 3" xfId="35189" xr:uid="{00000000-0005-0000-0000-0000988C0000}"/>
    <cellStyle name="Uwaga 2 14 7 5" xfId="35190" xr:uid="{00000000-0005-0000-0000-0000998C0000}"/>
    <cellStyle name="Uwaga 2 14 7 5 2" xfId="35191" xr:uid="{00000000-0005-0000-0000-00009A8C0000}"/>
    <cellStyle name="Uwaga 2 14 7 6" xfId="35192" xr:uid="{00000000-0005-0000-0000-00009B8C0000}"/>
    <cellStyle name="Uwaga 2 14 7 6 2" xfId="35193" xr:uid="{00000000-0005-0000-0000-00009C8C0000}"/>
    <cellStyle name="Uwaga 2 14 7 7" xfId="35194" xr:uid="{00000000-0005-0000-0000-00009D8C0000}"/>
    <cellStyle name="Uwaga 2 14 8" xfId="35195" xr:uid="{00000000-0005-0000-0000-00009E8C0000}"/>
    <cellStyle name="Uwaga 2 14 8 2" xfId="35196" xr:uid="{00000000-0005-0000-0000-00009F8C0000}"/>
    <cellStyle name="Uwaga 2 14 8 2 2" xfId="35197" xr:uid="{00000000-0005-0000-0000-0000A08C0000}"/>
    <cellStyle name="Uwaga 2 14 8 3" xfId="35198" xr:uid="{00000000-0005-0000-0000-0000A18C0000}"/>
    <cellStyle name="Uwaga 2 14 9" xfId="35199" xr:uid="{00000000-0005-0000-0000-0000A28C0000}"/>
    <cellStyle name="Uwaga 2 14 9 2" xfId="35200" xr:uid="{00000000-0005-0000-0000-0000A38C0000}"/>
    <cellStyle name="Uwaga 2 14 9 2 2" xfId="35201" xr:uid="{00000000-0005-0000-0000-0000A48C0000}"/>
    <cellStyle name="Uwaga 2 14 9 3" xfId="35202" xr:uid="{00000000-0005-0000-0000-0000A58C0000}"/>
    <cellStyle name="Uwaga 2 15" xfId="35203" xr:uid="{00000000-0005-0000-0000-0000A68C0000}"/>
    <cellStyle name="Uwaga 2 15 2" xfId="35204" xr:uid="{00000000-0005-0000-0000-0000A78C0000}"/>
    <cellStyle name="Uwaga 2 15 2 2" xfId="35205" xr:uid="{00000000-0005-0000-0000-0000A88C0000}"/>
    <cellStyle name="Uwaga 2 15 2 2 2" xfId="35206" xr:uid="{00000000-0005-0000-0000-0000A98C0000}"/>
    <cellStyle name="Uwaga 2 15 2 2 2 2" xfId="35207" xr:uid="{00000000-0005-0000-0000-0000AA8C0000}"/>
    <cellStyle name="Uwaga 2 15 2 2 3" xfId="35208" xr:uid="{00000000-0005-0000-0000-0000AB8C0000}"/>
    <cellStyle name="Uwaga 2 15 2 3" xfId="35209" xr:uid="{00000000-0005-0000-0000-0000AC8C0000}"/>
    <cellStyle name="Uwaga 2 15 2 3 2" xfId="35210" xr:uid="{00000000-0005-0000-0000-0000AD8C0000}"/>
    <cellStyle name="Uwaga 2 15 2 3 2 2" xfId="35211" xr:uid="{00000000-0005-0000-0000-0000AE8C0000}"/>
    <cellStyle name="Uwaga 2 15 2 3 3" xfId="35212" xr:uid="{00000000-0005-0000-0000-0000AF8C0000}"/>
    <cellStyle name="Uwaga 2 15 2 4" xfId="35213" xr:uid="{00000000-0005-0000-0000-0000B08C0000}"/>
    <cellStyle name="Uwaga 2 15 2 4 2" xfId="35214" xr:uid="{00000000-0005-0000-0000-0000B18C0000}"/>
    <cellStyle name="Uwaga 2 15 2 4 2 2" xfId="35215" xr:uid="{00000000-0005-0000-0000-0000B28C0000}"/>
    <cellStyle name="Uwaga 2 15 2 4 3" xfId="35216" xr:uid="{00000000-0005-0000-0000-0000B38C0000}"/>
    <cellStyle name="Uwaga 2 15 2 5" xfId="35217" xr:uid="{00000000-0005-0000-0000-0000B48C0000}"/>
    <cellStyle name="Uwaga 2 15 2 5 2" xfId="35218" xr:uid="{00000000-0005-0000-0000-0000B58C0000}"/>
    <cellStyle name="Uwaga 2 15 2 6" xfId="35219" xr:uid="{00000000-0005-0000-0000-0000B68C0000}"/>
    <cellStyle name="Uwaga 2 15 2 6 2" xfId="35220" xr:uid="{00000000-0005-0000-0000-0000B78C0000}"/>
    <cellStyle name="Uwaga 2 15 2 7" xfId="35221" xr:uid="{00000000-0005-0000-0000-0000B88C0000}"/>
    <cellStyle name="Uwaga 2 15 3" xfId="35222" xr:uid="{00000000-0005-0000-0000-0000B98C0000}"/>
    <cellStyle name="Uwaga 2 15 3 2" xfId="35223" xr:uid="{00000000-0005-0000-0000-0000BA8C0000}"/>
    <cellStyle name="Uwaga 2 15 3 2 2" xfId="35224" xr:uid="{00000000-0005-0000-0000-0000BB8C0000}"/>
    <cellStyle name="Uwaga 2 15 3 3" xfId="35225" xr:uid="{00000000-0005-0000-0000-0000BC8C0000}"/>
    <cellStyle name="Uwaga 2 15 4" xfId="35226" xr:uid="{00000000-0005-0000-0000-0000BD8C0000}"/>
    <cellStyle name="Uwaga 2 15 4 2" xfId="35227" xr:uid="{00000000-0005-0000-0000-0000BE8C0000}"/>
    <cellStyle name="Uwaga 2 15 4 2 2" xfId="35228" xr:uid="{00000000-0005-0000-0000-0000BF8C0000}"/>
    <cellStyle name="Uwaga 2 15 4 3" xfId="35229" xr:uid="{00000000-0005-0000-0000-0000C08C0000}"/>
    <cellStyle name="Uwaga 2 15 5" xfId="35230" xr:uid="{00000000-0005-0000-0000-0000C18C0000}"/>
    <cellStyle name="Uwaga 2 15 5 2" xfId="35231" xr:uid="{00000000-0005-0000-0000-0000C28C0000}"/>
    <cellStyle name="Uwaga 2 15 5 2 2" xfId="35232" xr:uid="{00000000-0005-0000-0000-0000C38C0000}"/>
    <cellStyle name="Uwaga 2 15 5 3" xfId="35233" xr:uid="{00000000-0005-0000-0000-0000C48C0000}"/>
    <cellStyle name="Uwaga 2 15 6" xfId="35234" xr:uid="{00000000-0005-0000-0000-0000C58C0000}"/>
    <cellStyle name="Uwaga 2 15 6 2" xfId="35235" xr:uid="{00000000-0005-0000-0000-0000C68C0000}"/>
    <cellStyle name="Uwaga 2 15 7" xfId="35236" xr:uid="{00000000-0005-0000-0000-0000C78C0000}"/>
    <cellStyle name="Uwaga 2 15 7 2" xfId="35237" xr:uid="{00000000-0005-0000-0000-0000C88C0000}"/>
    <cellStyle name="Uwaga 2 15 8" xfId="35238" xr:uid="{00000000-0005-0000-0000-0000C98C0000}"/>
    <cellStyle name="Uwaga 2 16" xfId="35239" xr:uid="{00000000-0005-0000-0000-0000CA8C0000}"/>
    <cellStyle name="Uwaga 2 16 2" xfId="35240" xr:uid="{00000000-0005-0000-0000-0000CB8C0000}"/>
    <cellStyle name="Uwaga 2 16 2 2" xfId="35241" xr:uid="{00000000-0005-0000-0000-0000CC8C0000}"/>
    <cellStyle name="Uwaga 2 16 3" xfId="35242" xr:uid="{00000000-0005-0000-0000-0000CD8C0000}"/>
    <cellStyle name="Uwaga 2 17" xfId="35243" xr:uid="{00000000-0005-0000-0000-0000CE8C0000}"/>
    <cellStyle name="Uwaga 2 17 2" xfId="35244" xr:uid="{00000000-0005-0000-0000-0000CF8C0000}"/>
    <cellStyle name="Uwaga 2 17 2 2" xfId="35245" xr:uid="{00000000-0005-0000-0000-0000D08C0000}"/>
    <cellStyle name="Uwaga 2 17 3" xfId="35246" xr:uid="{00000000-0005-0000-0000-0000D18C0000}"/>
    <cellStyle name="Uwaga 2 18" xfId="35247" xr:uid="{00000000-0005-0000-0000-0000D28C0000}"/>
    <cellStyle name="Uwaga 2 18 2" xfId="35248" xr:uid="{00000000-0005-0000-0000-0000D38C0000}"/>
    <cellStyle name="Uwaga 2 18 2 2" xfId="35249" xr:uid="{00000000-0005-0000-0000-0000D48C0000}"/>
    <cellStyle name="Uwaga 2 18 3" xfId="35250" xr:uid="{00000000-0005-0000-0000-0000D58C0000}"/>
    <cellStyle name="Uwaga 2 19" xfId="35251" xr:uid="{00000000-0005-0000-0000-0000D68C0000}"/>
    <cellStyle name="Uwaga 2 19 2" xfId="35252" xr:uid="{00000000-0005-0000-0000-0000D78C0000}"/>
    <cellStyle name="Uwaga 2 19 2 2" xfId="35253" xr:uid="{00000000-0005-0000-0000-0000D88C0000}"/>
    <cellStyle name="Uwaga 2 19 3" xfId="35254" xr:uid="{00000000-0005-0000-0000-0000D98C0000}"/>
    <cellStyle name="Uwaga 2 2" xfId="35255" xr:uid="{00000000-0005-0000-0000-0000DA8C0000}"/>
    <cellStyle name="Uwaga 2 2 10" xfId="35256" xr:uid="{00000000-0005-0000-0000-0000DB8C0000}"/>
    <cellStyle name="Uwaga 2 2 10 10" xfId="35257" xr:uid="{00000000-0005-0000-0000-0000DC8C0000}"/>
    <cellStyle name="Uwaga 2 2 10 10 2" xfId="35258" xr:uid="{00000000-0005-0000-0000-0000DD8C0000}"/>
    <cellStyle name="Uwaga 2 2 10 10 2 2" xfId="35259" xr:uid="{00000000-0005-0000-0000-0000DE8C0000}"/>
    <cellStyle name="Uwaga 2 2 10 10 3" xfId="35260" xr:uid="{00000000-0005-0000-0000-0000DF8C0000}"/>
    <cellStyle name="Uwaga 2 2 10 11" xfId="35261" xr:uid="{00000000-0005-0000-0000-0000E08C0000}"/>
    <cellStyle name="Uwaga 2 2 10 11 2" xfId="35262" xr:uid="{00000000-0005-0000-0000-0000E18C0000}"/>
    <cellStyle name="Uwaga 2 2 10 12" xfId="35263" xr:uid="{00000000-0005-0000-0000-0000E28C0000}"/>
    <cellStyle name="Uwaga 2 2 10 12 2" xfId="35264" xr:uid="{00000000-0005-0000-0000-0000E38C0000}"/>
    <cellStyle name="Uwaga 2 2 10 13" xfId="35265" xr:uid="{00000000-0005-0000-0000-0000E48C0000}"/>
    <cellStyle name="Uwaga 2 2 10 2" xfId="35266" xr:uid="{00000000-0005-0000-0000-0000E58C0000}"/>
    <cellStyle name="Uwaga 2 2 10 2 10" xfId="35267" xr:uid="{00000000-0005-0000-0000-0000E68C0000}"/>
    <cellStyle name="Uwaga 2 2 10 2 10 2" xfId="35268" xr:uid="{00000000-0005-0000-0000-0000E78C0000}"/>
    <cellStyle name="Uwaga 2 2 10 2 11" xfId="35269" xr:uid="{00000000-0005-0000-0000-0000E88C0000}"/>
    <cellStyle name="Uwaga 2 2 10 2 11 2" xfId="35270" xr:uid="{00000000-0005-0000-0000-0000E98C0000}"/>
    <cellStyle name="Uwaga 2 2 10 2 12" xfId="35271" xr:uid="{00000000-0005-0000-0000-0000EA8C0000}"/>
    <cellStyle name="Uwaga 2 2 10 2 2" xfId="35272" xr:uid="{00000000-0005-0000-0000-0000EB8C0000}"/>
    <cellStyle name="Uwaga 2 2 10 2 2 10" xfId="35273" xr:uid="{00000000-0005-0000-0000-0000EC8C0000}"/>
    <cellStyle name="Uwaga 2 2 10 2 2 10 2" xfId="35274" xr:uid="{00000000-0005-0000-0000-0000ED8C0000}"/>
    <cellStyle name="Uwaga 2 2 10 2 2 11" xfId="35275" xr:uid="{00000000-0005-0000-0000-0000EE8C0000}"/>
    <cellStyle name="Uwaga 2 2 10 2 2 11 2" xfId="35276" xr:uid="{00000000-0005-0000-0000-0000EF8C0000}"/>
    <cellStyle name="Uwaga 2 2 10 2 2 12" xfId="35277" xr:uid="{00000000-0005-0000-0000-0000F08C0000}"/>
    <cellStyle name="Uwaga 2 2 10 2 2 2" xfId="35278" xr:uid="{00000000-0005-0000-0000-0000F18C0000}"/>
    <cellStyle name="Uwaga 2 2 10 2 2 2 2" xfId="35279" xr:uid="{00000000-0005-0000-0000-0000F28C0000}"/>
    <cellStyle name="Uwaga 2 2 10 2 2 2 2 2" xfId="35280" xr:uid="{00000000-0005-0000-0000-0000F38C0000}"/>
    <cellStyle name="Uwaga 2 2 10 2 2 2 2 2 2" xfId="35281" xr:uid="{00000000-0005-0000-0000-0000F48C0000}"/>
    <cellStyle name="Uwaga 2 2 10 2 2 2 2 2 2 2" xfId="35282" xr:uid="{00000000-0005-0000-0000-0000F58C0000}"/>
    <cellStyle name="Uwaga 2 2 10 2 2 2 2 2 3" xfId="35283" xr:uid="{00000000-0005-0000-0000-0000F68C0000}"/>
    <cellStyle name="Uwaga 2 2 10 2 2 2 2 3" xfId="35284" xr:uid="{00000000-0005-0000-0000-0000F78C0000}"/>
    <cellStyle name="Uwaga 2 2 10 2 2 2 2 3 2" xfId="35285" xr:uid="{00000000-0005-0000-0000-0000F88C0000}"/>
    <cellStyle name="Uwaga 2 2 10 2 2 2 2 3 2 2" xfId="35286" xr:uid="{00000000-0005-0000-0000-0000F98C0000}"/>
    <cellStyle name="Uwaga 2 2 10 2 2 2 2 3 3" xfId="35287" xr:uid="{00000000-0005-0000-0000-0000FA8C0000}"/>
    <cellStyle name="Uwaga 2 2 10 2 2 2 2 4" xfId="35288" xr:uid="{00000000-0005-0000-0000-0000FB8C0000}"/>
    <cellStyle name="Uwaga 2 2 10 2 2 2 2 4 2" xfId="35289" xr:uid="{00000000-0005-0000-0000-0000FC8C0000}"/>
    <cellStyle name="Uwaga 2 2 10 2 2 2 2 4 2 2" xfId="35290" xr:uid="{00000000-0005-0000-0000-0000FD8C0000}"/>
    <cellStyle name="Uwaga 2 2 10 2 2 2 2 4 3" xfId="35291" xr:uid="{00000000-0005-0000-0000-0000FE8C0000}"/>
    <cellStyle name="Uwaga 2 2 10 2 2 2 2 5" xfId="35292" xr:uid="{00000000-0005-0000-0000-0000FF8C0000}"/>
    <cellStyle name="Uwaga 2 2 10 2 2 2 2 5 2" xfId="35293" xr:uid="{00000000-0005-0000-0000-0000008D0000}"/>
    <cellStyle name="Uwaga 2 2 10 2 2 2 2 6" xfId="35294" xr:uid="{00000000-0005-0000-0000-0000018D0000}"/>
    <cellStyle name="Uwaga 2 2 10 2 2 2 2 6 2" xfId="35295" xr:uid="{00000000-0005-0000-0000-0000028D0000}"/>
    <cellStyle name="Uwaga 2 2 10 2 2 2 2 7" xfId="35296" xr:uid="{00000000-0005-0000-0000-0000038D0000}"/>
    <cellStyle name="Uwaga 2 2 10 2 2 2 3" xfId="35297" xr:uid="{00000000-0005-0000-0000-0000048D0000}"/>
    <cellStyle name="Uwaga 2 2 10 2 2 2 3 2" xfId="35298" xr:uid="{00000000-0005-0000-0000-0000058D0000}"/>
    <cellStyle name="Uwaga 2 2 10 2 2 2 3 2 2" xfId="35299" xr:uid="{00000000-0005-0000-0000-0000068D0000}"/>
    <cellStyle name="Uwaga 2 2 10 2 2 2 3 3" xfId="35300" xr:uid="{00000000-0005-0000-0000-0000078D0000}"/>
    <cellStyle name="Uwaga 2 2 10 2 2 2 4" xfId="35301" xr:uid="{00000000-0005-0000-0000-0000088D0000}"/>
    <cellStyle name="Uwaga 2 2 10 2 2 2 4 2" xfId="35302" xr:uid="{00000000-0005-0000-0000-0000098D0000}"/>
    <cellStyle name="Uwaga 2 2 10 2 2 2 4 2 2" xfId="35303" xr:uid="{00000000-0005-0000-0000-00000A8D0000}"/>
    <cellStyle name="Uwaga 2 2 10 2 2 2 4 3" xfId="35304" xr:uid="{00000000-0005-0000-0000-00000B8D0000}"/>
    <cellStyle name="Uwaga 2 2 10 2 2 2 5" xfId="35305" xr:uid="{00000000-0005-0000-0000-00000C8D0000}"/>
    <cellStyle name="Uwaga 2 2 10 2 2 2 5 2" xfId="35306" xr:uid="{00000000-0005-0000-0000-00000D8D0000}"/>
    <cellStyle name="Uwaga 2 2 10 2 2 2 5 2 2" xfId="35307" xr:uid="{00000000-0005-0000-0000-00000E8D0000}"/>
    <cellStyle name="Uwaga 2 2 10 2 2 2 5 3" xfId="35308" xr:uid="{00000000-0005-0000-0000-00000F8D0000}"/>
    <cellStyle name="Uwaga 2 2 10 2 2 2 6" xfId="35309" xr:uid="{00000000-0005-0000-0000-0000108D0000}"/>
    <cellStyle name="Uwaga 2 2 10 2 2 2 6 2" xfId="35310" xr:uid="{00000000-0005-0000-0000-0000118D0000}"/>
    <cellStyle name="Uwaga 2 2 10 2 2 2 7" xfId="35311" xr:uid="{00000000-0005-0000-0000-0000128D0000}"/>
    <cellStyle name="Uwaga 2 2 10 2 2 2 7 2" xfId="35312" xr:uid="{00000000-0005-0000-0000-0000138D0000}"/>
    <cellStyle name="Uwaga 2 2 10 2 2 2 8" xfId="35313" xr:uid="{00000000-0005-0000-0000-0000148D0000}"/>
    <cellStyle name="Uwaga 2 2 10 2 2 3" xfId="35314" xr:uid="{00000000-0005-0000-0000-0000158D0000}"/>
    <cellStyle name="Uwaga 2 2 10 2 2 3 2" xfId="35315" xr:uid="{00000000-0005-0000-0000-0000168D0000}"/>
    <cellStyle name="Uwaga 2 2 10 2 2 3 2 2" xfId="35316" xr:uid="{00000000-0005-0000-0000-0000178D0000}"/>
    <cellStyle name="Uwaga 2 2 10 2 2 3 3" xfId="35317" xr:uid="{00000000-0005-0000-0000-0000188D0000}"/>
    <cellStyle name="Uwaga 2 2 10 2 2 4" xfId="35318" xr:uid="{00000000-0005-0000-0000-0000198D0000}"/>
    <cellStyle name="Uwaga 2 2 10 2 2 4 2" xfId="35319" xr:uid="{00000000-0005-0000-0000-00001A8D0000}"/>
    <cellStyle name="Uwaga 2 2 10 2 2 4 2 2" xfId="35320" xr:uid="{00000000-0005-0000-0000-00001B8D0000}"/>
    <cellStyle name="Uwaga 2 2 10 2 2 4 3" xfId="35321" xr:uid="{00000000-0005-0000-0000-00001C8D0000}"/>
    <cellStyle name="Uwaga 2 2 10 2 2 5" xfId="35322" xr:uid="{00000000-0005-0000-0000-00001D8D0000}"/>
    <cellStyle name="Uwaga 2 2 10 2 2 5 2" xfId="35323" xr:uid="{00000000-0005-0000-0000-00001E8D0000}"/>
    <cellStyle name="Uwaga 2 2 10 2 2 5 2 2" xfId="35324" xr:uid="{00000000-0005-0000-0000-00001F8D0000}"/>
    <cellStyle name="Uwaga 2 2 10 2 2 5 3" xfId="35325" xr:uid="{00000000-0005-0000-0000-0000208D0000}"/>
    <cellStyle name="Uwaga 2 2 10 2 2 6" xfId="35326" xr:uid="{00000000-0005-0000-0000-0000218D0000}"/>
    <cellStyle name="Uwaga 2 2 10 2 2 6 2" xfId="35327" xr:uid="{00000000-0005-0000-0000-0000228D0000}"/>
    <cellStyle name="Uwaga 2 2 10 2 2 6 2 2" xfId="35328" xr:uid="{00000000-0005-0000-0000-0000238D0000}"/>
    <cellStyle name="Uwaga 2 2 10 2 2 6 3" xfId="35329" xr:uid="{00000000-0005-0000-0000-0000248D0000}"/>
    <cellStyle name="Uwaga 2 2 10 2 2 7" xfId="35330" xr:uid="{00000000-0005-0000-0000-0000258D0000}"/>
    <cellStyle name="Uwaga 2 2 10 2 2 7 2" xfId="35331" xr:uid="{00000000-0005-0000-0000-0000268D0000}"/>
    <cellStyle name="Uwaga 2 2 10 2 2 7 2 2" xfId="35332" xr:uid="{00000000-0005-0000-0000-0000278D0000}"/>
    <cellStyle name="Uwaga 2 2 10 2 2 7 2 2 2" xfId="35333" xr:uid="{00000000-0005-0000-0000-0000288D0000}"/>
    <cellStyle name="Uwaga 2 2 10 2 2 7 2 3" xfId="35334" xr:uid="{00000000-0005-0000-0000-0000298D0000}"/>
    <cellStyle name="Uwaga 2 2 10 2 2 7 3" xfId="35335" xr:uid="{00000000-0005-0000-0000-00002A8D0000}"/>
    <cellStyle name="Uwaga 2 2 10 2 2 7 3 2" xfId="35336" xr:uid="{00000000-0005-0000-0000-00002B8D0000}"/>
    <cellStyle name="Uwaga 2 2 10 2 2 7 3 2 2" xfId="35337" xr:uid="{00000000-0005-0000-0000-00002C8D0000}"/>
    <cellStyle name="Uwaga 2 2 10 2 2 7 3 3" xfId="35338" xr:uid="{00000000-0005-0000-0000-00002D8D0000}"/>
    <cellStyle name="Uwaga 2 2 10 2 2 7 4" xfId="35339" xr:uid="{00000000-0005-0000-0000-00002E8D0000}"/>
    <cellStyle name="Uwaga 2 2 10 2 2 7 4 2" xfId="35340" xr:uid="{00000000-0005-0000-0000-00002F8D0000}"/>
    <cellStyle name="Uwaga 2 2 10 2 2 7 4 2 2" xfId="35341" xr:uid="{00000000-0005-0000-0000-0000308D0000}"/>
    <cellStyle name="Uwaga 2 2 10 2 2 7 4 3" xfId="35342" xr:uid="{00000000-0005-0000-0000-0000318D0000}"/>
    <cellStyle name="Uwaga 2 2 10 2 2 7 5" xfId="35343" xr:uid="{00000000-0005-0000-0000-0000328D0000}"/>
    <cellStyle name="Uwaga 2 2 10 2 2 7 5 2" xfId="35344" xr:uid="{00000000-0005-0000-0000-0000338D0000}"/>
    <cellStyle name="Uwaga 2 2 10 2 2 7 6" xfId="35345" xr:uid="{00000000-0005-0000-0000-0000348D0000}"/>
    <cellStyle name="Uwaga 2 2 10 2 2 7 6 2" xfId="35346" xr:uid="{00000000-0005-0000-0000-0000358D0000}"/>
    <cellStyle name="Uwaga 2 2 10 2 2 7 7" xfId="35347" xr:uid="{00000000-0005-0000-0000-0000368D0000}"/>
    <cellStyle name="Uwaga 2 2 10 2 2 8" xfId="35348" xr:uid="{00000000-0005-0000-0000-0000378D0000}"/>
    <cellStyle name="Uwaga 2 2 10 2 2 8 2" xfId="35349" xr:uid="{00000000-0005-0000-0000-0000388D0000}"/>
    <cellStyle name="Uwaga 2 2 10 2 2 8 2 2" xfId="35350" xr:uid="{00000000-0005-0000-0000-0000398D0000}"/>
    <cellStyle name="Uwaga 2 2 10 2 2 8 3" xfId="35351" xr:uid="{00000000-0005-0000-0000-00003A8D0000}"/>
    <cellStyle name="Uwaga 2 2 10 2 2 9" xfId="35352" xr:uid="{00000000-0005-0000-0000-00003B8D0000}"/>
    <cellStyle name="Uwaga 2 2 10 2 2 9 2" xfId="35353" xr:uid="{00000000-0005-0000-0000-00003C8D0000}"/>
    <cellStyle name="Uwaga 2 2 10 2 2 9 2 2" xfId="35354" xr:uid="{00000000-0005-0000-0000-00003D8D0000}"/>
    <cellStyle name="Uwaga 2 2 10 2 2 9 3" xfId="35355" xr:uid="{00000000-0005-0000-0000-00003E8D0000}"/>
    <cellStyle name="Uwaga 2 2 10 2 3" xfId="35356" xr:uid="{00000000-0005-0000-0000-00003F8D0000}"/>
    <cellStyle name="Uwaga 2 2 10 2 3 2" xfId="35357" xr:uid="{00000000-0005-0000-0000-0000408D0000}"/>
    <cellStyle name="Uwaga 2 2 10 2 3 2 2" xfId="35358" xr:uid="{00000000-0005-0000-0000-0000418D0000}"/>
    <cellStyle name="Uwaga 2 2 10 2 3 2 2 2" xfId="35359" xr:uid="{00000000-0005-0000-0000-0000428D0000}"/>
    <cellStyle name="Uwaga 2 2 10 2 3 2 2 2 2" xfId="35360" xr:uid="{00000000-0005-0000-0000-0000438D0000}"/>
    <cellStyle name="Uwaga 2 2 10 2 3 2 2 3" xfId="35361" xr:uid="{00000000-0005-0000-0000-0000448D0000}"/>
    <cellStyle name="Uwaga 2 2 10 2 3 2 3" xfId="35362" xr:uid="{00000000-0005-0000-0000-0000458D0000}"/>
    <cellStyle name="Uwaga 2 2 10 2 3 2 3 2" xfId="35363" xr:uid="{00000000-0005-0000-0000-0000468D0000}"/>
    <cellStyle name="Uwaga 2 2 10 2 3 2 3 2 2" xfId="35364" xr:uid="{00000000-0005-0000-0000-0000478D0000}"/>
    <cellStyle name="Uwaga 2 2 10 2 3 2 3 3" xfId="35365" xr:uid="{00000000-0005-0000-0000-0000488D0000}"/>
    <cellStyle name="Uwaga 2 2 10 2 3 2 4" xfId="35366" xr:uid="{00000000-0005-0000-0000-0000498D0000}"/>
    <cellStyle name="Uwaga 2 2 10 2 3 2 4 2" xfId="35367" xr:uid="{00000000-0005-0000-0000-00004A8D0000}"/>
    <cellStyle name="Uwaga 2 2 10 2 3 2 4 2 2" xfId="35368" xr:uid="{00000000-0005-0000-0000-00004B8D0000}"/>
    <cellStyle name="Uwaga 2 2 10 2 3 2 4 3" xfId="35369" xr:uid="{00000000-0005-0000-0000-00004C8D0000}"/>
    <cellStyle name="Uwaga 2 2 10 2 3 2 5" xfId="35370" xr:uid="{00000000-0005-0000-0000-00004D8D0000}"/>
    <cellStyle name="Uwaga 2 2 10 2 3 2 5 2" xfId="35371" xr:uid="{00000000-0005-0000-0000-00004E8D0000}"/>
    <cellStyle name="Uwaga 2 2 10 2 3 2 6" xfId="35372" xr:uid="{00000000-0005-0000-0000-00004F8D0000}"/>
    <cellStyle name="Uwaga 2 2 10 2 3 2 6 2" xfId="35373" xr:uid="{00000000-0005-0000-0000-0000508D0000}"/>
    <cellStyle name="Uwaga 2 2 10 2 3 2 7" xfId="35374" xr:uid="{00000000-0005-0000-0000-0000518D0000}"/>
    <cellStyle name="Uwaga 2 2 10 2 3 3" xfId="35375" xr:uid="{00000000-0005-0000-0000-0000528D0000}"/>
    <cellStyle name="Uwaga 2 2 10 2 3 3 2" xfId="35376" xr:uid="{00000000-0005-0000-0000-0000538D0000}"/>
    <cellStyle name="Uwaga 2 2 10 2 3 3 2 2" xfId="35377" xr:uid="{00000000-0005-0000-0000-0000548D0000}"/>
    <cellStyle name="Uwaga 2 2 10 2 3 3 3" xfId="35378" xr:uid="{00000000-0005-0000-0000-0000558D0000}"/>
    <cellStyle name="Uwaga 2 2 10 2 3 4" xfId="35379" xr:uid="{00000000-0005-0000-0000-0000568D0000}"/>
    <cellStyle name="Uwaga 2 2 10 2 3 4 2" xfId="35380" xr:uid="{00000000-0005-0000-0000-0000578D0000}"/>
    <cellStyle name="Uwaga 2 2 10 2 3 4 2 2" xfId="35381" xr:uid="{00000000-0005-0000-0000-0000588D0000}"/>
    <cellStyle name="Uwaga 2 2 10 2 3 4 3" xfId="35382" xr:uid="{00000000-0005-0000-0000-0000598D0000}"/>
    <cellStyle name="Uwaga 2 2 10 2 3 5" xfId="35383" xr:uid="{00000000-0005-0000-0000-00005A8D0000}"/>
    <cellStyle name="Uwaga 2 2 10 2 3 5 2" xfId="35384" xr:uid="{00000000-0005-0000-0000-00005B8D0000}"/>
    <cellStyle name="Uwaga 2 2 10 2 3 5 2 2" xfId="35385" xr:uid="{00000000-0005-0000-0000-00005C8D0000}"/>
    <cellStyle name="Uwaga 2 2 10 2 3 5 3" xfId="35386" xr:uid="{00000000-0005-0000-0000-00005D8D0000}"/>
    <cellStyle name="Uwaga 2 2 10 2 3 6" xfId="35387" xr:uid="{00000000-0005-0000-0000-00005E8D0000}"/>
    <cellStyle name="Uwaga 2 2 10 2 3 6 2" xfId="35388" xr:uid="{00000000-0005-0000-0000-00005F8D0000}"/>
    <cellStyle name="Uwaga 2 2 10 2 3 7" xfId="35389" xr:uid="{00000000-0005-0000-0000-0000608D0000}"/>
    <cellStyle name="Uwaga 2 2 10 2 3 7 2" xfId="35390" xr:uid="{00000000-0005-0000-0000-0000618D0000}"/>
    <cellStyle name="Uwaga 2 2 10 2 3 8" xfId="35391" xr:uid="{00000000-0005-0000-0000-0000628D0000}"/>
    <cellStyle name="Uwaga 2 2 10 2 4" xfId="35392" xr:uid="{00000000-0005-0000-0000-0000638D0000}"/>
    <cellStyle name="Uwaga 2 2 10 2 4 2" xfId="35393" xr:uid="{00000000-0005-0000-0000-0000648D0000}"/>
    <cellStyle name="Uwaga 2 2 10 2 4 2 2" xfId="35394" xr:uid="{00000000-0005-0000-0000-0000658D0000}"/>
    <cellStyle name="Uwaga 2 2 10 2 4 3" xfId="35395" xr:uid="{00000000-0005-0000-0000-0000668D0000}"/>
    <cellStyle name="Uwaga 2 2 10 2 5" xfId="35396" xr:uid="{00000000-0005-0000-0000-0000678D0000}"/>
    <cellStyle name="Uwaga 2 2 10 2 5 2" xfId="35397" xr:uid="{00000000-0005-0000-0000-0000688D0000}"/>
    <cellStyle name="Uwaga 2 2 10 2 5 2 2" xfId="35398" xr:uid="{00000000-0005-0000-0000-0000698D0000}"/>
    <cellStyle name="Uwaga 2 2 10 2 5 3" xfId="35399" xr:uid="{00000000-0005-0000-0000-00006A8D0000}"/>
    <cellStyle name="Uwaga 2 2 10 2 6" xfId="35400" xr:uid="{00000000-0005-0000-0000-00006B8D0000}"/>
    <cellStyle name="Uwaga 2 2 10 2 6 2" xfId="35401" xr:uid="{00000000-0005-0000-0000-00006C8D0000}"/>
    <cellStyle name="Uwaga 2 2 10 2 6 2 2" xfId="35402" xr:uid="{00000000-0005-0000-0000-00006D8D0000}"/>
    <cellStyle name="Uwaga 2 2 10 2 6 3" xfId="35403" xr:uid="{00000000-0005-0000-0000-00006E8D0000}"/>
    <cellStyle name="Uwaga 2 2 10 2 7" xfId="35404" xr:uid="{00000000-0005-0000-0000-00006F8D0000}"/>
    <cellStyle name="Uwaga 2 2 10 2 7 2" xfId="35405" xr:uid="{00000000-0005-0000-0000-0000708D0000}"/>
    <cellStyle name="Uwaga 2 2 10 2 7 2 2" xfId="35406" xr:uid="{00000000-0005-0000-0000-0000718D0000}"/>
    <cellStyle name="Uwaga 2 2 10 2 7 2 2 2" xfId="35407" xr:uid="{00000000-0005-0000-0000-0000728D0000}"/>
    <cellStyle name="Uwaga 2 2 10 2 7 2 3" xfId="35408" xr:uid="{00000000-0005-0000-0000-0000738D0000}"/>
    <cellStyle name="Uwaga 2 2 10 2 7 3" xfId="35409" xr:uid="{00000000-0005-0000-0000-0000748D0000}"/>
    <cellStyle name="Uwaga 2 2 10 2 7 3 2" xfId="35410" xr:uid="{00000000-0005-0000-0000-0000758D0000}"/>
    <cellStyle name="Uwaga 2 2 10 2 7 3 2 2" xfId="35411" xr:uid="{00000000-0005-0000-0000-0000768D0000}"/>
    <cellStyle name="Uwaga 2 2 10 2 7 3 3" xfId="35412" xr:uid="{00000000-0005-0000-0000-0000778D0000}"/>
    <cellStyle name="Uwaga 2 2 10 2 7 4" xfId="35413" xr:uid="{00000000-0005-0000-0000-0000788D0000}"/>
    <cellStyle name="Uwaga 2 2 10 2 7 4 2" xfId="35414" xr:uid="{00000000-0005-0000-0000-0000798D0000}"/>
    <cellStyle name="Uwaga 2 2 10 2 7 4 2 2" xfId="35415" xr:uid="{00000000-0005-0000-0000-00007A8D0000}"/>
    <cellStyle name="Uwaga 2 2 10 2 7 4 3" xfId="35416" xr:uid="{00000000-0005-0000-0000-00007B8D0000}"/>
    <cellStyle name="Uwaga 2 2 10 2 7 5" xfId="35417" xr:uid="{00000000-0005-0000-0000-00007C8D0000}"/>
    <cellStyle name="Uwaga 2 2 10 2 7 5 2" xfId="35418" xr:uid="{00000000-0005-0000-0000-00007D8D0000}"/>
    <cellStyle name="Uwaga 2 2 10 2 7 6" xfId="35419" xr:uid="{00000000-0005-0000-0000-00007E8D0000}"/>
    <cellStyle name="Uwaga 2 2 10 2 7 6 2" xfId="35420" xr:uid="{00000000-0005-0000-0000-00007F8D0000}"/>
    <cellStyle name="Uwaga 2 2 10 2 7 7" xfId="35421" xr:uid="{00000000-0005-0000-0000-0000808D0000}"/>
    <cellStyle name="Uwaga 2 2 10 2 8" xfId="35422" xr:uid="{00000000-0005-0000-0000-0000818D0000}"/>
    <cellStyle name="Uwaga 2 2 10 2 8 2" xfId="35423" xr:uid="{00000000-0005-0000-0000-0000828D0000}"/>
    <cellStyle name="Uwaga 2 2 10 2 8 2 2" xfId="35424" xr:uid="{00000000-0005-0000-0000-0000838D0000}"/>
    <cellStyle name="Uwaga 2 2 10 2 8 3" xfId="35425" xr:uid="{00000000-0005-0000-0000-0000848D0000}"/>
    <cellStyle name="Uwaga 2 2 10 2 9" xfId="35426" xr:uid="{00000000-0005-0000-0000-0000858D0000}"/>
    <cellStyle name="Uwaga 2 2 10 2 9 2" xfId="35427" xr:uid="{00000000-0005-0000-0000-0000868D0000}"/>
    <cellStyle name="Uwaga 2 2 10 2 9 2 2" xfId="35428" xr:uid="{00000000-0005-0000-0000-0000878D0000}"/>
    <cellStyle name="Uwaga 2 2 10 2 9 3" xfId="35429" xr:uid="{00000000-0005-0000-0000-0000888D0000}"/>
    <cellStyle name="Uwaga 2 2 10 3" xfId="35430" xr:uid="{00000000-0005-0000-0000-0000898D0000}"/>
    <cellStyle name="Uwaga 2 2 10 3 2" xfId="35431" xr:uid="{00000000-0005-0000-0000-00008A8D0000}"/>
    <cellStyle name="Uwaga 2 2 10 3 2 2" xfId="35432" xr:uid="{00000000-0005-0000-0000-00008B8D0000}"/>
    <cellStyle name="Uwaga 2 2 10 3 2 2 2" xfId="35433" xr:uid="{00000000-0005-0000-0000-00008C8D0000}"/>
    <cellStyle name="Uwaga 2 2 10 3 2 2 2 2" xfId="35434" xr:uid="{00000000-0005-0000-0000-00008D8D0000}"/>
    <cellStyle name="Uwaga 2 2 10 3 2 2 3" xfId="35435" xr:uid="{00000000-0005-0000-0000-00008E8D0000}"/>
    <cellStyle name="Uwaga 2 2 10 3 2 3" xfId="35436" xr:uid="{00000000-0005-0000-0000-00008F8D0000}"/>
    <cellStyle name="Uwaga 2 2 10 3 2 3 2" xfId="35437" xr:uid="{00000000-0005-0000-0000-0000908D0000}"/>
    <cellStyle name="Uwaga 2 2 10 3 2 3 2 2" xfId="35438" xr:uid="{00000000-0005-0000-0000-0000918D0000}"/>
    <cellStyle name="Uwaga 2 2 10 3 2 3 3" xfId="35439" xr:uid="{00000000-0005-0000-0000-0000928D0000}"/>
    <cellStyle name="Uwaga 2 2 10 3 2 4" xfId="35440" xr:uid="{00000000-0005-0000-0000-0000938D0000}"/>
    <cellStyle name="Uwaga 2 2 10 3 2 4 2" xfId="35441" xr:uid="{00000000-0005-0000-0000-0000948D0000}"/>
    <cellStyle name="Uwaga 2 2 10 3 2 4 2 2" xfId="35442" xr:uid="{00000000-0005-0000-0000-0000958D0000}"/>
    <cellStyle name="Uwaga 2 2 10 3 2 4 3" xfId="35443" xr:uid="{00000000-0005-0000-0000-0000968D0000}"/>
    <cellStyle name="Uwaga 2 2 10 3 2 5" xfId="35444" xr:uid="{00000000-0005-0000-0000-0000978D0000}"/>
    <cellStyle name="Uwaga 2 2 10 3 2 5 2" xfId="35445" xr:uid="{00000000-0005-0000-0000-0000988D0000}"/>
    <cellStyle name="Uwaga 2 2 10 3 2 6" xfId="35446" xr:uid="{00000000-0005-0000-0000-0000998D0000}"/>
    <cellStyle name="Uwaga 2 2 10 3 2 6 2" xfId="35447" xr:uid="{00000000-0005-0000-0000-00009A8D0000}"/>
    <cellStyle name="Uwaga 2 2 10 3 2 7" xfId="35448" xr:uid="{00000000-0005-0000-0000-00009B8D0000}"/>
    <cellStyle name="Uwaga 2 2 10 3 3" xfId="35449" xr:uid="{00000000-0005-0000-0000-00009C8D0000}"/>
    <cellStyle name="Uwaga 2 2 10 3 3 2" xfId="35450" xr:uid="{00000000-0005-0000-0000-00009D8D0000}"/>
    <cellStyle name="Uwaga 2 2 10 3 3 2 2" xfId="35451" xr:uid="{00000000-0005-0000-0000-00009E8D0000}"/>
    <cellStyle name="Uwaga 2 2 10 3 3 3" xfId="35452" xr:uid="{00000000-0005-0000-0000-00009F8D0000}"/>
    <cellStyle name="Uwaga 2 2 10 3 4" xfId="35453" xr:uid="{00000000-0005-0000-0000-0000A08D0000}"/>
    <cellStyle name="Uwaga 2 2 10 3 4 2" xfId="35454" xr:uid="{00000000-0005-0000-0000-0000A18D0000}"/>
    <cellStyle name="Uwaga 2 2 10 3 4 2 2" xfId="35455" xr:uid="{00000000-0005-0000-0000-0000A28D0000}"/>
    <cellStyle name="Uwaga 2 2 10 3 4 3" xfId="35456" xr:uid="{00000000-0005-0000-0000-0000A38D0000}"/>
    <cellStyle name="Uwaga 2 2 10 3 5" xfId="35457" xr:uid="{00000000-0005-0000-0000-0000A48D0000}"/>
    <cellStyle name="Uwaga 2 2 10 3 5 2" xfId="35458" xr:uid="{00000000-0005-0000-0000-0000A58D0000}"/>
    <cellStyle name="Uwaga 2 2 10 3 5 2 2" xfId="35459" xr:uid="{00000000-0005-0000-0000-0000A68D0000}"/>
    <cellStyle name="Uwaga 2 2 10 3 5 3" xfId="35460" xr:uid="{00000000-0005-0000-0000-0000A78D0000}"/>
    <cellStyle name="Uwaga 2 2 10 3 6" xfId="35461" xr:uid="{00000000-0005-0000-0000-0000A88D0000}"/>
    <cellStyle name="Uwaga 2 2 10 3 6 2" xfId="35462" xr:uid="{00000000-0005-0000-0000-0000A98D0000}"/>
    <cellStyle name="Uwaga 2 2 10 3 7" xfId="35463" xr:uid="{00000000-0005-0000-0000-0000AA8D0000}"/>
    <cellStyle name="Uwaga 2 2 10 3 7 2" xfId="35464" xr:uid="{00000000-0005-0000-0000-0000AB8D0000}"/>
    <cellStyle name="Uwaga 2 2 10 3 8" xfId="35465" xr:uid="{00000000-0005-0000-0000-0000AC8D0000}"/>
    <cellStyle name="Uwaga 2 2 10 4" xfId="35466" xr:uid="{00000000-0005-0000-0000-0000AD8D0000}"/>
    <cellStyle name="Uwaga 2 2 10 4 2" xfId="35467" xr:uid="{00000000-0005-0000-0000-0000AE8D0000}"/>
    <cellStyle name="Uwaga 2 2 10 4 2 2" xfId="35468" xr:uid="{00000000-0005-0000-0000-0000AF8D0000}"/>
    <cellStyle name="Uwaga 2 2 10 4 3" xfId="35469" xr:uid="{00000000-0005-0000-0000-0000B08D0000}"/>
    <cellStyle name="Uwaga 2 2 10 5" xfId="35470" xr:uid="{00000000-0005-0000-0000-0000B18D0000}"/>
    <cellStyle name="Uwaga 2 2 10 5 2" xfId="35471" xr:uid="{00000000-0005-0000-0000-0000B28D0000}"/>
    <cellStyle name="Uwaga 2 2 10 5 2 2" xfId="35472" xr:uid="{00000000-0005-0000-0000-0000B38D0000}"/>
    <cellStyle name="Uwaga 2 2 10 5 3" xfId="35473" xr:uid="{00000000-0005-0000-0000-0000B48D0000}"/>
    <cellStyle name="Uwaga 2 2 10 6" xfId="35474" xr:uid="{00000000-0005-0000-0000-0000B58D0000}"/>
    <cellStyle name="Uwaga 2 2 10 6 2" xfId="35475" xr:uid="{00000000-0005-0000-0000-0000B68D0000}"/>
    <cellStyle name="Uwaga 2 2 10 6 2 2" xfId="35476" xr:uid="{00000000-0005-0000-0000-0000B78D0000}"/>
    <cellStyle name="Uwaga 2 2 10 6 3" xfId="35477" xr:uid="{00000000-0005-0000-0000-0000B88D0000}"/>
    <cellStyle name="Uwaga 2 2 10 7" xfId="35478" xr:uid="{00000000-0005-0000-0000-0000B98D0000}"/>
    <cellStyle name="Uwaga 2 2 10 7 2" xfId="35479" xr:uid="{00000000-0005-0000-0000-0000BA8D0000}"/>
    <cellStyle name="Uwaga 2 2 10 7 2 2" xfId="35480" xr:uid="{00000000-0005-0000-0000-0000BB8D0000}"/>
    <cellStyle name="Uwaga 2 2 10 7 3" xfId="35481" xr:uid="{00000000-0005-0000-0000-0000BC8D0000}"/>
    <cellStyle name="Uwaga 2 2 10 8" xfId="35482" xr:uid="{00000000-0005-0000-0000-0000BD8D0000}"/>
    <cellStyle name="Uwaga 2 2 10 8 2" xfId="35483" xr:uid="{00000000-0005-0000-0000-0000BE8D0000}"/>
    <cellStyle name="Uwaga 2 2 10 8 2 2" xfId="35484" xr:uid="{00000000-0005-0000-0000-0000BF8D0000}"/>
    <cellStyle name="Uwaga 2 2 10 8 2 2 2" xfId="35485" xr:uid="{00000000-0005-0000-0000-0000C08D0000}"/>
    <cellStyle name="Uwaga 2 2 10 8 2 3" xfId="35486" xr:uid="{00000000-0005-0000-0000-0000C18D0000}"/>
    <cellStyle name="Uwaga 2 2 10 8 3" xfId="35487" xr:uid="{00000000-0005-0000-0000-0000C28D0000}"/>
    <cellStyle name="Uwaga 2 2 10 8 3 2" xfId="35488" xr:uid="{00000000-0005-0000-0000-0000C38D0000}"/>
    <cellStyle name="Uwaga 2 2 10 8 3 2 2" xfId="35489" xr:uid="{00000000-0005-0000-0000-0000C48D0000}"/>
    <cellStyle name="Uwaga 2 2 10 8 3 3" xfId="35490" xr:uid="{00000000-0005-0000-0000-0000C58D0000}"/>
    <cellStyle name="Uwaga 2 2 10 8 4" xfId="35491" xr:uid="{00000000-0005-0000-0000-0000C68D0000}"/>
    <cellStyle name="Uwaga 2 2 10 8 4 2" xfId="35492" xr:uid="{00000000-0005-0000-0000-0000C78D0000}"/>
    <cellStyle name="Uwaga 2 2 10 8 4 2 2" xfId="35493" xr:uid="{00000000-0005-0000-0000-0000C88D0000}"/>
    <cellStyle name="Uwaga 2 2 10 8 4 3" xfId="35494" xr:uid="{00000000-0005-0000-0000-0000C98D0000}"/>
    <cellStyle name="Uwaga 2 2 10 8 5" xfId="35495" xr:uid="{00000000-0005-0000-0000-0000CA8D0000}"/>
    <cellStyle name="Uwaga 2 2 10 8 5 2" xfId="35496" xr:uid="{00000000-0005-0000-0000-0000CB8D0000}"/>
    <cellStyle name="Uwaga 2 2 10 8 6" xfId="35497" xr:uid="{00000000-0005-0000-0000-0000CC8D0000}"/>
    <cellStyle name="Uwaga 2 2 10 8 6 2" xfId="35498" xr:uid="{00000000-0005-0000-0000-0000CD8D0000}"/>
    <cellStyle name="Uwaga 2 2 10 8 7" xfId="35499" xr:uid="{00000000-0005-0000-0000-0000CE8D0000}"/>
    <cellStyle name="Uwaga 2 2 10 9" xfId="35500" xr:uid="{00000000-0005-0000-0000-0000CF8D0000}"/>
    <cellStyle name="Uwaga 2 2 10 9 2" xfId="35501" xr:uid="{00000000-0005-0000-0000-0000D08D0000}"/>
    <cellStyle name="Uwaga 2 2 10 9 2 2" xfId="35502" xr:uid="{00000000-0005-0000-0000-0000D18D0000}"/>
    <cellStyle name="Uwaga 2 2 10 9 3" xfId="35503" xr:uid="{00000000-0005-0000-0000-0000D28D0000}"/>
    <cellStyle name="Uwaga 2 2 11" xfId="35504" xr:uid="{00000000-0005-0000-0000-0000D38D0000}"/>
    <cellStyle name="Uwaga 2 2 11 10" xfId="35505" xr:uid="{00000000-0005-0000-0000-0000D48D0000}"/>
    <cellStyle name="Uwaga 2 2 11 10 2" xfId="35506" xr:uid="{00000000-0005-0000-0000-0000D58D0000}"/>
    <cellStyle name="Uwaga 2 2 11 11" xfId="35507" xr:uid="{00000000-0005-0000-0000-0000D68D0000}"/>
    <cellStyle name="Uwaga 2 2 11 11 2" xfId="35508" xr:uid="{00000000-0005-0000-0000-0000D78D0000}"/>
    <cellStyle name="Uwaga 2 2 11 12" xfId="35509" xr:uid="{00000000-0005-0000-0000-0000D88D0000}"/>
    <cellStyle name="Uwaga 2 2 11 2" xfId="35510" xr:uid="{00000000-0005-0000-0000-0000D98D0000}"/>
    <cellStyle name="Uwaga 2 2 11 2 2" xfId="35511" xr:uid="{00000000-0005-0000-0000-0000DA8D0000}"/>
    <cellStyle name="Uwaga 2 2 11 2 2 2" xfId="35512" xr:uid="{00000000-0005-0000-0000-0000DB8D0000}"/>
    <cellStyle name="Uwaga 2 2 11 2 2 2 2" xfId="35513" xr:uid="{00000000-0005-0000-0000-0000DC8D0000}"/>
    <cellStyle name="Uwaga 2 2 11 2 2 2 2 2" xfId="35514" xr:uid="{00000000-0005-0000-0000-0000DD8D0000}"/>
    <cellStyle name="Uwaga 2 2 11 2 2 2 3" xfId="35515" xr:uid="{00000000-0005-0000-0000-0000DE8D0000}"/>
    <cellStyle name="Uwaga 2 2 11 2 2 3" xfId="35516" xr:uid="{00000000-0005-0000-0000-0000DF8D0000}"/>
    <cellStyle name="Uwaga 2 2 11 2 2 3 2" xfId="35517" xr:uid="{00000000-0005-0000-0000-0000E08D0000}"/>
    <cellStyle name="Uwaga 2 2 11 2 2 3 2 2" xfId="35518" xr:uid="{00000000-0005-0000-0000-0000E18D0000}"/>
    <cellStyle name="Uwaga 2 2 11 2 2 3 3" xfId="35519" xr:uid="{00000000-0005-0000-0000-0000E28D0000}"/>
    <cellStyle name="Uwaga 2 2 11 2 2 4" xfId="35520" xr:uid="{00000000-0005-0000-0000-0000E38D0000}"/>
    <cellStyle name="Uwaga 2 2 11 2 2 4 2" xfId="35521" xr:uid="{00000000-0005-0000-0000-0000E48D0000}"/>
    <cellStyle name="Uwaga 2 2 11 2 2 4 2 2" xfId="35522" xr:uid="{00000000-0005-0000-0000-0000E58D0000}"/>
    <cellStyle name="Uwaga 2 2 11 2 2 4 3" xfId="35523" xr:uid="{00000000-0005-0000-0000-0000E68D0000}"/>
    <cellStyle name="Uwaga 2 2 11 2 2 5" xfId="35524" xr:uid="{00000000-0005-0000-0000-0000E78D0000}"/>
    <cellStyle name="Uwaga 2 2 11 2 2 5 2" xfId="35525" xr:uid="{00000000-0005-0000-0000-0000E88D0000}"/>
    <cellStyle name="Uwaga 2 2 11 2 2 6" xfId="35526" xr:uid="{00000000-0005-0000-0000-0000E98D0000}"/>
    <cellStyle name="Uwaga 2 2 11 2 2 6 2" xfId="35527" xr:uid="{00000000-0005-0000-0000-0000EA8D0000}"/>
    <cellStyle name="Uwaga 2 2 11 2 2 7" xfId="35528" xr:uid="{00000000-0005-0000-0000-0000EB8D0000}"/>
    <cellStyle name="Uwaga 2 2 11 2 3" xfId="35529" xr:uid="{00000000-0005-0000-0000-0000EC8D0000}"/>
    <cellStyle name="Uwaga 2 2 11 2 3 2" xfId="35530" xr:uid="{00000000-0005-0000-0000-0000ED8D0000}"/>
    <cellStyle name="Uwaga 2 2 11 2 3 2 2" xfId="35531" xr:uid="{00000000-0005-0000-0000-0000EE8D0000}"/>
    <cellStyle name="Uwaga 2 2 11 2 3 3" xfId="35532" xr:uid="{00000000-0005-0000-0000-0000EF8D0000}"/>
    <cellStyle name="Uwaga 2 2 11 2 4" xfId="35533" xr:uid="{00000000-0005-0000-0000-0000F08D0000}"/>
    <cellStyle name="Uwaga 2 2 11 2 4 2" xfId="35534" xr:uid="{00000000-0005-0000-0000-0000F18D0000}"/>
    <cellStyle name="Uwaga 2 2 11 2 4 2 2" xfId="35535" xr:uid="{00000000-0005-0000-0000-0000F28D0000}"/>
    <cellStyle name="Uwaga 2 2 11 2 4 3" xfId="35536" xr:uid="{00000000-0005-0000-0000-0000F38D0000}"/>
    <cellStyle name="Uwaga 2 2 11 2 5" xfId="35537" xr:uid="{00000000-0005-0000-0000-0000F48D0000}"/>
    <cellStyle name="Uwaga 2 2 11 2 5 2" xfId="35538" xr:uid="{00000000-0005-0000-0000-0000F58D0000}"/>
    <cellStyle name="Uwaga 2 2 11 2 5 2 2" xfId="35539" xr:uid="{00000000-0005-0000-0000-0000F68D0000}"/>
    <cellStyle name="Uwaga 2 2 11 2 5 3" xfId="35540" xr:uid="{00000000-0005-0000-0000-0000F78D0000}"/>
    <cellStyle name="Uwaga 2 2 11 2 6" xfId="35541" xr:uid="{00000000-0005-0000-0000-0000F88D0000}"/>
    <cellStyle name="Uwaga 2 2 11 2 6 2" xfId="35542" xr:uid="{00000000-0005-0000-0000-0000F98D0000}"/>
    <cellStyle name="Uwaga 2 2 11 2 7" xfId="35543" xr:uid="{00000000-0005-0000-0000-0000FA8D0000}"/>
    <cellStyle name="Uwaga 2 2 11 2 7 2" xfId="35544" xr:uid="{00000000-0005-0000-0000-0000FB8D0000}"/>
    <cellStyle name="Uwaga 2 2 11 2 8" xfId="35545" xr:uid="{00000000-0005-0000-0000-0000FC8D0000}"/>
    <cellStyle name="Uwaga 2 2 11 3" xfId="35546" xr:uid="{00000000-0005-0000-0000-0000FD8D0000}"/>
    <cellStyle name="Uwaga 2 2 11 3 2" xfId="35547" xr:uid="{00000000-0005-0000-0000-0000FE8D0000}"/>
    <cellStyle name="Uwaga 2 2 11 3 2 2" xfId="35548" xr:uid="{00000000-0005-0000-0000-0000FF8D0000}"/>
    <cellStyle name="Uwaga 2 2 11 3 3" xfId="35549" xr:uid="{00000000-0005-0000-0000-0000008E0000}"/>
    <cellStyle name="Uwaga 2 2 11 4" xfId="35550" xr:uid="{00000000-0005-0000-0000-0000018E0000}"/>
    <cellStyle name="Uwaga 2 2 11 4 2" xfId="35551" xr:uid="{00000000-0005-0000-0000-0000028E0000}"/>
    <cellStyle name="Uwaga 2 2 11 4 2 2" xfId="35552" xr:uid="{00000000-0005-0000-0000-0000038E0000}"/>
    <cellStyle name="Uwaga 2 2 11 4 3" xfId="35553" xr:uid="{00000000-0005-0000-0000-0000048E0000}"/>
    <cellStyle name="Uwaga 2 2 11 5" xfId="35554" xr:uid="{00000000-0005-0000-0000-0000058E0000}"/>
    <cellStyle name="Uwaga 2 2 11 5 2" xfId="35555" xr:uid="{00000000-0005-0000-0000-0000068E0000}"/>
    <cellStyle name="Uwaga 2 2 11 5 2 2" xfId="35556" xr:uid="{00000000-0005-0000-0000-0000078E0000}"/>
    <cellStyle name="Uwaga 2 2 11 5 3" xfId="35557" xr:uid="{00000000-0005-0000-0000-0000088E0000}"/>
    <cellStyle name="Uwaga 2 2 11 6" xfId="35558" xr:uid="{00000000-0005-0000-0000-0000098E0000}"/>
    <cellStyle name="Uwaga 2 2 11 6 2" xfId="35559" xr:uid="{00000000-0005-0000-0000-00000A8E0000}"/>
    <cellStyle name="Uwaga 2 2 11 6 2 2" xfId="35560" xr:uid="{00000000-0005-0000-0000-00000B8E0000}"/>
    <cellStyle name="Uwaga 2 2 11 6 3" xfId="35561" xr:uid="{00000000-0005-0000-0000-00000C8E0000}"/>
    <cellStyle name="Uwaga 2 2 11 7" xfId="35562" xr:uid="{00000000-0005-0000-0000-00000D8E0000}"/>
    <cellStyle name="Uwaga 2 2 11 7 2" xfId="35563" xr:uid="{00000000-0005-0000-0000-00000E8E0000}"/>
    <cellStyle name="Uwaga 2 2 11 7 2 2" xfId="35564" xr:uid="{00000000-0005-0000-0000-00000F8E0000}"/>
    <cellStyle name="Uwaga 2 2 11 7 2 2 2" xfId="35565" xr:uid="{00000000-0005-0000-0000-0000108E0000}"/>
    <cellStyle name="Uwaga 2 2 11 7 2 3" xfId="35566" xr:uid="{00000000-0005-0000-0000-0000118E0000}"/>
    <cellStyle name="Uwaga 2 2 11 7 3" xfId="35567" xr:uid="{00000000-0005-0000-0000-0000128E0000}"/>
    <cellStyle name="Uwaga 2 2 11 7 3 2" xfId="35568" xr:uid="{00000000-0005-0000-0000-0000138E0000}"/>
    <cellStyle name="Uwaga 2 2 11 7 3 2 2" xfId="35569" xr:uid="{00000000-0005-0000-0000-0000148E0000}"/>
    <cellStyle name="Uwaga 2 2 11 7 3 3" xfId="35570" xr:uid="{00000000-0005-0000-0000-0000158E0000}"/>
    <cellStyle name="Uwaga 2 2 11 7 4" xfId="35571" xr:uid="{00000000-0005-0000-0000-0000168E0000}"/>
    <cellStyle name="Uwaga 2 2 11 7 4 2" xfId="35572" xr:uid="{00000000-0005-0000-0000-0000178E0000}"/>
    <cellStyle name="Uwaga 2 2 11 7 4 2 2" xfId="35573" xr:uid="{00000000-0005-0000-0000-0000188E0000}"/>
    <cellStyle name="Uwaga 2 2 11 7 4 3" xfId="35574" xr:uid="{00000000-0005-0000-0000-0000198E0000}"/>
    <cellStyle name="Uwaga 2 2 11 7 5" xfId="35575" xr:uid="{00000000-0005-0000-0000-00001A8E0000}"/>
    <cellStyle name="Uwaga 2 2 11 7 5 2" xfId="35576" xr:uid="{00000000-0005-0000-0000-00001B8E0000}"/>
    <cellStyle name="Uwaga 2 2 11 7 6" xfId="35577" xr:uid="{00000000-0005-0000-0000-00001C8E0000}"/>
    <cellStyle name="Uwaga 2 2 11 7 6 2" xfId="35578" xr:uid="{00000000-0005-0000-0000-00001D8E0000}"/>
    <cellStyle name="Uwaga 2 2 11 7 7" xfId="35579" xr:uid="{00000000-0005-0000-0000-00001E8E0000}"/>
    <cellStyle name="Uwaga 2 2 11 8" xfId="35580" xr:uid="{00000000-0005-0000-0000-00001F8E0000}"/>
    <cellStyle name="Uwaga 2 2 11 8 2" xfId="35581" xr:uid="{00000000-0005-0000-0000-0000208E0000}"/>
    <cellStyle name="Uwaga 2 2 11 8 2 2" xfId="35582" xr:uid="{00000000-0005-0000-0000-0000218E0000}"/>
    <cellStyle name="Uwaga 2 2 11 8 3" xfId="35583" xr:uid="{00000000-0005-0000-0000-0000228E0000}"/>
    <cellStyle name="Uwaga 2 2 11 9" xfId="35584" xr:uid="{00000000-0005-0000-0000-0000238E0000}"/>
    <cellStyle name="Uwaga 2 2 11 9 2" xfId="35585" xr:uid="{00000000-0005-0000-0000-0000248E0000}"/>
    <cellStyle name="Uwaga 2 2 11 9 2 2" xfId="35586" xr:uid="{00000000-0005-0000-0000-0000258E0000}"/>
    <cellStyle name="Uwaga 2 2 11 9 3" xfId="35587" xr:uid="{00000000-0005-0000-0000-0000268E0000}"/>
    <cellStyle name="Uwaga 2 2 12" xfId="35588" xr:uid="{00000000-0005-0000-0000-0000278E0000}"/>
    <cellStyle name="Uwaga 2 2 12 2" xfId="35589" xr:uid="{00000000-0005-0000-0000-0000288E0000}"/>
    <cellStyle name="Uwaga 2 2 12 2 2" xfId="35590" xr:uid="{00000000-0005-0000-0000-0000298E0000}"/>
    <cellStyle name="Uwaga 2 2 12 2 2 2" xfId="35591" xr:uid="{00000000-0005-0000-0000-00002A8E0000}"/>
    <cellStyle name="Uwaga 2 2 12 2 2 2 2" xfId="35592" xr:uid="{00000000-0005-0000-0000-00002B8E0000}"/>
    <cellStyle name="Uwaga 2 2 12 2 2 3" xfId="35593" xr:uid="{00000000-0005-0000-0000-00002C8E0000}"/>
    <cellStyle name="Uwaga 2 2 12 2 3" xfId="35594" xr:uid="{00000000-0005-0000-0000-00002D8E0000}"/>
    <cellStyle name="Uwaga 2 2 12 2 3 2" xfId="35595" xr:uid="{00000000-0005-0000-0000-00002E8E0000}"/>
    <cellStyle name="Uwaga 2 2 12 2 3 2 2" xfId="35596" xr:uid="{00000000-0005-0000-0000-00002F8E0000}"/>
    <cellStyle name="Uwaga 2 2 12 2 3 3" xfId="35597" xr:uid="{00000000-0005-0000-0000-0000308E0000}"/>
    <cellStyle name="Uwaga 2 2 12 2 4" xfId="35598" xr:uid="{00000000-0005-0000-0000-0000318E0000}"/>
    <cellStyle name="Uwaga 2 2 12 2 4 2" xfId="35599" xr:uid="{00000000-0005-0000-0000-0000328E0000}"/>
    <cellStyle name="Uwaga 2 2 12 2 4 2 2" xfId="35600" xr:uid="{00000000-0005-0000-0000-0000338E0000}"/>
    <cellStyle name="Uwaga 2 2 12 2 4 3" xfId="35601" xr:uid="{00000000-0005-0000-0000-0000348E0000}"/>
    <cellStyle name="Uwaga 2 2 12 2 5" xfId="35602" xr:uid="{00000000-0005-0000-0000-0000358E0000}"/>
    <cellStyle name="Uwaga 2 2 12 2 5 2" xfId="35603" xr:uid="{00000000-0005-0000-0000-0000368E0000}"/>
    <cellStyle name="Uwaga 2 2 12 2 6" xfId="35604" xr:uid="{00000000-0005-0000-0000-0000378E0000}"/>
    <cellStyle name="Uwaga 2 2 12 2 6 2" xfId="35605" xr:uid="{00000000-0005-0000-0000-0000388E0000}"/>
    <cellStyle name="Uwaga 2 2 12 2 7" xfId="35606" xr:uid="{00000000-0005-0000-0000-0000398E0000}"/>
    <cellStyle name="Uwaga 2 2 12 3" xfId="35607" xr:uid="{00000000-0005-0000-0000-00003A8E0000}"/>
    <cellStyle name="Uwaga 2 2 12 3 2" xfId="35608" xr:uid="{00000000-0005-0000-0000-00003B8E0000}"/>
    <cellStyle name="Uwaga 2 2 12 3 2 2" xfId="35609" xr:uid="{00000000-0005-0000-0000-00003C8E0000}"/>
    <cellStyle name="Uwaga 2 2 12 3 3" xfId="35610" xr:uid="{00000000-0005-0000-0000-00003D8E0000}"/>
    <cellStyle name="Uwaga 2 2 12 4" xfId="35611" xr:uid="{00000000-0005-0000-0000-00003E8E0000}"/>
    <cellStyle name="Uwaga 2 2 12 4 2" xfId="35612" xr:uid="{00000000-0005-0000-0000-00003F8E0000}"/>
    <cellStyle name="Uwaga 2 2 12 4 2 2" xfId="35613" xr:uid="{00000000-0005-0000-0000-0000408E0000}"/>
    <cellStyle name="Uwaga 2 2 12 4 3" xfId="35614" xr:uid="{00000000-0005-0000-0000-0000418E0000}"/>
    <cellStyle name="Uwaga 2 2 12 5" xfId="35615" xr:uid="{00000000-0005-0000-0000-0000428E0000}"/>
    <cellStyle name="Uwaga 2 2 12 5 2" xfId="35616" xr:uid="{00000000-0005-0000-0000-0000438E0000}"/>
    <cellStyle name="Uwaga 2 2 12 5 2 2" xfId="35617" xr:uid="{00000000-0005-0000-0000-0000448E0000}"/>
    <cellStyle name="Uwaga 2 2 12 5 3" xfId="35618" xr:uid="{00000000-0005-0000-0000-0000458E0000}"/>
    <cellStyle name="Uwaga 2 2 12 6" xfId="35619" xr:uid="{00000000-0005-0000-0000-0000468E0000}"/>
    <cellStyle name="Uwaga 2 2 12 6 2" xfId="35620" xr:uid="{00000000-0005-0000-0000-0000478E0000}"/>
    <cellStyle name="Uwaga 2 2 12 7" xfId="35621" xr:uid="{00000000-0005-0000-0000-0000488E0000}"/>
    <cellStyle name="Uwaga 2 2 12 7 2" xfId="35622" xr:uid="{00000000-0005-0000-0000-0000498E0000}"/>
    <cellStyle name="Uwaga 2 2 12 8" xfId="35623" xr:uid="{00000000-0005-0000-0000-00004A8E0000}"/>
    <cellStyle name="Uwaga 2 2 13" xfId="35624" xr:uid="{00000000-0005-0000-0000-00004B8E0000}"/>
    <cellStyle name="Uwaga 2 2 13 2" xfId="35625" xr:uid="{00000000-0005-0000-0000-00004C8E0000}"/>
    <cellStyle name="Uwaga 2 2 13 2 2" xfId="35626" xr:uid="{00000000-0005-0000-0000-00004D8E0000}"/>
    <cellStyle name="Uwaga 2 2 13 3" xfId="35627" xr:uid="{00000000-0005-0000-0000-00004E8E0000}"/>
    <cellStyle name="Uwaga 2 2 14" xfId="35628" xr:uid="{00000000-0005-0000-0000-00004F8E0000}"/>
    <cellStyle name="Uwaga 2 2 14 2" xfId="35629" xr:uid="{00000000-0005-0000-0000-0000508E0000}"/>
    <cellStyle name="Uwaga 2 2 14 2 2" xfId="35630" xr:uid="{00000000-0005-0000-0000-0000518E0000}"/>
    <cellStyle name="Uwaga 2 2 14 3" xfId="35631" xr:uid="{00000000-0005-0000-0000-0000528E0000}"/>
    <cellStyle name="Uwaga 2 2 15" xfId="35632" xr:uid="{00000000-0005-0000-0000-0000538E0000}"/>
    <cellStyle name="Uwaga 2 2 15 2" xfId="35633" xr:uid="{00000000-0005-0000-0000-0000548E0000}"/>
    <cellStyle name="Uwaga 2 2 15 2 2" xfId="35634" xr:uid="{00000000-0005-0000-0000-0000558E0000}"/>
    <cellStyle name="Uwaga 2 2 15 3" xfId="35635" xr:uid="{00000000-0005-0000-0000-0000568E0000}"/>
    <cellStyle name="Uwaga 2 2 16" xfId="35636" xr:uid="{00000000-0005-0000-0000-0000578E0000}"/>
    <cellStyle name="Uwaga 2 2 16 2" xfId="35637" xr:uid="{00000000-0005-0000-0000-0000588E0000}"/>
    <cellStyle name="Uwaga 2 2 16 2 2" xfId="35638" xr:uid="{00000000-0005-0000-0000-0000598E0000}"/>
    <cellStyle name="Uwaga 2 2 16 3" xfId="35639" xr:uid="{00000000-0005-0000-0000-00005A8E0000}"/>
    <cellStyle name="Uwaga 2 2 17" xfId="35640" xr:uid="{00000000-0005-0000-0000-00005B8E0000}"/>
    <cellStyle name="Uwaga 2 2 17 2" xfId="35641" xr:uid="{00000000-0005-0000-0000-00005C8E0000}"/>
    <cellStyle name="Uwaga 2 2 17 2 2" xfId="35642" xr:uid="{00000000-0005-0000-0000-00005D8E0000}"/>
    <cellStyle name="Uwaga 2 2 17 3" xfId="35643" xr:uid="{00000000-0005-0000-0000-00005E8E0000}"/>
    <cellStyle name="Uwaga 2 2 18" xfId="35644" xr:uid="{00000000-0005-0000-0000-00005F8E0000}"/>
    <cellStyle name="Uwaga 2 2 18 2" xfId="35645" xr:uid="{00000000-0005-0000-0000-0000608E0000}"/>
    <cellStyle name="Uwaga 2 2 18 2 2" xfId="35646" xr:uid="{00000000-0005-0000-0000-0000618E0000}"/>
    <cellStyle name="Uwaga 2 2 18 2 2 2" xfId="35647" xr:uid="{00000000-0005-0000-0000-0000628E0000}"/>
    <cellStyle name="Uwaga 2 2 18 2 3" xfId="35648" xr:uid="{00000000-0005-0000-0000-0000638E0000}"/>
    <cellStyle name="Uwaga 2 2 18 3" xfId="35649" xr:uid="{00000000-0005-0000-0000-0000648E0000}"/>
    <cellStyle name="Uwaga 2 2 18 3 2" xfId="35650" xr:uid="{00000000-0005-0000-0000-0000658E0000}"/>
    <cellStyle name="Uwaga 2 2 18 3 2 2" xfId="35651" xr:uid="{00000000-0005-0000-0000-0000668E0000}"/>
    <cellStyle name="Uwaga 2 2 18 3 3" xfId="35652" xr:uid="{00000000-0005-0000-0000-0000678E0000}"/>
    <cellStyle name="Uwaga 2 2 18 4" xfId="35653" xr:uid="{00000000-0005-0000-0000-0000688E0000}"/>
    <cellStyle name="Uwaga 2 2 18 4 2" xfId="35654" xr:uid="{00000000-0005-0000-0000-0000698E0000}"/>
    <cellStyle name="Uwaga 2 2 18 4 2 2" xfId="35655" xr:uid="{00000000-0005-0000-0000-00006A8E0000}"/>
    <cellStyle name="Uwaga 2 2 18 4 3" xfId="35656" xr:uid="{00000000-0005-0000-0000-00006B8E0000}"/>
    <cellStyle name="Uwaga 2 2 18 5" xfId="35657" xr:uid="{00000000-0005-0000-0000-00006C8E0000}"/>
    <cellStyle name="Uwaga 2 2 18 5 2" xfId="35658" xr:uid="{00000000-0005-0000-0000-00006D8E0000}"/>
    <cellStyle name="Uwaga 2 2 18 6" xfId="35659" xr:uid="{00000000-0005-0000-0000-00006E8E0000}"/>
    <cellStyle name="Uwaga 2 2 18 6 2" xfId="35660" xr:uid="{00000000-0005-0000-0000-00006F8E0000}"/>
    <cellStyle name="Uwaga 2 2 18 7" xfId="35661" xr:uid="{00000000-0005-0000-0000-0000708E0000}"/>
    <cellStyle name="Uwaga 2 2 19" xfId="35662" xr:uid="{00000000-0005-0000-0000-0000718E0000}"/>
    <cellStyle name="Uwaga 2 2 19 2" xfId="35663" xr:uid="{00000000-0005-0000-0000-0000728E0000}"/>
    <cellStyle name="Uwaga 2 2 19 2 2" xfId="35664" xr:uid="{00000000-0005-0000-0000-0000738E0000}"/>
    <cellStyle name="Uwaga 2 2 19 3" xfId="35665" xr:uid="{00000000-0005-0000-0000-0000748E0000}"/>
    <cellStyle name="Uwaga 2 2 2" xfId="35666" xr:uid="{00000000-0005-0000-0000-0000758E0000}"/>
    <cellStyle name="Uwaga 2 2 2 10" xfId="35667" xr:uid="{00000000-0005-0000-0000-0000768E0000}"/>
    <cellStyle name="Uwaga 2 2 2 10 2" xfId="35668" xr:uid="{00000000-0005-0000-0000-0000778E0000}"/>
    <cellStyle name="Uwaga 2 2 2 10 2 2" xfId="35669" xr:uid="{00000000-0005-0000-0000-0000788E0000}"/>
    <cellStyle name="Uwaga 2 2 2 10 3" xfId="35670" xr:uid="{00000000-0005-0000-0000-0000798E0000}"/>
    <cellStyle name="Uwaga 2 2 2 11" xfId="35671" xr:uid="{00000000-0005-0000-0000-00007A8E0000}"/>
    <cellStyle name="Uwaga 2 2 2 11 2" xfId="35672" xr:uid="{00000000-0005-0000-0000-00007B8E0000}"/>
    <cellStyle name="Uwaga 2 2 2 11 2 2" xfId="35673" xr:uid="{00000000-0005-0000-0000-00007C8E0000}"/>
    <cellStyle name="Uwaga 2 2 2 11 3" xfId="35674" xr:uid="{00000000-0005-0000-0000-00007D8E0000}"/>
    <cellStyle name="Uwaga 2 2 2 12" xfId="35675" xr:uid="{00000000-0005-0000-0000-00007E8E0000}"/>
    <cellStyle name="Uwaga 2 2 2 12 2" xfId="35676" xr:uid="{00000000-0005-0000-0000-00007F8E0000}"/>
    <cellStyle name="Uwaga 2 2 2 13" xfId="35677" xr:uid="{00000000-0005-0000-0000-0000808E0000}"/>
    <cellStyle name="Uwaga 2 2 2 2" xfId="35678" xr:uid="{00000000-0005-0000-0000-0000818E0000}"/>
    <cellStyle name="Uwaga 2 2 2 2 10" xfId="35679" xr:uid="{00000000-0005-0000-0000-0000828E0000}"/>
    <cellStyle name="Uwaga 2 2 2 2 10 2" xfId="35680" xr:uid="{00000000-0005-0000-0000-0000838E0000}"/>
    <cellStyle name="Uwaga 2 2 2 2 10 2 2" xfId="35681" xr:uid="{00000000-0005-0000-0000-0000848E0000}"/>
    <cellStyle name="Uwaga 2 2 2 2 10 3" xfId="35682" xr:uid="{00000000-0005-0000-0000-0000858E0000}"/>
    <cellStyle name="Uwaga 2 2 2 2 11" xfId="35683" xr:uid="{00000000-0005-0000-0000-0000868E0000}"/>
    <cellStyle name="Uwaga 2 2 2 2 11 2" xfId="35684" xr:uid="{00000000-0005-0000-0000-0000878E0000}"/>
    <cellStyle name="Uwaga 2 2 2 2 12" xfId="35685" xr:uid="{00000000-0005-0000-0000-0000888E0000}"/>
    <cellStyle name="Uwaga 2 2 2 2 2" xfId="35686" xr:uid="{00000000-0005-0000-0000-0000898E0000}"/>
    <cellStyle name="Uwaga 2 2 2 2 2 10" xfId="35687" xr:uid="{00000000-0005-0000-0000-00008A8E0000}"/>
    <cellStyle name="Uwaga 2 2 2 2 2 10 2" xfId="35688" xr:uid="{00000000-0005-0000-0000-00008B8E0000}"/>
    <cellStyle name="Uwaga 2 2 2 2 2 11" xfId="35689" xr:uid="{00000000-0005-0000-0000-00008C8E0000}"/>
    <cellStyle name="Uwaga 2 2 2 2 2 2" xfId="35690" xr:uid="{00000000-0005-0000-0000-00008D8E0000}"/>
    <cellStyle name="Uwaga 2 2 2 2 2 2 10" xfId="35691" xr:uid="{00000000-0005-0000-0000-00008E8E0000}"/>
    <cellStyle name="Uwaga 2 2 2 2 2 2 10 2" xfId="35692" xr:uid="{00000000-0005-0000-0000-00008F8E0000}"/>
    <cellStyle name="Uwaga 2 2 2 2 2 2 11" xfId="35693" xr:uid="{00000000-0005-0000-0000-0000908E0000}"/>
    <cellStyle name="Uwaga 2 2 2 2 2 2 2" xfId="35694" xr:uid="{00000000-0005-0000-0000-0000918E0000}"/>
    <cellStyle name="Uwaga 2 2 2 2 2 2 2 2" xfId="35695" xr:uid="{00000000-0005-0000-0000-0000928E0000}"/>
    <cellStyle name="Uwaga 2 2 2 2 2 2 2 2 2" xfId="35696" xr:uid="{00000000-0005-0000-0000-0000938E0000}"/>
    <cellStyle name="Uwaga 2 2 2 2 2 2 2 2 2 2" xfId="35697" xr:uid="{00000000-0005-0000-0000-0000948E0000}"/>
    <cellStyle name="Uwaga 2 2 2 2 2 2 2 2 2 2 2" xfId="35698" xr:uid="{00000000-0005-0000-0000-0000958E0000}"/>
    <cellStyle name="Uwaga 2 2 2 2 2 2 2 2 2 3" xfId="35699" xr:uid="{00000000-0005-0000-0000-0000968E0000}"/>
    <cellStyle name="Uwaga 2 2 2 2 2 2 2 2 3" xfId="35700" xr:uid="{00000000-0005-0000-0000-0000978E0000}"/>
    <cellStyle name="Uwaga 2 2 2 2 2 2 2 2 3 2" xfId="35701" xr:uid="{00000000-0005-0000-0000-0000988E0000}"/>
    <cellStyle name="Uwaga 2 2 2 2 2 2 2 2 3 2 2" xfId="35702" xr:uid="{00000000-0005-0000-0000-0000998E0000}"/>
    <cellStyle name="Uwaga 2 2 2 2 2 2 2 2 3 3" xfId="35703" xr:uid="{00000000-0005-0000-0000-00009A8E0000}"/>
    <cellStyle name="Uwaga 2 2 2 2 2 2 2 2 4" xfId="35704" xr:uid="{00000000-0005-0000-0000-00009B8E0000}"/>
    <cellStyle name="Uwaga 2 2 2 2 2 2 2 2 4 2" xfId="35705" xr:uid="{00000000-0005-0000-0000-00009C8E0000}"/>
    <cellStyle name="Uwaga 2 2 2 2 2 2 2 2 4 2 2" xfId="35706" xr:uid="{00000000-0005-0000-0000-00009D8E0000}"/>
    <cellStyle name="Uwaga 2 2 2 2 2 2 2 2 4 3" xfId="35707" xr:uid="{00000000-0005-0000-0000-00009E8E0000}"/>
    <cellStyle name="Uwaga 2 2 2 2 2 2 2 2 5" xfId="35708" xr:uid="{00000000-0005-0000-0000-00009F8E0000}"/>
    <cellStyle name="Uwaga 2 2 2 2 2 2 2 2 5 2" xfId="35709" xr:uid="{00000000-0005-0000-0000-0000A08E0000}"/>
    <cellStyle name="Uwaga 2 2 2 2 2 2 2 2 6" xfId="35710" xr:uid="{00000000-0005-0000-0000-0000A18E0000}"/>
    <cellStyle name="Uwaga 2 2 2 2 2 2 2 3" xfId="35711" xr:uid="{00000000-0005-0000-0000-0000A28E0000}"/>
    <cellStyle name="Uwaga 2 2 2 2 2 2 2 3 2" xfId="35712" xr:uid="{00000000-0005-0000-0000-0000A38E0000}"/>
    <cellStyle name="Uwaga 2 2 2 2 2 2 2 3 2 2" xfId="35713" xr:uid="{00000000-0005-0000-0000-0000A48E0000}"/>
    <cellStyle name="Uwaga 2 2 2 2 2 2 2 3 3" xfId="35714" xr:uid="{00000000-0005-0000-0000-0000A58E0000}"/>
    <cellStyle name="Uwaga 2 2 2 2 2 2 2 4" xfId="35715" xr:uid="{00000000-0005-0000-0000-0000A68E0000}"/>
    <cellStyle name="Uwaga 2 2 2 2 2 2 2 4 2" xfId="35716" xr:uid="{00000000-0005-0000-0000-0000A78E0000}"/>
    <cellStyle name="Uwaga 2 2 2 2 2 2 2 4 2 2" xfId="35717" xr:uid="{00000000-0005-0000-0000-0000A88E0000}"/>
    <cellStyle name="Uwaga 2 2 2 2 2 2 2 4 3" xfId="35718" xr:uid="{00000000-0005-0000-0000-0000A98E0000}"/>
    <cellStyle name="Uwaga 2 2 2 2 2 2 2 5" xfId="35719" xr:uid="{00000000-0005-0000-0000-0000AA8E0000}"/>
    <cellStyle name="Uwaga 2 2 2 2 2 2 2 5 2" xfId="35720" xr:uid="{00000000-0005-0000-0000-0000AB8E0000}"/>
    <cellStyle name="Uwaga 2 2 2 2 2 2 2 5 2 2" xfId="35721" xr:uid="{00000000-0005-0000-0000-0000AC8E0000}"/>
    <cellStyle name="Uwaga 2 2 2 2 2 2 2 5 3" xfId="35722" xr:uid="{00000000-0005-0000-0000-0000AD8E0000}"/>
    <cellStyle name="Uwaga 2 2 2 2 2 2 2 6" xfId="35723" xr:uid="{00000000-0005-0000-0000-0000AE8E0000}"/>
    <cellStyle name="Uwaga 2 2 2 2 2 2 2 6 2" xfId="35724" xr:uid="{00000000-0005-0000-0000-0000AF8E0000}"/>
    <cellStyle name="Uwaga 2 2 2 2 2 2 2 7" xfId="35725" xr:uid="{00000000-0005-0000-0000-0000B08E0000}"/>
    <cellStyle name="Uwaga 2 2 2 2 2 2 3" xfId="35726" xr:uid="{00000000-0005-0000-0000-0000B18E0000}"/>
    <cellStyle name="Uwaga 2 2 2 2 2 2 3 2" xfId="35727" xr:uid="{00000000-0005-0000-0000-0000B28E0000}"/>
    <cellStyle name="Uwaga 2 2 2 2 2 2 3 2 2" xfId="35728" xr:uid="{00000000-0005-0000-0000-0000B38E0000}"/>
    <cellStyle name="Uwaga 2 2 2 2 2 2 3 3" xfId="35729" xr:uid="{00000000-0005-0000-0000-0000B48E0000}"/>
    <cellStyle name="Uwaga 2 2 2 2 2 2 4" xfId="35730" xr:uid="{00000000-0005-0000-0000-0000B58E0000}"/>
    <cellStyle name="Uwaga 2 2 2 2 2 2 4 2" xfId="35731" xr:uid="{00000000-0005-0000-0000-0000B68E0000}"/>
    <cellStyle name="Uwaga 2 2 2 2 2 2 4 2 2" xfId="35732" xr:uid="{00000000-0005-0000-0000-0000B78E0000}"/>
    <cellStyle name="Uwaga 2 2 2 2 2 2 4 3" xfId="35733" xr:uid="{00000000-0005-0000-0000-0000B88E0000}"/>
    <cellStyle name="Uwaga 2 2 2 2 2 2 5" xfId="35734" xr:uid="{00000000-0005-0000-0000-0000B98E0000}"/>
    <cellStyle name="Uwaga 2 2 2 2 2 2 5 2" xfId="35735" xr:uid="{00000000-0005-0000-0000-0000BA8E0000}"/>
    <cellStyle name="Uwaga 2 2 2 2 2 2 5 2 2" xfId="35736" xr:uid="{00000000-0005-0000-0000-0000BB8E0000}"/>
    <cellStyle name="Uwaga 2 2 2 2 2 2 5 3" xfId="35737" xr:uid="{00000000-0005-0000-0000-0000BC8E0000}"/>
    <cellStyle name="Uwaga 2 2 2 2 2 2 6" xfId="35738" xr:uid="{00000000-0005-0000-0000-0000BD8E0000}"/>
    <cellStyle name="Uwaga 2 2 2 2 2 2 6 2" xfId="35739" xr:uid="{00000000-0005-0000-0000-0000BE8E0000}"/>
    <cellStyle name="Uwaga 2 2 2 2 2 2 6 2 2" xfId="35740" xr:uid="{00000000-0005-0000-0000-0000BF8E0000}"/>
    <cellStyle name="Uwaga 2 2 2 2 2 2 6 3" xfId="35741" xr:uid="{00000000-0005-0000-0000-0000C08E0000}"/>
    <cellStyle name="Uwaga 2 2 2 2 2 2 7" xfId="35742" xr:uid="{00000000-0005-0000-0000-0000C18E0000}"/>
    <cellStyle name="Uwaga 2 2 2 2 2 2 7 2" xfId="35743" xr:uid="{00000000-0005-0000-0000-0000C28E0000}"/>
    <cellStyle name="Uwaga 2 2 2 2 2 2 7 2 2" xfId="35744" xr:uid="{00000000-0005-0000-0000-0000C38E0000}"/>
    <cellStyle name="Uwaga 2 2 2 2 2 2 7 2 2 2" xfId="35745" xr:uid="{00000000-0005-0000-0000-0000C48E0000}"/>
    <cellStyle name="Uwaga 2 2 2 2 2 2 7 2 3" xfId="35746" xr:uid="{00000000-0005-0000-0000-0000C58E0000}"/>
    <cellStyle name="Uwaga 2 2 2 2 2 2 7 3" xfId="35747" xr:uid="{00000000-0005-0000-0000-0000C68E0000}"/>
    <cellStyle name="Uwaga 2 2 2 2 2 2 7 3 2" xfId="35748" xr:uid="{00000000-0005-0000-0000-0000C78E0000}"/>
    <cellStyle name="Uwaga 2 2 2 2 2 2 7 3 2 2" xfId="35749" xr:uid="{00000000-0005-0000-0000-0000C88E0000}"/>
    <cellStyle name="Uwaga 2 2 2 2 2 2 7 3 3" xfId="35750" xr:uid="{00000000-0005-0000-0000-0000C98E0000}"/>
    <cellStyle name="Uwaga 2 2 2 2 2 2 7 4" xfId="35751" xr:uid="{00000000-0005-0000-0000-0000CA8E0000}"/>
    <cellStyle name="Uwaga 2 2 2 2 2 2 7 4 2" xfId="35752" xr:uid="{00000000-0005-0000-0000-0000CB8E0000}"/>
    <cellStyle name="Uwaga 2 2 2 2 2 2 7 4 2 2" xfId="35753" xr:uid="{00000000-0005-0000-0000-0000CC8E0000}"/>
    <cellStyle name="Uwaga 2 2 2 2 2 2 7 4 3" xfId="35754" xr:uid="{00000000-0005-0000-0000-0000CD8E0000}"/>
    <cellStyle name="Uwaga 2 2 2 2 2 2 7 5" xfId="35755" xr:uid="{00000000-0005-0000-0000-0000CE8E0000}"/>
    <cellStyle name="Uwaga 2 2 2 2 2 2 7 5 2" xfId="35756" xr:uid="{00000000-0005-0000-0000-0000CF8E0000}"/>
    <cellStyle name="Uwaga 2 2 2 2 2 2 7 6" xfId="35757" xr:uid="{00000000-0005-0000-0000-0000D08E0000}"/>
    <cellStyle name="Uwaga 2 2 2 2 2 2 7 6 2" xfId="35758" xr:uid="{00000000-0005-0000-0000-0000D18E0000}"/>
    <cellStyle name="Uwaga 2 2 2 2 2 2 7 7" xfId="35759" xr:uid="{00000000-0005-0000-0000-0000D28E0000}"/>
    <cellStyle name="Uwaga 2 2 2 2 2 2 8" xfId="35760" xr:uid="{00000000-0005-0000-0000-0000D38E0000}"/>
    <cellStyle name="Uwaga 2 2 2 2 2 2 8 2" xfId="35761" xr:uid="{00000000-0005-0000-0000-0000D48E0000}"/>
    <cellStyle name="Uwaga 2 2 2 2 2 2 8 2 2" xfId="35762" xr:uid="{00000000-0005-0000-0000-0000D58E0000}"/>
    <cellStyle name="Uwaga 2 2 2 2 2 2 8 3" xfId="35763" xr:uid="{00000000-0005-0000-0000-0000D68E0000}"/>
    <cellStyle name="Uwaga 2 2 2 2 2 2 9" xfId="35764" xr:uid="{00000000-0005-0000-0000-0000D78E0000}"/>
    <cellStyle name="Uwaga 2 2 2 2 2 2 9 2" xfId="35765" xr:uid="{00000000-0005-0000-0000-0000D88E0000}"/>
    <cellStyle name="Uwaga 2 2 2 2 2 2 9 2 2" xfId="35766" xr:uid="{00000000-0005-0000-0000-0000D98E0000}"/>
    <cellStyle name="Uwaga 2 2 2 2 2 2 9 3" xfId="35767" xr:uid="{00000000-0005-0000-0000-0000DA8E0000}"/>
    <cellStyle name="Uwaga 2 2 2 2 2 3" xfId="35768" xr:uid="{00000000-0005-0000-0000-0000DB8E0000}"/>
    <cellStyle name="Uwaga 2 2 2 2 2 3 2" xfId="35769" xr:uid="{00000000-0005-0000-0000-0000DC8E0000}"/>
    <cellStyle name="Uwaga 2 2 2 2 2 3 2 2" xfId="35770" xr:uid="{00000000-0005-0000-0000-0000DD8E0000}"/>
    <cellStyle name="Uwaga 2 2 2 2 2 3 2 2 2" xfId="35771" xr:uid="{00000000-0005-0000-0000-0000DE8E0000}"/>
    <cellStyle name="Uwaga 2 2 2 2 2 3 2 2 2 2" xfId="35772" xr:uid="{00000000-0005-0000-0000-0000DF8E0000}"/>
    <cellStyle name="Uwaga 2 2 2 2 2 3 2 2 3" xfId="35773" xr:uid="{00000000-0005-0000-0000-0000E08E0000}"/>
    <cellStyle name="Uwaga 2 2 2 2 2 3 2 3" xfId="35774" xr:uid="{00000000-0005-0000-0000-0000E18E0000}"/>
    <cellStyle name="Uwaga 2 2 2 2 2 3 2 3 2" xfId="35775" xr:uid="{00000000-0005-0000-0000-0000E28E0000}"/>
    <cellStyle name="Uwaga 2 2 2 2 2 3 2 3 2 2" xfId="35776" xr:uid="{00000000-0005-0000-0000-0000E38E0000}"/>
    <cellStyle name="Uwaga 2 2 2 2 2 3 2 3 3" xfId="35777" xr:uid="{00000000-0005-0000-0000-0000E48E0000}"/>
    <cellStyle name="Uwaga 2 2 2 2 2 3 2 4" xfId="35778" xr:uid="{00000000-0005-0000-0000-0000E58E0000}"/>
    <cellStyle name="Uwaga 2 2 2 2 2 3 2 4 2" xfId="35779" xr:uid="{00000000-0005-0000-0000-0000E68E0000}"/>
    <cellStyle name="Uwaga 2 2 2 2 2 3 2 4 2 2" xfId="35780" xr:uid="{00000000-0005-0000-0000-0000E78E0000}"/>
    <cellStyle name="Uwaga 2 2 2 2 2 3 2 4 3" xfId="35781" xr:uid="{00000000-0005-0000-0000-0000E88E0000}"/>
    <cellStyle name="Uwaga 2 2 2 2 2 3 2 5" xfId="35782" xr:uid="{00000000-0005-0000-0000-0000E98E0000}"/>
    <cellStyle name="Uwaga 2 2 2 2 2 3 2 5 2" xfId="35783" xr:uid="{00000000-0005-0000-0000-0000EA8E0000}"/>
    <cellStyle name="Uwaga 2 2 2 2 2 3 2 6" xfId="35784" xr:uid="{00000000-0005-0000-0000-0000EB8E0000}"/>
    <cellStyle name="Uwaga 2 2 2 2 2 3 2 6 2" xfId="35785" xr:uid="{00000000-0005-0000-0000-0000EC8E0000}"/>
    <cellStyle name="Uwaga 2 2 2 2 2 3 2 7" xfId="35786" xr:uid="{00000000-0005-0000-0000-0000ED8E0000}"/>
    <cellStyle name="Uwaga 2 2 2 2 2 3 3" xfId="35787" xr:uid="{00000000-0005-0000-0000-0000EE8E0000}"/>
    <cellStyle name="Uwaga 2 2 2 2 2 3 3 2" xfId="35788" xr:uid="{00000000-0005-0000-0000-0000EF8E0000}"/>
    <cellStyle name="Uwaga 2 2 2 2 2 3 3 2 2" xfId="35789" xr:uid="{00000000-0005-0000-0000-0000F08E0000}"/>
    <cellStyle name="Uwaga 2 2 2 2 2 3 3 3" xfId="35790" xr:uid="{00000000-0005-0000-0000-0000F18E0000}"/>
    <cellStyle name="Uwaga 2 2 2 2 2 3 4" xfId="35791" xr:uid="{00000000-0005-0000-0000-0000F28E0000}"/>
    <cellStyle name="Uwaga 2 2 2 2 2 3 4 2" xfId="35792" xr:uid="{00000000-0005-0000-0000-0000F38E0000}"/>
    <cellStyle name="Uwaga 2 2 2 2 2 3 4 2 2" xfId="35793" xr:uid="{00000000-0005-0000-0000-0000F48E0000}"/>
    <cellStyle name="Uwaga 2 2 2 2 2 3 4 3" xfId="35794" xr:uid="{00000000-0005-0000-0000-0000F58E0000}"/>
    <cellStyle name="Uwaga 2 2 2 2 2 3 5" xfId="35795" xr:uid="{00000000-0005-0000-0000-0000F68E0000}"/>
    <cellStyle name="Uwaga 2 2 2 2 2 3 5 2" xfId="35796" xr:uid="{00000000-0005-0000-0000-0000F78E0000}"/>
    <cellStyle name="Uwaga 2 2 2 2 2 3 5 2 2" xfId="35797" xr:uid="{00000000-0005-0000-0000-0000F88E0000}"/>
    <cellStyle name="Uwaga 2 2 2 2 2 3 5 3" xfId="35798" xr:uid="{00000000-0005-0000-0000-0000F98E0000}"/>
    <cellStyle name="Uwaga 2 2 2 2 2 3 6" xfId="35799" xr:uid="{00000000-0005-0000-0000-0000FA8E0000}"/>
    <cellStyle name="Uwaga 2 2 2 2 2 3 6 2" xfId="35800" xr:uid="{00000000-0005-0000-0000-0000FB8E0000}"/>
    <cellStyle name="Uwaga 2 2 2 2 2 3 7" xfId="35801" xr:uid="{00000000-0005-0000-0000-0000FC8E0000}"/>
    <cellStyle name="Uwaga 2 2 2 2 2 3 7 2" xfId="35802" xr:uid="{00000000-0005-0000-0000-0000FD8E0000}"/>
    <cellStyle name="Uwaga 2 2 2 2 2 3 8" xfId="35803" xr:uid="{00000000-0005-0000-0000-0000FE8E0000}"/>
    <cellStyle name="Uwaga 2 2 2 2 2 4" xfId="35804" xr:uid="{00000000-0005-0000-0000-0000FF8E0000}"/>
    <cellStyle name="Uwaga 2 2 2 2 2 4 2" xfId="35805" xr:uid="{00000000-0005-0000-0000-0000008F0000}"/>
    <cellStyle name="Uwaga 2 2 2 2 2 4 2 2" xfId="35806" xr:uid="{00000000-0005-0000-0000-0000018F0000}"/>
    <cellStyle name="Uwaga 2 2 2 2 2 4 3" xfId="35807" xr:uid="{00000000-0005-0000-0000-0000028F0000}"/>
    <cellStyle name="Uwaga 2 2 2 2 2 5" xfId="35808" xr:uid="{00000000-0005-0000-0000-0000038F0000}"/>
    <cellStyle name="Uwaga 2 2 2 2 2 5 2" xfId="35809" xr:uid="{00000000-0005-0000-0000-0000048F0000}"/>
    <cellStyle name="Uwaga 2 2 2 2 2 5 2 2" xfId="35810" xr:uid="{00000000-0005-0000-0000-0000058F0000}"/>
    <cellStyle name="Uwaga 2 2 2 2 2 5 3" xfId="35811" xr:uid="{00000000-0005-0000-0000-0000068F0000}"/>
    <cellStyle name="Uwaga 2 2 2 2 2 6" xfId="35812" xr:uid="{00000000-0005-0000-0000-0000078F0000}"/>
    <cellStyle name="Uwaga 2 2 2 2 2 6 2" xfId="35813" xr:uid="{00000000-0005-0000-0000-0000088F0000}"/>
    <cellStyle name="Uwaga 2 2 2 2 2 6 2 2" xfId="35814" xr:uid="{00000000-0005-0000-0000-0000098F0000}"/>
    <cellStyle name="Uwaga 2 2 2 2 2 6 3" xfId="35815" xr:uid="{00000000-0005-0000-0000-00000A8F0000}"/>
    <cellStyle name="Uwaga 2 2 2 2 2 7" xfId="35816" xr:uid="{00000000-0005-0000-0000-00000B8F0000}"/>
    <cellStyle name="Uwaga 2 2 2 2 2 7 2" xfId="35817" xr:uid="{00000000-0005-0000-0000-00000C8F0000}"/>
    <cellStyle name="Uwaga 2 2 2 2 2 7 2 2" xfId="35818" xr:uid="{00000000-0005-0000-0000-00000D8F0000}"/>
    <cellStyle name="Uwaga 2 2 2 2 2 7 2 2 2" xfId="35819" xr:uid="{00000000-0005-0000-0000-00000E8F0000}"/>
    <cellStyle name="Uwaga 2 2 2 2 2 7 2 3" xfId="35820" xr:uid="{00000000-0005-0000-0000-00000F8F0000}"/>
    <cellStyle name="Uwaga 2 2 2 2 2 7 3" xfId="35821" xr:uid="{00000000-0005-0000-0000-0000108F0000}"/>
    <cellStyle name="Uwaga 2 2 2 2 2 7 3 2" xfId="35822" xr:uid="{00000000-0005-0000-0000-0000118F0000}"/>
    <cellStyle name="Uwaga 2 2 2 2 2 7 3 2 2" xfId="35823" xr:uid="{00000000-0005-0000-0000-0000128F0000}"/>
    <cellStyle name="Uwaga 2 2 2 2 2 7 3 3" xfId="35824" xr:uid="{00000000-0005-0000-0000-0000138F0000}"/>
    <cellStyle name="Uwaga 2 2 2 2 2 7 4" xfId="35825" xr:uid="{00000000-0005-0000-0000-0000148F0000}"/>
    <cellStyle name="Uwaga 2 2 2 2 2 7 4 2" xfId="35826" xr:uid="{00000000-0005-0000-0000-0000158F0000}"/>
    <cellStyle name="Uwaga 2 2 2 2 2 7 4 2 2" xfId="35827" xr:uid="{00000000-0005-0000-0000-0000168F0000}"/>
    <cellStyle name="Uwaga 2 2 2 2 2 7 4 3" xfId="35828" xr:uid="{00000000-0005-0000-0000-0000178F0000}"/>
    <cellStyle name="Uwaga 2 2 2 2 2 7 5" xfId="35829" xr:uid="{00000000-0005-0000-0000-0000188F0000}"/>
    <cellStyle name="Uwaga 2 2 2 2 2 7 5 2" xfId="35830" xr:uid="{00000000-0005-0000-0000-0000198F0000}"/>
    <cellStyle name="Uwaga 2 2 2 2 2 7 6" xfId="35831" xr:uid="{00000000-0005-0000-0000-00001A8F0000}"/>
    <cellStyle name="Uwaga 2 2 2 2 2 7 6 2" xfId="35832" xr:uid="{00000000-0005-0000-0000-00001B8F0000}"/>
    <cellStyle name="Uwaga 2 2 2 2 2 7 7" xfId="35833" xr:uid="{00000000-0005-0000-0000-00001C8F0000}"/>
    <cellStyle name="Uwaga 2 2 2 2 2 8" xfId="35834" xr:uid="{00000000-0005-0000-0000-00001D8F0000}"/>
    <cellStyle name="Uwaga 2 2 2 2 2 8 2" xfId="35835" xr:uid="{00000000-0005-0000-0000-00001E8F0000}"/>
    <cellStyle name="Uwaga 2 2 2 2 2 8 2 2" xfId="35836" xr:uid="{00000000-0005-0000-0000-00001F8F0000}"/>
    <cellStyle name="Uwaga 2 2 2 2 2 8 3" xfId="35837" xr:uid="{00000000-0005-0000-0000-0000208F0000}"/>
    <cellStyle name="Uwaga 2 2 2 2 2 9" xfId="35838" xr:uid="{00000000-0005-0000-0000-0000218F0000}"/>
    <cellStyle name="Uwaga 2 2 2 2 2 9 2" xfId="35839" xr:uid="{00000000-0005-0000-0000-0000228F0000}"/>
    <cellStyle name="Uwaga 2 2 2 2 2 9 2 2" xfId="35840" xr:uid="{00000000-0005-0000-0000-0000238F0000}"/>
    <cellStyle name="Uwaga 2 2 2 2 2 9 3" xfId="35841" xr:uid="{00000000-0005-0000-0000-0000248F0000}"/>
    <cellStyle name="Uwaga 2 2 2 2 3" xfId="35842" xr:uid="{00000000-0005-0000-0000-0000258F0000}"/>
    <cellStyle name="Uwaga 2 2 2 2 3 2" xfId="35843" xr:uid="{00000000-0005-0000-0000-0000268F0000}"/>
    <cellStyle name="Uwaga 2 2 2 2 3 2 2" xfId="35844" xr:uid="{00000000-0005-0000-0000-0000278F0000}"/>
    <cellStyle name="Uwaga 2 2 2 2 3 2 2 2" xfId="35845" xr:uid="{00000000-0005-0000-0000-0000288F0000}"/>
    <cellStyle name="Uwaga 2 2 2 2 3 2 2 2 2" xfId="35846" xr:uid="{00000000-0005-0000-0000-0000298F0000}"/>
    <cellStyle name="Uwaga 2 2 2 2 3 2 2 3" xfId="35847" xr:uid="{00000000-0005-0000-0000-00002A8F0000}"/>
    <cellStyle name="Uwaga 2 2 2 2 3 2 3" xfId="35848" xr:uid="{00000000-0005-0000-0000-00002B8F0000}"/>
    <cellStyle name="Uwaga 2 2 2 2 3 2 3 2" xfId="35849" xr:uid="{00000000-0005-0000-0000-00002C8F0000}"/>
    <cellStyle name="Uwaga 2 2 2 2 3 2 3 2 2" xfId="35850" xr:uid="{00000000-0005-0000-0000-00002D8F0000}"/>
    <cellStyle name="Uwaga 2 2 2 2 3 2 3 3" xfId="35851" xr:uid="{00000000-0005-0000-0000-00002E8F0000}"/>
    <cellStyle name="Uwaga 2 2 2 2 3 2 4" xfId="35852" xr:uid="{00000000-0005-0000-0000-00002F8F0000}"/>
    <cellStyle name="Uwaga 2 2 2 2 3 2 4 2" xfId="35853" xr:uid="{00000000-0005-0000-0000-0000308F0000}"/>
    <cellStyle name="Uwaga 2 2 2 2 3 2 4 2 2" xfId="35854" xr:uid="{00000000-0005-0000-0000-0000318F0000}"/>
    <cellStyle name="Uwaga 2 2 2 2 3 2 4 3" xfId="35855" xr:uid="{00000000-0005-0000-0000-0000328F0000}"/>
    <cellStyle name="Uwaga 2 2 2 2 3 2 5" xfId="35856" xr:uid="{00000000-0005-0000-0000-0000338F0000}"/>
    <cellStyle name="Uwaga 2 2 2 2 3 2 5 2" xfId="35857" xr:uid="{00000000-0005-0000-0000-0000348F0000}"/>
    <cellStyle name="Uwaga 2 2 2 2 3 2 6" xfId="35858" xr:uid="{00000000-0005-0000-0000-0000358F0000}"/>
    <cellStyle name="Uwaga 2 2 2 2 3 2 6 2" xfId="35859" xr:uid="{00000000-0005-0000-0000-0000368F0000}"/>
    <cellStyle name="Uwaga 2 2 2 2 3 2 7" xfId="35860" xr:uid="{00000000-0005-0000-0000-0000378F0000}"/>
    <cellStyle name="Uwaga 2 2 2 2 3 3" xfId="35861" xr:uid="{00000000-0005-0000-0000-0000388F0000}"/>
    <cellStyle name="Uwaga 2 2 2 2 3 3 2" xfId="35862" xr:uid="{00000000-0005-0000-0000-0000398F0000}"/>
    <cellStyle name="Uwaga 2 2 2 2 3 3 2 2" xfId="35863" xr:uid="{00000000-0005-0000-0000-00003A8F0000}"/>
    <cellStyle name="Uwaga 2 2 2 2 3 3 3" xfId="35864" xr:uid="{00000000-0005-0000-0000-00003B8F0000}"/>
    <cellStyle name="Uwaga 2 2 2 2 3 4" xfId="35865" xr:uid="{00000000-0005-0000-0000-00003C8F0000}"/>
    <cellStyle name="Uwaga 2 2 2 2 3 4 2" xfId="35866" xr:uid="{00000000-0005-0000-0000-00003D8F0000}"/>
    <cellStyle name="Uwaga 2 2 2 2 3 4 2 2" xfId="35867" xr:uid="{00000000-0005-0000-0000-00003E8F0000}"/>
    <cellStyle name="Uwaga 2 2 2 2 3 4 3" xfId="35868" xr:uid="{00000000-0005-0000-0000-00003F8F0000}"/>
    <cellStyle name="Uwaga 2 2 2 2 3 5" xfId="35869" xr:uid="{00000000-0005-0000-0000-0000408F0000}"/>
    <cellStyle name="Uwaga 2 2 2 2 3 5 2" xfId="35870" xr:uid="{00000000-0005-0000-0000-0000418F0000}"/>
    <cellStyle name="Uwaga 2 2 2 2 3 5 2 2" xfId="35871" xr:uid="{00000000-0005-0000-0000-0000428F0000}"/>
    <cellStyle name="Uwaga 2 2 2 2 3 5 3" xfId="35872" xr:uid="{00000000-0005-0000-0000-0000438F0000}"/>
    <cellStyle name="Uwaga 2 2 2 2 3 6" xfId="35873" xr:uid="{00000000-0005-0000-0000-0000448F0000}"/>
    <cellStyle name="Uwaga 2 2 2 2 3 6 2" xfId="35874" xr:uid="{00000000-0005-0000-0000-0000458F0000}"/>
    <cellStyle name="Uwaga 2 2 2 2 3 7" xfId="35875" xr:uid="{00000000-0005-0000-0000-0000468F0000}"/>
    <cellStyle name="Uwaga 2 2 2 2 3 7 2" xfId="35876" xr:uid="{00000000-0005-0000-0000-0000478F0000}"/>
    <cellStyle name="Uwaga 2 2 2 2 3 8" xfId="35877" xr:uid="{00000000-0005-0000-0000-0000488F0000}"/>
    <cellStyle name="Uwaga 2 2 2 2 4" xfId="35878" xr:uid="{00000000-0005-0000-0000-0000498F0000}"/>
    <cellStyle name="Uwaga 2 2 2 2 4 2" xfId="35879" xr:uid="{00000000-0005-0000-0000-00004A8F0000}"/>
    <cellStyle name="Uwaga 2 2 2 2 4 2 2" xfId="35880" xr:uid="{00000000-0005-0000-0000-00004B8F0000}"/>
    <cellStyle name="Uwaga 2 2 2 2 4 3" xfId="35881" xr:uid="{00000000-0005-0000-0000-00004C8F0000}"/>
    <cellStyle name="Uwaga 2 2 2 2 5" xfId="35882" xr:uid="{00000000-0005-0000-0000-00004D8F0000}"/>
    <cellStyle name="Uwaga 2 2 2 2 5 2" xfId="35883" xr:uid="{00000000-0005-0000-0000-00004E8F0000}"/>
    <cellStyle name="Uwaga 2 2 2 2 5 2 2" xfId="35884" xr:uid="{00000000-0005-0000-0000-00004F8F0000}"/>
    <cellStyle name="Uwaga 2 2 2 2 5 3" xfId="35885" xr:uid="{00000000-0005-0000-0000-0000508F0000}"/>
    <cellStyle name="Uwaga 2 2 2 2 6" xfId="35886" xr:uid="{00000000-0005-0000-0000-0000518F0000}"/>
    <cellStyle name="Uwaga 2 2 2 2 6 2" xfId="35887" xr:uid="{00000000-0005-0000-0000-0000528F0000}"/>
    <cellStyle name="Uwaga 2 2 2 2 6 2 2" xfId="35888" xr:uid="{00000000-0005-0000-0000-0000538F0000}"/>
    <cellStyle name="Uwaga 2 2 2 2 6 3" xfId="35889" xr:uid="{00000000-0005-0000-0000-0000548F0000}"/>
    <cellStyle name="Uwaga 2 2 2 2 7" xfId="35890" xr:uid="{00000000-0005-0000-0000-0000558F0000}"/>
    <cellStyle name="Uwaga 2 2 2 2 7 2" xfId="35891" xr:uid="{00000000-0005-0000-0000-0000568F0000}"/>
    <cellStyle name="Uwaga 2 2 2 2 7 2 2" xfId="35892" xr:uid="{00000000-0005-0000-0000-0000578F0000}"/>
    <cellStyle name="Uwaga 2 2 2 2 7 3" xfId="35893" xr:uid="{00000000-0005-0000-0000-0000588F0000}"/>
    <cellStyle name="Uwaga 2 2 2 2 8" xfId="35894" xr:uid="{00000000-0005-0000-0000-0000598F0000}"/>
    <cellStyle name="Uwaga 2 2 2 2 8 2" xfId="35895" xr:uid="{00000000-0005-0000-0000-00005A8F0000}"/>
    <cellStyle name="Uwaga 2 2 2 2 8 2 2" xfId="35896" xr:uid="{00000000-0005-0000-0000-00005B8F0000}"/>
    <cellStyle name="Uwaga 2 2 2 2 8 2 2 2" xfId="35897" xr:uid="{00000000-0005-0000-0000-00005C8F0000}"/>
    <cellStyle name="Uwaga 2 2 2 2 8 2 3" xfId="35898" xr:uid="{00000000-0005-0000-0000-00005D8F0000}"/>
    <cellStyle name="Uwaga 2 2 2 2 8 3" xfId="35899" xr:uid="{00000000-0005-0000-0000-00005E8F0000}"/>
    <cellStyle name="Uwaga 2 2 2 2 8 3 2" xfId="35900" xr:uid="{00000000-0005-0000-0000-00005F8F0000}"/>
    <cellStyle name="Uwaga 2 2 2 2 8 3 2 2" xfId="35901" xr:uid="{00000000-0005-0000-0000-0000608F0000}"/>
    <cellStyle name="Uwaga 2 2 2 2 8 3 3" xfId="35902" xr:uid="{00000000-0005-0000-0000-0000618F0000}"/>
    <cellStyle name="Uwaga 2 2 2 2 8 4" xfId="35903" xr:uid="{00000000-0005-0000-0000-0000628F0000}"/>
    <cellStyle name="Uwaga 2 2 2 2 8 4 2" xfId="35904" xr:uid="{00000000-0005-0000-0000-0000638F0000}"/>
    <cellStyle name="Uwaga 2 2 2 2 8 4 2 2" xfId="35905" xr:uid="{00000000-0005-0000-0000-0000648F0000}"/>
    <cellStyle name="Uwaga 2 2 2 2 8 4 3" xfId="35906" xr:uid="{00000000-0005-0000-0000-0000658F0000}"/>
    <cellStyle name="Uwaga 2 2 2 2 8 5" xfId="35907" xr:uid="{00000000-0005-0000-0000-0000668F0000}"/>
    <cellStyle name="Uwaga 2 2 2 2 8 5 2" xfId="35908" xr:uid="{00000000-0005-0000-0000-0000678F0000}"/>
    <cellStyle name="Uwaga 2 2 2 2 8 6" xfId="35909" xr:uid="{00000000-0005-0000-0000-0000688F0000}"/>
    <cellStyle name="Uwaga 2 2 2 2 8 6 2" xfId="35910" xr:uid="{00000000-0005-0000-0000-0000698F0000}"/>
    <cellStyle name="Uwaga 2 2 2 2 8 7" xfId="35911" xr:uid="{00000000-0005-0000-0000-00006A8F0000}"/>
    <cellStyle name="Uwaga 2 2 2 2 9" xfId="35912" xr:uid="{00000000-0005-0000-0000-00006B8F0000}"/>
    <cellStyle name="Uwaga 2 2 2 2 9 2" xfId="35913" xr:uid="{00000000-0005-0000-0000-00006C8F0000}"/>
    <cellStyle name="Uwaga 2 2 2 2 9 2 2" xfId="35914" xr:uid="{00000000-0005-0000-0000-00006D8F0000}"/>
    <cellStyle name="Uwaga 2 2 2 2 9 3" xfId="35915" xr:uid="{00000000-0005-0000-0000-00006E8F0000}"/>
    <cellStyle name="Uwaga 2 2 2 3" xfId="35916" xr:uid="{00000000-0005-0000-0000-00006F8F0000}"/>
    <cellStyle name="Uwaga 2 2 2 3 2" xfId="35917" xr:uid="{00000000-0005-0000-0000-0000708F0000}"/>
    <cellStyle name="Uwaga 2 2 2 3 2 2" xfId="35918" xr:uid="{00000000-0005-0000-0000-0000718F0000}"/>
    <cellStyle name="Uwaga 2 2 2 3 3" xfId="35919" xr:uid="{00000000-0005-0000-0000-0000728F0000}"/>
    <cellStyle name="Uwaga 2 2 2 4" xfId="35920" xr:uid="{00000000-0005-0000-0000-0000738F0000}"/>
    <cellStyle name="Uwaga 2 2 2 4 10" xfId="35921" xr:uid="{00000000-0005-0000-0000-0000748F0000}"/>
    <cellStyle name="Uwaga 2 2 2 4 10 2" xfId="35922" xr:uid="{00000000-0005-0000-0000-0000758F0000}"/>
    <cellStyle name="Uwaga 2 2 2 4 11" xfId="35923" xr:uid="{00000000-0005-0000-0000-0000768F0000}"/>
    <cellStyle name="Uwaga 2 2 2 4 11 2" xfId="35924" xr:uid="{00000000-0005-0000-0000-0000778F0000}"/>
    <cellStyle name="Uwaga 2 2 2 4 12" xfId="35925" xr:uid="{00000000-0005-0000-0000-0000788F0000}"/>
    <cellStyle name="Uwaga 2 2 2 4 2" xfId="35926" xr:uid="{00000000-0005-0000-0000-0000798F0000}"/>
    <cellStyle name="Uwaga 2 2 2 4 2 2" xfId="35927" xr:uid="{00000000-0005-0000-0000-00007A8F0000}"/>
    <cellStyle name="Uwaga 2 2 2 4 2 2 2" xfId="35928" xr:uid="{00000000-0005-0000-0000-00007B8F0000}"/>
    <cellStyle name="Uwaga 2 2 2 4 2 2 2 2" xfId="35929" xr:uid="{00000000-0005-0000-0000-00007C8F0000}"/>
    <cellStyle name="Uwaga 2 2 2 4 2 2 2 2 2" xfId="35930" xr:uid="{00000000-0005-0000-0000-00007D8F0000}"/>
    <cellStyle name="Uwaga 2 2 2 4 2 2 2 3" xfId="35931" xr:uid="{00000000-0005-0000-0000-00007E8F0000}"/>
    <cellStyle name="Uwaga 2 2 2 4 2 2 3" xfId="35932" xr:uid="{00000000-0005-0000-0000-00007F8F0000}"/>
    <cellStyle name="Uwaga 2 2 2 4 2 2 3 2" xfId="35933" xr:uid="{00000000-0005-0000-0000-0000808F0000}"/>
    <cellStyle name="Uwaga 2 2 2 4 2 2 3 2 2" xfId="35934" xr:uid="{00000000-0005-0000-0000-0000818F0000}"/>
    <cellStyle name="Uwaga 2 2 2 4 2 2 3 3" xfId="35935" xr:uid="{00000000-0005-0000-0000-0000828F0000}"/>
    <cellStyle name="Uwaga 2 2 2 4 2 2 4" xfId="35936" xr:uid="{00000000-0005-0000-0000-0000838F0000}"/>
    <cellStyle name="Uwaga 2 2 2 4 2 2 4 2" xfId="35937" xr:uid="{00000000-0005-0000-0000-0000848F0000}"/>
    <cellStyle name="Uwaga 2 2 2 4 2 2 4 2 2" xfId="35938" xr:uid="{00000000-0005-0000-0000-0000858F0000}"/>
    <cellStyle name="Uwaga 2 2 2 4 2 2 4 3" xfId="35939" xr:uid="{00000000-0005-0000-0000-0000868F0000}"/>
    <cellStyle name="Uwaga 2 2 2 4 2 2 5" xfId="35940" xr:uid="{00000000-0005-0000-0000-0000878F0000}"/>
    <cellStyle name="Uwaga 2 2 2 4 2 2 5 2" xfId="35941" xr:uid="{00000000-0005-0000-0000-0000888F0000}"/>
    <cellStyle name="Uwaga 2 2 2 4 2 2 6" xfId="35942" xr:uid="{00000000-0005-0000-0000-0000898F0000}"/>
    <cellStyle name="Uwaga 2 2 2 4 2 2 6 2" xfId="35943" xr:uid="{00000000-0005-0000-0000-00008A8F0000}"/>
    <cellStyle name="Uwaga 2 2 2 4 2 2 7" xfId="35944" xr:uid="{00000000-0005-0000-0000-00008B8F0000}"/>
    <cellStyle name="Uwaga 2 2 2 4 2 3" xfId="35945" xr:uid="{00000000-0005-0000-0000-00008C8F0000}"/>
    <cellStyle name="Uwaga 2 2 2 4 2 3 2" xfId="35946" xr:uid="{00000000-0005-0000-0000-00008D8F0000}"/>
    <cellStyle name="Uwaga 2 2 2 4 2 3 2 2" xfId="35947" xr:uid="{00000000-0005-0000-0000-00008E8F0000}"/>
    <cellStyle name="Uwaga 2 2 2 4 2 3 3" xfId="35948" xr:uid="{00000000-0005-0000-0000-00008F8F0000}"/>
    <cellStyle name="Uwaga 2 2 2 4 2 4" xfId="35949" xr:uid="{00000000-0005-0000-0000-0000908F0000}"/>
    <cellStyle name="Uwaga 2 2 2 4 2 4 2" xfId="35950" xr:uid="{00000000-0005-0000-0000-0000918F0000}"/>
    <cellStyle name="Uwaga 2 2 2 4 2 4 2 2" xfId="35951" xr:uid="{00000000-0005-0000-0000-0000928F0000}"/>
    <cellStyle name="Uwaga 2 2 2 4 2 4 3" xfId="35952" xr:uid="{00000000-0005-0000-0000-0000938F0000}"/>
    <cellStyle name="Uwaga 2 2 2 4 2 5" xfId="35953" xr:uid="{00000000-0005-0000-0000-0000948F0000}"/>
    <cellStyle name="Uwaga 2 2 2 4 2 5 2" xfId="35954" xr:uid="{00000000-0005-0000-0000-0000958F0000}"/>
    <cellStyle name="Uwaga 2 2 2 4 2 5 2 2" xfId="35955" xr:uid="{00000000-0005-0000-0000-0000968F0000}"/>
    <cellStyle name="Uwaga 2 2 2 4 2 5 3" xfId="35956" xr:uid="{00000000-0005-0000-0000-0000978F0000}"/>
    <cellStyle name="Uwaga 2 2 2 4 2 6" xfId="35957" xr:uid="{00000000-0005-0000-0000-0000988F0000}"/>
    <cellStyle name="Uwaga 2 2 2 4 2 6 2" xfId="35958" xr:uid="{00000000-0005-0000-0000-0000998F0000}"/>
    <cellStyle name="Uwaga 2 2 2 4 2 7" xfId="35959" xr:uid="{00000000-0005-0000-0000-00009A8F0000}"/>
    <cellStyle name="Uwaga 2 2 2 4 2 7 2" xfId="35960" xr:uid="{00000000-0005-0000-0000-00009B8F0000}"/>
    <cellStyle name="Uwaga 2 2 2 4 2 8" xfId="35961" xr:uid="{00000000-0005-0000-0000-00009C8F0000}"/>
    <cellStyle name="Uwaga 2 2 2 4 3" xfId="35962" xr:uid="{00000000-0005-0000-0000-00009D8F0000}"/>
    <cellStyle name="Uwaga 2 2 2 4 3 2" xfId="35963" xr:uid="{00000000-0005-0000-0000-00009E8F0000}"/>
    <cellStyle name="Uwaga 2 2 2 4 3 2 2" xfId="35964" xr:uid="{00000000-0005-0000-0000-00009F8F0000}"/>
    <cellStyle name="Uwaga 2 2 2 4 3 3" xfId="35965" xr:uid="{00000000-0005-0000-0000-0000A08F0000}"/>
    <cellStyle name="Uwaga 2 2 2 4 4" xfId="35966" xr:uid="{00000000-0005-0000-0000-0000A18F0000}"/>
    <cellStyle name="Uwaga 2 2 2 4 4 2" xfId="35967" xr:uid="{00000000-0005-0000-0000-0000A28F0000}"/>
    <cellStyle name="Uwaga 2 2 2 4 4 2 2" xfId="35968" xr:uid="{00000000-0005-0000-0000-0000A38F0000}"/>
    <cellStyle name="Uwaga 2 2 2 4 4 3" xfId="35969" xr:uid="{00000000-0005-0000-0000-0000A48F0000}"/>
    <cellStyle name="Uwaga 2 2 2 4 5" xfId="35970" xr:uid="{00000000-0005-0000-0000-0000A58F0000}"/>
    <cellStyle name="Uwaga 2 2 2 4 5 2" xfId="35971" xr:uid="{00000000-0005-0000-0000-0000A68F0000}"/>
    <cellStyle name="Uwaga 2 2 2 4 5 2 2" xfId="35972" xr:uid="{00000000-0005-0000-0000-0000A78F0000}"/>
    <cellStyle name="Uwaga 2 2 2 4 5 3" xfId="35973" xr:uid="{00000000-0005-0000-0000-0000A88F0000}"/>
    <cellStyle name="Uwaga 2 2 2 4 6" xfId="35974" xr:uid="{00000000-0005-0000-0000-0000A98F0000}"/>
    <cellStyle name="Uwaga 2 2 2 4 6 2" xfId="35975" xr:uid="{00000000-0005-0000-0000-0000AA8F0000}"/>
    <cellStyle name="Uwaga 2 2 2 4 6 2 2" xfId="35976" xr:uid="{00000000-0005-0000-0000-0000AB8F0000}"/>
    <cellStyle name="Uwaga 2 2 2 4 6 3" xfId="35977" xr:uid="{00000000-0005-0000-0000-0000AC8F0000}"/>
    <cellStyle name="Uwaga 2 2 2 4 7" xfId="35978" xr:uid="{00000000-0005-0000-0000-0000AD8F0000}"/>
    <cellStyle name="Uwaga 2 2 2 4 7 2" xfId="35979" xr:uid="{00000000-0005-0000-0000-0000AE8F0000}"/>
    <cellStyle name="Uwaga 2 2 2 4 7 2 2" xfId="35980" xr:uid="{00000000-0005-0000-0000-0000AF8F0000}"/>
    <cellStyle name="Uwaga 2 2 2 4 7 2 2 2" xfId="35981" xr:uid="{00000000-0005-0000-0000-0000B08F0000}"/>
    <cellStyle name="Uwaga 2 2 2 4 7 2 3" xfId="35982" xr:uid="{00000000-0005-0000-0000-0000B18F0000}"/>
    <cellStyle name="Uwaga 2 2 2 4 7 3" xfId="35983" xr:uid="{00000000-0005-0000-0000-0000B28F0000}"/>
    <cellStyle name="Uwaga 2 2 2 4 7 3 2" xfId="35984" xr:uid="{00000000-0005-0000-0000-0000B38F0000}"/>
    <cellStyle name="Uwaga 2 2 2 4 7 3 2 2" xfId="35985" xr:uid="{00000000-0005-0000-0000-0000B48F0000}"/>
    <cellStyle name="Uwaga 2 2 2 4 7 3 3" xfId="35986" xr:uid="{00000000-0005-0000-0000-0000B58F0000}"/>
    <cellStyle name="Uwaga 2 2 2 4 7 4" xfId="35987" xr:uid="{00000000-0005-0000-0000-0000B68F0000}"/>
    <cellStyle name="Uwaga 2 2 2 4 7 4 2" xfId="35988" xr:uid="{00000000-0005-0000-0000-0000B78F0000}"/>
    <cellStyle name="Uwaga 2 2 2 4 7 4 2 2" xfId="35989" xr:uid="{00000000-0005-0000-0000-0000B88F0000}"/>
    <cellStyle name="Uwaga 2 2 2 4 7 4 3" xfId="35990" xr:uid="{00000000-0005-0000-0000-0000B98F0000}"/>
    <cellStyle name="Uwaga 2 2 2 4 7 5" xfId="35991" xr:uid="{00000000-0005-0000-0000-0000BA8F0000}"/>
    <cellStyle name="Uwaga 2 2 2 4 7 5 2" xfId="35992" xr:uid="{00000000-0005-0000-0000-0000BB8F0000}"/>
    <cellStyle name="Uwaga 2 2 2 4 7 6" xfId="35993" xr:uid="{00000000-0005-0000-0000-0000BC8F0000}"/>
    <cellStyle name="Uwaga 2 2 2 4 7 6 2" xfId="35994" xr:uid="{00000000-0005-0000-0000-0000BD8F0000}"/>
    <cellStyle name="Uwaga 2 2 2 4 7 7" xfId="35995" xr:uid="{00000000-0005-0000-0000-0000BE8F0000}"/>
    <cellStyle name="Uwaga 2 2 2 4 8" xfId="35996" xr:uid="{00000000-0005-0000-0000-0000BF8F0000}"/>
    <cellStyle name="Uwaga 2 2 2 4 8 2" xfId="35997" xr:uid="{00000000-0005-0000-0000-0000C08F0000}"/>
    <cellStyle name="Uwaga 2 2 2 4 8 2 2" xfId="35998" xr:uid="{00000000-0005-0000-0000-0000C18F0000}"/>
    <cellStyle name="Uwaga 2 2 2 4 8 3" xfId="35999" xr:uid="{00000000-0005-0000-0000-0000C28F0000}"/>
    <cellStyle name="Uwaga 2 2 2 4 9" xfId="36000" xr:uid="{00000000-0005-0000-0000-0000C38F0000}"/>
    <cellStyle name="Uwaga 2 2 2 4 9 2" xfId="36001" xr:uid="{00000000-0005-0000-0000-0000C48F0000}"/>
    <cellStyle name="Uwaga 2 2 2 4 9 2 2" xfId="36002" xr:uid="{00000000-0005-0000-0000-0000C58F0000}"/>
    <cellStyle name="Uwaga 2 2 2 4 9 3" xfId="36003" xr:uid="{00000000-0005-0000-0000-0000C68F0000}"/>
    <cellStyle name="Uwaga 2 2 2 5" xfId="36004" xr:uid="{00000000-0005-0000-0000-0000C78F0000}"/>
    <cellStyle name="Uwaga 2 2 2 5 2" xfId="36005" xr:uid="{00000000-0005-0000-0000-0000C88F0000}"/>
    <cellStyle name="Uwaga 2 2 2 5 2 2" xfId="36006" xr:uid="{00000000-0005-0000-0000-0000C98F0000}"/>
    <cellStyle name="Uwaga 2 2 2 5 2 2 2" xfId="36007" xr:uid="{00000000-0005-0000-0000-0000CA8F0000}"/>
    <cellStyle name="Uwaga 2 2 2 5 2 2 2 2" xfId="36008" xr:uid="{00000000-0005-0000-0000-0000CB8F0000}"/>
    <cellStyle name="Uwaga 2 2 2 5 2 2 3" xfId="36009" xr:uid="{00000000-0005-0000-0000-0000CC8F0000}"/>
    <cellStyle name="Uwaga 2 2 2 5 2 3" xfId="36010" xr:uid="{00000000-0005-0000-0000-0000CD8F0000}"/>
    <cellStyle name="Uwaga 2 2 2 5 2 3 2" xfId="36011" xr:uid="{00000000-0005-0000-0000-0000CE8F0000}"/>
    <cellStyle name="Uwaga 2 2 2 5 2 3 2 2" xfId="36012" xr:uid="{00000000-0005-0000-0000-0000CF8F0000}"/>
    <cellStyle name="Uwaga 2 2 2 5 2 3 3" xfId="36013" xr:uid="{00000000-0005-0000-0000-0000D08F0000}"/>
    <cellStyle name="Uwaga 2 2 2 5 2 4" xfId="36014" xr:uid="{00000000-0005-0000-0000-0000D18F0000}"/>
    <cellStyle name="Uwaga 2 2 2 5 2 4 2" xfId="36015" xr:uid="{00000000-0005-0000-0000-0000D28F0000}"/>
    <cellStyle name="Uwaga 2 2 2 5 2 4 2 2" xfId="36016" xr:uid="{00000000-0005-0000-0000-0000D38F0000}"/>
    <cellStyle name="Uwaga 2 2 2 5 2 4 3" xfId="36017" xr:uid="{00000000-0005-0000-0000-0000D48F0000}"/>
    <cellStyle name="Uwaga 2 2 2 5 2 5" xfId="36018" xr:uid="{00000000-0005-0000-0000-0000D58F0000}"/>
    <cellStyle name="Uwaga 2 2 2 5 2 5 2" xfId="36019" xr:uid="{00000000-0005-0000-0000-0000D68F0000}"/>
    <cellStyle name="Uwaga 2 2 2 5 2 6" xfId="36020" xr:uid="{00000000-0005-0000-0000-0000D78F0000}"/>
    <cellStyle name="Uwaga 2 2 2 5 2 6 2" xfId="36021" xr:uid="{00000000-0005-0000-0000-0000D88F0000}"/>
    <cellStyle name="Uwaga 2 2 2 5 2 7" xfId="36022" xr:uid="{00000000-0005-0000-0000-0000D98F0000}"/>
    <cellStyle name="Uwaga 2 2 2 5 3" xfId="36023" xr:uid="{00000000-0005-0000-0000-0000DA8F0000}"/>
    <cellStyle name="Uwaga 2 2 2 5 3 2" xfId="36024" xr:uid="{00000000-0005-0000-0000-0000DB8F0000}"/>
    <cellStyle name="Uwaga 2 2 2 5 3 2 2" xfId="36025" xr:uid="{00000000-0005-0000-0000-0000DC8F0000}"/>
    <cellStyle name="Uwaga 2 2 2 5 3 3" xfId="36026" xr:uid="{00000000-0005-0000-0000-0000DD8F0000}"/>
    <cellStyle name="Uwaga 2 2 2 5 4" xfId="36027" xr:uid="{00000000-0005-0000-0000-0000DE8F0000}"/>
    <cellStyle name="Uwaga 2 2 2 5 4 2" xfId="36028" xr:uid="{00000000-0005-0000-0000-0000DF8F0000}"/>
    <cellStyle name="Uwaga 2 2 2 5 4 2 2" xfId="36029" xr:uid="{00000000-0005-0000-0000-0000E08F0000}"/>
    <cellStyle name="Uwaga 2 2 2 5 4 3" xfId="36030" xr:uid="{00000000-0005-0000-0000-0000E18F0000}"/>
    <cellStyle name="Uwaga 2 2 2 5 5" xfId="36031" xr:uid="{00000000-0005-0000-0000-0000E28F0000}"/>
    <cellStyle name="Uwaga 2 2 2 5 5 2" xfId="36032" xr:uid="{00000000-0005-0000-0000-0000E38F0000}"/>
    <cellStyle name="Uwaga 2 2 2 5 5 2 2" xfId="36033" xr:uid="{00000000-0005-0000-0000-0000E48F0000}"/>
    <cellStyle name="Uwaga 2 2 2 5 5 3" xfId="36034" xr:uid="{00000000-0005-0000-0000-0000E58F0000}"/>
    <cellStyle name="Uwaga 2 2 2 5 6" xfId="36035" xr:uid="{00000000-0005-0000-0000-0000E68F0000}"/>
    <cellStyle name="Uwaga 2 2 2 5 6 2" xfId="36036" xr:uid="{00000000-0005-0000-0000-0000E78F0000}"/>
    <cellStyle name="Uwaga 2 2 2 5 7" xfId="36037" xr:uid="{00000000-0005-0000-0000-0000E88F0000}"/>
    <cellStyle name="Uwaga 2 2 2 5 7 2" xfId="36038" xr:uid="{00000000-0005-0000-0000-0000E98F0000}"/>
    <cellStyle name="Uwaga 2 2 2 5 8" xfId="36039" xr:uid="{00000000-0005-0000-0000-0000EA8F0000}"/>
    <cellStyle name="Uwaga 2 2 2 6" xfId="36040" xr:uid="{00000000-0005-0000-0000-0000EB8F0000}"/>
    <cellStyle name="Uwaga 2 2 2 6 2" xfId="36041" xr:uid="{00000000-0005-0000-0000-0000EC8F0000}"/>
    <cellStyle name="Uwaga 2 2 2 6 2 2" xfId="36042" xr:uid="{00000000-0005-0000-0000-0000ED8F0000}"/>
    <cellStyle name="Uwaga 2 2 2 6 3" xfId="36043" xr:uid="{00000000-0005-0000-0000-0000EE8F0000}"/>
    <cellStyle name="Uwaga 2 2 2 7" xfId="36044" xr:uid="{00000000-0005-0000-0000-0000EF8F0000}"/>
    <cellStyle name="Uwaga 2 2 2 7 2" xfId="36045" xr:uid="{00000000-0005-0000-0000-0000F08F0000}"/>
    <cellStyle name="Uwaga 2 2 2 7 2 2" xfId="36046" xr:uid="{00000000-0005-0000-0000-0000F18F0000}"/>
    <cellStyle name="Uwaga 2 2 2 7 3" xfId="36047" xr:uid="{00000000-0005-0000-0000-0000F28F0000}"/>
    <cellStyle name="Uwaga 2 2 2 8" xfId="36048" xr:uid="{00000000-0005-0000-0000-0000F38F0000}"/>
    <cellStyle name="Uwaga 2 2 2 8 2" xfId="36049" xr:uid="{00000000-0005-0000-0000-0000F48F0000}"/>
    <cellStyle name="Uwaga 2 2 2 8 2 2" xfId="36050" xr:uid="{00000000-0005-0000-0000-0000F58F0000}"/>
    <cellStyle name="Uwaga 2 2 2 8 3" xfId="36051" xr:uid="{00000000-0005-0000-0000-0000F68F0000}"/>
    <cellStyle name="Uwaga 2 2 2 9" xfId="36052" xr:uid="{00000000-0005-0000-0000-0000F78F0000}"/>
    <cellStyle name="Uwaga 2 2 2 9 2" xfId="36053" xr:uid="{00000000-0005-0000-0000-0000F88F0000}"/>
    <cellStyle name="Uwaga 2 2 2 9 2 2" xfId="36054" xr:uid="{00000000-0005-0000-0000-0000F98F0000}"/>
    <cellStyle name="Uwaga 2 2 2 9 2 2 2" xfId="36055" xr:uid="{00000000-0005-0000-0000-0000FA8F0000}"/>
    <cellStyle name="Uwaga 2 2 2 9 2 3" xfId="36056" xr:uid="{00000000-0005-0000-0000-0000FB8F0000}"/>
    <cellStyle name="Uwaga 2 2 2 9 3" xfId="36057" xr:uid="{00000000-0005-0000-0000-0000FC8F0000}"/>
    <cellStyle name="Uwaga 2 2 2 9 3 2" xfId="36058" xr:uid="{00000000-0005-0000-0000-0000FD8F0000}"/>
    <cellStyle name="Uwaga 2 2 2 9 3 2 2" xfId="36059" xr:uid="{00000000-0005-0000-0000-0000FE8F0000}"/>
    <cellStyle name="Uwaga 2 2 2 9 3 3" xfId="36060" xr:uid="{00000000-0005-0000-0000-0000FF8F0000}"/>
    <cellStyle name="Uwaga 2 2 2 9 4" xfId="36061" xr:uid="{00000000-0005-0000-0000-000000900000}"/>
    <cellStyle name="Uwaga 2 2 2 9 4 2" xfId="36062" xr:uid="{00000000-0005-0000-0000-000001900000}"/>
    <cellStyle name="Uwaga 2 2 2 9 4 2 2" xfId="36063" xr:uid="{00000000-0005-0000-0000-000002900000}"/>
    <cellStyle name="Uwaga 2 2 2 9 4 3" xfId="36064" xr:uid="{00000000-0005-0000-0000-000003900000}"/>
    <cellStyle name="Uwaga 2 2 2 9 5" xfId="36065" xr:uid="{00000000-0005-0000-0000-000004900000}"/>
    <cellStyle name="Uwaga 2 2 2 9 5 2" xfId="36066" xr:uid="{00000000-0005-0000-0000-000005900000}"/>
    <cellStyle name="Uwaga 2 2 2 9 6" xfId="36067" xr:uid="{00000000-0005-0000-0000-000006900000}"/>
    <cellStyle name="Uwaga 2 2 2 9 6 2" xfId="36068" xr:uid="{00000000-0005-0000-0000-000007900000}"/>
    <cellStyle name="Uwaga 2 2 2 9 7" xfId="36069" xr:uid="{00000000-0005-0000-0000-000008900000}"/>
    <cellStyle name="Uwaga 2 2 20" xfId="36070" xr:uid="{00000000-0005-0000-0000-000009900000}"/>
    <cellStyle name="Uwaga 2 2 20 2" xfId="36071" xr:uid="{00000000-0005-0000-0000-00000A900000}"/>
    <cellStyle name="Uwaga 2 2 20 2 2" xfId="36072" xr:uid="{00000000-0005-0000-0000-00000B900000}"/>
    <cellStyle name="Uwaga 2 2 20 3" xfId="36073" xr:uid="{00000000-0005-0000-0000-00000C900000}"/>
    <cellStyle name="Uwaga 2 2 21" xfId="36074" xr:uid="{00000000-0005-0000-0000-00000D900000}"/>
    <cellStyle name="Uwaga 2 2 21 2" xfId="36075" xr:uid="{00000000-0005-0000-0000-00000E900000}"/>
    <cellStyle name="Uwaga 2 2 22" xfId="36076" xr:uid="{00000000-0005-0000-0000-00000F900000}"/>
    <cellStyle name="Uwaga 2 2 3" xfId="36077" xr:uid="{00000000-0005-0000-0000-000010900000}"/>
    <cellStyle name="Uwaga 2 2 3 2" xfId="36078" xr:uid="{00000000-0005-0000-0000-000011900000}"/>
    <cellStyle name="Uwaga 2 2 3 2 2" xfId="36079" xr:uid="{00000000-0005-0000-0000-000012900000}"/>
    <cellStyle name="Uwaga 2 2 3 3" xfId="36080" xr:uid="{00000000-0005-0000-0000-000013900000}"/>
    <cellStyle name="Uwaga 2 2 4" xfId="36081" xr:uid="{00000000-0005-0000-0000-000014900000}"/>
    <cellStyle name="Uwaga 2 2 4 2" xfId="36082" xr:uid="{00000000-0005-0000-0000-000015900000}"/>
    <cellStyle name="Uwaga 2 2 4 2 2" xfId="36083" xr:uid="{00000000-0005-0000-0000-000016900000}"/>
    <cellStyle name="Uwaga 2 2 4 3" xfId="36084" xr:uid="{00000000-0005-0000-0000-000017900000}"/>
    <cellStyle name="Uwaga 2 2 5" xfId="36085" xr:uid="{00000000-0005-0000-0000-000018900000}"/>
    <cellStyle name="Uwaga 2 2 5 2" xfId="36086" xr:uid="{00000000-0005-0000-0000-000019900000}"/>
    <cellStyle name="Uwaga 2 2 5 2 2" xfId="36087" xr:uid="{00000000-0005-0000-0000-00001A900000}"/>
    <cellStyle name="Uwaga 2 2 5 3" xfId="36088" xr:uid="{00000000-0005-0000-0000-00001B900000}"/>
    <cellStyle name="Uwaga 2 2 6" xfId="36089" xr:uid="{00000000-0005-0000-0000-00001C900000}"/>
    <cellStyle name="Uwaga 2 2 6 2" xfId="36090" xr:uid="{00000000-0005-0000-0000-00001D900000}"/>
    <cellStyle name="Uwaga 2 2 6 2 2" xfId="36091" xr:uid="{00000000-0005-0000-0000-00001E900000}"/>
    <cellStyle name="Uwaga 2 2 6 3" xfId="36092" xr:uid="{00000000-0005-0000-0000-00001F900000}"/>
    <cellStyle name="Uwaga 2 2 7" xfId="36093" xr:uid="{00000000-0005-0000-0000-000020900000}"/>
    <cellStyle name="Uwaga 2 2 7 2" xfId="36094" xr:uid="{00000000-0005-0000-0000-000021900000}"/>
    <cellStyle name="Uwaga 2 2 7 2 2" xfId="36095" xr:uid="{00000000-0005-0000-0000-000022900000}"/>
    <cellStyle name="Uwaga 2 2 7 3" xfId="36096" xr:uid="{00000000-0005-0000-0000-000023900000}"/>
    <cellStyle name="Uwaga 2 2 8" xfId="36097" xr:uid="{00000000-0005-0000-0000-000024900000}"/>
    <cellStyle name="Uwaga 2 2 8 2" xfId="36098" xr:uid="{00000000-0005-0000-0000-000025900000}"/>
    <cellStyle name="Uwaga 2 2 8 2 2" xfId="36099" xr:uid="{00000000-0005-0000-0000-000026900000}"/>
    <cellStyle name="Uwaga 2 2 8 3" xfId="36100" xr:uid="{00000000-0005-0000-0000-000027900000}"/>
    <cellStyle name="Uwaga 2 2 9" xfId="36101" xr:uid="{00000000-0005-0000-0000-000028900000}"/>
    <cellStyle name="Uwaga 2 2 9 2" xfId="36102" xr:uid="{00000000-0005-0000-0000-000029900000}"/>
    <cellStyle name="Uwaga 2 2 9 2 2" xfId="36103" xr:uid="{00000000-0005-0000-0000-00002A900000}"/>
    <cellStyle name="Uwaga 2 2 9 3" xfId="36104" xr:uid="{00000000-0005-0000-0000-00002B900000}"/>
    <cellStyle name="Uwaga 2 20" xfId="36105" xr:uid="{00000000-0005-0000-0000-00002C900000}"/>
    <cellStyle name="Uwaga 2 20 2" xfId="36106" xr:uid="{00000000-0005-0000-0000-00002D900000}"/>
    <cellStyle name="Uwaga 2 20 2 2" xfId="36107" xr:uid="{00000000-0005-0000-0000-00002E900000}"/>
    <cellStyle name="Uwaga 2 20 3" xfId="36108" xr:uid="{00000000-0005-0000-0000-00002F900000}"/>
    <cellStyle name="Uwaga 2 21" xfId="36109" xr:uid="{00000000-0005-0000-0000-000030900000}"/>
    <cellStyle name="Uwaga 2 21 2" xfId="36110" xr:uid="{00000000-0005-0000-0000-000031900000}"/>
    <cellStyle name="Uwaga 2 21 2 2" xfId="36111" xr:uid="{00000000-0005-0000-0000-000032900000}"/>
    <cellStyle name="Uwaga 2 21 2 2 2" xfId="36112" xr:uid="{00000000-0005-0000-0000-000033900000}"/>
    <cellStyle name="Uwaga 2 21 2 3" xfId="36113" xr:uid="{00000000-0005-0000-0000-000034900000}"/>
    <cellStyle name="Uwaga 2 21 3" xfId="36114" xr:uid="{00000000-0005-0000-0000-000035900000}"/>
    <cellStyle name="Uwaga 2 21 3 2" xfId="36115" xr:uid="{00000000-0005-0000-0000-000036900000}"/>
    <cellStyle name="Uwaga 2 21 3 2 2" xfId="36116" xr:uid="{00000000-0005-0000-0000-000037900000}"/>
    <cellStyle name="Uwaga 2 21 3 3" xfId="36117" xr:uid="{00000000-0005-0000-0000-000038900000}"/>
    <cellStyle name="Uwaga 2 21 4" xfId="36118" xr:uid="{00000000-0005-0000-0000-000039900000}"/>
    <cellStyle name="Uwaga 2 21 4 2" xfId="36119" xr:uid="{00000000-0005-0000-0000-00003A900000}"/>
    <cellStyle name="Uwaga 2 21 4 2 2" xfId="36120" xr:uid="{00000000-0005-0000-0000-00003B900000}"/>
    <cellStyle name="Uwaga 2 21 4 3" xfId="36121" xr:uid="{00000000-0005-0000-0000-00003C900000}"/>
    <cellStyle name="Uwaga 2 21 5" xfId="36122" xr:uid="{00000000-0005-0000-0000-00003D900000}"/>
    <cellStyle name="Uwaga 2 21 5 2" xfId="36123" xr:uid="{00000000-0005-0000-0000-00003E900000}"/>
    <cellStyle name="Uwaga 2 21 6" xfId="36124" xr:uid="{00000000-0005-0000-0000-00003F900000}"/>
    <cellStyle name="Uwaga 2 21 6 2" xfId="36125" xr:uid="{00000000-0005-0000-0000-000040900000}"/>
    <cellStyle name="Uwaga 2 21 7" xfId="36126" xr:uid="{00000000-0005-0000-0000-000041900000}"/>
    <cellStyle name="Uwaga 2 22" xfId="36127" xr:uid="{00000000-0005-0000-0000-000042900000}"/>
    <cellStyle name="Uwaga 2 22 2" xfId="36128" xr:uid="{00000000-0005-0000-0000-000043900000}"/>
    <cellStyle name="Uwaga 2 22 2 2" xfId="36129" xr:uid="{00000000-0005-0000-0000-000044900000}"/>
    <cellStyle name="Uwaga 2 22 3" xfId="36130" xr:uid="{00000000-0005-0000-0000-000045900000}"/>
    <cellStyle name="Uwaga 2 23" xfId="36131" xr:uid="{00000000-0005-0000-0000-000046900000}"/>
    <cellStyle name="Uwaga 2 23 2" xfId="36132" xr:uid="{00000000-0005-0000-0000-000047900000}"/>
    <cellStyle name="Uwaga 2 23 2 2" xfId="36133" xr:uid="{00000000-0005-0000-0000-000048900000}"/>
    <cellStyle name="Uwaga 2 23 3" xfId="36134" xr:uid="{00000000-0005-0000-0000-000049900000}"/>
    <cellStyle name="Uwaga 2 24" xfId="36135" xr:uid="{00000000-0005-0000-0000-00004A900000}"/>
    <cellStyle name="Uwaga 2 24 2" xfId="36136" xr:uid="{00000000-0005-0000-0000-00004B900000}"/>
    <cellStyle name="Uwaga 2 24 2 2" xfId="36137" xr:uid="{00000000-0005-0000-0000-00004C900000}"/>
    <cellStyle name="Uwaga 2 24 3" xfId="36138" xr:uid="{00000000-0005-0000-0000-00004D900000}"/>
    <cellStyle name="Uwaga 2 25" xfId="36139" xr:uid="{00000000-0005-0000-0000-00004E900000}"/>
    <cellStyle name="Uwaga 2 25 2" xfId="36140" xr:uid="{00000000-0005-0000-0000-00004F900000}"/>
    <cellStyle name="Uwaga 2 25 2 2" xfId="36141" xr:uid="{00000000-0005-0000-0000-000050900000}"/>
    <cellStyle name="Uwaga 2 25 3" xfId="36142" xr:uid="{00000000-0005-0000-0000-000051900000}"/>
    <cellStyle name="Uwaga 2 26" xfId="36143" xr:uid="{00000000-0005-0000-0000-000052900000}"/>
    <cellStyle name="Uwaga 2 26 2" xfId="36144" xr:uid="{00000000-0005-0000-0000-000053900000}"/>
    <cellStyle name="Uwaga 2 26 2 2" xfId="36145" xr:uid="{00000000-0005-0000-0000-000054900000}"/>
    <cellStyle name="Uwaga 2 26 3" xfId="36146" xr:uid="{00000000-0005-0000-0000-000055900000}"/>
    <cellStyle name="Uwaga 2 27" xfId="36147" xr:uid="{00000000-0005-0000-0000-000056900000}"/>
    <cellStyle name="Uwaga 2 27 2" xfId="36148" xr:uid="{00000000-0005-0000-0000-000057900000}"/>
    <cellStyle name="Uwaga 2 27 2 2" xfId="36149" xr:uid="{00000000-0005-0000-0000-000058900000}"/>
    <cellStyle name="Uwaga 2 27 3" xfId="36150" xr:uid="{00000000-0005-0000-0000-000059900000}"/>
    <cellStyle name="Uwaga 2 28" xfId="36151" xr:uid="{00000000-0005-0000-0000-00005A900000}"/>
    <cellStyle name="Uwaga 2 28 2" xfId="36152" xr:uid="{00000000-0005-0000-0000-00005B900000}"/>
    <cellStyle name="Uwaga 2 29" xfId="36153" xr:uid="{00000000-0005-0000-0000-00005C900000}"/>
    <cellStyle name="Uwaga 2 29 2" xfId="36154" xr:uid="{00000000-0005-0000-0000-00005D900000}"/>
    <cellStyle name="Uwaga 2 3" xfId="36155" xr:uid="{00000000-0005-0000-0000-00005E900000}"/>
    <cellStyle name="Uwaga 2 3 2" xfId="36156" xr:uid="{00000000-0005-0000-0000-00005F900000}"/>
    <cellStyle name="Uwaga 2 3 2 2" xfId="36157" xr:uid="{00000000-0005-0000-0000-000060900000}"/>
    <cellStyle name="Uwaga 2 3 3" xfId="36158" xr:uid="{00000000-0005-0000-0000-000061900000}"/>
    <cellStyle name="Uwaga 2 30" xfId="36159" xr:uid="{00000000-0005-0000-0000-000062900000}"/>
    <cellStyle name="Uwaga 2 30 2" xfId="36160" xr:uid="{00000000-0005-0000-0000-000063900000}"/>
    <cellStyle name="Uwaga 2 31" xfId="36161" xr:uid="{00000000-0005-0000-0000-000064900000}"/>
    <cellStyle name="Uwaga 2 31 2" xfId="36162" xr:uid="{00000000-0005-0000-0000-000065900000}"/>
    <cellStyle name="Uwaga 2 32" xfId="36163" xr:uid="{00000000-0005-0000-0000-000066900000}"/>
    <cellStyle name="Uwaga 2 33" xfId="36164" xr:uid="{00000000-0005-0000-0000-000067900000}"/>
    <cellStyle name="Uwaga 2 34" xfId="34858" xr:uid="{00000000-0005-0000-0000-000068900000}"/>
    <cellStyle name="Uwaga 2 35" xfId="38630" xr:uid="{00000000-0005-0000-0000-000069900000}"/>
    <cellStyle name="Uwaga 2 4" xfId="36165" xr:uid="{00000000-0005-0000-0000-00006A900000}"/>
    <cellStyle name="Uwaga 2 4 2" xfId="36166" xr:uid="{00000000-0005-0000-0000-00006B900000}"/>
    <cellStyle name="Uwaga 2 4 2 2" xfId="36167" xr:uid="{00000000-0005-0000-0000-00006C900000}"/>
    <cellStyle name="Uwaga 2 4 3" xfId="36168" xr:uid="{00000000-0005-0000-0000-00006D900000}"/>
    <cellStyle name="Uwaga 2 5" xfId="36169" xr:uid="{00000000-0005-0000-0000-00006E900000}"/>
    <cellStyle name="Uwaga 2 5 2" xfId="36170" xr:uid="{00000000-0005-0000-0000-00006F900000}"/>
    <cellStyle name="Uwaga 2 5 2 2" xfId="36171" xr:uid="{00000000-0005-0000-0000-000070900000}"/>
    <cellStyle name="Uwaga 2 5 3" xfId="36172" xr:uid="{00000000-0005-0000-0000-000071900000}"/>
    <cellStyle name="Uwaga 2 6" xfId="36173" xr:uid="{00000000-0005-0000-0000-000072900000}"/>
    <cellStyle name="Uwaga 2 6 10" xfId="36174" xr:uid="{00000000-0005-0000-0000-000073900000}"/>
    <cellStyle name="Uwaga 2 6 10 2" xfId="36175" xr:uid="{00000000-0005-0000-0000-000074900000}"/>
    <cellStyle name="Uwaga 2 6 10 2 2" xfId="36176" xr:uid="{00000000-0005-0000-0000-000075900000}"/>
    <cellStyle name="Uwaga 2 6 10 3" xfId="36177" xr:uid="{00000000-0005-0000-0000-000076900000}"/>
    <cellStyle name="Uwaga 2 6 11" xfId="36178" xr:uid="{00000000-0005-0000-0000-000077900000}"/>
    <cellStyle name="Uwaga 2 6 11 2" xfId="36179" xr:uid="{00000000-0005-0000-0000-000078900000}"/>
    <cellStyle name="Uwaga 2 6 11 2 2" xfId="36180" xr:uid="{00000000-0005-0000-0000-000079900000}"/>
    <cellStyle name="Uwaga 2 6 11 3" xfId="36181" xr:uid="{00000000-0005-0000-0000-00007A900000}"/>
    <cellStyle name="Uwaga 2 6 12" xfId="36182" xr:uid="{00000000-0005-0000-0000-00007B900000}"/>
    <cellStyle name="Uwaga 2 6 12 2" xfId="36183" xr:uid="{00000000-0005-0000-0000-00007C900000}"/>
    <cellStyle name="Uwaga 2 6 13" xfId="36184" xr:uid="{00000000-0005-0000-0000-00007D900000}"/>
    <cellStyle name="Uwaga 2 6 13 2" xfId="36185" xr:uid="{00000000-0005-0000-0000-00007E900000}"/>
    <cellStyle name="Uwaga 2 6 14" xfId="36186" xr:uid="{00000000-0005-0000-0000-00007F900000}"/>
    <cellStyle name="Uwaga 2 6 2" xfId="36187" xr:uid="{00000000-0005-0000-0000-000080900000}"/>
    <cellStyle name="Uwaga 2 6 2 10" xfId="36188" xr:uid="{00000000-0005-0000-0000-000081900000}"/>
    <cellStyle name="Uwaga 2 6 2 10 2" xfId="36189" xr:uid="{00000000-0005-0000-0000-000082900000}"/>
    <cellStyle name="Uwaga 2 6 2 10 2 2" xfId="36190" xr:uid="{00000000-0005-0000-0000-000083900000}"/>
    <cellStyle name="Uwaga 2 6 2 10 3" xfId="36191" xr:uid="{00000000-0005-0000-0000-000084900000}"/>
    <cellStyle name="Uwaga 2 6 2 11" xfId="36192" xr:uid="{00000000-0005-0000-0000-000085900000}"/>
    <cellStyle name="Uwaga 2 6 2 11 2" xfId="36193" xr:uid="{00000000-0005-0000-0000-000086900000}"/>
    <cellStyle name="Uwaga 2 6 2 11 2 2" xfId="36194" xr:uid="{00000000-0005-0000-0000-000087900000}"/>
    <cellStyle name="Uwaga 2 6 2 11 3" xfId="36195" xr:uid="{00000000-0005-0000-0000-000088900000}"/>
    <cellStyle name="Uwaga 2 6 2 12" xfId="36196" xr:uid="{00000000-0005-0000-0000-000089900000}"/>
    <cellStyle name="Uwaga 2 6 2 12 2" xfId="36197" xr:uid="{00000000-0005-0000-0000-00008A900000}"/>
    <cellStyle name="Uwaga 2 6 2 13" xfId="36198" xr:uid="{00000000-0005-0000-0000-00008B900000}"/>
    <cellStyle name="Uwaga 2 6 2 13 2" xfId="36199" xr:uid="{00000000-0005-0000-0000-00008C900000}"/>
    <cellStyle name="Uwaga 2 6 2 14" xfId="36200" xr:uid="{00000000-0005-0000-0000-00008D900000}"/>
    <cellStyle name="Uwaga 2 6 2 2" xfId="36201" xr:uid="{00000000-0005-0000-0000-00008E900000}"/>
    <cellStyle name="Uwaga 2 6 2 2 10" xfId="36202" xr:uid="{00000000-0005-0000-0000-00008F900000}"/>
    <cellStyle name="Uwaga 2 6 2 2 10 2" xfId="36203" xr:uid="{00000000-0005-0000-0000-000090900000}"/>
    <cellStyle name="Uwaga 2 6 2 2 10 2 2" xfId="36204" xr:uid="{00000000-0005-0000-0000-000091900000}"/>
    <cellStyle name="Uwaga 2 6 2 2 10 3" xfId="36205" xr:uid="{00000000-0005-0000-0000-000092900000}"/>
    <cellStyle name="Uwaga 2 6 2 2 11" xfId="36206" xr:uid="{00000000-0005-0000-0000-000093900000}"/>
    <cellStyle name="Uwaga 2 6 2 2 11 2" xfId="36207" xr:uid="{00000000-0005-0000-0000-000094900000}"/>
    <cellStyle name="Uwaga 2 6 2 2 12" xfId="36208" xr:uid="{00000000-0005-0000-0000-000095900000}"/>
    <cellStyle name="Uwaga 2 6 2 2 12 2" xfId="36209" xr:uid="{00000000-0005-0000-0000-000096900000}"/>
    <cellStyle name="Uwaga 2 6 2 2 13" xfId="36210" xr:uid="{00000000-0005-0000-0000-000097900000}"/>
    <cellStyle name="Uwaga 2 6 2 2 2" xfId="36211" xr:uid="{00000000-0005-0000-0000-000098900000}"/>
    <cellStyle name="Uwaga 2 6 2 2 2 10" xfId="36212" xr:uid="{00000000-0005-0000-0000-000099900000}"/>
    <cellStyle name="Uwaga 2 6 2 2 2 10 2" xfId="36213" xr:uid="{00000000-0005-0000-0000-00009A900000}"/>
    <cellStyle name="Uwaga 2 6 2 2 2 11" xfId="36214" xr:uid="{00000000-0005-0000-0000-00009B900000}"/>
    <cellStyle name="Uwaga 2 6 2 2 2 11 2" xfId="36215" xr:uid="{00000000-0005-0000-0000-00009C900000}"/>
    <cellStyle name="Uwaga 2 6 2 2 2 12" xfId="36216" xr:uid="{00000000-0005-0000-0000-00009D900000}"/>
    <cellStyle name="Uwaga 2 6 2 2 2 2" xfId="36217" xr:uid="{00000000-0005-0000-0000-00009E900000}"/>
    <cellStyle name="Uwaga 2 6 2 2 2 2 10" xfId="36218" xr:uid="{00000000-0005-0000-0000-00009F900000}"/>
    <cellStyle name="Uwaga 2 6 2 2 2 2 10 2" xfId="36219" xr:uid="{00000000-0005-0000-0000-0000A0900000}"/>
    <cellStyle name="Uwaga 2 6 2 2 2 2 11" xfId="36220" xr:uid="{00000000-0005-0000-0000-0000A1900000}"/>
    <cellStyle name="Uwaga 2 6 2 2 2 2 11 2" xfId="36221" xr:uid="{00000000-0005-0000-0000-0000A2900000}"/>
    <cellStyle name="Uwaga 2 6 2 2 2 2 12" xfId="36222" xr:uid="{00000000-0005-0000-0000-0000A3900000}"/>
    <cellStyle name="Uwaga 2 6 2 2 2 2 2" xfId="36223" xr:uid="{00000000-0005-0000-0000-0000A4900000}"/>
    <cellStyle name="Uwaga 2 6 2 2 2 2 2 2" xfId="36224" xr:uid="{00000000-0005-0000-0000-0000A5900000}"/>
    <cellStyle name="Uwaga 2 6 2 2 2 2 2 2 2" xfId="36225" xr:uid="{00000000-0005-0000-0000-0000A6900000}"/>
    <cellStyle name="Uwaga 2 6 2 2 2 2 2 2 2 2" xfId="36226" xr:uid="{00000000-0005-0000-0000-0000A7900000}"/>
    <cellStyle name="Uwaga 2 6 2 2 2 2 2 2 2 2 2" xfId="36227" xr:uid="{00000000-0005-0000-0000-0000A8900000}"/>
    <cellStyle name="Uwaga 2 6 2 2 2 2 2 2 2 3" xfId="36228" xr:uid="{00000000-0005-0000-0000-0000A9900000}"/>
    <cellStyle name="Uwaga 2 6 2 2 2 2 2 2 3" xfId="36229" xr:uid="{00000000-0005-0000-0000-0000AA900000}"/>
    <cellStyle name="Uwaga 2 6 2 2 2 2 2 2 3 2" xfId="36230" xr:uid="{00000000-0005-0000-0000-0000AB900000}"/>
    <cellStyle name="Uwaga 2 6 2 2 2 2 2 2 3 2 2" xfId="36231" xr:uid="{00000000-0005-0000-0000-0000AC900000}"/>
    <cellStyle name="Uwaga 2 6 2 2 2 2 2 2 3 3" xfId="36232" xr:uid="{00000000-0005-0000-0000-0000AD900000}"/>
    <cellStyle name="Uwaga 2 6 2 2 2 2 2 2 4" xfId="36233" xr:uid="{00000000-0005-0000-0000-0000AE900000}"/>
    <cellStyle name="Uwaga 2 6 2 2 2 2 2 2 4 2" xfId="36234" xr:uid="{00000000-0005-0000-0000-0000AF900000}"/>
    <cellStyle name="Uwaga 2 6 2 2 2 2 2 2 4 2 2" xfId="36235" xr:uid="{00000000-0005-0000-0000-0000B0900000}"/>
    <cellStyle name="Uwaga 2 6 2 2 2 2 2 2 4 3" xfId="36236" xr:uid="{00000000-0005-0000-0000-0000B1900000}"/>
    <cellStyle name="Uwaga 2 6 2 2 2 2 2 2 5" xfId="36237" xr:uid="{00000000-0005-0000-0000-0000B2900000}"/>
    <cellStyle name="Uwaga 2 6 2 2 2 2 2 2 5 2" xfId="36238" xr:uid="{00000000-0005-0000-0000-0000B3900000}"/>
    <cellStyle name="Uwaga 2 6 2 2 2 2 2 2 6" xfId="36239" xr:uid="{00000000-0005-0000-0000-0000B4900000}"/>
    <cellStyle name="Uwaga 2 6 2 2 2 2 2 2 6 2" xfId="36240" xr:uid="{00000000-0005-0000-0000-0000B5900000}"/>
    <cellStyle name="Uwaga 2 6 2 2 2 2 2 2 7" xfId="36241" xr:uid="{00000000-0005-0000-0000-0000B6900000}"/>
    <cellStyle name="Uwaga 2 6 2 2 2 2 2 3" xfId="36242" xr:uid="{00000000-0005-0000-0000-0000B7900000}"/>
    <cellStyle name="Uwaga 2 6 2 2 2 2 2 3 2" xfId="36243" xr:uid="{00000000-0005-0000-0000-0000B8900000}"/>
    <cellStyle name="Uwaga 2 6 2 2 2 2 2 3 2 2" xfId="36244" xr:uid="{00000000-0005-0000-0000-0000B9900000}"/>
    <cellStyle name="Uwaga 2 6 2 2 2 2 2 3 3" xfId="36245" xr:uid="{00000000-0005-0000-0000-0000BA900000}"/>
    <cellStyle name="Uwaga 2 6 2 2 2 2 2 4" xfId="36246" xr:uid="{00000000-0005-0000-0000-0000BB900000}"/>
    <cellStyle name="Uwaga 2 6 2 2 2 2 2 4 2" xfId="36247" xr:uid="{00000000-0005-0000-0000-0000BC900000}"/>
    <cellStyle name="Uwaga 2 6 2 2 2 2 2 4 2 2" xfId="36248" xr:uid="{00000000-0005-0000-0000-0000BD900000}"/>
    <cellStyle name="Uwaga 2 6 2 2 2 2 2 4 3" xfId="36249" xr:uid="{00000000-0005-0000-0000-0000BE900000}"/>
    <cellStyle name="Uwaga 2 6 2 2 2 2 2 5" xfId="36250" xr:uid="{00000000-0005-0000-0000-0000BF900000}"/>
    <cellStyle name="Uwaga 2 6 2 2 2 2 2 5 2" xfId="36251" xr:uid="{00000000-0005-0000-0000-0000C0900000}"/>
    <cellStyle name="Uwaga 2 6 2 2 2 2 2 5 2 2" xfId="36252" xr:uid="{00000000-0005-0000-0000-0000C1900000}"/>
    <cellStyle name="Uwaga 2 6 2 2 2 2 2 5 3" xfId="36253" xr:uid="{00000000-0005-0000-0000-0000C2900000}"/>
    <cellStyle name="Uwaga 2 6 2 2 2 2 2 6" xfId="36254" xr:uid="{00000000-0005-0000-0000-0000C3900000}"/>
    <cellStyle name="Uwaga 2 6 2 2 2 2 2 6 2" xfId="36255" xr:uid="{00000000-0005-0000-0000-0000C4900000}"/>
    <cellStyle name="Uwaga 2 6 2 2 2 2 2 7" xfId="36256" xr:uid="{00000000-0005-0000-0000-0000C5900000}"/>
    <cellStyle name="Uwaga 2 6 2 2 2 2 2 7 2" xfId="36257" xr:uid="{00000000-0005-0000-0000-0000C6900000}"/>
    <cellStyle name="Uwaga 2 6 2 2 2 2 2 8" xfId="36258" xr:uid="{00000000-0005-0000-0000-0000C7900000}"/>
    <cellStyle name="Uwaga 2 6 2 2 2 2 3" xfId="36259" xr:uid="{00000000-0005-0000-0000-0000C8900000}"/>
    <cellStyle name="Uwaga 2 6 2 2 2 2 3 2" xfId="36260" xr:uid="{00000000-0005-0000-0000-0000C9900000}"/>
    <cellStyle name="Uwaga 2 6 2 2 2 2 3 2 2" xfId="36261" xr:uid="{00000000-0005-0000-0000-0000CA900000}"/>
    <cellStyle name="Uwaga 2 6 2 2 2 2 3 3" xfId="36262" xr:uid="{00000000-0005-0000-0000-0000CB900000}"/>
    <cellStyle name="Uwaga 2 6 2 2 2 2 4" xfId="36263" xr:uid="{00000000-0005-0000-0000-0000CC900000}"/>
    <cellStyle name="Uwaga 2 6 2 2 2 2 4 2" xfId="36264" xr:uid="{00000000-0005-0000-0000-0000CD900000}"/>
    <cellStyle name="Uwaga 2 6 2 2 2 2 4 2 2" xfId="36265" xr:uid="{00000000-0005-0000-0000-0000CE900000}"/>
    <cellStyle name="Uwaga 2 6 2 2 2 2 4 3" xfId="36266" xr:uid="{00000000-0005-0000-0000-0000CF900000}"/>
    <cellStyle name="Uwaga 2 6 2 2 2 2 5" xfId="36267" xr:uid="{00000000-0005-0000-0000-0000D0900000}"/>
    <cellStyle name="Uwaga 2 6 2 2 2 2 5 2" xfId="36268" xr:uid="{00000000-0005-0000-0000-0000D1900000}"/>
    <cellStyle name="Uwaga 2 6 2 2 2 2 5 2 2" xfId="36269" xr:uid="{00000000-0005-0000-0000-0000D2900000}"/>
    <cellStyle name="Uwaga 2 6 2 2 2 2 5 3" xfId="36270" xr:uid="{00000000-0005-0000-0000-0000D3900000}"/>
    <cellStyle name="Uwaga 2 6 2 2 2 2 6" xfId="36271" xr:uid="{00000000-0005-0000-0000-0000D4900000}"/>
    <cellStyle name="Uwaga 2 6 2 2 2 2 6 2" xfId="36272" xr:uid="{00000000-0005-0000-0000-0000D5900000}"/>
    <cellStyle name="Uwaga 2 6 2 2 2 2 6 2 2" xfId="36273" xr:uid="{00000000-0005-0000-0000-0000D6900000}"/>
    <cellStyle name="Uwaga 2 6 2 2 2 2 6 3" xfId="36274" xr:uid="{00000000-0005-0000-0000-0000D7900000}"/>
    <cellStyle name="Uwaga 2 6 2 2 2 2 7" xfId="36275" xr:uid="{00000000-0005-0000-0000-0000D8900000}"/>
    <cellStyle name="Uwaga 2 6 2 2 2 2 7 2" xfId="36276" xr:uid="{00000000-0005-0000-0000-0000D9900000}"/>
    <cellStyle name="Uwaga 2 6 2 2 2 2 7 2 2" xfId="36277" xr:uid="{00000000-0005-0000-0000-0000DA900000}"/>
    <cellStyle name="Uwaga 2 6 2 2 2 2 7 2 2 2" xfId="36278" xr:uid="{00000000-0005-0000-0000-0000DB900000}"/>
    <cellStyle name="Uwaga 2 6 2 2 2 2 7 2 3" xfId="36279" xr:uid="{00000000-0005-0000-0000-0000DC900000}"/>
    <cellStyle name="Uwaga 2 6 2 2 2 2 7 3" xfId="36280" xr:uid="{00000000-0005-0000-0000-0000DD900000}"/>
    <cellStyle name="Uwaga 2 6 2 2 2 2 7 3 2" xfId="36281" xr:uid="{00000000-0005-0000-0000-0000DE900000}"/>
    <cellStyle name="Uwaga 2 6 2 2 2 2 7 3 2 2" xfId="36282" xr:uid="{00000000-0005-0000-0000-0000DF900000}"/>
    <cellStyle name="Uwaga 2 6 2 2 2 2 7 3 3" xfId="36283" xr:uid="{00000000-0005-0000-0000-0000E0900000}"/>
    <cellStyle name="Uwaga 2 6 2 2 2 2 7 4" xfId="36284" xr:uid="{00000000-0005-0000-0000-0000E1900000}"/>
    <cellStyle name="Uwaga 2 6 2 2 2 2 7 4 2" xfId="36285" xr:uid="{00000000-0005-0000-0000-0000E2900000}"/>
    <cellStyle name="Uwaga 2 6 2 2 2 2 7 4 2 2" xfId="36286" xr:uid="{00000000-0005-0000-0000-0000E3900000}"/>
    <cellStyle name="Uwaga 2 6 2 2 2 2 7 4 3" xfId="36287" xr:uid="{00000000-0005-0000-0000-0000E4900000}"/>
    <cellStyle name="Uwaga 2 6 2 2 2 2 7 5" xfId="36288" xr:uid="{00000000-0005-0000-0000-0000E5900000}"/>
    <cellStyle name="Uwaga 2 6 2 2 2 2 7 5 2" xfId="36289" xr:uid="{00000000-0005-0000-0000-0000E6900000}"/>
    <cellStyle name="Uwaga 2 6 2 2 2 2 7 6" xfId="36290" xr:uid="{00000000-0005-0000-0000-0000E7900000}"/>
    <cellStyle name="Uwaga 2 6 2 2 2 2 7 6 2" xfId="36291" xr:uid="{00000000-0005-0000-0000-0000E8900000}"/>
    <cellStyle name="Uwaga 2 6 2 2 2 2 7 7" xfId="36292" xr:uid="{00000000-0005-0000-0000-0000E9900000}"/>
    <cellStyle name="Uwaga 2 6 2 2 2 2 8" xfId="36293" xr:uid="{00000000-0005-0000-0000-0000EA900000}"/>
    <cellStyle name="Uwaga 2 6 2 2 2 2 8 2" xfId="36294" xr:uid="{00000000-0005-0000-0000-0000EB900000}"/>
    <cellStyle name="Uwaga 2 6 2 2 2 2 8 2 2" xfId="36295" xr:uid="{00000000-0005-0000-0000-0000EC900000}"/>
    <cellStyle name="Uwaga 2 6 2 2 2 2 8 3" xfId="36296" xr:uid="{00000000-0005-0000-0000-0000ED900000}"/>
    <cellStyle name="Uwaga 2 6 2 2 2 2 9" xfId="36297" xr:uid="{00000000-0005-0000-0000-0000EE900000}"/>
    <cellStyle name="Uwaga 2 6 2 2 2 2 9 2" xfId="36298" xr:uid="{00000000-0005-0000-0000-0000EF900000}"/>
    <cellStyle name="Uwaga 2 6 2 2 2 2 9 2 2" xfId="36299" xr:uid="{00000000-0005-0000-0000-0000F0900000}"/>
    <cellStyle name="Uwaga 2 6 2 2 2 2 9 3" xfId="36300" xr:uid="{00000000-0005-0000-0000-0000F1900000}"/>
    <cellStyle name="Uwaga 2 6 2 2 2 3" xfId="36301" xr:uid="{00000000-0005-0000-0000-0000F2900000}"/>
    <cellStyle name="Uwaga 2 6 2 2 2 3 2" xfId="36302" xr:uid="{00000000-0005-0000-0000-0000F3900000}"/>
    <cellStyle name="Uwaga 2 6 2 2 2 3 2 2" xfId="36303" xr:uid="{00000000-0005-0000-0000-0000F4900000}"/>
    <cellStyle name="Uwaga 2 6 2 2 2 3 2 2 2" xfId="36304" xr:uid="{00000000-0005-0000-0000-0000F5900000}"/>
    <cellStyle name="Uwaga 2 6 2 2 2 3 2 2 2 2" xfId="36305" xr:uid="{00000000-0005-0000-0000-0000F6900000}"/>
    <cellStyle name="Uwaga 2 6 2 2 2 3 2 2 3" xfId="36306" xr:uid="{00000000-0005-0000-0000-0000F7900000}"/>
    <cellStyle name="Uwaga 2 6 2 2 2 3 2 3" xfId="36307" xr:uid="{00000000-0005-0000-0000-0000F8900000}"/>
    <cellStyle name="Uwaga 2 6 2 2 2 3 2 3 2" xfId="36308" xr:uid="{00000000-0005-0000-0000-0000F9900000}"/>
    <cellStyle name="Uwaga 2 6 2 2 2 3 2 3 2 2" xfId="36309" xr:uid="{00000000-0005-0000-0000-0000FA900000}"/>
    <cellStyle name="Uwaga 2 6 2 2 2 3 2 3 3" xfId="36310" xr:uid="{00000000-0005-0000-0000-0000FB900000}"/>
    <cellStyle name="Uwaga 2 6 2 2 2 3 2 4" xfId="36311" xr:uid="{00000000-0005-0000-0000-0000FC900000}"/>
    <cellStyle name="Uwaga 2 6 2 2 2 3 2 4 2" xfId="36312" xr:uid="{00000000-0005-0000-0000-0000FD900000}"/>
    <cellStyle name="Uwaga 2 6 2 2 2 3 2 4 2 2" xfId="36313" xr:uid="{00000000-0005-0000-0000-0000FE900000}"/>
    <cellStyle name="Uwaga 2 6 2 2 2 3 2 4 3" xfId="36314" xr:uid="{00000000-0005-0000-0000-0000FF900000}"/>
    <cellStyle name="Uwaga 2 6 2 2 2 3 2 5" xfId="36315" xr:uid="{00000000-0005-0000-0000-000000910000}"/>
    <cellStyle name="Uwaga 2 6 2 2 2 3 2 5 2" xfId="36316" xr:uid="{00000000-0005-0000-0000-000001910000}"/>
    <cellStyle name="Uwaga 2 6 2 2 2 3 2 6" xfId="36317" xr:uid="{00000000-0005-0000-0000-000002910000}"/>
    <cellStyle name="Uwaga 2 6 2 2 2 3 2 6 2" xfId="36318" xr:uid="{00000000-0005-0000-0000-000003910000}"/>
    <cellStyle name="Uwaga 2 6 2 2 2 3 2 7" xfId="36319" xr:uid="{00000000-0005-0000-0000-000004910000}"/>
    <cellStyle name="Uwaga 2 6 2 2 2 3 3" xfId="36320" xr:uid="{00000000-0005-0000-0000-000005910000}"/>
    <cellStyle name="Uwaga 2 6 2 2 2 3 3 2" xfId="36321" xr:uid="{00000000-0005-0000-0000-000006910000}"/>
    <cellStyle name="Uwaga 2 6 2 2 2 3 3 2 2" xfId="36322" xr:uid="{00000000-0005-0000-0000-000007910000}"/>
    <cellStyle name="Uwaga 2 6 2 2 2 3 3 3" xfId="36323" xr:uid="{00000000-0005-0000-0000-000008910000}"/>
    <cellStyle name="Uwaga 2 6 2 2 2 3 4" xfId="36324" xr:uid="{00000000-0005-0000-0000-000009910000}"/>
    <cellStyle name="Uwaga 2 6 2 2 2 3 4 2" xfId="36325" xr:uid="{00000000-0005-0000-0000-00000A910000}"/>
    <cellStyle name="Uwaga 2 6 2 2 2 3 4 2 2" xfId="36326" xr:uid="{00000000-0005-0000-0000-00000B910000}"/>
    <cellStyle name="Uwaga 2 6 2 2 2 3 4 3" xfId="36327" xr:uid="{00000000-0005-0000-0000-00000C910000}"/>
    <cellStyle name="Uwaga 2 6 2 2 2 3 5" xfId="36328" xr:uid="{00000000-0005-0000-0000-00000D910000}"/>
    <cellStyle name="Uwaga 2 6 2 2 2 3 5 2" xfId="36329" xr:uid="{00000000-0005-0000-0000-00000E910000}"/>
    <cellStyle name="Uwaga 2 6 2 2 2 3 5 2 2" xfId="36330" xr:uid="{00000000-0005-0000-0000-00000F910000}"/>
    <cellStyle name="Uwaga 2 6 2 2 2 3 5 3" xfId="36331" xr:uid="{00000000-0005-0000-0000-000010910000}"/>
    <cellStyle name="Uwaga 2 6 2 2 2 3 6" xfId="36332" xr:uid="{00000000-0005-0000-0000-000011910000}"/>
    <cellStyle name="Uwaga 2 6 2 2 2 3 6 2" xfId="36333" xr:uid="{00000000-0005-0000-0000-000012910000}"/>
    <cellStyle name="Uwaga 2 6 2 2 2 3 7" xfId="36334" xr:uid="{00000000-0005-0000-0000-000013910000}"/>
    <cellStyle name="Uwaga 2 6 2 2 2 3 7 2" xfId="36335" xr:uid="{00000000-0005-0000-0000-000014910000}"/>
    <cellStyle name="Uwaga 2 6 2 2 2 3 8" xfId="36336" xr:uid="{00000000-0005-0000-0000-000015910000}"/>
    <cellStyle name="Uwaga 2 6 2 2 2 4" xfId="36337" xr:uid="{00000000-0005-0000-0000-000016910000}"/>
    <cellStyle name="Uwaga 2 6 2 2 2 4 2" xfId="36338" xr:uid="{00000000-0005-0000-0000-000017910000}"/>
    <cellStyle name="Uwaga 2 6 2 2 2 4 2 2" xfId="36339" xr:uid="{00000000-0005-0000-0000-000018910000}"/>
    <cellStyle name="Uwaga 2 6 2 2 2 4 3" xfId="36340" xr:uid="{00000000-0005-0000-0000-000019910000}"/>
    <cellStyle name="Uwaga 2 6 2 2 2 5" xfId="36341" xr:uid="{00000000-0005-0000-0000-00001A910000}"/>
    <cellStyle name="Uwaga 2 6 2 2 2 5 2" xfId="36342" xr:uid="{00000000-0005-0000-0000-00001B910000}"/>
    <cellStyle name="Uwaga 2 6 2 2 2 5 2 2" xfId="36343" xr:uid="{00000000-0005-0000-0000-00001C910000}"/>
    <cellStyle name="Uwaga 2 6 2 2 2 5 3" xfId="36344" xr:uid="{00000000-0005-0000-0000-00001D910000}"/>
    <cellStyle name="Uwaga 2 6 2 2 2 6" xfId="36345" xr:uid="{00000000-0005-0000-0000-00001E910000}"/>
    <cellStyle name="Uwaga 2 6 2 2 2 6 2" xfId="36346" xr:uid="{00000000-0005-0000-0000-00001F910000}"/>
    <cellStyle name="Uwaga 2 6 2 2 2 6 2 2" xfId="36347" xr:uid="{00000000-0005-0000-0000-000020910000}"/>
    <cellStyle name="Uwaga 2 6 2 2 2 6 3" xfId="36348" xr:uid="{00000000-0005-0000-0000-000021910000}"/>
    <cellStyle name="Uwaga 2 6 2 2 2 7" xfId="36349" xr:uid="{00000000-0005-0000-0000-000022910000}"/>
    <cellStyle name="Uwaga 2 6 2 2 2 7 2" xfId="36350" xr:uid="{00000000-0005-0000-0000-000023910000}"/>
    <cellStyle name="Uwaga 2 6 2 2 2 7 2 2" xfId="36351" xr:uid="{00000000-0005-0000-0000-000024910000}"/>
    <cellStyle name="Uwaga 2 6 2 2 2 7 2 2 2" xfId="36352" xr:uid="{00000000-0005-0000-0000-000025910000}"/>
    <cellStyle name="Uwaga 2 6 2 2 2 7 2 3" xfId="36353" xr:uid="{00000000-0005-0000-0000-000026910000}"/>
    <cellStyle name="Uwaga 2 6 2 2 2 7 3" xfId="36354" xr:uid="{00000000-0005-0000-0000-000027910000}"/>
    <cellStyle name="Uwaga 2 6 2 2 2 7 3 2" xfId="36355" xr:uid="{00000000-0005-0000-0000-000028910000}"/>
    <cellStyle name="Uwaga 2 6 2 2 2 7 3 2 2" xfId="36356" xr:uid="{00000000-0005-0000-0000-000029910000}"/>
    <cellStyle name="Uwaga 2 6 2 2 2 7 3 3" xfId="36357" xr:uid="{00000000-0005-0000-0000-00002A910000}"/>
    <cellStyle name="Uwaga 2 6 2 2 2 7 4" xfId="36358" xr:uid="{00000000-0005-0000-0000-00002B910000}"/>
    <cellStyle name="Uwaga 2 6 2 2 2 7 4 2" xfId="36359" xr:uid="{00000000-0005-0000-0000-00002C910000}"/>
    <cellStyle name="Uwaga 2 6 2 2 2 7 4 2 2" xfId="36360" xr:uid="{00000000-0005-0000-0000-00002D910000}"/>
    <cellStyle name="Uwaga 2 6 2 2 2 7 4 3" xfId="36361" xr:uid="{00000000-0005-0000-0000-00002E910000}"/>
    <cellStyle name="Uwaga 2 6 2 2 2 7 5" xfId="36362" xr:uid="{00000000-0005-0000-0000-00002F910000}"/>
    <cellStyle name="Uwaga 2 6 2 2 2 7 5 2" xfId="36363" xr:uid="{00000000-0005-0000-0000-000030910000}"/>
    <cellStyle name="Uwaga 2 6 2 2 2 7 6" xfId="36364" xr:uid="{00000000-0005-0000-0000-000031910000}"/>
    <cellStyle name="Uwaga 2 6 2 2 2 7 6 2" xfId="36365" xr:uid="{00000000-0005-0000-0000-000032910000}"/>
    <cellStyle name="Uwaga 2 6 2 2 2 7 7" xfId="36366" xr:uid="{00000000-0005-0000-0000-000033910000}"/>
    <cellStyle name="Uwaga 2 6 2 2 2 8" xfId="36367" xr:uid="{00000000-0005-0000-0000-000034910000}"/>
    <cellStyle name="Uwaga 2 6 2 2 2 8 2" xfId="36368" xr:uid="{00000000-0005-0000-0000-000035910000}"/>
    <cellStyle name="Uwaga 2 6 2 2 2 8 2 2" xfId="36369" xr:uid="{00000000-0005-0000-0000-000036910000}"/>
    <cellStyle name="Uwaga 2 6 2 2 2 8 3" xfId="36370" xr:uid="{00000000-0005-0000-0000-000037910000}"/>
    <cellStyle name="Uwaga 2 6 2 2 2 9" xfId="36371" xr:uid="{00000000-0005-0000-0000-000038910000}"/>
    <cellStyle name="Uwaga 2 6 2 2 2 9 2" xfId="36372" xr:uid="{00000000-0005-0000-0000-000039910000}"/>
    <cellStyle name="Uwaga 2 6 2 2 2 9 2 2" xfId="36373" xr:uid="{00000000-0005-0000-0000-00003A910000}"/>
    <cellStyle name="Uwaga 2 6 2 2 2 9 3" xfId="36374" xr:uid="{00000000-0005-0000-0000-00003B910000}"/>
    <cellStyle name="Uwaga 2 6 2 2 3" xfId="36375" xr:uid="{00000000-0005-0000-0000-00003C910000}"/>
    <cellStyle name="Uwaga 2 6 2 2 3 2" xfId="36376" xr:uid="{00000000-0005-0000-0000-00003D910000}"/>
    <cellStyle name="Uwaga 2 6 2 2 3 2 2" xfId="36377" xr:uid="{00000000-0005-0000-0000-00003E910000}"/>
    <cellStyle name="Uwaga 2 6 2 2 3 2 2 2" xfId="36378" xr:uid="{00000000-0005-0000-0000-00003F910000}"/>
    <cellStyle name="Uwaga 2 6 2 2 3 2 2 2 2" xfId="36379" xr:uid="{00000000-0005-0000-0000-000040910000}"/>
    <cellStyle name="Uwaga 2 6 2 2 3 2 2 3" xfId="36380" xr:uid="{00000000-0005-0000-0000-000041910000}"/>
    <cellStyle name="Uwaga 2 6 2 2 3 2 3" xfId="36381" xr:uid="{00000000-0005-0000-0000-000042910000}"/>
    <cellStyle name="Uwaga 2 6 2 2 3 2 3 2" xfId="36382" xr:uid="{00000000-0005-0000-0000-000043910000}"/>
    <cellStyle name="Uwaga 2 6 2 2 3 2 3 2 2" xfId="36383" xr:uid="{00000000-0005-0000-0000-000044910000}"/>
    <cellStyle name="Uwaga 2 6 2 2 3 2 3 3" xfId="36384" xr:uid="{00000000-0005-0000-0000-000045910000}"/>
    <cellStyle name="Uwaga 2 6 2 2 3 2 4" xfId="36385" xr:uid="{00000000-0005-0000-0000-000046910000}"/>
    <cellStyle name="Uwaga 2 6 2 2 3 2 4 2" xfId="36386" xr:uid="{00000000-0005-0000-0000-000047910000}"/>
    <cellStyle name="Uwaga 2 6 2 2 3 2 4 2 2" xfId="36387" xr:uid="{00000000-0005-0000-0000-000048910000}"/>
    <cellStyle name="Uwaga 2 6 2 2 3 2 4 3" xfId="36388" xr:uid="{00000000-0005-0000-0000-000049910000}"/>
    <cellStyle name="Uwaga 2 6 2 2 3 2 5" xfId="36389" xr:uid="{00000000-0005-0000-0000-00004A910000}"/>
    <cellStyle name="Uwaga 2 6 2 2 3 2 5 2" xfId="36390" xr:uid="{00000000-0005-0000-0000-00004B910000}"/>
    <cellStyle name="Uwaga 2 6 2 2 3 2 6" xfId="36391" xr:uid="{00000000-0005-0000-0000-00004C910000}"/>
    <cellStyle name="Uwaga 2 6 2 2 3 2 6 2" xfId="36392" xr:uid="{00000000-0005-0000-0000-00004D910000}"/>
    <cellStyle name="Uwaga 2 6 2 2 3 2 7" xfId="36393" xr:uid="{00000000-0005-0000-0000-00004E910000}"/>
    <cellStyle name="Uwaga 2 6 2 2 3 3" xfId="36394" xr:uid="{00000000-0005-0000-0000-00004F910000}"/>
    <cellStyle name="Uwaga 2 6 2 2 3 3 2" xfId="36395" xr:uid="{00000000-0005-0000-0000-000050910000}"/>
    <cellStyle name="Uwaga 2 6 2 2 3 3 2 2" xfId="36396" xr:uid="{00000000-0005-0000-0000-000051910000}"/>
    <cellStyle name="Uwaga 2 6 2 2 3 3 3" xfId="36397" xr:uid="{00000000-0005-0000-0000-000052910000}"/>
    <cellStyle name="Uwaga 2 6 2 2 3 4" xfId="36398" xr:uid="{00000000-0005-0000-0000-000053910000}"/>
    <cellStyle name="Uwaga 2 6 2 2 3 4 2" xfId="36399" xr:uid="{00000000-0005-0000-0000-000054910000}"/>
    <cellStyle name="Uwaga 2 6 2 2 3 4 2 2" xfId="36400" xr:uid="{00000000-0005-0000-0000-000055910000}"/>
    <cellStyle name="Uwaga 2 6 2 2 3 4 3" xfId="36401" xr:uid="{00000000-0005-0000-0000-000056910000}"/>
    <cellStyle name="Uwaga 2 6 2 2 3 5" xfId="36402" xr:uid="{00000000-0005-0000-0000-000057910000}"/>
    <cellStyle name="Uwaga 2 6 2 2 3 5 2" xfId="36403" xr:uid="{00000000-0005-0000-0000-000058910000}"/>
    <cellStyle name="Uwaga 2 6 2 2 3 5 2 2" xfId="36404" xr:uid="{00000000-0005-0000-0000-000059910000}"/>
    <cellStyle name="Uwaga 2 6 2 2 3 5 3" xfId="36405" xr:uid="{00000000-0005-0000-0000-00005A910000}"/>
    <cellStyle name="Uwaga 2 6 2 2 3 6" xfId="36406" xr:uid="{00000000-0005-0000-0000-00005B910000}"/>
    <cellStyle name="Uwaga 2 6 2 2 3 6 2" xfId="36407" xr:uid="{00000000-0005-0000-0000-00005C910000}"/>
    <cellStyle name="Uwaga 2 6 2 2 3 7" xfId="36408" xr:uid="{00000000-0005-0000-0000-00005D910000}"/>
    <cellStyle name="Uwaga 2 6 2 2 3 7 2" xfId="36409" xr:uid="{00000000-0005-0000-0000-00005E910000}"/>
    <cellStyle name="Uwaga 2 6 2 2 3 8" xfId="36410" xr:uid="{00000000-0005-0000-0000-00005F910000}"/>
    <cellStyle name="Uwaga 2 6 2 2 4" xfId="36411" xr:uid="{00000000-0005-0000-0000-000060910000}"/>
    <cellStyle name="Uwaga 2 6 2 2 4 2" xfId="36412" xr:uid="{00000000-0005-0000-0000-000061910000}"/>
    <cellStyle name="Uwaga 2 6 2 2 4 2 2" xfId="36413" xr:uid="{00000000-0005-0000-0000-000062910000}"/>
    <cellStyle name="Uwaga 2 6 2 2 4 3" xfId="36414" xr:uid="{00000000-0005-0000-0000-000063910000}"/>
    <cellStyle name="Uwaga 2 6 2 2 5" xfId="36415" xr:uid="{00000000-0005-0000-0000-000064910000}"/>
    <cellStyle name="Uwaga 2 6 2 2 5 2" xfId="36416" xr:uid="{00000000-0005-0000-0000-000065910000}"/>
    <cellStyle name="Uwaga 2 6 2 2 5 2 2" xfId="36417" xr:uid="{00000000-0005-0000-0000-000066910000}"/>
    <cellStyle name="Uwaga 2 6 2 2 5 3" xfId="36418" xr:uid="{00000000-0005-0000-0000-000067910000}"/>
    <cellStyle name="Uwaga 2 6 2 2 6" xfId="36419" xr:uid="{00000000-0005-0000-0000-000068910000}"/>
    <cellStyle name="Uwaga 2 6 2 2 6 2" xfId="36420" xr:uid="{00000000-0005-0000-0000-000069910000}"/>
    <cellStyle name="Uwaga 2 6 2 2 6 2 2" xfId="36421" xr:uid="{00000000-0005-0000-0000-00006A910000}"/>
    <cellStyle name="Uwaga 2 6 2 2 6 3" xfId="36422" xr:uid="{00000000-0005-0000-0000-00006B910000}"/>
    <cellStyle name="Uwaga 2 6 2 2 7" xfId="36423" xr:uid="{00000000-0005-0000-0000-00006C910000}"/>
    <cellStyle name="Uwaga 2 6 2 2 7 2" xfId="36424" xr:uid="{00000000-0005-0000-0000-00006D910000}"/>
    <cellStyle name="Uwaga 2 6 2 2 7 2 2" xfId="36425" xr:uid="{00000000-0005-0000-0000-00006E910000}"/>
    <cellStyle name="Uwaga 2 6 2 2 7 3" xfId="36426" xr:uid="{00000000-0005-0000-0000-00006F910000}"/>
    <cellStyle name="Uwaga 2 6 2 2 8" xfId="36427" xr:uid="{00000000-0005-0000-0000-000070910000}"/>
    <cellStyle name="Uwaga 2 6 2 2 8 2" xfId="36428" xr:uid="{00000000-0005-0000-0000-000071910000}"/>
    <cellStyle name="Uwaga 2 6 2 2 8 2 2" xfId="36429" xr:uid="{00000000-0005-0000-0000-000072910000}"/>
    <cellStyle name="Uwaga 2 6 2 2 8 2 2 2" xfId="36430" xr:uid="{00000000-0005-0000-0000-000073910000}"/>
    <cellStyle name="Uwaga 2 6 2 2 8 2 3" xfId="36431" xr:uid="{00000000-0005-0000-0000-000074910000}"/>
    <cellStyle name="Uwaga 2 6 2 2 8 3" xfId="36432" xr:uid="{00000000-0005-0000-0000-000075910000}"/>
    <cellStyle name="Uwaga 2 6 2 2 8 3 2" xfId="36433" xr:uid="{00000000-0005-0000-0000-000076910000}"/>
    <cellStyle name="Uwaga 2 6 2 2 8 3 2 2" xfId="36434" xr:uid="{00000000-0005-0000-0000-000077910000}"/>
    <cellStyle name="Uwaga 2 6 2 2 8 3 3" xfId="36435" xr:uid="{00000000-0005-0000-0000-000078910000}"/>
    <cellStyle name="Uwaga 2 6 2 2 8 4" xfId="36436" xr:uid="{00000000-0005-0000-0000-000079910000}"/>
    <cellStyle name="Uwaga 2 6 2 2 8 4 2" xfId="36437" xr:uid="{00000000-0005-0000-0000-00007A910000}"/>
    <cellStyle name="Uwaga 2 6 2 2 8 4 2 2" xfId="36438" xr:uid="{00000000-0005-0000-0000-00007B910000}"/>
    <cellStyle name="Uwaga 2 6 2 2 8 4 3" xfId="36439" xr:uid="{00000000-0005-0000-0000-00007C910000}"/>
    <cellStyle name="Uwaga 2 6 2 2 8 5" xfId="36440" xr:uid="{00000000-0005-0000-0000-00007D910000}"/>
    <cellStyle name="Uwaga 2 6 2 2 8 5 2" xfId="36441" xr:uid="{00000000-0005-0000-0000-00007E910000}"/>
    <cellStyle name="Uwaga 2 6 2 2 8 6" xfId="36442" xr:uid="{00000000-0005-0000-0000-00007F910000}"/>
    <cellStyle name="Uwaga 2 6 2 2 8 6 2" xfId="36443" xr:uid="{00000000-0005-0000-0000-000080910000}"/>
    <cellStyle name="Uwaga 2 6 2 2 8 7" xfId="36444" xr:uid="{00000000-0005-0000-0000-000081910000}"/>
    <cellStyle name="Uwaga 2 6 2 2 9" xfId="36445" xr:uid="{00000000-0005-0000-0000-000082910000}"/>
    <cellStyle name="Uwaga 2 6 2 2 9 2" xfId="36446" xr:uid="{00000000-0005-0000-0000-000083910000}"/>
    <cellStyle name="Uwaga 2 6 2 2 9 2 2" xfId="36447" xr:uid="{00000000-0005-0000-0000-000084910000}"/>
    <cellStyle name="Uwaga 2 6 2 2 9 3" xfId="36448" xr:uid="{00000000-0005-0000-0000-000085910000}"/>
    <cellStyle name="Uwaga 2 6 2 3" xfId="36449" xr:uid="{00000000-0005-0000-0000-000086910000}"/>
    <cellStyle name="Uwaga 2 6 2 3 2" xfId="36450" xr:uid="{00000000-0005-0000-0000-000087910000}"/>
    <cellStyle name="Uwaga 2 6 2 3 2 2" xfId="36451" xr:uid="{00000000-0005-0000-0000-000088910000}"/>
    <cellStyle name="Uwaga 2 6 2 3 3" xfId="36452" xr:uid="{00000000-0005-0000-0000-000089910000}"/>
    <cellStyle name="Uwaga 2 6 2 4" xfId="36453" xr:uid="{00000000-0005-0000-0000-00008A910000}"/>
    <cellStyle name="Uwaga 2 6 2 4 10" xfId="36454" xr:uid="{00000000-0005-0000-0000-00008B910000}"/>
    <cellStyle name="Uwaga 2 6 2 4 10 2" xfId="36455" xr:uid="{00000000-0005-0000-0000-00008C910000}"/>
    <cellStyle name="Uwaga 2 6 2 4 11" xfId="36456" xr:uid="{00000000-0005-0000-0000-00008D910000}"/>
    <cellStyle name="Uwaga 2 6 2 4 11 2" xfId="36457" xr:uid="{00000000-0005-0000-0000-00008E910000}"/>
    <cellStyle name="Uwaga 2 6 2 4 12" xfId="36458" xr:uid="{00000000-0005-0000-0000-00008F910000}"/>
    <cellStyle name="Uwaga 2 6 2 4 2" xfId="36459" xr:uid="{00000000-0005-0000-0000-000090910000}"/>
    <cellStyle name="Uwaga 2 6 2 4 2 2" xfId="36460" xr:uid="{00000000-0005-0000-0000-000091910000}"/>
    <cellStyle name="Uwaga 2 6 2 4 2 2 2" xfId="36461" xr:uid="{00000000-0005-0000-0000-000092910000}"/>
    <cellStyle name="Uwaga 2 6 2 4 2 2 2 2" xfId="36462" xr:uid="{00000000-0005-0000-0000-000093910000}"/>
    <cellStyle name="Uwaga 2 6 2 4 2 2 2 2 2" xfId="36463" xr:uid="{00000000-0005-0000-0000-000094910000}"/>
    <cellStyle name="Uwaga 2 6 2 4 2 2 2 3" xfId="36464" xr:uid="{00000000-0005-0000-0000-000095910000}"/>
    <cellStyle name="Uwaga 2 6 2 4 2 2 3" xfId="36465" xr:uid="{00000000-0005-0000-0000-000096910000}"/>
    <cellStyle name="Uwaga 2 6 2 4 2 2 3 2" xfId="36466" xr:uid="{00000000-0005-0000-0000-000097910000}"/>
    <cellStyle name="Uwaga 2 6 2 4 2 2 3 2 2" xfId="36467" xr:uid="{00000000-0005-0000-0000-000098910000}"/>
    <cellStyle name="Uwaga 2 6 2 4 2 2 3 3" xfId="36468" xr:uid="{00000000-0005-0000-0000-000099910000}"/>
    <cellStyle name="Uwaga 2 6 2 4 2 2 4" xfId="36469" xr:uid="{00000000-0005-0000-0000-00009A910000}"/>
    <cellStyle name="Uwaga 2 6 2 4 2 2 4 2" xfId="36470" xr:uid="{00000000-0005-0000-0000-00009B910000}"/>
    <cellStyle name="Uwaga 2 6 2 4 2 2 4 2 2" xfId="36471" xr:uid="{00000000-0005-0000-0000-00009C910000}"/>
    <cellStyle name="Uwaga 2 6 2 4 2 2 4 3" xfId="36472" xr:uid="{00000000-0005-0000-0000-00009D910000}"/>
    <cellStyle name="Uwaga 2 6 2 4 2 2 5" xfId="36473" xr:uid="{00000000-0005-0000-0000-00009E910000}"/>
    <cellStyle name="Uwaga 2 6 2 4 2 2 5 2" xfId="36474" xr:uid="{00000000-0005-0000-0000-00009F910000}"/>
    <cellStyle name="Uwaga 2 6 2 4 2 2 6" xfId="36475" xr:uid="{00000000-0005-0000-0000-0000A0910000}"/>
    <cellStyle name="Uwaga 2 6 2 4 2 2 6 2" xfId="36476" xr:uid="{00000000-0005-0000-0000-0000A1910000}"/>
    <cellStyle name="Uwaga 2 6 2 4 2 2 7" xfId="36477" xr:uid="{00000000-0005-0000-0000-0000A2910000}"/>
    <cellStyle name="Uwaga 2 6 2 4 2 3" xfId="36478" xr:uid="{00000000-0005-0000-0000-0000A3910000}"/>
    <cellStyle name="Uwaga 2 6 2 4 2 3 2" xfId="36479" xr:uid="{00000000-0005-0000-0000-0000A4910000}"/>
    <cellStyle name="Uwaga 2 6 2 4 2 3 2 2" xfId="36480" xr:uid="{00000000-0005-0000-0000-0000A5910000}"/>
    <cellStyle name="Uwaga 2 6 2 4 2 3 3" xfId="36481" xr:uid="{00000000-0005-0000-0000-0000A6910000}"/>
    <cellStyle name="Uwaga 2 6 2 4 2 4" xfId="36482" xr:uid="{00000000-0005-0000-0000-0000A7910000}"/>
    <cellStyle name="Uwaga 2 6 2 4 2 4 2" xfId="36483" xr:uid="{00000000-0005-0000-0000-0000A8910000}"/>
    <cellStyle name="Uwaga 2 6 2 4 2 4 2 2" xfId="36484" xr:uid="{00000000-0005-0000-0000-0000A9910000}"/>
    <cellStyle name="Uwaga 2 6 2 4 2 4 3" xfId="36485" xr:uid="{00000000-0005-0000-0000-0000AA910000}"/>
    <cellStyle name="Uwaga 2 6 2 4 2 5" xfId="36486" xr:uid="{00000000-0005-0000-0000-0000AB910000}"/>
    <cellStyle name="Uwaga 2 6 2 4 2 5 2" xfId="36487" xr:uid="{00000000-0005-0000-0000-0000AC910000}"/>
    <cellStyle name="Uwaga 2 6 2 4 2 5 2 2" xfId="36488" xr:uid="{00000000-0005-0000-0000-0000AD910000}"/>
    <cellStyle name="Uwaga 2 6 2 4 2 5 3" xfId="36489" xr:uid="{00000000-0005-0000-0000-0000AE910000}"/>
    <cellStyle name="Uwaga 2 6 2 4 2 6" xfId="36490" xr:uid="{00000000-0005-0000-0000-0000AF910000}"/>
    <cellStyle name="Uwaga 2 6 2 4 2 6 2" xfId="36491" xr:uid="{00000000-0005-0000-0000-0000B0910000}"/>
    <cellStyle name="Uwaga 2 6 2 4 2 7" xfId="36492" xr:uid="{00000000-0005-0000-0000-0000B1910000}"/>
    <cellStyle name="Uwaga 2 6 2 4 2 7 2" xfId="36493" xr:uid="{00000000-0005-0000-0000-0000B2910000}"/>
    <cellStyle name="Uwaga 2 6 2 4 2 8" xfId="36494" xr:uid="{00000000-0005-0000-0000-0000B3910000}"/>
    <cellStyle name="Uwaga 2 6 2 4 3" xfId="36495" xr:uid="{00000000-0005-0000-0000-0000B4910000}"/>
    <cellStyle name="Uwaga 2 6 2 4 3 2" xfId="36496" xr:uid="{00000000-0005-0000-0000-0000B5910000}"/>
    <cellStyle name="Uwaga 2 6 2 4 3 2 2" xfId="36497" xr:uid="{00000000-0005-0000-0000-0000B6910000}"/>
    <cellStyle name="Uwaga 2 6 2 4 3 3" xfId="36498" xr:uid="{00000000-0005-0000-0000-0000B7910000}"/>
    <cellStyle name="Uwaga 2 6 2 4 4" xfId="36499" xr:uid="{00000000-0005-0000-0000-0000B8910000}"/>
    <cellStyle name="Uwaga 2 6 2 4 4 2" xfId="36500" xr:uid="{00000000-0005-0000-0000-0000B9910000}"/>
    <cellStyle name="Uwaga 2 6 2 4 4 2 2" xfId="36501" xr:uid="{00000000-0005-0000-0000-0000BA910000}"/>
    <cellStyle name="Uwaga 2 6 2 4 4 3" xfId="36502" xr:uid="{00000000-0005-0000-0000-0000BB910000}"/>
    <cellStyle name="Uwaga 2 6 2 4 5" xfId="36503" xr:uid="{00000000-0005-0000-0000-0000BC910000}"/>
    <cellStyle name="Uwaga 2 6 2 4 5 2" xfId="36504" xr:uid="{00000000-0005-0000-0000-0000BD910000}"/>
    <cellStyle name="Uwaga 2 6 2 4 5 2 2" xfId="36505" xr:uid="{00000000-0005-0000-0000-0000BE910000}"/>
    <cellStyle name="Uwaga 2 6 2 4 5 3" xfId="36506" xr:uid="{00000000-0005-0000-0000-0000BF910000}"/>
    <cellStyle name="Uwaga 2 6 2 4 6" xfId="36507" xr:uid="{00000000-0005-0000-0000-0000C0910000}"/>
    <cellStyle name="Uwaga 2 6 2 4 6 2" xfId="36508" xr:uid="{00000000-0005-0000-0000-0000C1910000}"/>
    <cellStyle name="Uwaga 2 6 2 4 6 2 2" xfId="36509" xr:uid="{00000000-0005-0000-0000-0000C2910000}"/>
    <cellStyle name="Uwaga 2 6 2 4 6 3" xfId="36510" xr:uid="{00000000-0005-0000-0000-0000C3910000}"/>
    <cellStyle name="Uwaga 2 6 2 4 7" xfId="36511" xr:uid="{00000000-0005-0000-0000-0000C4910000}"/>
    <cellStyle name="Uwaga 2 6 2 4 7 2" xfId="36512" xr:uid="{00000000-0005-0000-0000-0000C5910000}"/>
    <cellStyle name="Uwaga 2 6 2 4 7 2 2" xfId="36513" xr:uid="{00000000-0005-0000-0000-0000C6910000}"/>
    <cellStyle name="Uwaga 2 6 2 4 7 2 2 2" xfId="36514" xr:uid="{00000000-0005-0000-0000-0000C7910000}"/>
    <cellStyle name="Uwaga 2 6 2 4 7 2 3" xfId="36515" xr:uid="{00000000-0005-0000-0000-0000C8910000}"/>
    <cellStyle name="Uwaga 2 6 2 4 7 3" xfId="36516" xr:uid="{00000000-0005-0000-0000-0000C9910000}"/>
    <cellStyle name="Uwaga 2 6 2 4 7 3 2" xfId="36517" xr:uid="{00000000-0005-0000-0000-0000CA910000}"/>
    <cellStyle name="Uwaga 2 6 2 4 7 3 2 2" xfId="36518" xr:uid="{00000000-0005-0000-0000-0000CB910000}"/>
    <cellStyle name="Uwaga 2 6 2 4 7 3 3" xfId="36519" xr:uid="{00000000-0005-0000-0000-0000CC910000}"/>
    <cellStyle name="Uwaga 2 6 2 4 7 4" xfId="36520" xr:uid="{00000000-0005-0000-0000-0000CD910000}"/>
    <cellStyle name="Uwaga 2 6 2 4 7 4 2" xfId="36521" xr:uid="{00000000-0005-0000-0000-0000CE910000}"/>
    <cellStyle name="Uwaga 2 6 2 4 7 4 2 2" xfId="36522" xr:uid="{00000000-0005-0000-0000-0000CF910000}"/>
    <cellStyle name="Uwaga 2 6 2 4 7 4 3" xfId="36523" xr:uid="{00000000-0005-0000-0000-0000D0910000}"/>
    <cellStyle name="Uwaga 2 6 2 4 7 5" xfId="36524" xr:uid="{00000000-0005-0000-0000-0000D1910000}"/>
    <cellStyle name="Uwaga 2 6 2 4 7 5 2" xfId="36525" xr:uid="{00000000-0005-0000-0000-0000D2910000}"/>
    <cellStyle name="Uwaga 2 6 2 4 7 6" xfId="36526" xr:uid="{00000000-0005-0000-0000-0000D3910000}"/>
    <cellStyle name="Uwaga 2 6 2 4 7 6 2" xfId="36527" xr:uid="{00000000-0005-0000-0000-0000D4910000}"/>
    <cellStyle name="Uwaga 2 6 2 4 7 7" xfId="36528" xr:uid="{00000000-0005-0000-0000-0000D5910000}"/>
    <cellStyle name="Uwaga 2 6 2 4 8" xfId="36529" xr:uid="{00000000-0005-0000-0000-0000D6910000}"/>
    <cellStyle name="Uwaga 2 6 2 4 8 2" xfId="36530" xr:uid="{00000000-0005-0000-0000-0000D7910000}"/>
    <cellStyle name="Uwaga 2 6 2 4 8 2 2" xfId="36531" xr:uid="{00000000-0005-0000-0000-0000D8910000}"/>
    <cellStyle name="Uwaga 2 6 2 4 8 3" xfId="36532" xr:uid="{00000000-0005-0000-0000-0000D9910000}"/>
    <cellStyle name="Uwaga 2 6 2 4 9" xfId="36533" xr:uid="{00000000-0005-0000-0000-0000DA910000}"/>
    <cellStyle name="Uwaga 2 6 2 4 9 2" xfId="36534" xr:uid="{00000000-0005-0000-0000-0000DB910000}"/>
    <cellStyle name="Uwaga 2 6 2 4 9 2 2" xfId="36535" xr:uid="{00000000-0005-0000-0000-0000DC910000}"/>
    <cellStyle name="Uwaga 2 6 2 4 9 3" xfId="36536" xr:uid="{00000000-0005-0000-0000-0000DD910000}"/>
    <cellStyle name="Uwaga 2 6 2 5" xfId="36537" xr:uid="{00000000-0005-0000-0000-0000DE910000}"/>
    <cellStyle name="Uwaga 2 6 2 5 2" xfId="36538" xr:uid="{00000000-0005-0000-0000-0000DF910000}"/>
    <cellStyle name="Uwaga 2 6 2 5 2 2" xfId="36539" xr:uid="{00000000-0005-0000-0000-0000E0910000}"/>
    <cellStyle name="Uwaga 2 6 2 5 2 2 2" xfId="36540" xr:uid="{00000000-0005-0000-0000-0000E1910000}"/>
    <cellStyle name="Uwaga 2 6 2 5 2 2 2 2" xfId="36541" xr:uid="{00000000-0005-0000-0000-0000E2910000}"/>
    <cellStyle name="Uwaga 2 6 2 5 2 2 3" xfId="36542" xr:uid="{00000000-0005-0000-0000-0000E3910000}"/>
    <cellStyle name="Uwaga 2 6 2 5 2 3" xfId="36543" xr:uid="{00000000-0005-0000-0000-0000E4910000}"/>
    <cellStyle name="Uwaga 2 6 2 5 2 3 2" xfId="36544" xr:uid="{00000000-0005-0000-0000-0000E5910000}"/>
    <cellStyle name="Uwaga 2 6 2 5 2 3 2 2" xfId="36545" xr:uid="{00000000-0005-0000-0000-0000E6910000}"/>
    <cellStyle name="Uwaga 2 6 2 5 2 3 3" xfId="36546" xr:uid="{00000000-0005-0000-0000-0000E7910000}"/>
    <cellStyle name="Uwaga 2 6 2 5 2 4" xfId="36547" xr:uid="{00000000-0005-0000-0000-0000E8910000}"/>
    <cellStyle name="Uwaga 2 6 2 5 2 4 2" xfId="36548" xr:uid="{00000000-0005-0000-0000-0000E9910000}"/>
    <cellStyle name="Uwaga 2 6 2 5 2 4 2 2" xfId="36549" xr:uid="{00000000-0005-0000-0000-0000EA910000}"/>
    <cellStyle name="Uwaga 2 6 2 5 2 4 3" xfId="36550" xr:uid="{00000000-0005-0000-0000-0000EB910000}"/>
    <cellStyle name="Uwaga 2 6 2 5 2 5" xfId="36551" xr:uid="{00000000-0005-0000-0000-0000EC910000}"/>
    <cellStyle name="Uwaga 2 6 2 5 2 5 2" xfId="36552" xr:uid="{00000000-0005-0000-0000-0000ED910000}"/>
    <cellStyle name="Uwaga 2 6 2 5 2 6" xfId="36553" xr:uid="{00000000-0005-0000-0000-0000EE910000}"/>
    <cellStyle name="Uwaga 2 6 2 5 2 6 2" xfId="36554" xr:uid="{00000000-0005-0000-0000-0000EF910000}"/>
    <cellStyle name="Uwaga 2 6 2 5 2 7" xfId="36555" xr:uid="{00000000-0005-0000-0000-0000F0910000}"/>
    <cellStyle name="Uwaga 2 6 2 5 3" xfId="36556" xr:uid="{00000000-0005-0000-0000-0000F1910000}"/>
    <cellStyle name="Uwaga 2 6 2 5 3 2" xfId="36557" xr:uid="{00000000-0005-0000-0000-0000F2910000}"/>
    <cellStyle name="Uwaga 2 6 2 5 3 2 2" xfId="36558" xr:uid="{00000000-0005-0000-0000-0000F3910000}"/>
    <cellStyle name="Uwaga 2 6 2 5 3 3" xfId="36559" xr:uid="{00000000-0005-0000-0000-0000F4910000}"/>
    <cellStyle name="Uwaga 2 6 2 5 4" xfId="36560" xr:uid="{00000000-0005-0000-0000-0000F5910000}"/>
    <cellStyle name="Uwaga 2 6 2 5 4 2" xfId="36561" xr:uid="{00000000-0005-0000-0000-0000F6910000}"/>
    <cellStyle name="Uwaga 2 6 2 5 4 2 2" xfId="36562" xr:uid="{00000000-0005-0000-0000-0000F7910000}"/>
    <cellStyle name="Uwaga 2 6 2 5 4 3" xfId="36563" xr:uid="{00000000-0005-0000-0000-0000F8910000}"/>
    <cellStyle name="Uwaga 2 6 2 5 5" xfId="36564" xr:uid="{00000000-0005-0000-0000-0000F9910000}"/>
    <cellStyle name="Uwaga 2 6 2 5 5 2" xfId="36565" xr:uid="{00000000-0005-0000-0000-0000FA910000}"/>
    <cellStyle name="Uwaga 2 6 2 5 5 2 2" xfId="36566" xr:uid="{00000000-0005-0000-0000-0000FB910000}"/>
    <cellStyle name="Uwaga 2 6 2 5 5 3" xfId="36567" xr:uid="{00000000-0005-0000-0000-0000FC910000}"/>
    <cellStyle name="Uwaga 2 6 2 5 6" xfId="36568" xr:uid="{00000000-0005-0000-0000-0000FD910000}"/>
    <cellStyle name="Uwaga 2 6 2 5 6 2" xfId="36569" xr:uid="{00000000-0005-0000-0000-0000FE910000}"/>
    <cellStyle name="Uwaga 2 6 2 5 7" xfId="36570" xr:uid="{00000000-0005-0000-0000-0000FF910000}"/>
    <cellStyle name="Uwaga 2 6 2 5 7 2" xfId="36571" xr:uid="{00000000-0005-0000-0000-000000920000}"/>
    <cellStyle name="Uwaga 2 6 2 5 8" xfId="36572" xr:uid="{00000000-0005-0000-0000-000001920000}"/>
    <cellStyle name="Uwaga 2 6 2 6" xfId="36573" xr:uid="{00000000-0005-0000-0000-000002920000}"/>
    <cellStyle name="Uwaga 2 6 2 6 2" xfId="36574" xr:uid="{00000000-0005-0000-0000-000003920000}"/>
    <cellStyle name="Uwaga 2 6 2 6 2 2" xfId="36575" xr:uid="{00000000-0005-0000-0000-000004920000}"/>
    <cellStyle name="Uwaga 2 6 2 6 3" xfId="36576" xr:uid="{00000000-0005-0000-0000-000005920000}"/>
    <cellStyle name="Uwaga 2 6 2 7" xfId="36577" xr:uid="{00000000-0005-0000-0000-000006920000}"/>
    <cellStyle name="Uwaga 2 6 2 7 2" xfId="36578" xr:uid="{00000000-0005-0000-0000-000007920000}"/>
    <cellStyle name="Uwaga 2 6 2 7 2 2" xfId="36579" xr:uid="{00000000-0005-0000-0000-000008920000}"/>
    <cellStyle name="Uwaga 2 6 2 7 3" xfId="36580" xr:uid="{00000000-0005-0000-0000-000009920000}"/>
    <cellStyle name="Uwaga 2 6 2 8" xfId="36581" xr:uid="{00000000-0005-0000-0000-00000A920000}"/>
    <cellStyle name="Uwaga 2 6 2 8 2" xfId="36582" xr:uid="{00000000-0005-0000-0000-00000B920000}"/>
    <cellStyle name="Uwaga 2 6 2 8 2 2" xfId="36583" xr:uid="{00000000-0005-0000-0000-00000C920000}"/>
    <cellStyle name="Uwaga 2 6 2 8 3" xfId="36584" xr:uid="{00000000-0005-0000-0000-00000D920000}"/>
    <cellStyle name="Uwaga 2 6 2 9" xfId="36585" xr:uid="{00000000-0005-0000-0000-00000E920000}"/>
    <cellStyle name="Uwaga 2 6 2 9 2" xfId="36586" xr:uid="{00000000-0005-0000-0000-00000F920000}"/>
    <cellStyle name="Uwaga 2 6 2 9 2 2" xfId="36587" xr:uid="{00000000-0005-0000-0000-000010920000}"/>
    <cellStyle name="Uwaga 2 6 2 9 2 2 2" xfId="36588" xr:uid="{00000000-0005-0000-0000-000011920000}"/>
    <cellStyle name="Uwaga 2 6 2 9 2 3" xfId="36589" xr:uid="{00000000-0005-0000-0000-000012920000}"/>
    <cellStyle name="Uwaga 2 6 2 9 3" xfId="36590" xr:uid="{00000000-0005-0000-0000-000013920000}"/>
    <cellStyle name="Uwaga 2 6 2 9 3 2" xfId="36591" xr:uid="{00000000-0005-0000-0000-000014920000}"/>
    <cellStyle name="Uwaga 2 6 2 9 3 2 2" xfId="36592" xr:uid="{00000000-0005-0000-0000-000015920000}"/>
    <cellStyle name="Uwaga 2 6 2 9 3 3" xfId="36593" xr:uid="{00000000-0005-0000-0000-000016920000}"/>
    <cellStyle name="Uwaga 2 6 2 9 4" xfId="36594" xr:uid="{00000000-0005-0000-0000-000017920000}"/>
    <cellStyle name="Uwaga 2 6 2 9 4 2" xfId="36595" xr:uid="{00000000-0005-0000-0000-000018920000}"/>
    <cellStyle name="Uwaga 2 6 2 9 4 2 2" xfId="36596" xr:uid="{00000000-0005-0000-0000-000019920000}"/>
    <cellStyle name="Uwaga 2 6 2 9 4 3" xfId="36597" xr:uid="{00000000-0005-0000-0000-00001A920000}"/>
    <cellStyle name="Uwaga 2 6 2 9 5" xfId="36598" xr:uid="{00000000-0005-0000-0000-00001B920000}"/>
    <cellStyle name="Uwaga 2 6 2 9 5 2" xfId="36599" xr:uid="{00000000-0005-0000-0000-00001C920000}"/>
    <cellStyle name="Uwaga 2 6 2 9 6" xfId="36600" xr:uid="{00000000-0005-0000-0000-00001D920000}"/>
    <cellStyle name="Uwaga 2 6 2 9 6 2" xfId="36601" xr:uid="{00000000-0005-0000-0000-00001E920000}"/>
    <cellStyle name="Uwaga 2 6 2 9 7" xfId="36602" xr:uid="{00000000-0005-0000-0000-00001F920000}"/>
    <cellStyle name="Uwaga 2 6 3" xfId="36603" xr:uid="{00000000-0005-0000-0000-000020920000}"/>
    <cellStyle name="Uwaga 2 6 3 10" xfId="36604" xr:uid="{00000000-0005-0000-0000-000021920000}"/>
    <cellStyle name="Uwaga 2 6 3 10 2" xfId="36605" xr:uid="{00000000-0005-0000-0000-000022920000}"/>
    <cellStyle name="Uwaga 2 6 3 10 2 2" xfId="36606" xr:uid="{00000000-0005-0000-0000-000023920000}"/>
    <cellStyle name="Uwaga 2 6 3 10 3" xfId="36607" xr:uid="{00000000-0005-0000-0000-000024920000}"/>
    <cellStyle name="Uwaga 2 6 3 11" xfId="36608" xr:uid="{00000000-0005-0000-0000-000025920000}"/>
    <cellStyle name="Uwaga 2 6 3 11 2" xfId="36609" xr:uid="{00000000-0005-0000-0000-000026920000}"/>
    <cellStyle name="Uwaga 2 6 3 12" xfId="36610" xr:uid="{00000000-0005-0000-0000-000027920000}"/>
    <cellStyle name="Uwaga 2 6 3 12 2" xfId="36611" xr:uid="{00000000-0005-0000-0000-000028920000}"/>
    <cellStyle name="Uwaga 2 6 3 13" xfId="36612" xr:uid="{00000000-0005-0000-0000-000029920000}"/>
    <cellStyle name="Uwaga 2 6 3 2" xfId="36613" xr:uid="{00000000-0005-0000-0000-00002A920000}"/>
    <cellStyle name="Uwaga 2 6 3 2 10" xfId="36614" xr:uid="{00000000-0005-0000-0000-00002B920000}"/>
    <cellStyle name="Uwaga 2 6 3 2 10 2" xfId="36615" xr:uid="{00000000-0005-0000-0000-00002C920000}"/>
    <cellStyle name="Uwaga 2 6 3 2 11" xfId="36616" xr:uid="{00000000-0005-0000-0000-00002D920000}"/>
    <cellStyle name="Uwaga 2 6 3 2 11 2" xfId="36617" xr:uid="{00000000-0005-0000-0000-00002E920000}"/>
    <cellStyle name="Uwaga 2 6 3 2 12" xfId="36618" xr:uid="{00000000-0005-0000-0000-00002F920000}"/>
    <cellStyle name="Uwaga 2 6 3 2 2" xfId="36619" xr:uid="{00000000-0005-0000-0000-000030920000}"/>
    <cellStyle name="Uwaga 2 6 3 2 2 10" xfId="36620" xr:uid="{00000000-0005-0000-0000-000031920000}"/>
    <cellStyle name="Uwaga 2 6 3 2 2 10 2" xfId="36621" xr:uid="{00000000-0005-0000-0000-000032920000}"/>
    <cellStyle name="Uwaga 2 6 3 2 2 11" xfId="36622" xr:uid="{00000000-0005-0000-0000-000033920000}"/>
    <cellStyle name="Uwaga 2 6 3 2 2 11 2" xfId="36623" xr:uid="{00000000-0005-0000-0000-000034920000}"/>
    <cellStyle name="Uwaga 2 6 3 2 2 12" xfId="36624" xr:uid="{00000000-0005-0000-0000-000035920000}"/>
    <cellStyle name="Uwaga 2 6 3 2 2 2" xfId="36625" xr:uid="{00000000-0005-0000-0000-000036920000}"/>
    <cellStyle name="Uwaga 2 6 3 2 2 2 2" xfId="36626" xr:uid="{00000000-0005-0000-0000-000037920000}"/>
    <cellStyle name="Uwaga 2 6 3 2 2 2 2 2" xfId="36627" xr:uid="{00000000-0005-0000-0000-000038920000}"/>
    <cellStyle name="Uwaga 2 6 3 2 2 2 2 2 2" xfId="36628" xr:uid="{00000000-0005-0000-0000-000039920000}"/>
    <cellStyle name="Uwaga 2 6 3 2 2 2 2 2 2 2" xfId="36629" xr:uid="{00000000-0005-0000-0000-00003A920000}"/>
    <cellStyle name="Uwaga 2 6 3 2 2 2 2 2 3" xfId="36630" xr:uid="{00000000-0005-0000-0000-00003B920000}"/>
    <cellStyle name="Uwaga 2 6 3 2 2 2 2 3" xfId="36631" xr:uid="{00000000-0005-0000-0000-00003C920000}"/>
    <cellStyle name="Uwaga 2 6 3 2 2 2 2 3 2" xfId="36632" xr:uid="{00000000-0005-0000-0000-00003D920000}"/>
    <cellStyle name="Uwaga 2 6 3 2 2 2 2 3 2 2" xfId="36633" xr:uid="{00000000-0005-0000-0000-00003E920000}"/>
    <cellStyle name="Uwaga 2 6 3 2 2 2 2 3 3" xfId="36634" xr:uid="{00000000-0005-0000-0000-00003F920000}"/>
    <cellStyle name="Uwaga 2 6 3 2 2 2 2 4" xfId="36635" xr:uid="{00000000-0005-0000-0000-000040920000}"/>
    <cellStyle name="Uwaga 2 6 3 2 2 2 2 4 2" xfId="36636" xr:uid="{00000000-0005-0000-0000-000041920000}"/>
    <cellStyle name="Uwaga 2 6 3 2 2 2 2 4 2 2" xfId="36637" xr:uid="{00000000-0005-0000-0000-000042920000}"/>
    <cellStyle name="Uwaga 2 6 3 2 2 2 2 4 3" xfId="36638" xr:uid="{00000000-0005-0000-0000-000043920000}"/>
    <cellStyle name="Uwaga 2 6 3 2 2 2 2 5" xfId="36639" xr:uid="{00000000-0005-0000-0000-000044920000}"/>
    <cellStyle name="Uwaga 2 6 3 2 2 2 2 5 2" xfId="36640" xr:uid="{00000000-0005-0000-0000-000045920000}"/>
    <cellStyle name="Uwaga 2 6 3 2 2 2 2 6" xfId="36641" xr:uid="{00000000-0005-0000-0000-000046920000}"/>
    <cellStyle name="Uwaga 2 6 3 2 2 2 2 6 2" xfId="36642" xr:uid="{00000000-0005-0000-0000-000047920000}"/>
    <cellStyle name="Uwaga 2 6 3 2 2 2 2 7" xfId="36643" xr:uid="{00000000-0005-0000-0000-000048920000}"/>
    <cellStyle name="Uwaga 2 6 3 2 2 2 3" xfId="36644" xr:uid="{00000000-0005-0000-0000-000049920000}"/>
    <cellStyle name="Uwaga 2 6 3 2 2 2 3 2" xfId="36645" xr:uid="{00000000-0005-0000-0000-00004A920000}"/>
    <cellStyle name="Uwaga 2 6 3 2 2 2 3 2 2" xfId="36646" xr:uid="{00000000-0005-0000-0000-00004B920000}"/>
    <cellStyle name="Uwaga 2 6 3 2 2 2 3 3" xfId="36647" xr:uid="{00000000-0005-0000-0000-00004C920000}"/>
    <cellStyle name="Uwaga 2 6 3 2 2 2 4" xfId="36648" xr:uid="{00000000-0005-0000-0000-00004D920000}"/>
    <cellStyle name="Uwaga 2 6 3 2 2 2 4 2" xfId="36649" xr:uid="{00000000-0005-0000-0000-00004E920000}"/>
    <cellStyle name="Uwaga 2 6 3 2 2 2 4 2 2" xfId="36650" xr:uid="{00000000-0005-0000-0000-00004F920000}"/>
    <cellStyle name="Uwaga 2 6 3 2 2 2 4 3" xfId="36651" xr:uid="{00000000-0005-0000-0000-000050920000}"/>
    <cellStyle name="Uwaga 2 6 3 2 2 2 5" xfId="36652" xr:uid="{00000000-0005-0000-0000-000051920000}"/>
    <cellStyle name="Uwaga 2 6 3 2 2 2 5 2" xfId="36653" xr:uid="{00000000-0005-0000-0000-000052920000}"/>
    <cellStyle name="Uwaga 2 6 3 2 2 2 5 2 2" xfId="36654" xr:uid="{00000000-0005-0000-0000-000053920000}"/>
    <cellStyle name="Uwaga 2 6 3 2 2 2 5 3" xfId="36655" xr:uid="{00000000-0005-0000-0000-000054920000}"/>
    <cellStyle name="Uwaga 2 6 3 2 2 2 6" xfId="36656" xr:uid="{00000000-0005-0000-0000-000055920000}"/>
    <cellStyle name="Uwaga 2 6 3 2 2 2 6 2" xfId="36657" xr:uid="{00000000-0005-0000-0000-000056920000}"/>
    <cellStyle name="Uwaga 2 6 3 2 2 2 7" xfId="36658" xr:uid="{00000000-0005-0000-0000-000057920000}"/>
    <cellStyle name="Uwaga 2 6 3 2 2 2 7 2" xfId="36659" xr:uid="{00000000-0005-0000-0000-000058920000}"/>
    <cellStyle name="Uwaga 2 6 3 2 2 2 8" xfId="36660" xr:uid="{00000000-0005-0000-0000-000059920000}"/>
    <cellStyle name="Uwaga 2 6 3 2 2 3" xfId="36661" xr:uid="{00000000-0005-0000-0000-00005A920000}"/>
    <cellStyle name="Uwaga 2 6 3 2 2 3 2" xfId="36662" xr:uid="{00000000-0005-0000-0000-00005B920000}"/>
    <cellStyle name="Uwaga 2 6 3 2 2 3 2 2" xfId="36663" xr:uid="{00000000-0005-0000-0000-00005C920000}"/>
    <cellStyle name="Uwaga 2 6 3 2 2 3 3" xfId="36664" xr:uid="{00000000-0005-0000-0000-00005D920000}"/>
    <cellStyle name="Uwaga 2 6 3 2 2 4" xfId="36665" xr:uid="{00000000-0005-0000-0000-00005E920000}"/>
    <cellStyle name="Uwaga 2 6 3 2 2 4 2" xfId="36666" xr:uid="{00000000-0005-0000-0000-00005F920000}"/>
    <cellStyle name="Uwaga 2 6 3 2 2 4 2 2" xfId="36667" xr:uid="{00000000-0005-0000-0000-000060920000}"/>
    <cellStyle name="Uwaga 2 6 3 2 2 4 3" xfId="36668" xr:uid="{00000000-0005-0000-0000-000061920000}"/>
    <cellStyle name="Uwaga 2 6 3 2 2 5" xfId="36669" xr:uid="{00000000-0005-0000-0000-000062920000}"/>
    <cellStyle name="Uwaga 2 6 3 2 2 5 2" xfId="36670" xr:uid="{00000000-0005-0000-0000-000063920000}"/>
    <cellStyle name="Uwaga 2 6 3 2 2 5 2 2" xfId="36671" xr:uid="{00000000-0005-0000-0000-000064920000}"/>
    <cellStyle name="Uwaga 2 6 3 2 2 5 3" xfId="36672" xr:uid="{00000000-0005-0000-0000-000065920000}"/>
    <cellStyle name="Uwaga 2 6 3 2 2 6" xfId="36673" xr:uid="{00000000-0005-0000-0000-000066920000}"/>
    <cellStyle name="Uwaga 2 6 3 2 2 6 2" xfId="36674" xr:uid="{00000000-0005-0000-0000-000067920000}"/>
    <cellStyle name="Uwaga 2 6 3 2 2 6 2 2" xfId="36675" xr:uid="{00000000-0005-0000-0000-000068920000}"/>
    <cellStyle name="Uwaga 2 6 3 2 2 6 3" xfId="36676" xr:uid="{00000000-0005-0000-0000-000069920000}"/>
    <cellStyle name="Uwaga 2 6 3 2 2 7" xfId="36677" xr:uid="{00000000-0005-0000-0000-00006A920000}"/>
    <cellStyle name="Uwaga 2 6 3 2 2 7 2" xfId="36678" xr:uid="{00000000-0005-0000-0000-00006B920000}"/>
    <cellStyle name="Uwaga 2 6 3 2 2 7 2 2" xfId="36679" xr:uid="{00000000-0005-0000-0000-00006C920000}"/>
    <cellStyle name="Uwaga 2 6 3 2 2 7 2 2 2" xfId="36680" xr:uid="{00000000-0005-0000-0000-00006D920000}"/>
    <cellStyle name="Uwaga 2 6 3 2 2 7 2 3" xfId="36681" xr:uid="{00000000-0005-0000-0000-00006E920000}"/>
    <cellStyle name="Uwaga 2 6 3 2 2 7 3" xfId="36682" xr:uid="{00000000-0005-0000-0000-00006F920000}"/>
    <cellStyle name="Uwaga 2 6 3 2 2 7 3 2" xfId="36683" xr:uid="{00000000-0005-0000-0000-000070920000}"/>
    <cellStyle name="Uwaga 2 6 3 2 2 7 3 2 2" xfId="36684" xr:uid="{00000000-0005-0000-0000-000071920000}"/>
    <cellStyle name="Uwaga 2 6 3 2 2 7 3 3" xfId="36685" xr:uid="{00000000-0005-0000-0000-000072920000}"/>
    <cellStyle name="Uwaga 2 6 3 2 2 7 4" xfId="36686" xr:uid="{00000000-0005-0000-0000-000073920000}"/>
    <cellStyle name="Uwaga 2 6 3 2 2 7 4 2" xfId="36687" xr:uid="{00000000-0005-0000-0000-000074920000}"/>
    <cellStyle name="Uwaga 2 6 3 2 2 7 4 2 2" xfId="36688" xr:uid="{00000000-0005-0000-0000-000075920000}"/>
    <cellStyle name="Uwaga 2 6 3 2 2 7 4 3" xfId="36689" xr:uid="{00000000-0005-0000-0000-000076920000}"/>
    <cellStyle name="Uwaga 2 6 3 2 2 7 5" xfId="36690" xr:uid="{00000000-0005-0000-0000-000077920000}"/>
    <cellStyle name="Uwaga 2 6 3 2 2 7 5 2" xfId="36691" xr:uid="{00000000-0005-0000-0000-000078920000}"/>
    <cellStyle name="Uwaga 2 6 3 2 2 7 6" xfId="36692" xr:uid="{00000000-0005-0000-0000-000079920000}"/>
    <cellStyle name="Uwaga 2 6 3 2 2 7 6 2" xfId="36693" xr:uid="{00000000-0005-0000-0000-00007A920000}"/>
    <cellStyle name="Uwaga 2 6 3 2 2 7 7" xfId="36694" xr:uid="{00000000-0005-0000-0000-00007B920000}"/>
    <cellStyle name="Uwaga 2 6 3 2 2 8" xfId="36695" xr:uid="{00000000-0005-0000-0000-00007C920000}"/>
    <cellStyle name="Uwaga 2 6 3 2 2 8 2" xfId="36696" xr:uid="{00000000-0005-0000-0000-00007D920000}"/>
    <cellStyle name="Uwaga 2 6 3 2 2 8 2 2" xfId="36697" xr:uid="{00000000-0005-0000-0000-00007E920000}"/>
    <cellStyle name="Uwaga 2 6 3 2 2 8 3" xfId="36698" xr:uid="{00000000-0005-0000-0000-00007F920000}"/>
    <cellStyle name="Uwaga 2 6 3 2 2 9" xfId="36699" xr:uid="{00000000-0005-0000-0000-000080920000}"/>
    <cellStyle name="Uwaga 2 6 3 2 2 9 2" xfId="36700" xr:uid="{00000000-0005-0000-0000-000081920000}"/>
    <cellStyle name="Uwaga 2 6 3 2 2 9 2 2" xfId="36701" xr:uid="{00000000-0005-0000-0000-000082920000}"/>
    <cellStyle name="Uwaga 2 6 3 2 2 9 3" xfId="36702" xr:uid="{00000000-0005-0000-0000-000083920000}"/>
    <cellStyle name="Uwaga 2 6 3 2 3" xfId="36703" xr:uid="{00000000-0005-0000-0000-000084920000}"/>
    <cellStyle name="Uwaga 2 6 3 2 3 2" xfId="36704" xr:uid="{00000000-0005-0000-0000-000085920000}"/>
    <cellStyle name="Uwaga 2 6 3 2 3 2 2" xfId="36705" xr:uid="{00000000-0005-0000-0000-000086920000}"/>
    <cellStyle name="Uwaga 2 6 3 2 3 2 2 2" xfId="36706" xr:uid="{00000000-0005-0000-0000-000087920000}"/>
    <cellStyle name="Uwaga 2 6 3 2 3 2 2 2 2" xfId="36707" xr:uid="{00000000-0005-0000-0000-000088920000}"/>
    <cellStyle name="Uwaga 2 6 3 2 3 2 2 3" xfId="36708" xr:uid="{00000000-0005-0000-0000-000089920000}"/>
    <cellStyle name="Uwaga 2 6 3 2 3 2 3" xfId="36709" xr:uid="{00000000-0005-0000-0000-00008A920000}"/>
    <cellStyle name="Uwaga 2 6 3 2 3 2 3 2" xfId="36710" xr:uid="{00000000-0005-0000-0000-00008B920000}"/>
    <cellStyle name="Uwaga 2 6 3 2 3 2 3 2 2" xfId="36711" xr:uid="{00000000-0005-0000-0000-00008C920000}"/>
    <cellStyle name="Uwaga 2 6 3 2 3 2 3 3" xfId="36712" xr:uid="{00000000-0005-0000-0000-00008D920000}"/>
    <cellStyle name="Uwaga 2 6 3 2 3 2 4" xfId="36713" xr:uid="{00000000-0005-0000-0000-00008E920000}"/>
    <cellStyle name="Uwaga 2 6 3 2 3 2 4 2" xfId="36714" xr:uid="{00000000-0005-0000-0000-00008F920000}"/>
    <cellStyle name="Uwaga 2 6 3 2 3 2 4 2 2" xfId="36715" xr:uid="{00000000-0005-0000-0000-000090920000}"/>
    <cellStyle name="Uwaga 2 6 3 2 3 2 4 3" xfId="36716" xr:uid="{00000000-0005-0000-0000-000091920000}"/>
    <cellStyle name="Uwaga 2 6 3 2 3 2 5" xfId="36717" xr:uid="{00000000-0005-0000-0000-000092920000}"/>
    <cellStyle name="Uwaga 2 6 3 2 3 2 5 2" xfId="36718" xr:uid="{00000000-0005-0000-0000-000093920000}"/>
    <cellStyle name="Uwaga 2 6 3 2 3 2 6" xfId="36719" xr:uid="{00000000-0005-0000-0000-000094920000}"/>
    <cellStyle name="Uwaga 2 6 3 2 3 2 6 2" xfId="36720" xr:uid="{00000000-0005-0000-0000-000095920000}"/>
    <cellStyle name="Uwaga 2 6 3 2 3 2 7" xfId="36721" xr:uid="{00000000-0005-0000-0000-000096920000}"/>
    <cellStyle name="Uwaga 2 6 3 2 3 3" xfId="36722" xr:uid="{00000000-0005-0000-0000-000097920000}"/>
    <cellStyle name="Uwaga 2 6 3 2 3 3 2" xfId="36723" xr:uid="{00000000-0005-0000-0000-000098920000}"/>
    <cellStyle name="Uwaga 2 6 3 2 3 3 2 2" xfId="36724" xr:uid="{00000000-0005-0000-0000-000099920000}"/>
    <cellStyle name="Uwaga 2 6 3 2 3 3 3" xfId="36725" xr:uid="{00000000-0005-0000-0000-00009A920000}"/>
    <cellStyle name="Uwaga 2 6 3 2 3 4" xfId="36726" xr:uid="{00000000-0005-0000-0000-00009B920000}"/>
    <cellStyle name="Uwaga 2 6 3 2 3 4 2" xfId="36727" xr:uid="{00000000-0005-0000-0000-00009C920000}"/>
    <cellStyle name="Uwaga 2 6 3 2 3 4 2 2" xfId="36728" xr:uid="{00000000-0005-0000-0000-00009D920000}"/>
    <cellStyle name="Uwaga 2 6 3 2 3 4 3" xfId="36729" xr:uid="{00000000-0005-0000-0000-00009E920000}"/>
    <cellStyle name="Uwaga 2 6 3 2 3 5" xfId="36730" xr:uid="{00000000-0005-0000-0000-00009F920000}"/>
    <cellStyle name="Uwaga 2 6 3 2 3 5 2" xfId="36731" xr:uid="{00000000-0005-0000-0000-0000A0920000}"/>
    <cellStyle name="Uwaga 2 6 3 2 3 5 2 2" xfId="36732" xr:uid="{00000000-0005-0000-0000-0000A1920000}"/>
    <cellStyle name="Uwaga 2 6 3 2 3 5 3" xfId="36733" xr:uid="{00000000-0005-0000-0000-0000A2920000}"/>
    <cellStyle name="Uwaga 2 6 3 2 3 6" xfId="36734" xr:uid="{00000000-0005-0000-0000-0000A3920000}"/>
    <cellStyle name="Uwaga 2 6 3 2 3 6 2" xfId="36735" xr:uid="{00000000-0005-0000-0000-0000A4920000}"/>
    <cellStyle name="Uwaga 2 6 3 2 3 7" xfId="36736" xr:uid="{00000000-0005-0000-0000-0000A5920000}"/>
    <cellStyle name="Uwaga 2 6 3 2 3 7 2" xfId="36737" xr:uid="{00000000-0005-0000-0000-0000A6920000}"/>
    <cellStyle name="Uwaga 2 6 3 2 3 8" xfId="36738" xr:uid="{00000000-0005-0000-0000-0000A7920000}"/>
    <cellStyle name="Uwaga 2 6 3 2 4" xfId="36739" xr:uid="{00000000-0005-0000-0000-0000A8920000}"/>
    <cellStyle name="Uwaga 2 6 3 2 4 2" xfId="36740" xr:uid="{00000000-0005-0000-0000-0000A9920000}"/>
    <cellStyle name="Uwaga 2 6 3 2 4 2 2" xfId="36741" xr:uid="{00000000-0005-0000-0000-0000AA920000}"/>
    <cellStyle name="Uwaga 2 6 3 2 4 3" xfId="36742" xr:uid="{00000000-0005-0000-0000-0000AB920000}"/>
    <cellStyle name="Uwaga 2 6 3 2 5" xfId="36743" xr:uid="{00000000-0005-0000-0000-0000AC920000}"/>
    <cellStyle name="Uwaga 2 6 3 2 5 2" xfId="36744" xr:uid="{00000000-0005-0000-0000-0000AD920000}"/>
    <cellStyle name="Uwaga 2 6 3 2 5 2 2" xfId="36745" xr:uid="{00000000-0005-0000-0000-0000AE920000}"/>
    <cellStyle name="Uwaga 2 6 3 2 5 3" xfId="36746" xr:uid="{00000000-0005-0000-0000-0000AF920000}"/>
    <cellStyle name="Uwaga 2 6 3 2 6" xfId="36747" xr:uid="{00000000-0005-0000-0000-0000B0920000}"/>
    <cellStyle name="Uwaga 2 6 3 2 6 2" xfId="36748" xr:uid="{00000000-0005-0000-0000-0000B1920000}"/>
    <cellStyle name="Uwaga 2 6 3 2 6 2 2" xfId="36749" xr:uid="{00000000-0005-0000-0000-0000B2920000}"/>
    <cellStyle name="Uwaga 2 6 3 2 6 3" xfId="36750" xr:uid="{00000000-0005-0000-0000-0000B3920000}"/>
    <cellStyle name="Uwaga 2 6 3 2 7" xfId="36751" xr:uid="{00000000-0005-0000-0000-0000B4920000}"/>
    <cellStyle name="Uwaga 2 6 3 2 7 2" xfId="36752" xr:uid="{00000000-0005-0000-0000-0000B5920000}"/>
    <cellStyle name="Uwaga 2 6 3 2 7 2 2" xfId="36753" xr:uid="{00000000-0005-0000-0000-0000B6920000}"/>
    <cellStyle name="Uwaga 2 6 3 2 7 2 2 2" xfId="36754" xr:uid="{00000000-0005-0000-0000-0000B7920000}"/>
    <cellStyle name="Uwaga 2 6 3 2 7 2 3" xfId="36755" xr:uid="{00000000-0005-0000-0000-0000B8920000}"/>
    <cellStyle name="Uwaga 2 6 3 2 7 3" xfId="36756" xr:uid="{00000000-0005-0000-0000-0000B9920000}"/>
    <cellStyle name="Uwaga 2 6 3 2 7 3 2" xfId="36757" xr:uid="{00000000-0005-0000-0000-0000BA920000}"/>
    <cellStyle name="Uwaga 2 6 3 2 7 3 2 2" xfId="36758" xr:uid="{00000000-0005-0000-0000-0000BB920000}"/>
    <cellStyle name="Uwaga 2 6 3 2 7 3 3" xfId="36759" xr:uid="{00000000-0005-0000-0000-0000BC920000}"/>
    <cellStyle name="Uwaga 2 6 3 2 7 4" xfId="36760" xr:uid="{00000000-0005-0000-0000-0000BD920000}"/>
    <cellStyle name="Uwaga 2 6 3 2 7 4 2" xfId="36761" xr:uid="{00000000-0005-0000-0000-0000BE920000}"/>
    <cellStyle name="Uwaga 2 6 3 2 7 4 2 2" xfId="36762" xr:uid="{00000000-0005-0000-0000-0000BF920000}"/>
    <cellStyle name="Uwaga 2 6 3 2 7 4 3" xfId="36763" xr:uid="{00000000-0005-0000-0000-0000C0920000}"/>
    <cellStyle name="Uwaga 2 6 3 2 7 5" xfId="36764" xr:uid="{00000000-0005-0000-0000-0000C1920000}"/>
    <cellStyle name="Uwaga 2 6 3 2 7 5 2" xfId="36765" xr:uid="{00000000-0005-0000-0000-0000C2920000}"/>
    <cellStyle name="Uwaga 2 6 3 2 7 6" xfId="36766" xr:uid="{00000000-0005-0000-0000-0000C3920000}"/>
    <cellStyle name="Uwaga 2 6 3 2 7 6 2" xfId="36767" xr:uid="{00000000-0005-0000-0000-0000C4920000}"/>
    <cellStyle name="Uwaga 2 6 3 2 7 7" xfId="36768" xr:uid="{00000000-0005-0000-0000-0000C5920000}"/>
    <cellStyle name="Uwaga 2 6 3 2 8" xfId="36769" xr:uid="{00000000-0005-0000-0000-0000C6920000}"/>
    <cellStyle name="Uwaga 2 6 3 2 8 2" xfId="36770" xr:uid="{00000000-0005-0000-0000-0000C7920000}"/>
    <cellStyle name="Uwaga 2 6 3 2 8 2 2" xfId="36771" xr:uid="{00000000-0005-0000-0000-0000C8920000}"/>
    <cellStyle name="Uwaga 2 6 3 2 8 3" xfId="36772" xr:uid="{00000000-0005-0000-0000-0000C9920000}"/>
    <cellStyle name="Uwaga 2 6 3 2 9" xfId="36773" xr:uid="{00000000-0005-0000-0000-0000CA920000}"/>
    <cellStyle name="Uwaga 2 6 3 2 9 2" xfId="36774" xr:uid="{00000000-0005-0000-0000-0000CB920000}"/>
    <cellStyle name="Uwaga 2 6 3 2 9 2 2" xfId="36775" xr:uid="{00000000-0005-0000-0000-0000CC920000}"/>
    <cellStyle name="Uwaga 2 6 3 2 9 3" xfId="36776" xr:uid="{00000000-0005-0000-0000-0000CD920000}"/>
    <cellStyle name="Uwaga 2 6 3 3" xfId="36777" xr:uid="{00000000-0005-0000-0000-0000CE920000}"/>
    <cellStyle name="Uwaga 2 6 3 3 2" xfId="36778" xr:uid="{00000000-0005-0000-0000-0000CF920000}"/>
    <cellStyle name="Uwaga 2 6 3 3 2 2" xfId="36779" xr:uid="{00000000-0005-0000-0000-0000D0920000}"/>
    <cellStyle name="Uwaga 2 6 3 3 2 2 2" xfId="36780" xr:uid="{00000000-0005-0000-0000-0000D1920000}"/>
    <cellStyle name="Uwaga 2 6 3 3 2 2 2 2" xfId="36781" xr:uid="{00000000-0005-0000-0000-0000D2920000}"/>
    <cellStyle name="Uwaga 2 6 3 3 2 2 3" xfId="36782" xr:uid="{00000000-0005-0000-0000-0000D3920000}"/>
    <cellStyle name="Uwaga 2 6 3 3 2 3" xfId="36783" xr:uid="{00000000-0005-0000-0000-0000D4920000}"/>
    <cellStyle name="Uwaga 2 6 3 3 2 3 2" xfId="36784" xr:uid="{00000000-0005-0000-0000-0000D5920000}"/>
    <cellStyle name="Uwaga 2 6 3 3 2 3 2 2" xfId="36785" xr:uid="{00000000-0005-0000-0000-0000D6920000}"/>
    <cellStyle name="Uwaga 2 6 3 3 2 3 3" xfId="36786" xr:uid="{00000000-0005-0000-0000-0000D7920000}"/>
    <cellStyle name="Uwaga 2 6 3 3 2 4" xfId="36787" xr:uid="{00000000-0005-0000-0000-0000D8920000}"/>
    <cellStyle name="Uwaga 2 6 3 3 2 4 2" xfId="36788" xr:uid="{00000000-0005-0000-0000-0000D9920000}"/>
    <cellStyle name="Uwaga 2 6 3 3 2 4 2 2" xfId="36789" xr:uid="{00000000-0005-0000-0000-0000DA920000}"/>
    <cellStyle name="Uwaga 2 6 3 3 2 4 3" xfId="36790" xr:uid="{00000000-0005-0000-0000-0000DB920000}"/>
    <cellStyle name="Uwaga 2 6 3 3 2 5" xfId="36791" xr:uid="{00000000-0005-0000-0000-0000DC920000}"/>
    <cellStyle name="Uwaga 2 6 3 3 2 5 2" xfId="36792" xr:uid="{00000000-0005-0000-0000-0000DD920000}"/>
    <cellStyle name="Uwaga 2 6 3 3 2 6" xfId="36793" xr:uid="{00000000-0005-0000-0000-0000DE920000}"/>
    <cellStyle name="Uwaga 2 6 3 3 2 6 2" xfId="36794" xr:uid="{00000000-0005-0000-0000-0000DF920000}"/>
    <cellStyle name="Uwaga 2 6 3 3 2 7" xfId="36795" xr:uid="{00000000-0005-0000-0000-0000E0920000}"/>
    <cellStyle name="Uwaga 2 6 3 3 3" xfId="36796" xr:uid="{00000000-0005-0000-0000-0000E1920000}"/>
    <cellStyle name="Uwaga 2 6 3 3 3 2" xfId="36797" xr:uid="{00000000-0005-0000-0000-0000E2920000}"/>
    <cellStyle name="Uwaga 2 6 3 3 3 2 2" xfId="36798" xr:uid="{00000000-0005-0000-0000-0000E3920000}"/>
    <cellStyle name="Uwaga 2 6 3 3 3 3" xfId="36799" xr:uid="{00000000-0005-0000-0000-0000E4920000}"/>
    <cellStyle name="Uwaga 2 6 3 3 4" xfId="36800" xr:uid="{00000000-0005-0000-0000-0000E5920000}"/>
    <cellStyle name="Uwaga 2 6 3 3 4 2" xfId="36801" xr:uid="{00000000-0005-0000-0000-0000E6920000}"/>
    <cellStyle name="Uwaga 2 6 3 3 4 2 2" xfId="36802" xr:uid="{00000000-0005-0000-0000-0000E7920000}"/>
    <cellStyle name="Uwaga 2 6 3 3 4 3" xfId="36803" xr:uid="{00000000-0005-0000-0000-0000E8920000}"/>
    <cellStyle name="Uwaga 2 6 3 3 5" xfId="36804" xr:uid="{00000000-0005-0000-0000-0000E9920000}"/>
    <cellStyle name="Uwaga 2 6 3 3 5 2" xfId="36805" xr:uid="{00000000-0005-0000-0000-0000EA920000}"/>
    <cellStyle name="Uwaga 2 6 3 3 5 2 2" xfId="36806" xr:uid="{00000000-0005-0000-0000-0000EB920000}"/>
    <cellStyle name="Uwaga 2 6 3 3 5 3" xfId="36807" xr:uid="{00000000-0005-0000-0000-0000EC920000}"/>
    <cellStyle name="Uwaga 2 6 3 3 6" xfId="36808" xr:uid="{00000000-0005-0000-0000-0000ED920000}"/>
    <cellStyle name="Uwaga 2 6 3 3 6 2" xfId="36809" xr:uid="{00000000-0005-0000-0000-0000EE920000}"/>
    <cellStyle name="Uwaga 2 6 3 3 7" xfId="36810" xr:uid="{00000000-0005-0000-0000-0000EF920000}"/>
    <cellStyle name="Uwaga 2 6 3 3 7 2" xfId="36811" xr:uid="{00000000-0005-0000-0000-0000F0920000}"/>
    <cellStyle name="Uwaga 2 6 3 3 8" xfId="36812" xr:uid="{00000000-0005-0000-0000-0000F1920000}"/>
    <cellStyle name="Uwaga 2 6 3 4" xfId="36813" xr:uid="{00000000-0005-0000-0000-0000F2920000}"/>
    <cellStyle name="Uwaga 2 6 3 4 2" xfId="36814" xr:uid="{00000000-0005-0000-0000-0000F3920000}"/>
    <cellStyle name="Uwaga 2 6 3 4 2 2" xfId="36815" xr:uid="{00000000-0005-0000-0000-0000F4920000}"/>
    <cellStyle name="Uwaga 2 6 3 4 3" xfId="36816" xr:uid="{00000000-0005-0000-0000-0000F5920000}"/>
    <cellStyle name="Uwaga 2 6 3 5" xfId="36817" xr:uid="{00000000-0005-0000-0000-0000F6920000}"/>
    <cellStyle name="Uwaga 2 6 3 5 2" xfId="36818" xr:uid="{00000000-0005-0000-0000-0000F7920000}"/>
    <cellStyle name="Uwaga 2 6 3 5 2 2" xfId="36819" xr:uid="{00000000-0005-0000-0000-0000F8920000}"/>
    <cellStyle name="Uwaga 2 6 3 5 3" xfId="36820" xr:uid="{00000000-0005-0000-0000-0000F9920000}"/>
    <cellStyle name="Uwaga 2 6 3 6" xfId="36821" xr:uid="{00000000-0005-0000-0000-0000FA920000}"/>
    <cellStyle name="Uwaga 2 6 3 6 2" xfId="36822" xr:uid="{00000000-0005-0000-0000-0000FB920000}"/>
    <cellStyle name="Uwaga 2 6 3 6 2 2" xfId="36823" xr:uid="{00000000-0005-0000-0000-0000FC920000}"/>
    <cellStyle name="Uwaga 2 6 3 6 3" xfId="36824" xr:uid="{00000000-0005-0000-0000-0000FD920000}"/>
    <cellStyle name="Uwaga 2 6 3 7" xfId="36825" xr:uid="{00000000-0005-0000-0000-0000FE920000}"/>
    <cellStyle name="Uwaga 2 6 3 7 2" xfId="36826" xr:uid="{00000000-0005-0000-0000-0000FF920000}"/>
    <cellStyle name="Uwaga 2 6 3 7 2 2" xfId="36827" xr:uid="{00000000-0005-0000-0000-000000930000}"/>
    <cellStyle name="Uwaga 2 6 3 7 3" xfId="36828" xr:uid="{00000000-0005-0000-0000-000001930000}"/>
    <cellStyle name="Uwaga 2 6 3 8" xfId="36829" xr:uid="{00000000-0005-0000-0000-000002930000}"/>
    <cellStyle name="Uwaga 2 6 3 8 2" xfId="36830" xr:uid="{00000000-0005-0000-0000-000003930000}"/>
    <cellStyle name="Uwaga 2 6 3 8 2 2" xfId="36831" xr:uid="{00000000-0005-0000-0000-000004930000}"/>
    <cellStyle name="Uwaga 2 6 3 8 2 2 2" xfId="36832" xr:uid="{00000000-0005-0000-0000-000005930000}"/>
    <cellStyle name="Uwaga 2 6 3 8 2 3" xfId="36833" xr:uid="{00000000-0005-0000-0000-000006930000}"/>
    <cellStyle name="Uwaga 2 6 3 8 3" xfId="36834" xr:uid="{00000000-0005-0000-0000-000007930000}"/>
    <cellStyle name="Uwaga 2 6 3 8 3 2" xfId="36835" xr:uid="{00000000-0005-0000-0000-000008930000}"/>
    <cellStyle name="Uwaga 2 6 3 8 3 2 2" xfId="36836" xr:uid="{00000000-0005-0000-0000-000009930000}"/>
    <cellStyle name="Uwaga 2 6 3 8 3 3" xfId="36837" xr:uid="{00000000-0005-0000-0000-00000A930000}"/>
    <cellStyle name="Uwaga 2 6 3 8 4" xfId="36838" xr:uid="{00000000-0005-0000-0000-00000B930000}"/>
    <cellStyle name="Uwaga 2 6 3 8 4 2" xfId="36839" xr:uid="{00000000-0005-0000-0000-00000C930000}"/>
    <cellStyle name="Uwaga 2 6 3 8 4 2 2" xfId="36840" xr:uid="{00000000-0005-0000-0000-00000D930000}"/>
    <cellStyle name="Uwaga 2 6 3 8 4 3" xfId="36841" xr:uid="{00000000-0005-0000-0000-00000E930000}"/>
    <cellStyle name="Uwaga 2 6 3 8 5" xfId="36842" xr:uid="{00000000-0005-0000-0000-00000F930000}"/>
    <cellStyle name="Uwaga 2 6 3 8 5 2" xfId="36843" xr:uid="{00000000-0005-0000-0000-000010930000}"/>
    <cellStyle name="Uwaga 2 6 3 8 6" xfId="36844" xr:uid="{00000000-0005-0000-0000-000011930000}"/>
    <cellStyle name="Uwaga 2 6 3 8 6 2" xfId="36845" xr:uid="{00000000-0005-0000-0000-000012930000}"/>
    <cellStyle name="Uwaga 2 6 3 8 7" xfId="36846" xr:uid="{00000000-0005-0000-0000-000013930000}"/>
    <cellStyle name="Uwaga 2 6 3 9" xfId="36847" xr:uid="{00000000-0005-0000-0000-000014930000}"/>
    <cellStyle name="Uwaga 2 6 3 9 2" xfId="36848" xr:uid="{00000000-0005-0000-0000-000015930000}"/>
    <cellStyle name="Uwaga 2 6 3 9 2 2" xfId="36849" xr:uid="{00000000-0005-0000-0000-000016930000}"/>
    <cellStyle name="Uwaga 2 6 3 9 3" xfId="36850" xr:uid="{00000000-0005-0000-0000-000017930000}"/>
    <cellStyle name="Uwaga 2 6 4" xfId="36851" xr:uid="{00000000-0005-0000-0000-000018930000}"/>
    <cellStyle name="Uwaga 2 6 4 10" xfId="36852" xr:uid="{00000000-0005-0000-0000-000019930000}"/>
    <cellStyle name="Uwaga 2 6 4 10 2" xfId="36853" xr:uid="{00000000-0005-0000-0000-00001A930000}"/>
    <cellStyle name="Uwaga 2 6 4 11" xfId="36854" xr:uid="{00000000-0005-0000-0000-00001B930000}"/>
    <cellStyle name="Uwaga 2 6 4 11 2" xfId="36855" xr:uid="{00000000-0005-0000-0000-00001C930000}"/>
    <cellStyle name="Uwaga 2 6 4 12" xfId="36856" xr:uid="{00000000-0005-0000-0000-00001D930000}"/>
    <cellStyle name="Uwaga 2 6 4 2" xfId="36857" xr:uid="{00000000-0005-0000-0000-00001E930000}"/>
    <cellStyle name="Uwaga 2 6 4 2 2" xfId="36858" xr:uid="{00000000-0005-0000-0000-00001F930000}"/>
    <cellStyle name="Uwaga 2 6 4 2 2 2" xfId="36859" xr:uid="{00000000-0005-0000-0000-000020930000}"/>
    <cellStyle name="Uwaga 2 6 4 2 2 2 2" xfId="36860" xr:uid="{00000000-0005-0000-0000-000021930000}"/>
    <cellStyle name="Uwaga 2 6 4 2 2 2 2 2" xfId="36861" xr:uid="{00000000-0005-0000-0000-000022930000}"/>
    <cellStyle name="Uwaga 2 6 4 2 2 2 3" xfId="36862" xr:uid="{00000000-0005-0000-0000-000023930000}"/>
    <cellStyle name="Uwaga 2 6 4 2 2 3" xfId="36863" xr:uid="{00000000-0005-0000-0000-000024930000}"/>
    <cellStyle name="Uwaga 2 6 4 2 2 3 2" xfId="36864" xr:uid="{00000000-0005-0000-0000-000025930000}"/>
    <cellStyle name="Uwaga 2 6 4 2 2 3 2 2" xfId="36865" xr:uid="{00000000-0005-0000-0000-000026930000}"/>
    <cellStyle name="Uwaga 2 6 4 2 2 3 3" xfId="36866" xr:uid="{00000000-0005-0000-0000-000027930000}"/>
    <cellStyle name="Uwaga 2 6 4 2 2 4" xfId="36867" xr:uid="{00000000-0005-0000-0000-000028930000}"/>
    <cellStyle name="Uwaga 2 6 4 2 2 4 2" xfId="36868" xr:uid="{00000000-0005-0000-0000-000029930000}"/>
    <cellStyle name="Uwaga 2 6 4 2 2 4 2 2" xfId="36869" xr:uid="{00000000-0005-0000-0000-00002A930000}"/>
    <cellStyle name="Uwaga 2 6 4 2 2 4 3" xfId="36870" xr:uid="{00000000-0005-0000-0000-00002B930000}"/>
    <cellStyle name="Uwaga 2 6 4 2 2 5" xfId="36871" xr:uid="{00000000-0005-0000-0000-00002C930000}"/>
    <cellStyle name="Uwaga 2 6 4 2 2 5 2" xfId="36872" xr:uid="{00000000-0005-0000-0000-00002D930000}"/>
    <cellStyle name="Uwaga 2 6 4 2 2 6" xfId="36873" xr:uid="{00000000-0005-0000-0000-00002E930000}"/>
    <cellStyle name="Uwaga 2 6 4 2 2 6 2" xfId="36874" xr:uid="{00000000-0005-0000-0000-00002F930000}"/>
    <cellStyle name="Uwaga 2 6 4 2 2 7" xfId="36875" xr:uid="{00000000-0005-0000-0000-000030930000}"/>
    <cellStyle name="Uwaga 2 6 4 2 3" xfId="36876" xr:uid="{00000000-0005-0000-0000-000031930000}"/>
    <cellStyle name="Uwaga 2 6 4 2 3 2" xfId="36877" xr:uid="{00000000-0005-0000-0000-000032930000}"/>
    <cellStyle name="Uwaga 2 6 4 2 3 2 2" xfId="36878" xr:uid="{00000000-0005-0000-0000-000033930000}"/>
    <cellStyle name="Uwaga 2 6 4 2 3 3" xfId="36879" xr:uid="{00000000-0005-0000-0000-000034930000}"/>
    <cellStyle name="Uwaga 2 6 4 2 4" xfId="36880" xr:uid="{00000000-0005-0000-0000-000035930000}"/>
    <cellStyle name="Uwaga 2 6 4 2 4 2" xfId="36881" xr:uid="{00000000-0005-0000-0000-000036930000}"/>
    <cellStyle name="Uwaga 2 6 4 2 4 2 2" xfId="36882" xr:uid="{00000000-0005-0000-0000-000037930000}"/>
    <cellStyle name="Uwaga 2 6 4 2 4 3" xfId="36883" xr:uid="{00000000-0005-0000-0000-000038930000}"/>
    <cellStyle name="Uwaga 2 6 4 2 5" xfId="36884" xr:uid="{00000000-0005-0000-0000-000039930000}"/>
    <cellStyle name="Uwaga 2 6 4 2 5 2" xfId="36885" xr:uid="{00000000-0005-0000-0000-00003A930000}"/>
    <cellStyle name="Uwaga 2 6 4 2 5 2 2" xfId="36886" xr:uid="{00000000-0005-0000-0000-00003B930000}"/>
    <cellStyle name="Uwaga 2 6 4 2 5 3" xfId="36887" xr:uid="{00000000-0005-0000-0000-00003C930000}"/>
    <cellStyle name="Uwaga 2 6 4 2 6" xfId="36888" xr:uid="{00000000-0005-0000-0000-00003D930000}"/>
    <cellStyle name="Uwaga 2 6 4 2 6 2" xfId="36889" xr:uid="{00000000-0005-0000-0000-00003E930000}"/>
    <cellStyle name="Uwaga 2 6 4 2 7" xfId="36890" xr:uid="{00000000-0005-0000-0000-00003F930000}"/>
    <cellStyle name="Uwaga 2 6 4 2 7 2" xfId="36891" xr:uid="{00000000-0005-0000-0000-000040930000}"/>
    <cellStyle name="Uwaga 2 6 4 2 8" xfId="36892" xr:uid="{00000000-0005-0000-0000-000041930000}"/>
    <cellStyle name="Uwaga 2 6 4 3" xfId="36893" xr:uid="{00000000-0005-0000-0000-000042930000}"/>
    <cellStyle name="Uwaga 2 6 4 3 2" xfId="36894" xr:uid="{00000000-0005-0000-0000-000043930000}"/>
    <cellStyle name="Uwaga 2 6 4 3 2 2" xfId="36895" xr:uid="{00000000-0005-0000-0000-000044930000}"/>
    <cellStyle name="Uwaga 2 6 4 3 3" xfId="36896" xr:uid="{00000000-0005-0000-0000-000045930000}"/>
    <cellStyle name="Uwaga 2 6 4 4" xfId="36897" xr:uid="{00000000-0005-0000-0000-000046930000}"/>
    <cellStyle name="Uwaga 2 6 4 4 2" xfId="36898" xr:uid="{00000000-0005-0000-0000-000047930000}"/>
    <cellStyle name="Uwaga 2 6 4 4 2 2" xfId="36899" xr:uid="{00000000-0005-0000-0000-000048930000}"/>
    <cellStyle name="Uwaga 2 6 4 4 3" xfId="36900" xr:uid="{00000000-0005-0000-0000-000049930000}"/>
    <cellStyle name="Uwaga 2 6 4 5" xfId="36901" xr:uid="{00000000-0005-0000-0000-00004A930000}"/>
    <cellStyle name="Uwaga 2 6 4 5 2" xfId="36902" xr:uid="{00000000-0005-0000-0000-00004B930000}"/>
    <cellStyle name="Uwaga 2 6 4 5 2 2" xfId="36903" xr:uid="{00000000-0005-0000-0000-00004C930000}"/>
    <cellStyle name="Uwaga 2 6 4 5 3" xfId="36904" xr:uid="{00000000-0005-0000-0000-00004D930000}"/>
    <cellStyle name="Uwaga 2 6 4 6" xfId="36905" xr:uid="{00000000-0005-0000-0000-00004E930000}"/>
    <cellStyle name="Uwaga 2 6 4 6 2" xfId="36906" xr:uid="{00000000-0005-0000-0000-00004F930000}"/>
    <cellStyle name="Uwaga 2 6 4 6 2 2" xfId="36907" xr:uid="{00000000-0005-0000-0000-000050930000}"/>
    <cellStyle name="Uwaga 2 6 4 6 3" xfId="36908" xr:uid="{00000000-0005-0000-0000-000051930000}"/>
    <cellStyle name="Uwaga 2 6 4 7" xfId="36909" xr:uid="{00000000-0005-0000-0000-000052930000}"/>
    <cellStyle name="Uwaga 2 6 4 7 2" xfId="36910" xr:uid="{00000000-0005-0000-0000-000053930000}"/>
    <cellStyle name="Uwaga 2 6 4 7 2 2" xfId="36911" xr:uid="{00000000-0005-0000-0000-000054930000}"/>
    <cellStyle name="Uwaga 2 6 4 7 2 2 2" xfId="36912" xr:uid="{00000000-0005-0000-0000-000055930000}"/>
    <cellStyle name="Uwaga 2 6 4 7 2 3" xfId="36913" xr:uid="{00000000-0005-0000-0000-000056930000}"/>
    <cellStyle name="Uwaga 2 6 4 7 3" xfId="36914" xr:uid="{00000000-0005-0000-0000-000057930000}"/>
    <cellStyle name="Uwaga 2 6 4 7 3 2" xfId="36915" xr:uid="{00000000-0005-0000-0000-000058930000}"/>
    <cellStyle name="Uwaga 2 6 4 7 3 2 2" xfId="36916" xr:uid="{00000000-0005-0000-0000-000059930000}"/>
    <cellStyle name="Uwaga 2 6 4 7 3 3" xfId="36917" xr:uid="{00000000-0005-0000-0000-00005A930000}"/>
    <cellStyle name="Uwaga 2 6 4 7 4" xfId="36918" xr:uid="{00000000-0005-0000-0000-00005B930000}"/>
    <cellStyle name="Uwaga 2 6 4 7 4 2" xfId="36919" xr:uid="{00000000-0005-0000-0000-00005C930000}"/>
    <cellStyle name="Uwaga 2 6 4 7 4 2 2" xfId="36920" xr:uid="{00000000-0005-0000-0000-00005D930000}"/>
    <cellStyle name="Uwaga 2 6 4 7 4 3" xfId="36921" xr:uid="{00000000-0005-0000-0000-00005E930000}"/>
    <cellStyle name="Uwaga 2 6 4 7 5" xfId="36922" xr:uid="{00000000-0005-0000-0000-00005F930000}"/>
    <cellStyle name="Uwaga 2 6 4 7 5 2" xfId="36923" xr:uid="{00000000-0005-0000-0000-000060930000}"/>
    <cellStyle name="Uwaga 2 6 4 7 6" xfId="36924" xr:uid="{00000000-0005-0000-0000-000061930000}"/>
    <cellStyle name="Uwaga 2 6 4 7 6 2" xfId="36925" xr:uid="{00000000-0005-0000-0000-000062930000}"/>
    <cellStyle name="Uwaga 2 6 4 7 7" xfId="36926" xr:uid="{00000000-0005-0000-0000-000063930000}"/>
    <cellStyle name="Uwaga 2 6 4 8" xfId="36927" xr:uid="{00000000-0005-0000-0000-000064930000}"/>
    <cellStyle name="Uwaga 2 6 4 8 2" xfId="36928" xr:uid="{00000000-0005-0000-0000-000065930000}"/>
    <cellStyle name="Uwaga 2 6 4 8 2 2" xfId="36929" xr:uid="{00000000-0005-0000-0000-000066930000}"/>
    <cellStyle name="Uwaga 2 6 4 8 3" xfId="36930" xr:uid="{00000000-0005-0000-0000-000067930000}"/>
    <cellStyle name="Uwaga 2 6 4 9" xfId="36931" xr:uid="{00000000-0005-0000-0000-000068930000}"/>
    <cellStyle name="Uwaga 2 6 4 9 2" xfId="36932" xr:uid="{00000000-0005-0000-0000-000069930000}"/>
    <cellStyle name="Uwaga 2 6 4 9 2 2" xfId="36933" xr:uid="{00000000-0005-0000-0000-00006A930000}"/>
    <cellStyle name="Uwaga 2 6 4 9 3" xfId="36934" xr:uid="{00000000-0005-0000-0000-00006B930000}"/>
    <cellStyle name="Uwaga 2 6 5" xfId="36935" xr:uid="{00000000-0005-0000-0000-00006C930000}"/>
    <cellStyle name="Uwaga 2 6 5 2" xfId="36936" xr:uid="{00000000-0005-0000-0000-00006D930000}"/>
    <cellStyle name="Uwaga 2 6 5 2 2" xfId="36937" xr:uid="{00000000-0005-0000-0000-00006E930000}"/>
    <cellStyle name="Uwaga 2 6 5 2 2 2" xfId="36938" xr:uid="{00000000-0005-0000-0000-00006F930000}"/>
    <cellStyle name="Uwaga 2 6 5 2 2 2 2" xfId="36939" xr:uid="{00000000-0005-0000-0000-000070930000}"/>
    <cellStyle name="Uwaga 2 6 5 2 2 3" xfId="36940" xr:uid="{00000000-0005-0000-0000-000071930000}"/>
    <cellStyle name="Uwaga 2 6 5 2 3" xfId="36941" xr:uid="{00000000-0005-0000-0000-000072930000}"/>
    <cellStyle name="Uwaga 2 6 5 2 3 2" xfId="36942" xr:uid="{00000000-0005-0000-0000-000073930000}"/>
    <cellStyle name="Uwaga 2 6 5 2 3 2 2" xfId="36943" xr:uid="{00000000-0005-0000-0000-000074930000}"/>
    <cellStyle name="Uwaga 2 6 5 2 3 3" xfId="36944" xr:uid="{00000000-0005-0000-0000-000075930000}"/>
    <cellStyle name="Uwaga 2 6 5 2 4" xfId="36945" xr:uid="{00000000-0005-0000-0000-000076930000}"/>
    <cellStyle name="Uwaga 2 6 5 2 4 2" xfId="36946" xr:uid="{00000000-0005-0000-0000-000077930000}"/>
    <cellStyle name="Uwaga 2 6 5 2 4 2 2" xfId="36947" xr:uid="{00000000-0005-0000-0000-000078930000}"/>
    <cellStyle name="Uwaga 2 6 5 2 4 3" xfId="36948" xr:uid="{00000000-0005-0000-0000-000079930000}"/>
    <cellStyle name="Uwaga 2 6 5 2 5" xfId="36949" xr:uid="{00000000-0005-0000-0000-00007A930000}"/>
    <cellStyle name="Uwaga 2 6 5 2 5 2" xfId="36950" xr:uid="{00000000-0005-0000-0000-00007B930000}"/>
    <cellStyle name="Uwaga 2 6 5 2 6" xfId="36951" xr:uid="{00000000-0005-0000-0000-00007C930000}"/>
    <cellStyle name="Uwaga 2 6 5 2 6 2" xfId="36952" xr:uid="{00000000-0005-0000-0000-00007D930000}"/>
    <cellStyle name="Uwaga 2 6 5 2 7" xfId="36953" xr:uid="{00000000-0005-0000-0000-00007E930000}"/>
    <cellStyle name="Uwaga 2 6 5 3" xfId="36954" xr:uid="{00000000-0005-0000-0000-00007F930000}"/>
    <cellStyle name="Uwaga 2 6 5 3 2" xfId="36955" xr:uid="{00000000-0005-0000-0000-000080930000}"/>
    <cellStyle name="Uwaga 2 6 5 3 2 2" xfId="36956" xr:uid="{00000000-0005-0000-0000-000081930000}"/>
    <cellStyle name="Uwaga 2 6 5 3 3" xfId="36957" xr:uid="{00000000-0005-0000-0000-000082930000}"/>
    <cellStyle name="Uwaga 2 6 5 4" xfId="36958" xr:uid="{00000000-0005-0000-0000-000083930000}"/>
    <cellStyle name="Uwaga 2 6 5 4 2" xfId="36959" xr:uid="{00000000-0005-0000-0000-000084930000}"/>
    <cellStyle name="Uwaga 2 6 5 4 2 2" xfId="36960" xr:uid="{00000000-0005-0000-0000-000085930000}"/>
    <cellStyle name="Uwaga 2 6 5 4 3" xfId="36961" xr:uid="{00000000-0005-0000-0000-000086930000}"/>
    <cellStyle name="Uwaga 2 6 5 5" xfId="36962" xr:uid="{00000000-0005-0000-0000-000087930000}"/>
    <cellStyle name="Uwaga 2 6 5 5 2" xfId="36963" xr:uid="{00000000-0005-0000-0000-000088930000}"/>
    <cellStyle name="Uwaga 2 6 5 5 2 2" xfId="36964" xr:uid="{00000000-0005-0000-0000-000089930000}"/>
    <cellStyle name="Uwaga 2 6 5 5 3" xfId="36965" xr:uid="{00000000-0005-0000-0000-00008A930000}"/>
    <cellStyle name="Uwaga 2 6 5 6" xfId="36966" xr:uid="{00000000-0005-0000-0000-00008B930000}"/>
    <cellStyle name="Uwaga 2 6 5 6 2" xfId="36967" xr:uid="{00000000-0005-0000-0000-00008C930000}"/>
    <cellStyle name="Uwaga 2 6 5 7" xfId="36968" xr:uid="{00000000-0005-0000-0000-00008D930000}"/>
    <cellStyle name="Uwaga 2 6 5 7 2" xfId="36969" xr:uid="{00000000-0005-0000-0000-00008E930000}"/>
    <cellStyle name="Uwaga 2 6 5 8" xfId="36970" xr:uid="{00000000-0005-0000-0000-00008F930000}"/>
    <cellStyle name="Uwaga 2 6 6" xfId="36971" xr:uid="{00000000-0005-0000-0000-000090930000}"/>
    <cellStyle name="Uwaga 2 6 6 2" xfId="36972" xr:uid="{00000000-0005-0000-0000-000091930000}"/>
    <cellStyle name="Uwaga 2 6 6 2 2" xfId="36973" xr:uid="{00000000-0005-0000-0000-000092930000}"/>
    <cellStyle name="Uwaga 2 6 6 3" xfId="36974" xr:uid="{00000000-0005-0000-0000-000093930000}"/>
    <cellStyle name="Uwaga 2 6 7" xfId="36975" xr:uid="{00000000-0005-0000-0000-000094930000}"/>
    <cellStyle name="Uwaga 2 6 7 2" xfId="36976" xr:uid="{00000000-0005-0000-0000-000095930000}"/>
    <cellStyle name="Uwaga 2 6 7 2 2" xfId="36977" xr:uid="{00000000-0005-0000-0000-000096930000}"/>
    <cellStyle name="Uwaga 2 6 7 3" xfId="36978" xr:uid="{00000000-0005-0000-0000-000097930000}"/>
    <cellStyle name="Uwaga 2 6 8" xfId="36979" xr:uid="{00000000-0005-0000-0000-000098930000}"/>
    <cellStyle name="Uwaga 2 6 8 2" xfId="36980" xr:uid="{00000000-0005-0000-0000-000099930000}"/>
    <cellStyle name="Uwaga 2 6 8 2 2" xfId="36981" xr:uid="{00000000-0005-0000-0000-00009A930000}"/>
    <cellStyle name="Uwaga 2 6 8 3" xfId="36982" xr:uid="{00000000-0005-0000-0000-00009B930000}"/>
    <cellStyle name="Uwaga 2 6 9" xfId="36983" xr:uid="{00000000-0005-0000-0000-00009C930000}"/>
    <cellStyle name="Uwaga 2 6 9 2" xfId="36984" xr:uid="{00000000-0005-0000-0000-00009D930000}"/>
    <cellStyle name="Uwaga 2 6 9 2 2" xfId="36985" xr:uid="{00000000-0005-0000-0000-00009E930000}"/>
    <cellStyle name="Uwaga 2 6 9 2 2 2" xfId="36986" xr:uid="{00000000-0005-0000-0000-00009F930000}"/>
    <cellStyle name="Uwaga 2 6 9 2 3" xfId="36987" xr:uid="{00000000-0005-0000-0000-0000A0930000}"/>
    <cellStyle name="Uwaga 2 6 9 3" xfId="36988" xr:uid="{00000000-0005-0000-0000-0000A1930000}"/>
    <cellStyle name="Uwaga 2 6 9 3 2" xfId="36989" xr:uid="{00000000-0005-0000-0000-0000A2930000}"/>
    <cellStyle name="Uwaga 2 6 9 3 2 2" xfId="36990" xr:uid="{00000000-0005-0000-0000-0000A3930000}"/>
    <cellStyle name="Uwaga 2 6 9 3 3" xfId="36991" xr:uid="{00000000-0005-0000-0000-0000A4930000}"/>
    <cellStyle name="Uwaga 2 6 9 4" xfId="36992" xr:uid="{00000000-0005-0000-0000-0000A5930000}"/>
    <cellStyle name="Uwaga 2 6 9 4 2" xfId="36993" xr:uid="{00000000-0005-0000-0000-0000A6930000}"/>
    <cellStyle name="Uwaga 2 6 9 4 2 2" xfId="36994" xr:uid="{00000000-0005-0000-0000-0000A7930000}"/>
    <cellStyle name="Uwaga 2 6 9 4 3" xfId="36995" xr:uid="{00000000-0005-0000-0000-0000A8930000}"/>
    <cellStyle name="Uwaga 2 6 9 5" xfId="36996" xr:uid="{00000000-0005-0000-0000-0000A9930000}"/>
    <cellStyle name="Uwaga 2 6 9 5 2" xfId="36997" xr:uid="{00000000-0005-0000-0000-0000AA930000}"/>
    <cellStyle name="Uwaga 2 6 9 6" xfId="36998" xr:uid="{00000000-0005-0000-0000-0000AB930000}"/>
    <cellStyle name="Uwaga 2 6 9 6 2" xfId="36999" xr:uid="{00000000-0005-0000-0000-0000AC930000}"/>
    <cellStyle name="Uwaga 2 6 9 7" xfId="37000" xr:uid="{00000000-0005-0000-0000-0000AD930000}"/>
    <cellStyle name="Uwaga 2 7" xfId="37001" xr:uid="{00000000-0005-0000-0000-0000AE930000}"/>
    <cellStyle name="Uwaga 2 7 2" xfId="37002" xr:uid="{00000000-0005-0000-0000-0000AF930000}"/>
    <cellStyle name="Uwaga 2 7 2 2" xfId="37003" xr:uid="{00000000-0005-0000-0000-0000B0930000}"/>
    <cellStyle name="Uwaga 2 7 3" xfId="37004" xr:uid="{00000000-0005-0000-0000-0000B1930000}"/>
    <cellStyle name="Uwaga 2 8" xfId="37005" xr:uid="{00000000-0005-0000-0000-0000B2930000}"/>
    <cellStyle name="Uwaga 2 8 10" xfId="37006" xr:uid="{00000000-0005-0000-0000-0000B3930000}"/>
    <cellStyle name="Uwaga 2 8 10 2" xfId="37007" xr:uid="{00000000-0005-0000-0000-0000B4930000}"/>
    <cellStyle name="Uwaga 2 8 10 2 2" xfId="37008" xr:uid="{00000000-0005-0000-0000-0000B5930000}"/>
    <cellStyle name="Uwaga 2 8 10 3" xfId="37009" xr:uid="{00000000-0005-0000-0000-0000B6930000}"/>
    <cellStyle name="Uwaga 2 8 11" xfId="37010" xr:uid="{00000000-0005-0000-0000-0000B7930000}"/>
    <cellStyle name="Uwaga 2 8 11 2" xfId="37011" xr:uid="{00000000-0005-0000-0000-0000B8930000}"/>
    <cellStyle name="Uwaga 2 8 11 2 2" xfId="37012" xr:uid="{00000000-0005-0000-0000-0000B9930000}"/>
    <cellStyle name="Uwaga 2 8 11 3" xfId="37013" xr:uid="{00000000-0005-0000-0000-0000BA930000}"/>
    <cellStyle name="Uwaga 2 8 12" xfId="37014" xr:uid="{00000000-0005-0000-0000-0000BB930000}"/>
    <cellStyle name="Uwaga 2 8 12 2" xfId="37015" xr:uid="{00000000-0005-0000-0000-0000BC930000}"/>
    <cellStyle name="Uwaga 2 8 13" xfId="37016" xr:uid="{00000000-0005-0000-0000-0000BD930000}"/>
    <cellStyle name="Uwaga 2 8 13 2" xfId="37017" xr:uid="{00000000-0005-0000-0000-0000BE930000}"/>
    <cellStyle name="Uwaga 2 8 14" xfId="37018" xr:uid="{00000000-0005-0000-0000-0000BF930000}"/>
    <cellStyle name="Uwaga 2 8 2" xfId="37019" xr:uid="{00000000-0005-0000-0000-0000C0930000}"/>
    <cellStyle name="Uwaga 2 8 2 10" xfId="37020" xr:uid="{00000000-0005-0000-0000-0000C1930000}"/>
    <cellStyle name="Uwaga 2 8 2 10 2" xfId="37021" xr:uid="{00000000-0005-0000-0000-0000C2930000}"/>
    <cellStyle name="Uwaga 2 8 2 10 2 2" xfId="37022" xr:uid="{00000000-0005-0000-0000-0000C3930000}"/>
    <cellStyle name="Uwaga 2 8 2 10 3" xfId="37023" xr:uid="{00000000-0005-0000-0000-0000C4930000}"/>
    <cellStyle name="Uwaga 2 8 2 11" xfId="37024" xr:uid="{00000000-0005-0000-0000-0000C5930000}"/>
    <cellStyle name="Uwaga 2 8 2 11 2" xfId="37025" xr:uid="{00000000-0005-0000-0000-0000C6930000}"/>
    <cellStyle name="Uwaga 2 8 2 12" xfId="37026" xr:uid="{00000000-0005-0000-0000-0000C7930000}"/>
    <cellStyle name="Uwaga 2 8 2 12 2" xfId="37027" xr:uid="{00000000-0005-0000-0000-0000C8930000}"/>
    <cellStyle name="Uwaga 2 8 2 13" xfId="37028" xr:uid="{00000000-0005-0000-0000-0000C9930000}"/>
    <cellStyle name="Uwaga 2 8 2 2" xfId="37029" xr:uid="{00000000-0005-0000-0000-0000CA930000}"/>
    <cellStyle name="Uwaga 2 8 2 2 10" xfId="37030" xr:uid="{00000000-0005-0000-0000-0000CB930000}"/>
    <cellStyle name="Uwaga 2 8 2 2 10 2" xfId="37031" xr:uid="{00000000-0005-0000-0000-0000CC930000}"/>
    <cellStyle name="Uwaga 2 8 2 2 11" xfId="37032" xr:uid="{00000000-0005-0000-0000-0000CD930000}"/>
    <cellStyle name="Uwaga 2 8 2 2 11 2" xfId="37033" xr:uid="{00000000-0005-0000-0000-0000CE930000}"/>
    <cellStyle name="Uwaga 2 8 2 2 12" xfId="37034" xr:uid="{00000000-0005-0000-0000-0000CF930000}"/>
    <cellStyle name="Uwaga 2 8 2 2 2" xfId="37035" xr:uid="{00000000-0005-0000-0000-0000D0930000}"/>
    <cellStyle name="Uwaga 2 8 2 2 2 10" xfId="37036" xr:uid="{00000000-0005-0000-0000-0000D1930000}"/>
    <cellStyle name="Uwaga 2 8 2 2 2 10 2" xfId="37037" xr:uid="{00000000-0005-0000-0000-0000D2930000}"/>
    <cellStyle name="Uwaga 2 8 2 2 2 11" xfId="37038" xr:uid="{00000000-0005-0000-0000-0000D3930000}"/>
    <cellStyle name="Uwaga 2 8 2 2 2 11 2" xfId="37039" xr:uid="{00000000-0005-0000-0000-0000D4930000}"/>
    <cellStyle name="Uwaga 2 8 2 2 2 12" xfId="37040" xr:uid="{00000000-0005-0000-0000-0000D5930000}"/>
    <cellStyle name="Uwaga 2 8 2 2 2 2" xfId="37041" xr:uid="{00000000-0005-0000-0000-0000D6930000}"/>
    <cellStyle name="Uwaga 2 8 2 2 2 2 2" xfId="37042" xr:uid="{00000000-0005-0000-0000-0000D7930000}"/>
    <cellStyle name="Uwaga 2 8 2 2 2 2 2 2" xfId="37043" xr:uid="{00000000-0005-0000-0000-0000D8930000}"/>
    <cellStyle name="Uwaga 2 8 2 2 2 2 2 2 2" xfId="37044" xr:uid="{00000000-0005-0000-0000-0000D9930000}"/>
    <cellStyle name="Uwaga 2 8 2 2 2 2 2 2 2 2" xfId="37045" xr:uid="{00000000-0005-0000-0000-0000DA930000}"/>
    <cellStyle name="Uwaga 2 8 2 2 2 2 2 2 3" xfId="37046" xr:uid="{00000000-0005-0000-0000-0000DB930000}"/>
    <cellStyle name="Uwaga 2 8 2 2 2 2 2 3" xfId="37047" xr:uid="{00000000-0005-0000-0000-0000DC930000}"/>
    <cellStyle name="Uwaga 2 8 2 2 2 2 2 3 2" xfId="37048" xr:uid="{00000000-0005-0000-0000-0000DD930000}"/>
    <cellStyle name="Uwaga 2 8 2 2 2 2 2 3 2 2" xfId="37049" xr:uid="{00000000-0005-0000-0000-0000DE930000}"/>
    <cellStyle name="Uwaga 2 8 2 2 2 2 2 3 3" xfId="37050" xr:uid="{00000000-0005-0000-0000-0000DF930000}"/>
    <cellStyle name="Uwaga 2 8 2 2 2 2 2 4" xfId="37051" xr:uid="{00000000-0005-0000-0000-0000E0930000}"/>
    <cellStyle name="Uwaga 2 8 2 2 2 2 2 4 2" xfId="37052" xr:uid="{00000000-0005-0000-0000-0000E1930000}"/>
    <cellStyle name="Uwaga 2 8 2 2 2 2 2 4 2 2" xfId="37053" xr:uid="{00000000-0005-0000-0000-0000E2930000}"/>
    <cellStyle name="Uwaga 2 8 2 2 2 2 2 4 3" xfId="37054" xr:uid="{00000000-0005-0000-0000-0000E3930000}"/>
    <cellStyle name="Uwaga 2 8 2 2 2 2 2 5" xfId="37055" xr:uid="{00000000-0005-0000-0000-0000E4930000}"/>
    <cellStyle name="Uwaga 2 8 2 2 2 2 2 5 2" xfId="37056" xr:uid="{00000000-0005-0000-0000-0000E5930000}"/>
    <cellStyle name="Uwaga 2 8 2 2 2 2 2 6" xfId="37057" xr:uid="{00000000-0005-0000-0000-0000E6930000}"/>
    <cellStyle name="Uwaga 2 8 2 2 2 2 2 6 2" xfId="37058" xr:uid="{00000000-0005-0000-0000-0000E7930000}"/>
    <cellStyle name="Uwaga 2 8 2 2 2 2 2 7" xfId="37059" xr:uid="{00000000-0005-0000-0000-0000E8930000}"/>
    <cellStyle name="Uwaga 2 8 2 2 2 2 3" xfId="37060" xr:uid="{00000000-0005-0000-0000-0000E9930000}"/>
    <cellStyle name="Uwaga 2 8 2 2 2 2 3 2" xfId="37061" xr:uid="{00000000-0005-0000-0000-0000EA930000}"/>
    <cellStyle name="Uwaga 2 8 2 2 2 2 3 2 2" xfId="37062" xr:uid="{00000000-0005-0000-0000-0000EB930000}"/>
    <cellStyle name="Uwaga 2 8 2 2 2 2 3 3" xfId="37063" xr:uid="{00000000-0005-0000-0000-0000EC930000}"/>
    <cellStyle name="Uwaga 2 8 2 2 2 2 4" xfId="37064" xr:uid="{00000000-0005-0000-0000-0000ED930000}"/>
    <cellStyle name="Uwaga 2 8 2 2 2 2 4 2" xfId="37065" xr:uid="{00000000-0005-0000-0000-0000EE930000}"/>
    <cellStyle name="Uwaga 2 8 2 2 2 2 4 2 2" xfId="37066" xr:uid="{00000000-0005-0000-0000-0000EF930000}"/>
    <cellStyle name="Uwaga 2 8 2 2 2 2 4 3" xfId="37067" xr:uid="{00000000-0005-0000-0000-0000F0930000}"/>
    <cellStyle name="Uwaga 2 8 2 2 2 2 5" xfId="37068" xr:uid="{00000000-0005-0000-0000-0000F1930000}"/>
    <cellStyle name="Uwaga 2 8 2 2 2 2 5 2" xfId="37069" xr:uid="{00000000-0005-0000-0000-0000F2930000}"/>
    <cellStyle name="Uwaga 2 8 2 2 2 2 5 2 2" xfId="37070" xr:uid="{00000000-0005-0000-0000-0000F3930000}"/>
    <cellStyle name="Uwaga 2 8 2 2 2 2 5 3" xfId="37071" xr:uid="{00000000-0005-0000-0000-0000F4930000}"/>
    <cellStyle name="Uwaga 2 8 2 2 2 2 6" xfId="37072" xr:uid="{00000000-0005-0000-0000-0000F5930000}"/>
    <cellStyle name="Uwaga 2 8 2 2 2 2 6 2" xfId="37073" xr:uid="{00000000-0005-0000-0000-0000F6930000}"/>
    <cellStyle name="Uwaga 2 8 2 2 2 2 7" xfId="37074" xr:uid="{00000000-0005-0000-0000-0000F7930000}"/>
    <cellStyle name="Uwaga 2 8 2 2 2 2 7 2" xfId="37075" xr:uid="{00000000-0005-0000-0000-0000F8930000}"/>
    <cellStyle name="Uwaga 2 8 2 2 2 2 8" xfId="37076" xr:uid="{00000000-0005-0000-0000-0000F9930000}"/>
    <cellStyle name="Uwaga 2 8 2 2 2 3" xfId="37077" xr:uid="{00000000-0005-0000-0000-0000FA930000}"/>
    <cellStyle name="Uwaga 2 8 2 2 2 3 2" xfId="37078" xr:uid="{00000000-0005-0000-0000-0000FB930000}"/>
    <cellStyle name="Uwaga 2 8 2 2 2 3 2 2" xfId="37079" xr:uid="{00000000-0005-0000-0000-0000FC930000}"/>
    <cellStyle name="Uwaga 2 8 2 2 2 3 3" xfId="37080" xr:uid="{00000000-0005-0000-0000-0000FD930000}"/>
    <cellStyle name="Uwaga 2 8 2 2 2 4" xfId="37081" xr:uid="{00000000-0005-0000-0000-0000FE930000}"/>
    <cellStyle name="Uwaga 2 8 2 2 2 4 2" xfId="37082" xr:uid="{00000000-0005-0000-0000-0000FF930000}"/>
    <cellStyle name="Uwaga 2 8 2 2 2 4 2 2" xfId="37083" xr:uid="{00000000-0005-0000-0000-000000940000}"/>
    <cellStyle name="Uwaga 2 8 2 2 2 4 3" xfId="37084" xr:uid="{00000000-0005-0000-0000-000001940000}"/>
    <cellStyle name="Uwaga 2 8 2 2 2 5" xfId="37085" xr:uid="{00000000-0005-0000-0000-000002940000}"/>
    <cellStyle name="Uwaga 2 8 2 2 2 5 2" xfId="37086" xr:uid="{00000000-0005-0000-0000-000003940000}"/>
    <cellStyle name="Uwaga 2 8 2 2 2 5 2 2" xfId="37087" xr:uid="{00000000-0005-0000-0000-000004940000}"/>
    <cellStyle name="Uwaga 2 8 2 2 2 5 3" xfId="37088" xr:uid="{00000000-0005-0000-0000-000005940000}"/>
    <cellStyle name="Uwaga 2 8 2 2 2 6" xfId="37089" xr:uid="{00000000-0005-0000-0000-000006940000}"/>
    <cellStyle name="Uwaga 2 8 2 2 2 6 2" xfId="37090" xr:uid="{00000000-0005-0000-0000-000007940000}"/>
    <cellStyle name="Uwaga 2 8 2 2 2 6 2 2" xfId="37091" xr:uid="{00000000-0005-0000-0000-000008940000}"/>
    <cellStyle name="Uwaga 2 8 2 2 2 6 3" xfId="37092" xr:uid="{00000000-0005-0000-0000-000009940000}"/>
    <cellStyle name="Uwaga 2 8 2 2 2 7" xfId="37093" xr:uid="{00000000-0005-0000-0000-00000A940000}"/>
    <cellStyle name="Uwaga 2 8 2 2 2 7 2" xfId="37094" xr:uid="{00000000-0005-0000-0000-00000B940000}"/>
    <cellStyle name="Uwaga 2 8 2 2 2 7 2 2" xfId="37095" xr:uid="{00000000-0005-0000-0000-00000C940000}"/>
    <cellStyle name="Uwaga 2 8 2 2 2 7 2 2 2" xfId="37096" xr:uid="{00000000-0005-0000-0000-00000D940000}"/>
    <cellStyle name="Uwaga 2 8 2 2 2 7 2 3" xfId="37097" xr:uid="{00000000-0005-0000-0000-00000E940000}"/>
    <cellStyle name="Uwaga 2 8 2 2 2 7 3" xfId="37098" xr:uid="{00000000-0005-0000-0000-00000F940000}"/>
    <cellStyle name="Uwaga 2 8 2 2 2 7 3 2" xfId="37099" xr:uid="{00000000-0005-0000-0000-000010940000}"/>
    <cellStyle name="Uwaga 2 8 2 2 2 7 3 2 2" xfId="37100" xr:uid="{00000000-0005-0000-0000-000011940000}"/>
    <cellStyle name="Uwaga 2 8 2 2 2 7 3 3" xfId="37101" xr:uid="{00000000-0005-0000-0000-000012940000}"/>
    <cellStyle name="Uwaga 2 8 2 2 2 7 4" xfId="37102" xr:uid="{00000000-0005-0000-0000-000013940000}"/>
    <cellStyle name="Uwaga 2 8 2 2 2 7 4 2" xfId="37103" xr:uid="{00000000-0005-0000-0000-000014940000}"/>
    <cellStyle name="Uwaga 2 8 2 2 2 7 4 2 2" xfId="37104" xr:uid="{00000000-0005-0000-0000-000015940000}"/>
    <cellStyle name="Uwaga 2 8 2 2 2 7 4 3" xfId="37105" xr:uid="{00000000-0005-0000-0000-000016940000}"/>
    <cellStyle name="Uwaga 2 8 2 2 2 7 5" xfId="37106" xr:uid="{00000000-0005-0000-0000-000017940000}"/>
    <cellStyle name="Uwaga 2 8 2 2 2 7 5 2" xfId="37107" xr:uid="{00000000-0005-0000-0000-000018940000}"/>
    <cellStyle name="Uwaga 2 8 2 2 2 7 6" xfId="37108" xr:uid="{00000000-0005-0000-0000-000019940000}"/>
    <cellStyle name="Uwaga 2 8 2 2 2 7 6 2" xfId="37109" xr:uid="{00000000-0005-0000-0000-00001A940000}"/>
    <cellStyle name="Uwaga 2 8 2 2 2 7 7" xfId="37110" xr:uid="{00000000-0005-0000-0000-00001B940000}"/>
    <cellStyle name="Uwaga 2 8 2 2 2 8" xfId="37111" xr:uid="{00000000-0005-0000-0000-00001C940000}"/>
    <cellStyle name="Uwaga 2 8 2 2 2 8 2" xfId="37112" xr:uid="{00000000-0005-0000-0000-00001D940000}"/>
    <cellStyle name="Uwaga 2 8 2 2 2 8 2 2" xfId="37113" xr:uid="{00000000-0005-0000-0000-00001E940000}"/>
    <cellStyle name="Uwaga 2 8 2 2 2 8 3" xfId="37114" xr:uid="{00000000-0005-0000-0000-00001F940000}"/>
    <cellStyle name="Uwaga 2 8 2 2 2 9" xfId="37115" xr:uid="{00000000-0005-0000-0000-000020940000}"/>
    <cellStyle name="Uwaga 2 8 2 2 2 9 2" xfId="37116" xr:uid="{00000000-0005-0000-0000-000021940000}"/>
    <cellStyle name="Uwaga 2 8 2 2 2 9 2 2" xfId="37117" xr:uid="{00000000-0005-0000-0000-000022940000}"/>
    <cellStyle name="Uwaga 2 8 2 2 2 9 3" xfId="37118" xr:uid="{00000000-0005-0000-0000-000023940000}"/>
    <cellStyle name="Uwaga 2 8 2 2 3" xfId="37119" xr:uid="{00000000-0005-0000-0000-000024940000}"/>
    <cellStyle name="Uwaga 2 8 2 2 3 2" xfId="37120" xr:uid="{00000000-0005-0000-0000-000025940000}"/>
    <cellStyle name="Uwaga 2 8 2 2 3 2 2" xfId="37121" xr:uid="{00000000-0005-0000-0000-000026940000}"/>
    <cellStyle name="Uwaga 2 8 2 2 3 2 2 2" xfId="37122" xr:uid="{00000000-0005-0000-0000-000027940000}"/>
    <cellStyle name="Uwaga 2 8 2 2 3 2 2 2 2" xfId="37123" xr:uid="{00000000-0005-0000-0000-000028940000}"/>
    <cellStyle name="Uwaga 2 8 2 2 3 2 2 3" xfId="37124" xr:uid="{00000000-0005-0000-0000-000029940000}"/>
    <cellStyle name="Uwaga 2 8 2 2 3 2 3" xfId="37125" xr:uid="{00000000-0005-0000-0000-00002A940000}"/>
    <cellStyle name="Uwaga 2 8 2 2 3 2 3 2" xfId="37126" xr:uid="{00000000-0005-0000-0000-00002B940000}"/>
    <cellStyle name="Uwaga 2 8 2 2 3 2 3 2 2" xfId="37127" xr:uid="{00000000-0005-0000-0000-00002C940000}"/>
    <cellStyle name="Uwaga 2 8 2 2 3 2 3 3" xfId="37128" xr:uid="{00000000-0005-0000-0000-00002D940000}"/>
    <cellStyle name="Uwaga 2 8 2 2 3 2 4" xfId="37129" xr:uid="{00000000-0005-0000-0000-00002E940000}"/>
    <cellStyle name="Uwaga 2 8 2 2 3 2 4 2" xfId="37130" xr:uid="{00000000-0005-0000-0000-00002F940000}"/>
    <cellStyle name="Uwaga 2 8 2 2 3 2 4 2 2" xfId="37131" xr:uid="{00000000-0005-0000-0000-000030940000}"/>
    <cellStyle name="Uwaga 2 8 2 2 3 2 4 3" xfId="37132" xr:uid="{00000000-0005-0000-0000-000031940000}"/>
    <cellStyle name="Uwaga 2 8 2 2 3 2 5" xfId="37133" xr:uid="{00000000-0005-0000-0000-000032940000}"/>
    <cellStyle name="Uwaga 2 8 2 2 3 2 5 2" xfId="37134" xr:uid="{00000000-0005-0000-0000-000033940000}"/>
    <cellStyle name="Uwaga 2 8 2 2 3 2 6" xfId="37135" xr:uid="{00000000-0005-0000-0000-000034940000}"/>
    <cellStyle name="Uwaga 2 8 2 2 3 2 6 2" xfId="37136" xr:uid="{00000000-0005-0000-0000-000035940000}"/>
    <cellStyle name="Uwaga 2 8 2 2 3 2 7" xfId="37137" xr:uid="{00000000-0005-0000-0000-000036940000}"/>
    <cellStyle name="Uwaga 2 8 2 2 3 3" xfId="37138" xr:uid="{00000000-0005-0000-0000-000037940000}"/>
    <cellStyle name="Uwaga 2 8 2 2 3 3 2" xfId="37139" xr:uid="{00000000-0005-0000-0000-000038940000}"/>
    <cellStyle name="Uwaga 2 8 2 2 3 3 2 2" xfId="37140" xr:uid="{00000000-0005-0000-0000-000039940000}"/>
    <cellStyle name="Uwaga 2 8 2 2 3 3 3" xfId="37141" xr:uid="{00000000-0005-0000-0000-00003A940000}"/>
    <cellStyle name="Uwaga 2 8 2 2 3 4" xfId="37142" xr:uid="{00000000-0005-0000-0000-00003B940000}"/>
    <cellStyle name="Uwaga 2 8 2 2 3 4 2" xfId="37143" xr:uid="{00000000-0005-0000-0000-00003C940000}"/>
    <cellStyle name="Uwaga 2 8 2 2 3 4 2 2" xfId="37144" xr:uid="{00000000-0005-0000-0000-00003D940000}"/>
    <cellStyle name="Uwaga 2 8 2 2 3 4 3" xfId="37145" xr:uid="{00000000-0005-0000-0000-00003E940000}"/>
    <cellStyle name="Uwaga 2 8 2 2 3 5" xfId="37146" xr:uid="{00000000-0005-0000-0000-00003F940000}"/>
    <cellStyle name="Uwaga 2 8 2 2 3 5 2" xfId="37147" xr:uid="{00000000-0005-0000-0000-000040940000}"/>
    <cellStyle name="Uwaga 2 8 2 2 3 5 2 2" xfId="37148" xr:uid="{00000000-0005-0000-0000-000041940000}"/>
    <cellStyle name="Uwaga 2 8 2 2 3 5 3" xfId="37149" xr:uid="{00000000-0005-0000-0000-000042940000}"/>
    <cellStyle name="Uwaga 2 8 2 2 3 6" xfId="37150" xr:uid="{00000000-0005-0000-0000-000043940000}"/>
    <cellStyle name="Uwaga 2 8 2 2 3 6 2" xfId="37151" xr:uid="{00000000-0005-0000-0000-000044940000}"/>
    <cellStyle name="Uwaga 2 8 2 2 3 7" xfId="37152" xr:uid="{00000000-0005-0000-0000-000045940000}"/>
    <cellStyle name="Uwaga 2 8 2 2 3 7 2" xfId="37153" xr:uid="{00000000-0005-0000-0000-000046940000}"/>
    <cellStyle name="Uwaga 2 8 2 2 3 8" xfId="37154" xr:uid="{00000000-0005-0000-0000-000047940000}"/>
    <cellStyle name="Uwaga 2 8 2 2 4" xfId="37155" xr:uid="{00000000-0005-0000-0000-000048940000}"/>
    <cellStyle name="Uwaga 2 8 2 2 4 2" xfId="37156" xr:uid="{00000000-0005-0000-0000-000049940000}"/>
    <cellStyle name="Uwaga 2 8 2 2 4 2 2" xfId="37157" xr:uid="{00000000-0005-0000-0000-00004A940000}"/>
    <cellStyle name="Uwaga 2 8 2 2 4 3" xfId="37158" xr:uid="{00000000-0005-0000-0000-00004B940000}"/>
    <cellStyle name="Uwaga 2 8 2 2 5" xfId="37159" xr:uid="{00000000-0005-0000-0000-00004C940000}"/>
    <cellStyle name="Uwaga 2 8 2 2 5 2" xfId="37160" xr:uid="{00000000-0005-0000-0000-00004D940000}"/>
    <cellStyle name="Uwaga 2 8 2 2 5 2 2" xfId="37161" xr:uid="{00000000-0005-0000-0000-00004E940000}"/>
    <cellStyle name="Uwaga 2 8 2 2 5 3" xfId="37162" xr:uid="{00000000-0005-0000-0000-00004F940000}"/>
    <cellStyle name="Uwaga 2 8 2 2 6" xfId="37163" xr:uid="{00000000-0005-0000-0000-000050940000}"/>
    <cellStyle name="Uwaga 2 8 2 2 6 2" xfId="37164" xr:uid="{00000000-0005-0000-0000-000051940000}"/>
    <cellStyle name="Uwaga 2 8 2 2 6 2 2" xfId="37165" xr:uid="{00000000-0005-0000-0000-000052940000}"/>
    <cellStyle name="Uwaga 2 8 2 2 6 3" xfId="37166" xr:uid="{00000000-0005-0000-0000-000053940000}"/>
    <cellStyle name="Uwaga 2 8 2 2 7" xfId="37167" xr:uid="{00000000-0005-0000-0000-000054940000}"/>
    <cellStyle name="Uwaga 2 8 2 2 7 2" xfId="37168" xr:uid="{00000000-0005-0000-0000-000055940000}"/>
    <cellStyle name="Uwaga 2 8 2 2 7 2 2" xfId="37169" xr:uid="{00000000-0005-0000-0000-000056940000}"/>
    <cellStyle name="Uwaga 2 8 2 2 7 2 2 2" xfId="37170" xr:uid="{00000000-0005-0000-0000-000057940000}"/>
    <cellStyle name="Uwaga 2 8 2 2 7 2 3" xfId="37171" xr:uid="{00000000-0005-0000-0000-000058940000}"/>
    <cellStyle name="Uwaga 2 8 2 2 7 3" xfId="37172" xr:uid="{00000000-0005-0000-0000-000059940000}"/>
    <cellStyle name="Uwaga 2 8 2 2 7 3 2" xfId="37173" xr:uid="{00000000-0005-0000-0000-00005A940000}"/>
    <cellStyle name="Uwaga 2 8 2 2 7 3 2 2" xfId="37174" xr:uid="{00000000-0005-0000-0000-00005B940000}"/>
    <cellStyle name="Uwaga 2 8 2 2 7 3 3" xfId="37175" xr:uid="{00000000-0005-0000-0000-00005C940000}"/>
    <cellStyle name="Uwaga 2 8 2 2 7 4" xfId="37176" xr:uid="{00000000-0005-0000-0000-00005D940000}"/>
    <cellStyle name="Uwaga 2 8 2 2 7 4 2" xfId="37177" xr:uid="{00000000-0005-0000-0000-00005E940000}"/>
    <cellStyle name="Uwaga 2 8 2 2 7 4 2 2" xfId="37178" xr:uid="{00000000-0005-0000-0000-00005F940000}"/>
    <cellStyle name="Uwaga 2 8 2 2 7 4 3" xfId="37179" xr:uid="{00000000-0005-0000-0000-000060940000}"/>
    <cellStyle name="Uwaga 2 8 2 2 7 5" xfId="37180" xr:uid="{00000000-0005-0000-0000-000061940000}"/>
    <cellStyle name="Uwaga 2 8 2 2 7 5 2" xfId="37181" xr:uid="{00000000-0005-0000-0000-000062940000}"/>
    <cellStyle name="Uwaga 2 8 2 2 7 6" xfId="37182" xr:uid="{00000000-0005-0000-0000-000063940000}"/>
    <cellStyle name="Uwaga 2 8 2 2 7 6 2" xfId="37183" xr:uid="{00000000-0005-0000-0000-000064940000}"/>
    <cellStyle name="Uwaga 2 8 2 2 7 7" xfId="37184" xr:uid="{00000000-0005-0000-0000-000065940000}"/>
    <cellStyle name="Uwaga 2 8 2 2 8" xfId="37185" xr:uid="{00000000-0005-0000-0000-000066940000}"/>
    <cellStyle name="Uwaga 2 8 2 2 8 2" xfId="37186" xr:uid="{00000000-0005-0000-0000-000067940000}"/>
    <cellStyle name="Uwaga 2 8 2 2 8 2 2" xfId="37187" xr:uid="{00000000-0005-0000-0000-000068940000}"/>
    <cellStyle name="Uwaga 2 8 2 2 8 3" xfId="37188" xr:uid="{00000000-0005-0000-0000-000069940000}"/>
    <cellStyle name="Uwaga 2 8 2 2 9" xfId="37189" xr:uid="{00000000-0005-0000-0000-00006A940000}"/>
    <cellStyle name="Uwaga 2 8 2 2 9 2" xfId="37190" xr:uid="{00000000-0005-0000-0000-00006B940000}"/>
    <cellStyle name="Uwaga 2 8 2 2 9 2 2" xfId="37191" xr:uid="{00000000-0005-0000-0000-00006C940000}"/>
    <cellStyle name="Uwaga 2 8 2 2 9 3" xfId="37192" xr:uid="{00000000-0005-0000-0000-00006D940000}"/>
    <cellStyle name="Uwaga 2 8 2 3" xfId="37193" xr:uid="{00000000-0005-0000-0000-00006E940000}"/>
    <cellStyle name="Uwaga 2 8 2 3 2" xfId="37194" xr:uid="{00000000-0005-0000-0000-00006F940000}"/>
    <cellStyle name="Uwaga 2 8 2 3 2 2" xfId="37195" xr:uid="{00000000-0005-0000-0000-000070940000}"/>
    <cellStyle name="Uwaga 2 8 2 3 2 2 2" xfId="37196" xr:uid="{00000000-0005-0000-0000-000071940000}"/>
    <cellStyle name="Uwaga 2 8 2 3 2 2 2 2" xfId="37197" xr:uid="{00000000-0005-0000-0000-000072940000}"/>
    <cellStyle name="Uwaga 2 8 2 3 2 2 3" xfId="37198" xr:uid="{00000000-0005-0000-0000-000073940000}"/>
    <cellStyle name="Uwaga 2 8 2 3 2 3" xfId="37199" xr:uid="{00000000-0005-0000-0000-000074940000}"/>
    <cellStyle name="Uwaga 2 8 2 3 2 3 2" xfId="37200" xr:uid="{00000000-0005-0000-0000-000075940000}"/>
    <cellStyle name="Uwaga 2 8 2 3 2 3 2 2" xfId="37201" xr:uid="{00000000-0005-0000-0000-000076940000}"/>
    <cellStyle name="Uwaga 2 8 2 3 2 3 3" xfId="37202" xr:uid="{00000000-0005-0000-0000-000077940000}"/>
    <cellStyle name="Uwaga 2 8 2 3 2 4" xfId="37203" xr:uid="{00000000-0005-0000-0000-000078940000}"/>
    <cellStyle name="Uwaga 2 8 2 3 2 4 2" xfId="37204" xr:uid="{00000000-0005-0000-0000-000079940000}"/>
    <cellStyle name="Uwaga 2 8 2 3 2 4 2 2" xfId="37205" xr:uid="{00000000-0005-0000-0000-00007A940000}"/>
    <cellStyle name="Uwaga 2 8 2 3 2 4 3" xfId="37206" xr:uid="{00000000-0005-0000-0000-00007B940000}"/>
    <cellStyle name="Uwaga 2 8 2 3 2 5" xfId="37207" xr:uid="{00000000-0005-0000-0000-00007C940000}"/>
    <cellStyle name="Uwaga 2 8 2 3 2 5 2" xfId="37208" xr:uid="{00000000-0005-0000-0000-00007D940000}"/>
    <cellStyle name="Uwaga 2 8 2 3 2 6" xfId="37209" xr:uid="{00000000-0005-0000-0000-00007E940000}"/>
    <cellStyle name="Uwaga 2 8 2 3 2 6 2" xfId="37210" xr:uid="{00000000-0005-0000-0000-00007F940000}"/>
    <cellStyle name="Uwaga 2 8 2 3 2 7" xfId="37211" xr:uid="{00000000-0005-0000-0000-000080940000}"/>
    <cellStyle name="Uwaga 2 8 2 3 3" xfId="37212" xr:uid="{00000000-0005-0000-0000-000081940000}"/>
    <cellStyle name="Uwaga 2 8 2 3 3 2" xfId="37213" xr:uid="{00000000-0005-0000-0000-000082940000}"/>
    <cellStyle name="Uwaga 2 8 2 3 3 2 2" xfId="37214" xr:uid="{00000000-0005-0000-0000-000083940000}"/>
    <cellStyle name="Uwaga 2 8 2 3 3 3" xfId="37215" xr:uid="{00000000-0005-0000-0000-000084940000}"/>
    <cellStyle name="Uwaga 2 8 2 3 4" xfId="37216" xr:uid="{00000000-0005-0000-0000-000085940000}"/>
    <cellStyle name="Uwaga 2 8 2 3 4 2" xfId="37217" xr:uid="{00000000-0005-0000-0000-000086940000}"/>
    <cellStyle name="Uwaga 2 8 2 3 4 2 2" xfId="37218" xr:uid="{00000000-0005-0000-0000-000087940000}"/>
    <cellStyle name="Uwaga 2 8 2 3 4 3" xfId="37219" xr:uid="{00000000-0005-0000-0000-000088940000}"/>
    <cellStyle name="Uwaga 2 8 2 3 5" xfId="37220" xr:uid="{00000000-0005-0000-0000-000089940000}"/>
    <cellStyle name="Uwaga 2 8 2 3 5 2" xfId="37221" xr:uid="{00000000-0005-0000-0000-00008A940000}"/>
    <cellStyle name="Uwaga 2 8 2 3 5 2 2" xfId="37222" xr:uid="{00000000-0005-0000-0000-00008B940000}"/>
    <cellStyle name="Uwaga 2 8 2 3 5 3" xfId="37223" xr:uid="{00000000-0005-0000-0000-00008C940000}"/>
    <cellStyle name="Uwaga 2 8 2 3 6" xfId="37224" xr:uid="{00000000-0005-0000-0000-00008D940000}"/>
    <cellStyle name="Uwaga 2 8 2 3 6 2" xfId="37225" xr:uid="{00000000-0005-0000-0000-00008E940000}"/>
    <cellStyle name="Uwaga 2 8 2 3 7" xfId="37226" xr:uid="{00000000-0005-0000-0000-00008F940000}"/>
    <cellStyle name="Uwaga 2 8 2 3 7 2" xfId="37227" xr:uid="{00000000-0005-0000-0000-000090940000}"/>
    <cellStyle name="Uwaga 2 8 2 3 8" xfId="37228" xr:uid="{00000000-0005-0000-0000-000091940000}"/>
    <cellStyle name="Uwaga 2 8 2 4" xfId="37229" xr:uid="{00000000-0005-0000-0000-000092940000}"/>
    <cellStyle name="Uwaga 2 8 2 4 2" xfId="37230" xr:uid="{00000000-0005-0000-0000-000093940000}"/>
    <cellStyle name="Uwaga 2 8 2 4 2 2" xfId="37231" xr:uid="{00000000-0005-0000-0000-000094940000}"/>
    <cellStyle name="Uwaga 2 8 2 4 3" xfId="37232" xr:uid="{00000000-0005-0000-0000-000095940000}"/>
    <cellStyle name="Uwaga 2 8 2 5" xfId="37233" xr:uid="{00000000-0005-0000-0000-000096940000}"/>
    <cellStyle name="Uwaga 2 8 2 5 2" xfId="37234" xr:uid="{00000000-0005-0000-0000-000097940000}"/>
    <cellStyle name="Uwaga 2 8 2 5 2 2" xfId="37235" xr:uid="{00000000-0005-0000-0000-000098940000}"/>
    <cellStyle name="Uwaga 2 8 2 5 3" xfId="37236" xr:uid="{00000000-0005-0000-0000-000099940000}"/>
    <cellStyle name="Uwaga 2 8 2 6" xfId="37237" xr:uid="{00000000-0005-0000-0000-00009A940000}"/>
    <cellStyle name="Uwaga 2 8 2 6 2" xfId="37238" xr:uid="{00000000-0005-0000-0000-00009B940000}"/>
    <cellStyle name="Uwaga 2 8 2 6 2 2" xfId="37239" xr:uid="{00000000-0005-0000-0000-00009C940000}"/>
    <cellStyle name="Uwaga 2 8 2 6 3" xfId="37240" xr:uid="{00000000-0005-0000-0000-00009D940000}"/>
    <cellStyle name="Uwaga 2 8 2 7" xfId="37241" xr:uid="{00000000-0005-0000-0000-00009E940000}"/>
    <cellStyle name="Uwaga 2 8 2 7 2" xfId="37242" xr:uid="{00000000-0005-0000-0000-00009F940000}"/>
    <cellStyle name="Uwaga 2 8 2 7 2 2" xfId="37243" xr:uid="{00000000-0005-0000-0000-0000A0940000}"/>
    <cellStyle name="Uwaga 2 8 2 7 3" xfId="37244" xr:uid="{00000000-0005-0000-0000-0000A1940000}"/>
    <cellStyle name="Uwaga 2 8 2 8" xfId="37245" xr:uid="{00000000-0005-0000-0000-0000A2940000}"/>
    <cellStyle name="Uwaga 2 8 2 8 2" xfId="37246" xr:uid="{00000000-0005-0000-0000-0000A3940000}"/>
    <cellStyle name="Uwaga 2 8 2 8 2 2" xfId="37247" xr:uid="{00000000-0005-0000-0000-0000A4940000}"/>
    <cellStyle name="Uwaga 2 8 2 8 2 2 2" xfId="37248" xr:uid="{00000000-0005-0000-0000-0000A5940000}"/>
    <cellStyle name="Uwaga 2 8 2 8 2 3" xfId="37249" xr:uid="{00000000-0005-0000-0000-0000A6940000}"/>
    <cellStyle name="Uwaga 2 8 2 8 3" xfId="37250" xr:uid="{00000000-0005-0000-0000-0000A7940000}"/>
    <cellStyle name="Uwaga 2 8 2 8 3 2" xfId="37251" xr:uid="{00000000-0005-0000-0000-0000A8940000}"/>
    <cellStyle name="Uwaga 2 8 2 8 3 2 2" xfId="37252" xr:uid="{00000000-0005-0000-0000-0000A9940000}"/>
    <cellStyle name="Uwaga 2 8 2 8 3 3" xfId="37253" xr:uid="{00000000-0005-0000-0000-0000AA940000}"/>
    <cellStyle name="Uwaga 2 8 2 8 4" xfId="37254" xr:uid="{00000000-0005-0000-0000-0000AB940000}"/>
    <cellStyle name="Uwaga 2 8 2 8 4 2" xfId="37255" xr:uid="{00000000-0005-0000-0000-0000AC940000}"/>
    <cellStyle name="Uwaga 2 8 2 8 4 2 2" xfId="37256" xr:uid="{00000000-0005-0000-0000-0000AD940000}"/>
    <cellStyle name="Uwaga 2 8 2 8 4 3" xfId="37257" xr:uid="{00000000-0005-0000-0000-0000AE940000}"/>
    <cellStyle name="Uwaga 2 8 2 8 5" xfId="37258" xr:uid="{00000000-0005-0000-0000-0000AF940000}"/>
    <cellStyle name="Uwaga 2 8 2 8 5 2" xfId="37259" xr:uid="{00000000-0005-0000-0000-0000B0940000}"/>
    <cellStyle name="Uwaga 2 8 2 8 6" xfId="37260" xr:uid="{00000000-0005-0000-0000-0000B1940000}"/>
    <cellStyle name="Uwaga 2 8 2 8 6 2" xfId="37261" xr:uid="{00000000-0005-0000-0000-0000B2940000}"/>
    <cellStyle name="Uwaga 2 8 2 8 7" xfId="37262" xr:uid="{00000000-0005-0000-0000-0000B3940000}"/>
    <cellStyle name="Uwaga 2 8 2 9" xfId="37263" xr:uid="{00000000-0005-0000-0000-0000B4940000}"/>
    <cellStyle name="Uwaga 2 8 2 9 2" xfId="37264" xr:uid="{00000000-0005-0000-0000-0000B5940000}"/>
    <cellStyle name="Uwaga 2 8 2 9 2 2" xfId="37265" xr:uid="{00000000-0005-0000-0000-0000B6940000}"/>
    <cellStyle name="Uwaga 2 8 2 9 3" xfId="37266" xr:uid="{00000000-0005-0000-0000-0000B7940000}"/>
    <cellStyle name="Uwaga 2 8 3" xfId="37267" xr:uid="{00000000-0005-0000-0000-0000B8940000}"/>
    <cellStyle name="Uwaga 2 8 3 2" xfId="37268" xr:uid="{00000000-0005-0000-0000-0000B9940000}"/>
    <cellStyle name="Uwaga 2 8 3 2 2" xfId="37269" xr:uid="{00000000-0005-0000-0000-0000BA940000}"/>
    <cellStyle name="Uwaga 2 8 3 3" xfId="37270" xr:uid="{00000000-0005-0000-0000-0000BB940000}"/>
    <cellStyle name="Uwaga 2 8 4" xfId="37271" xr:uid="{00000000-0005-0000-0000-0000BC940000}"/>
    <cellStyle name="Uwaga 2 8 4 10" xfId="37272" xr:uid="{00000000-0005-0000-0000-0000BD940000}"/>
    <cellStyle name="Uwaga 2 8 4 10 2" xfId="37273" xr:uid="{00000000-0005-0000-0000-0000BE940000}"/>
    <cellStyle name="Uwaga 2 8 4 11" xfId="37274" xr:uid="{00000000-0005-0000-0000-0000BF940000}"/>
    <cellStyle name="Uwaga 2 8 4 11 2" xfId="37275" xr:uid="{00000000-0005-0000-0000-0000C0940000}"/>
    <cellStyle name="Uwaga 2 8 4 12" xfId="37276" xr:uid="{00000000-0005-0000-0000-0000C1940000}"/>
    <cellStyle name="Uwaga 2 8 4 2" xfId="37277" xr:uid="{00000000-0005-0000-0000-0000C2940000}"/>
    <cellStyle name="Uwaga 2 8 4 2 2" xfId="37278" xr:uid="{00000000-0005-0000-0000-0000C3940000}"/>
    <cellStyle name="Uwaga 2 8 4 2 2 2" xfId="37279" xr:uid="{00000000-0005-0000-0000-0000C4940000}"/>
    <cellStyle name="Uwaga 2 8 4 2 2 2 2" xfId="37280" xr:uid="{00000000-0005-0000-0000-0000C5940000}"/>
    <cellStyle name="Uwaga 2 8 4 2 2 2 2 2" xfId="37281" xr:uid="{00000000-0005-0000-0000-0000C6940000}"/>
    <cellStyle name="Uwaga 2 8 4 2 2 2 3" xfId="37282" xr:uid="{00000000-0005-0000-0000-0000C7940000}"/>
    <cellStyle name="Uwaga 2 8 4 2 2 3" xfId="37283" xr:uid="{00000000-0005-0000-0000-0000C8940000}"/>
    <cellStyle name="Uwaga 2 8 4 2 2 3 2" xfId="37284" xr:uid="{00000000-0005-0000-0000-0000C9940000}"/>
    <cellStyle name="Uwaga 2 8 4 2 2 3 2 2" xfId="37285" xr:uid="{00000000-0005-0000-0000-0000CA940000}"/>
    <cellStyle name="Uwaga 2 8 4 2 2 3 3" xfId="37286" xr:uid="{00000000-0005-0000-0000-0000CB940000}"/>
    <cellStyle name="Uwaga 2 8 4 2 2 4" xfId="37287" xr:uid="{00000000-0005-0000-0000-0000CC940000}"/>
    <cellStyle name="Uwaga 2 8 4 2 2 4 2" xfId="37288" xr:uid="{00000000-0005-0000-0000-0000CD940000}"/>
    <cellStyle name="Uwaga 2 8 4 2 2 4 2 2" xfId="37289" xr:uid="{00000000-0005-0000-0000-0000CE940000}"/>
    <cellStyle name="Uwaga 2 8 4 2 2 4 3" xfId="37290" xr:uid="{00000000-0005-0000-0000-0000CF940000}"/>
    <cellStyle name="Uwaga 2 8 4 2 2 5" xfId="37291" xr:uid="{00000000-0005-0000-0000-0000D0940000}"/>
    <cellStyle name="Uwaga 2 8 4 2 2 5 2" xfId="37292" xr:uid="{00000000-0005-0000-0000-0000D1940000}"/>
    <cellStyle name="Uwaga 2 8 4 2 2 6" xfId="37293" xr:uid="{00000000-0005-0000-0000-0000D2940000}"/>
    <cellStyle name="Uwaga 2 8 4 2 2 6 2" xfId="37294" xr:uid="{00000000-0005-0000-0000-0000D3940000}"/>
    <cellStyle name="Uwaga 2 8 4 2 2 7" xfId="37295" xr:uid="{00000000-0005-0000-0000-0000D4940000}"/>
    <cellStyle name="Uwaga 2 8 4 2 3" xfId="37296" xr:uid="{00000000-0005-0000-0000-0000D5940000}"/>
    <cellStyle name="Uwaga 2 8 4 2 3 2" xfId="37297" xr:uid="{00000000-0005-0000-0000-0000D6940000}"/>
    <cellStyle name="Uwaga 2 8 4 2 3 2 2" xfId="37298" xr:uid="{00000000-0005-0000-0000-0000D7940000}"/>
    <cellStyle name="Uwaga 2 8 4 2 3 3" xfId="37299" xr:uid="{00000000-0005-0000-0000-0000D8940000}"/>
    <cellStyle name="Uwaga 2 8 4 2 4" xfId="37300" xr:uid="{00000000-0005-0000-0000-0000D9940000}"/>
    <cellStyle name="Uwaga 2 8 4 2 4 2" xfId="37301" xr:uid="{00000000-0005-0000-0000-0000DA940000}"/>
    <cellStyle name="Uwaga 2 8 4 2 4 2 2" xfId="37302" xr:uid="{00000000-0005-0000-0000-0000DB940000}"/>
    <cellStyle name="Uwaga 2 8 4 2 4 3" xfId="37303" xr:uid="{00000000-0005-0000-0000-0000DC940000}"/>
    <cellStyle name="Uwaga 2 8 4 2 5" xfId="37304" xr:uid="{00000000-0005-0000-0000-0000DD940000}"/>
    <cellStyle name="Uwaga 2 8 4 2 5 2" xfId="37305" xr:uid="{00000000-0005-0000-0000-0000DE940000}"/>
    <cellStyle name="Uwaga 2 8 4 2 5 2 2" xfId="37306" xr:uid="{00000000-0005-0000-0000-0000DF940000}"/>
    <cellStyle name="Uwaga 2 8 4 2 5 3" xfId="37307" xr:uid="{00000000-0005-0000-0000-0000E0940000}"/>
    <cellStyle name="Uwaga 2 8 4 2 6" xfId="37308" xr:uid="{00000000-0005-0000-0000-0000E1940000}"/>
    <cellStyle name="Uwaga 2 8 4 2 6 2" xfId="37309" xr:uid="{00000000-0005-0000-0000-0000E2940000}"/>
    <cellStyle name="Uwaga 2 8 4 2 7" xfId="37310" xr:uid="{00000000-0005-0000-0000-0000E3940000}"/>
    <cellStyle name="Uwaga 2 8 4 2 7 2" xfId="37311" xr:uid="{00000000-0005-0000-0000-0000E4940000}"/>
    <cellStyle name="Uwaga 2 8 4 2 8" xfId="37312" xr:uid="{00000000-0005-0000-0000-0000E5940000}"/>
    <cellStyle name="Uwaga 2 8 4 3" xfId="37313" xr:uid="{00000000-0005-0000-0000-0000E6940000}"/>
    <cellStyle name="Uwaga 2 8 4 3 2" xfId="37314" xr:uid="{00000000-0005-0000-0000-0000E7940000}"/>
    <cellStyle name="Uwaga 2 8 4 3 2 2" xfId="37315" xr:uid="{00000000-0005-0000-0000-0000E8940000}"/>
    <cellStyle name="Uwaga 2 8 4 3 3" xfId="37316" xr:uid="{00000000-0005-0000-0000-0000E9940000}"/>
    <cellStyle name="Uwaga 2 8 4 4" xfId="37317" xr:uid="{00000000-0005-0000-0000-0000EA940000}"/>
    <cellStyle name="Uwaga 2 8 4 4 2" xfId="37318" xr:uid="{00000000-0005-0000-0000-0000EB940000}"/>
    <cellStyle name="Uwaga 2 8 4 4 2 2" xfId="37319" xr:uid="{00000000-0005-0000-0000-0000EC940000}"/>
    <cellStyle name="Uwaga 2 8 4 4 3" xfId="37320" xr:uid="{00000000-0005-0000-0000-0000ED940000}"/>
    <cellStyle name="Uwaga 2 8 4 5" xfId="37321" xr:uid="{00000000-0005-0000-0000-0000EE940000}"/>
    <cellStyle name="Uwaga 2 8 4 5 2" xfId="37322" xr:uid="{00000000-0005-0000-0000-0000EF940000}"/>
    <cellStyle name="Uwaga 2 8 4 5 2 2" xfId="37323" xr:uid="{00000000-0005-0000-0000-0000F0940000}"/>
    <cellStyle name="Uwaga 2 8 4 5 3" xfId="37324" xr:uid="{00000000-0005-0000-0000-0000F1940000}"/>
    <cellStyle name="Uwaga 2 8 4 6" xfId="37325" xr:uid="{00000000-0005-0000-0000-0000F2940000}"/>
    <cellStyle name="Uwaga 2 8 4 6 2" xfId="37326" xr:uid="{00000000-0005-0000-0000-0000F3940000}"/>
    <cellStyle name="Uwaga 2 8 4 6 2 2" xfId="37327" xr:uid="{00000000-0005-0000-0000-0000F4940000}"/>
    <cellStyle name="Uwaga 2 8 4 6 3" xfId="37328" xr:uid="{00000000-0005-0000-0000-0000F5940000}"/>
    <cellStyle name="Uwaga 2 8 4 7" xfId="37329" xr:uid="{00000000-0005-0000-0000-0000F6940000}"/>
    <cellStyle name="Uwaga 2 8 4 7 2" xfId="37330" xr:uid="{00000000-0005-0000-0000-0000F7940000}"/>
    <cellStyle name="Uwaga 2 8 4 7 2 2" xfId="37331" xr:uid="{00000000-0005-0000-0000-0000F8940000}"/>
    <cellStyle name="Uwaga 2 8 4 7 2 2 2" xfId="37332" xr:uid="{00000000-0005-0000-0000-0000F9940000}"/>
    <cellStyle name="Uwaga 2 8 4 7 2 3" xfId="37333" xr:uid="{00000000-0005-0000-0000-0000FA940000}"/>
    <cellStyle name="Uwaga 2 8 4 7 3" xfId="37334" xr:uid="{00000000-0005-0000-0000-0000FB940000}"/>
    <cellStyle name="Uwaga 2 8 4 7 3 2" xfId="37335" xr:uid="{00000000-0005-0000-0000-0000FC940000}"/>
    <cellStyle name="Uwaga 2 8 4 7 3 2 2" xfId="37336" xr:uid="{00000000-0005-0000-0000-0000FD940000}"/>
    <cellStyle name="Uwaga 2 8 4 7 3 3" xfId="37337" xr:uid="{00000000-0005-0000-0000-0000FE940000}"/>
    <cellStyle name="Uwaga 2 8 4 7 4" xfId="37338" xr:uid="{00000000-0005-0000-0000-0000FF940000}"/>
    <cellStyle name="Uwaga 2 8 4 7 4 2" xfId="37339" xr:uid="{00000000-0005-0000-0000-000000950000}"/>
    <cellStyle name="Uwaga 2 8 4 7 4 2 2" xfId="37340" xr:uid="{00000000-0005-0000-0000-000001950000}"/>
    <cellStyle name="Uwaga 2 8 4 7 4 3" xfId="37341" xr:uid="{00000000-0005-0000-0000-000002950000}"/>
    <cellStyle name="Uwaga 2 8 4 7 5" xfId="37342" xr:uid="{00000000-0005-0000-0000-000003950000}"/>
    <cellStyle name="Uwaga 2 8 4 7 5 2" xfId="37343" xr:uid="{00000000-0005-0000-0000-000004950000}"/>
    <cellStyle name="Uwaga 2 8 4 7 6" xfId="37344" xr:uid="{00000000-0005-0000-0000-000005950000}"/>
    <cellStyle name="Uwaga 2 8 4 7 6 2" xfId="37345" xr:uid="{00000000-0005-0000-0000-000006950000}"/>
    <cellStyle name="Uwaga 2 8 4 7 7" xfId="37346" xr:uid="{00000000-0005-0000-0000-000007950000}"/>
    <cellStyle name="Uwaga 2 8 4 8" xfId="37347" xr:uid="{00000000-0005-0000-0000-000008950000}"/>
    <cellStyle name="Uwaga 2 8 4 8 2" xfId="37348" xr:uid="{00000000-0005-0000-0000-000009950000}"/>
    <cellStyle name="Uwaga 2 8 4 8 2 2" xfId="37349" xr:uid="{00000000-0005-0000-0000-00000A950000}"/>
    <cellStyle name="Uwaga 2 8 4 8 3" xfId="37350" xr:uid="{00000000-0005-0000-0000-00000B950000}"/>
    <cellStyle name="Uwaga 2 8 4 9" xfId="37351" xr:uid="{00000000-0005-0000-0000-00000C950000}"/>
    <cellStyle name="Uwaga 2 8 4 9 2" xfId="37352" xr:uid="{00000000-0005-0000-0000-00000D950000}"/>
    <cellStyle name="Uwaga 2 8 4 9 2 2" xfId="37353" xr:uid="{00000000-0005-0000-0000-00000E950000}"/>
    <cellStyle name="Uwaga 2 8 4 9 3" xfId="37354" xr:uid="{00000000-0005-0000-0000-00000F950000}"/>
    <cellStyle name="Uwaga 2 8 5" xfId="37355" xr:uid="{00000000-0005-0000-0000-000010950000}"/>
    <cellStyle name="Uwaga 2 8 5 2" xfId="37356" xr:uid="{00000000-0005-0000-0000-000011950000}"/>
    <cellStyle name="Uwaga 2 8 5 2 2" xfId="37357" xr:uid="{00000000-0005-0000-0000-000012950000}"/>
    <cellStyle name="Uwaga 2 8 5 2 2 2" xfId="37358" xr:uid="{00000000-0005-0000-0000-000013950000}"/>
    <cellStyle name="Uwaga 2 8 5 2 2 2 2" xfId="37359" xr:uid="{00000000-0005-0000-0000-000014950000}"/>
    <cellStyle name="Uwaga 2 8 5 2 2 3" xfId="37360" xr:uid="{00000000-0005-0000-0000-000015950000}"/>
    <cellStyle name="Uwaga 2 8 5 2 3" xfId="37361" xr:uid="{00000000-0005-0000-0000-000016950000}"/>
    <cellStyle name="Uwaga 2 8 5 2 3 2" xfId="37362" xr:uid="{00000000-0005-0000-0000-000017950000}"/>
    <cellStyle name="Uwaga 2 8 5 2 3 2 2" xfId="37363" xr:uid="{00000000-0005-0000-0000-000018950000}"/>
    <cellStyle name="Uwaga 2 8 5 2 3 3" xfId="37364" xr:uid="{00000000-0005-0000-0000-000019950000}"/>
    <cellStyle name="Uwaga 2 8 5 2 4" xfId="37365" xr:uid="{00000000-0005-0000-0000-00001A950000}"/>
    <cellStyle name="Uwaga 2 8 5 2 4 2" xfId="37366" xr:uid="{00000000-0005-0000-0000-00001B950000}"/>
    <cellStyle name="Uwaga 2 8 5 2 4 2 2" xfId="37367" xr:uid="{00000000-0005-0000-0000-00001C950000}"/>
    <cellStyle name="Uwaga 2 8 5 2 4 3" xfId="37368" xr:uid="{00000000-0005-0000-0000-00001D950000}"/>
    <cellStyle name="Uwaga 2 8 5 2 5" xfId="37369" xr:uid="{00000000-0005-0000-0000-00001E950000}"/>
    <cellStyle name="Uwaga 2 8 5 2 5 2" xfId="37370" xr:uid="{00000000-0005-0000-0000-00001F950000}"/>
    <cellStyle name="Uwaga 2 8 5 2 6" xfId="37371" xr:uid="{00000000-0005-0000-0000-000020950000}"/>
    <cellStyle name="Uwaga 2 8 5 2 6 2" xfId="37372" xr:uid="{00000000-0005-0000-0000-000021950000}"/>
    <cellStyle name="Uwaga 2 8 5 2 7" xfId="37373" xr:uid="{00000000-0005-0000-0000-000022950000}"/>
    <cellStyle name="Uwaga 2 8 5 3" xfId="37374" xr:uid="{00000000-0005-0000-0000-000023950000}"/>
    <cellStyle name="Uwaga 2 8 5 3 2" xfId="37375" xr:uid="{00000000-0005-0000-0000-000024950000}"/>
    <cellStyle name="Uwaga 2 8 5 3 2 2" xfId="37376" xr:uid="{00000000-0005-0000-0000-000025950000}"/>
    <cellStyle name="Uwaga 2 8 5 3 3" xfId="37377" xr:uid="{00000000-0005-0000-0000-000026950000}"/>
    <cellStyle name="Uwaga 2 8 5 4" xfId="37378" xr:uid="{00000000-0005-0000-0000-000027950000}"/>
    <cellStyle name="Uwaga 2 8 5 4 2" xfId="37379" xr:uid="{00000000-0005-0000-0000-000028950000}"/>
    <cellStyle name="Uwaga 2 8 5 4 2 2" xfId="37380" xr:uid="{00000000-0005-0000-0000-000029950000}"/>
    <cellStyle name="Uwaga 2 8 5 4 3" xfId="37381" xr:uid="{00000000-0005-0000-0000-00002A950000}"/>
    <cellStyle name="Uwaga 2 8 5 5" xfId="37382" xr:uid="{00000000-0005-0000-0000-00002B950000}"/>
    <cellStyle name="Uwaga 2 8 5 5 2" xfId="37383" xr:uid="{00000000-0005-0000-0000-00002C950000}"/>
    <cellStyle name="Uwaga 2 8 5 5 2 2" xfId="37384" xr:uid="{00000000-0005-0000-0000-00002D950000}"/>
    <cellStyle name="Uwaga 2 8 5 5 3" xfId="37385" xr:uid="{00000000-0005-0000-0000-00002E950000}"/>
    <cellStyle name="Uwaga 2 8 5 6" xfId="37386" xr:uid="{00000000-0005-0000-0000-00002F950000}"/>
    <cellStyle name="Uwaga 2 8 5 6 2" xfId="37387" xr:uid="{00000000-0005-0000-0000-000030950000}"/>
    <cellStyle name="Uwaga 2 8 5 7" xfId="37388" xr:uid="{00000000-0005-0000-0000-000031950000}"/>
    <cellStyle name="Uwaga 2 8 5 7 2" xfId="37389" xr:uid="{00000000-0005-0000-0000-000032950000}"/>
    <cellStyle name="Uwaga 2 8 5 8" xfId="37390" xr:uid="{00000000-0005-0000-0000-000033950000}"/>
    <cellStyle name="Uwaga 2 8 6" xfId="37391" xr:uid="{00000000-0005-0000-0000-000034950000}"/>
    <cellStyle name="Uwaga 2 8 6 2" xfId="37392" xr:uid="{00000000-0005-0000-0000-000035950000}"/>
    <cellStyle name="Uwaga 2 8 6 2 2" xfId="37393" xr:uid="{00000000-0005-0000-0000-000036950000}"/>
    <cellStyle name="Uwaga 2 8 6 3" xfId="37394" xr:uid="{00000000-0005-0000-0000-000037950000}"/>
    <cellStyle name="Uwaga 2 8 7" xfId="37395" xr:uid="{00000000-0005-0000-0000-000038950000}"/>
    <cellStyle name="Uwaga 2 8 7 2" xfId="37396" xr:uid="{00000000-0005-0000-0000-000039950000}"/>
    <cellStyle name="Uwaga 2 8 7 2 2" xfId="37397" xr:uid="{00000000-0005-0000-0000-00003A950000}"/>
    <cellStyle name="Uwaga 2 8 7 3" xfId="37398" xr:uid="{00000000-0005-0000-0000-00003B950000}"/>
    <cellStyle name="Uwaga 2 8 8" xfId="37399" xr:uid="{00000000-0005-0000-0000-00003C950000}"/>
    <cellStyle name="Uwaga 2 8 8 2" xfId="37400" xr:uid="{00000000-0005-0000-0000-00003D950000}"/>
    <cellStyle name="Uwaga 2 8 8 2 2" xfId="37401" xr:uid="{00000000-0005-0000-0000-00003E950000}"/>
    <cellStyle name="Uwaga 2 8 8 3" xfId="37402" xr:uid="{00000000-0005-0000-0000-00003F950000}"/>
    <cellStyle name="Uwaga 2 8 9" xfId="37403" xr:uid="{00000000-0005-0000-0000-000040950000}"/>
    <cellStyle name="Uwaga 2 8 9 2" xfId="37404" xr:uid="{00000000-0005-0000-0000-000041950000}"/>
    <cellStyle name="Uwaga 2 8 9 2 2" xfId="37405" xr:uid="{00000000-0005-0000-0000-000042950000}"/>
    <cellStyle name="Uwaga 2 8 9 2 2 2" xfId="37406" xr:uid="{00000000-0005-0000-0000-000043950000}"/>
    <cellStyle name="Uwaga 2 8 9 2 3" xfId="37407" xr:uid="{00000000-0005-0000-0000-000044950000}"/>
    <cellStyle name="Uwaga 2 8 9 3" xfId="37408" xr:uid="{00000000-0005-0000-0000-000045950000}"/>
    <cellStyle name="Uwaga 2 8 9 3 2" xfId="37409" xr:uid="{00000000-0005-0000-0000-000046950000}"/>
    <cellStyle name="Uwaga 2 8 9 3 2 2" xfId="37410" xr:uid="{00000000-0005-0000-0000-000047950000}"/>
    <cellStyle name="Uwaga 2 8 9 3 3" xfId="37411" xr:uid="{00000000-0005-0000-0000-000048950000}"/>
    <cellStyle name="Uwaga 2 8 9 4" xfId="37412" xr:uid="{00000000-0005-0000-0000-000049950000}"/>
    <cellStyle name="Uwaga 2 8 9 4 2" xfId="37413" xr:uid="{00000000-0005-0000-0000-00004A950000}"/>
    <cellStyle name="Uwaga 2 8 9 4 2 2" xfId="37414" xr:uid="{00000000-0005-0000-0000-00004B950000}"/>
    <cellStyle name="Uwaga 2 8 9 4 3" xfId="37415" xr:uid="{00000000-0005-0000-0000-00004C950000}"/>
    <cellStyle name="Uwaga 2 8 9 5" xfId="37416" xr:uid="{00000000-0005-0000-0000-00004D950000}"/>
    <cellStyle name="Uwaga 2 8 9 5 2" xfId="37417" xr:uid="{00000000-0005-0000-0000-00004E950000}"/>
    <cellStyle name="Uwaga 2 8 9 6" xfId="37418" xr:uid="{00000000-0005-0000-0000-00004F950000}"/>
    <cellStyle name="Uwaga 2 8 9 6 2" xfId="37419" xr:uid="{00000000-0005-0000-0000-000050950000}"/>
    <cellStyle name="Uwaga 2 8 9 7" xfId="37420" xr:uid="{00000000-0005-0000-0000-000051950000}"/>
    <cellStyle name="Uwaga 2 9" xfId="37421" xr:uid="{00000000-0005-0000-0000-000052950000}"/>
    <cellStyle name="Uwaga 2 9 2" xfId="37422" xr:uid="{00000000-0005-0000-0000-000053950000}"/>
    <cellStyle name="Uwaga 2 9 2 2" xfId="37423" xr:uid="{00000000-0005-0000-0000-000054950000}"/>
    <cellStyle name="Uwaga 2 9 3" xfId="37424" xr:uid="{00000000-0005-0000-0000-000055950000}"/>
    <cellStyle name="Uwaga 3" xfId="361" xr:uid="{00000000-0005-0000-0000-000056950000}"/>
    <cellStyle name="Uwaga 3 2" xfId="37426" xr:uid="{00000000-0005-0000-0000-000057950000}"/>
    <cellStyle name="Uwaga 3 2 2" xfId="37427" xr:uid="{00000000-0005-0000-0000-000058950000}"/>
    <cellStyle name="Uwaga 3 3" xfId="37428" xr:uid="{00000000-0005-0000-0000-000059950000}"/>
    <cellStyle name="Uwaga 3 3 2" xfId="37429" xr:uid="{00000000-0005-0000-0000-00005A950000}"/>
    <cellStyle name="Uwaga 3 4" xfId="37430" xr:uid="{00000000-0005-0000-0000-00005B950000}"/>
    <cellStyle name="Uwaga 3 4 2" xfId="37431" xr:uid="{00000000-0005-0000-0000-00005C950000}"/>
    <cellStyle name="Uwaga 3 5" xfId="37432" xr:uid="{00000000-0005-0000-0000-00005D950000}"/>
    <cellStyle name="Uwaga 3 5 2" xfId="37433" xr:uid="{00000000-0005-0000-0000-00005E950000}"/>
    <cellStyle name="Uwaga 3 6" xfId="37434" xr:uid="{00000000-0005-0000-0000-00005F950000}"/>
    <cellStyle name="Uwaga 3 7" xfId="37435" xr:uid="{00000000-0005-0000-0000-000060950000}"/>
    <cellStyle name="Uwaga 3 8" xfId="37425" xr:uid="{00000000-0005-0000-0000-000061950000}"/>
    <cellStyle name="Uwaga 4" xfId="362" xr:uid="{00000000-0005-0000-0000-000062950000}"/>
    <cellStyle name="Uwaga 4 2" xfId="37437" xr:uid="{00000000-0005-0000-0000-000063950000}"/>
    <cellStyle name="Uwaga 4 2 2" xfId="37438" xr:uid="{00000000-0005-0000-0000-000064950000}"/>
    <cellStyle name="Uwaga 4 3" xfId="37439" xr:uid="{00000000-0005-0000-0000-000065950000}"/>
    <cellStyle name="Uwaga 4 4" xfId="37440" xr:uid="{00000000-0005-0000-0000-000066950000}"/>
    <cellStyle name="Uwaga 4 5" xfId="37436" xr:uid="{00000000-0005-0000-0000-000067950000}"/>
    <cellStyle name="Uwaga 5" xfId="363" xr:uid="{00000000-0005-0000-0000-000068950000}"/>
    <cellStyle name="Uwaga 5 2" xfId="37442" xr:uid="{00000000-0005-0000-0000-000069950000}"/>
    <cellStyle name="Uwaga 5 2 2" xfId="37443" xr:uid="{00000000-0005-0000-0000-00006A950000}"/>
    <cellStyle name="Uwaga 5 3" xfId="37444" xr:uid="{00000000-0005-0000-0000-00006B950000}"/>
    <cellStyle name="Uwaga 5 4" xfId="37445" xr:uid="{00000000-0005-0000-0000-00006C950000}"/>
    <cellStyle name="Uwaga 5 5" xfId="37441" xr:uid="{00000000-0005-0000-0000-00006D950000}"/>
    <cellStyle name="Uwaga 6" xfId="364" xr:uid="{00000000-0005-0000-0000-00006E950000}"/>
    <cellStyle name="Uwaga 6 2" xfId="37447" xr:uid="{00000000-0005-0000-0000-00006F950000}"/>
    <cellStyle name="Uwaga 6 2 2" xfId="37448" xr:uid="{00000000-0005-0000-0000-000070950000}"/>
    <cellStyle name="Uwaga 6 3" xfId="37449" xr:uid="{00000000-0005-0000-0000-000071950000}"/>
    <cellStyle name="Uwaga 6 4" xfId="37450" xr:uid="{00000000-0005-0000-0000-000072950000}"/>
    <cellStyle name="Uwaga 6 5" xfId="37446" xr:uid="{00000000-0005-0000-0000-000073950000}"/>
    <cellStyle name="Uwaga 7" xfId="365" xr:uid="{00000000-0005-0000-0000-000074950000}"/>
    <cellStyle name="Uwaga 7 2" xfId="37452" xr:uid="{00000000-0005-0000-0000-000075950000}"/>
    <cellStyle name="Uwaga 7 2 2" xfId="37453" xr:uid="{00000000-0005-0000-0000-000076950000}"/>
    <cellStyle name="Uwaga 7 3" xfId="37454" xr:uid="{00000000-0005-0000-0000-000077950000}"/>
    <cellStyle name="Uwaga 7 3 2" xfId="37455" xr:uid="{00000000-0005-0000-0000-000078950000}"/>
    <cellStyle name="Uwaga 7 4" xfId="37456" xr:uid="{00000000-0005-0000-0000-000079950000}"/>
    <cellStyle name="Uwaga 7 4 2" xfId="37457" xr:uid="{00000000-0005-0000-0000-00007A950000}"/>
    <cellStyle name="Uwaga 7 5" xfId="37458" xr:uid="{00000000-0005-0000-0000-00007B950000}"/>
    <cellStyle name="Uwaga 7 5 2" xfId="37459" xr:uid="{00000000-0005-0000-0000-00007C950000}"/>
    <cellStyle name="Uwaga 7 6" xfId="37460" xr:uid="{00000000-0005-0000-0000-00007D950000}"/>
    <cellStyle name="Uwaga 7 7" xfId="37461" xr:uid="{00000000-0005-0000-0000-00007E950000}"/>
    <cellStyle name="Uwaga 7 8" xfId="37451" xr:uid="{00000000-0005-0000-0000-00007F950000}"/>
    <cellStyle name="Uwaga 8" xfId="37462" xr:uid="{00000000-0005-0000-0000-000080950000}"/>
    <cellStyle name="Uwaga 8 2" xfId="37463" xr:uid="{00000000-0005-0000-0000-000081950000}"/>
    <cellStyle name="Uwaga 8 2 2" xfId="37464" xr:uid="{00000000-0005-0000-0000-000082950000}"/>
    <cellStyle name="Uwaga 8 3" xfId="37465" xr:uid="{00000000-0005-0000-0000-000083950000}"/>
    <cellStyle name="Uwaga 8 3 2" xfId="37466" xr:uid="{00000000-0005-0000-0000-000084950000}"/>
    <cellStyle name="Uwaga 8 4" xfId="37467" xr:uid="{00000000-0005-0000-0000-000085950000}"/>
    <cellStyle name="Uwaga 8 4 2" xfId="37468" xr:uid="{00000000-0005-0000-0000-000086950000}"/>
    <cellStyle name="Uwaga 8 5" xfId="37469" xr:uid="{00000000-0005-0000-0000-000087950000}"/>
    <cellStyle name="Uwaga 8 5 2" xfId="37470" xr:uid="{00000000-0005-0000-0000-000088950000}"/>
    <cellStyle name="Uwaga 8 6" xfId="37471" xr:uid="{00000000-0005-0000-0000-000089950000}"/>
    <cellStyle name="Uwaga 8 7" xfId="37472" xr:uid="{00000000-0005-0000-0000-00008A950000}"/>
    <cellStyle name="Uwaga 9" xfId="37473" xr:uid="{00000000-0005-0000-0000-00008B950000}"/>
    <cellStyle name="Uwaga 9 2" xfId="37474" xr:uid="{00000000-0005-0000-0000-00008C950000}"/>
    <cellStyle name="Uwaga 9 2 2" xfId="37475" xr:uid="{00000000-0005-0000-0000-00008D950000}"/>
    <cellStyle name="Uwaga 9 3" xfId="37476" xr:uid="{00000000-0005-0000-0000-00008E950000}"/>
    <cellStyle name="Währung [0]_SCH-HK" xfId="366" xr:uid="{00000000-0005-0000-0000-00008F950000}"/>
    <cellStyle name="Währung_SCH-HK" xfId="367" xr:uid="{00000000-0005-0000-0000-000090950000}"/>
    <cellStyle name="Walutowy 2" xfId="37477" xr:uid="{00000000-0005-0000-0000-000092950000}"/>
    <cellStyle name="Walutowy 2 10" xfId="37478" xr:uid="{00000000-0005-0000-0000-000093950000}"/>
    <cellStyle name="Walutowy 2 2" xfId="368" xr:uid="{00000000-0005-0000-0000-000094950000}"/>
    <cellStyle name="Walutowy 2 2 2" xfId="37480" xr:uid="{00000000-0005-0000-0000-000095950000}"/>
    <cellStyle name="Walutowy 2 2 3" xfId="37481" xr:uid="{00000000-0005-0000-0000-000096950000}"/>
    <cellStyle name="Walutowy 2 2 4" xfId="37482" xr:uid="{00000000-0005-0000-0000-000097950000}"/>
    <cellStyle name="Walutowy 2 2 5" xfId="37479" xr:uid="{00000000-0005-0000-0000-000098950000}"/>
    <cellStyle name="Walutowy 2 3" xfId="369" xr:uid="{00000000-0005-0000-0000-000099950000}"/>
    <cellStyle name="Walutowy 2 3 2" xfId="37484" xr:uid="{00000000-0005-0000-0000-00009A950000}"/>
    <cellStyle name="Walutowy 2 3 3" xfId="37485" xr:uid="{00000000-0005-0000-0000-00009B950000}"/>
    <cellStyle name="Walutowy 2 3 4" xfId="37486" xr:uid="{00000000-0005-0000-0000-00009C950000}"/>
    <cellStyle name="Walutowy 2 3 5" xfId="37483" xr:uid="{00000000-0005-0000-0000-00009D950000}"/>
    <cellStyle name="Walutowy 2 4" xfId="370" xr:uid="{00000000-0005-0000-0000-00009E950000}"/>
    <cellStyle name="Walutowy 2 4 2" xfId="37488" xr:uid="{00000000-0005-0000-0000-00009F950000}"/>
    <cellStyle name="Walutowy 2 4 3" xfId="37489" xr:uid="{00000000-0005-0000-0000-0000A0950000}"/>
    <cellStyle name="Walutowy 2 4 4" xfId="37490" xr:uid="{00000000-0005-0000-0000-0000A1950000}"/>
    <cellStyle name="Walutowy 2 4 5" xfId="37487" xr:uid="{00000000-0005-0000-0000-0000A2950000}"/>
    <cellStyle name="Walutowy 2 5" xfId="371" xr:uid="{00000000-0005-0000-0000-0000A3950000}"/>
    <cellStyle name="Walutowy 2 5 2" xfId="37492" xr:uid="{00000000-0005-0000-0000-0000A4950000}"/>
    <cellStyle name="Walutowy 2 5 3" xfId="37493" xr:uid="{00000000-0005-0000-0000-0000A5950000}"/>
    <cellStyle name="Walutowy 2 5 4" xfId="37494" xr:uid="{00000000-0005-0000-0000-0000A6950000}"/>
    <cellStyle name="Walutowy 2 5 5" xfId="37491" xr:uid="{00000000-0005-0000-0000-0000A7950000}"/>
    <cellStyle name="Walutowy 2 6" xfId="372" xr:uid="{00000000-0005-0000-0000-0000A8950000}"/>
    <cellStyle name="Walutowy 2 6 2" xfId="37496" xr:uid="{00000000-0005-0000-0000-0000A9950000}"/>
    <cellStyle name="Walutowy 2 6 3" xfId="37497" xr:uid="{00000000-0005-0000-0000-0000AA950000}"/>
    <cellStyle name="Walutowy 2 6 4" xfId="37498" xr:uid="{00000000-0005-0000-0000-0000AB950000}"/>
    <cellStyle name="Walutowy 2 6 5" xfId="37495" xr:uid="{00000000-0005-0000-0000-0000AC950000}"/>
    <cellStyle name="Walutowy 2 7" xfId="373" xr:uid="{00000000-0005-0000-0000-0000AD950000}"/>
    <cellStyle name="Walutowy 2 7 2" xfId="37499" xr:uid="{00000000-0005-0000-0000-0000AE950000}"/>
    <cellStyle name="Walutowy 2 8" xfId="37500" xr:uid="{00000000-0005-0000-0000-0000AF950000}"/>
    <cellStyle name="Walutowy 2 9" xfId="37501" xr:uid="{00000000-0005-0000-0000-0000B0950000}"/>
    <cellStyle name="Walutowy 3" xfId="381" xr:uid="{00000000-0005-0000-0000-0000B1950000}"/>
    <cellStyle name="Walutowy 4" xfId="38631" xr:uid="{00000000-0005-0000-0000-0000B2950000}"/>
    <cellStyle name="Walutowy 5" xfId="38636" xr:uid="{00000000-0005-0000-0000-0000B3950000}"/>
    <cellStyle name="Walutowy 6" xfId="38702" xr:uid="{A6EC0027-1E71-4DCD-9F8A-17877E043346}"/>
    <cellStyle name="Walutowy 7" xfId="38708" xr:uid="{D22F5C58-99D4-4F99-83E1-F397C9349038}"/>
    <cellStyle name="Warning Text" xfId="37502" xr:uid="{00000000-0005-0000-0000-0000B4950000}"/>
    <cellStyle name="Warning Text 2" xfId="37503" xr:uid="{00000000-0005-0000-0000-0000B5950000}"/>
    <cellStyle name="Warning Text 3" xfId="37504" xr:uid="{00000000-0005-0000-0000-0000B6950000}"/>
    <cellStyle name="Warning Text 4" xfId="37505" xr:uid="{00000000-0005-0000-0000-0000B7950000}"/>
    <cellStyle name="Warning Text 5" xfId="37506" xr:uid="{00000000-0005-0000-0000-0000B8950000}"/>
    <cellStyle name="Warning Text 6" xfId="37507" xr:uid="{00000000-0005-0000-0000-0000B9950000}"/>
    <cellStyle name="Warning Text 7" xfId="37508" xr:uid="{00000000-0005-0000-0000-0000BA950000}"/>
    <cellStyle name="Warning Text 8" xfId="37509" xr:uid="{00000000-0005-0000-0000-0000BB950000}"/>
    <cellStyle name="Warning Text 9" xfId="37510" xr:uid="{00000000-0005-0000-0000-0000BC950000}"/>
    <cellStyle name="Warning Text_PGE Rzeszów Budget" xfId="38680" xr:uid="{19FABD17-E0EB-4F16-B620-268AB960A2C4}"/>
    <cellStyle name="Wiersz norm" xfId="38694" xr:uid="{6AB44CDB-28F9-4504-938C-8D46860EBE83}"/>
    <cellStyle name="Złe 1" xfId="37511" xr:uid="{00000000-0005-0000-0000-0000BD950000}"/>
    <cellStyle name="Złe 10" xfId="37512" xr:uid="{00000000-0005-0000-0000-0000BE950000}"/>
    <cellStyle name="Złe 11" xfId="37513" xr:uid="{00000000-0005-0000-0000-0000BF950000}"/>
    <cellStyle name="Złe 12" xfId="37514" xr:uid="{00000000-0005-0000-0000-0000C0950000}"/>
    <cellStyle name="Złe 13" xfId="37515" xr:uid="{00000000-0005-0000-0000-0000C1950000}"/>
    <cellStyle name="Złe 14" xfId="37516" xr:uid="{00000000-0005-0000-0000-0000C2950000}"/>
    <cellStyle name="Złe 15" xfId="37517" xr:uid="{00000000-0005-0000-0000-0000C3950000}"/>
    <cellStyle name="Złe 16" xfId="37518" xr:uid="{00000000-0005-0000-0000-0000C4950000}"/>
    <cellStyle name="Złe 17" xfId="37519" xr:uid="{00000000-0005-0000-0000-0000C5950000}"/>
    <cellStyle name="Złe 18" xfId="37520" xr:uid="{00000000-0005-0000-0000-0000C6950000}"/>
    <cellStyle name="Złe 19" xfId="37521" xr:uid="{00000000-0005-0000-0000-0000C7950000}"/>
    <cellStyle name="Złe 2" xfId="374" xr:uid="{00000000-0005-0000-0000-0000C8950000}"/>
    <cellStyle name="Złe 2 10" xfId="37523" xr:uid="{00000000-0005-0000-0000-0000C9950000}"/>
    <cellStyle name="Złe 2 11" xfId="37524" xr:uid="{00000000-0005-0000-0000-0000CA950000}"/>
    <cellStyle name="Złe 2 12" xfId="37525" xr:uid="{00000000-0005-0000-0000-0000CB950000}"/>
    <cellStyle name="Złe 2 13" xfId="37526" xr:uid="{00000000-0005-0000-0000-0000CC950000}"/>
    <cellStyle name="Złe 2 13 10" xfId="37527" xr:uid="{00000000-0005-0000-0000-0000CD950000}"/>
    <cellStyle name="Złe 2 13 11" xfId="37528" xr:uid="{00000000-0005-0000-0000-0000CE950000}"/>
    <cellStyle name="Złe 2 13 12" xfId="37529" xr:uid="{00000000-0005-0000-0000-0000CF950000}"/>
    <cellStyle name="Złe 2 13 2" xfId="37530" xr:uid="{00000000-0005-0000-0000-0000D0950000}"/>
    <cellStyle name="Złe 2 13 2 10" xfId="37531" xr:uid="{00000000-0005-0000-0000-0000D1950000}"/>
    <cellStyle name="Złe 2 13 2 11" xfId="37532" xr:uid="{00000000-0005-0000-0000-0000D2950000}"/>
    <cellStyle name="Złe 2 13 2 2" xfId="37533" xr:uid="{00000000-0005-0000-0000-0000D3950000}"/>
    <cellStyle name="Złe 2 13 2 2 10" xfId="37534" xr:uid="{00000000-0005-0000-0000-0000D4950000}"/>
    <cellStyle name="Złe 2 13 2 2 11" xfId="37535" xr:uid="{00000000-0005-0000-0000-0000D5950000}"/>
    <cellStyle name="Złe 2 13 2 2 2" xfId="37536" xr:uid="{00000000-0005-0000-0000-0000D6950000}"/>
    <cellStyle name="Złe 2 13 2 2 2 2" xfId="37537" xr:uid="{00000000-0005-0000-0000-0000D7950000}"/>
    <cellStyle name="Złe 2 13 2 2 2 2 2" xfId="37538" xr:uid="{00000000-0005-0000-0000-0000D8950000}"/>
    <cellStyle name="Złe 2 13 2 2 2 2 3" xfId="37539" xr:uid="{00000000-0005-0000-0000-0000D9950000}"/>
    <cellStyle name="Złe 2 13 2 2 2 2 4" xfId="37540" xr:uid="{00000000-0005-0000-0000-0000DA950000}"/>
    <cellStyle name="Złe 2 13 2 2 2 2 5" xfId="37541" xr:uid="{00000000-0005-0000-0000-0000DB950000}"/>
    <cellStyle name="Złe 2 13 2 2 2 2 6" xfId="37542" xr:uid="{00000000-0005-0000-0000-0000DC950000}"/>
    <cellStyle name="Złe 2 13 2 2 2 3" xfId="37543" xr:uid="{00000000-0005-0000-0000-0000DD950000}"/>
    <cellStyle name="Złe 2 13 2 2 2 4" xfId="37544" xr:uid="{00000000-0005-0000-0000-0000DE950000}"/>
    <cellStyle name="Złe 2 13 2 2 2 5" xfId="37545" xr:uid="{00000000-0005-0000-0000-0000DF950000}"/>
    <cellStyle name="Złe 2 13 2 2 2 6" xfId="37546" xr:uid="{00000000-0005-0000-0000-0000E0950000}"/>
    <cellStyle name="Złe 2 13 2 2 2 7" xfId="37547" xr:uid="{00000000-0005-0000-0000-0000E1950000}"/>
    <cellStyle name="Złe 2 13 2 2 3" xfId="37548" xr:uid="{00000000-0005-0000-0000-0000E2950000}"/>
    <cellStyle name="Złe 2 13 2 2 4" xfId="37549" xr:uid="{00000000-0005-0000-0000-0000E3950000}"/>
    <cellStyle name="Złe 2 13 2 2 5" xfId="37550" xr:uid="{00000000-0005-0000-0000-0000E4950000}"/>
    <cellStyle name="Złe 2 13 2 2 6" xfId="37551" xr:uid="{00000000-0005-0000-0000-0000E5950000}"/>
    <cellStyle name="Złe 2 13 2 2 7" xfId="37552" xr:uid="{00000000-0005-0000-0000-0000E6950000}"/>
    <cellStyle name="Złe 2 13 2 2 7 2" xfId="37553" xr:uid="{00000000-0005-0000-0000-0000E7950000}"/>
    <cellStyle name="Złe 2 13 2 2 7 3" xfId="37554" xr:uid="{00000000-0005-0000-0000-0000E8950000}"/>
    <cellStyle name="Złe 2 13 2 2 7 4" xfId="37555" xr:uid="{00000000-0005-0000-0000-0000E9950000}"/>
    <cellStyle name="Złe 2 13 2 2 7 5" xfId="37556" xr:uid="{00000000-0005-0000-0000-0000EA950000}"/>
    <cellStyle name="Złe 2 13 2 2 7 6" xfId="37557" xr:uid="{00000000-0005-0000-0000-0000EB950000}"/>
    <cellStyle name="Złe 2 13 2 2 8" xfId="37558" xr:uid="{00000000-0005-0000-0000-0000EC950000}"/>
    <cellStyle name="Złe 2 13 2 2 9" xfId="37559" xr:uid="{00000000-0005-0000-0000-0000ED950000}"/>
    <cellStyle name="Złe 2 13 2 3" xfId="37560" xr:uid="{00000000-0005-0000-0000-0000EE950000}"/>
    <cellStyle name="Złe 2 13 2 3 2" xfId="37561" xr:uid="{00000000-0005-0000-0000-0000EF950000}"/>
    <cellStyle name="Złe 2 13 2 3 2 2" xfId="37562" xr:uid="{00000000-0005-0000-0000-0000F0950000}"/>
    <cellStyle name="Złe 2 13 2 3 2 3" xfId="37563" xr:uid="{00000000-0005-0000-0000-0000F1950000}"/>
    <cellStyle name="Złe 2 13 2 3 2 4" xfId="37564" xr:uid="{00000000-0005-0000-0000-0000F2950000}"/>
    <cellStyle name="Złe 2 13 2 3 2 5" xfId="37565" xr:uid="{00000000-0005-0000-0000-0000F3950000}"/>
    <cellStyle name="Złe 2 13 2 3 2 6" xfId="37566" xr:uid="{00000000-0005-0000-0000-0000F4950000}"/>
    <cellStyle name="Złe 2 13 2 3 3" xfId="37567" xr:uid="{00000000-0005-0000-0000-0000F5950000}"/>
    <cellStyle name="Złe 2 13 2 3 4" xfId="37568" xr:uid="{00000000-0005-0000-0000-0000F6950000}"/>
    <cellStyle name="Złe 2 13 2 3 5" xfId="37569" xr:uid="{00000000-0005-0000-0000-0000F7950000}"/>
    <cellStyle name="Złe 2 13 2 3 6" xfId="37570" xr:uid="{00000000-0005-0000-0000-0000F8950000}"/>
    <cellStyle name="Złe 2 13 2 3 7" xfId="37571" xr:uid="{00000000-0005-0000-0000-0000F9950000}"/>
    <cellStyle name="Złe 2 13 2 4" xfId="37572" xr:uid="{00000000-0005-0000-0000-0000FA950000}"/>
    <cellStyle name="Złe 2 13 2 5" xfId="37573" xr:uid="{00000000-0005-0000-0000-0000FB950000}"/>
    <cellStyle name="Złe 2 13 2 6" xfId="37574" xr:uid="{00000000-0005-0000-0000-0000FC950000}"/>
    <cellStyle name="Złe 2 13 2 7" xfId="37575" xr:uid="{00000000-0005-0000-0000-0000FD950000}"/>
    <cellStyle name="Złe 2 13 2 7 2" xfId="37576" xr:uid="{00000000-0005-0000-0000-0000FE950000}"/>
    <cellStyle name="Złe 2 13 2 7 3" xfId="37577" xr:uid="{00000000-0005-0000-0000-0000FF950000}"/>
    <cellStyle name="Złe 2 13 2 7 4" xfId="37578" xr:uid="{00000000-0005-0000-0000-000000960000}"/>
    <cellStyle name="Złe 2 13 2 7 5" xfId="37579" xr:uid="{00000000-0005-0000-0000-000001960000}"/>
    <cellStyle name="Złe 2 13 2 7 6" xfId="37580" xr:uid="{00000000-0005-0000-0000-000002960000}"/>
    <cellStyle name="Złe 2 13 2 8" xfId="37581" xr:uid="{00000000-0005-0000-0000-000003960000}"/>
    <cellStyle name="Złe 2 13 2 9" xfId="37582" xr:uid="{00000000-0005-0000-0000-000004960000}"/>
    <cellStyle name="Złe 2 13 3" xfId="37583" xr:uid="{00000000-0005-0000-0000-000005960000}"/>
    <cellStyle name="Złe 2 13 3 2" xfId="37584" xr:uid="{00000000-0005-0000-0000-000006960000}"/>
    <cellStyle name="Złe 2 13 3 2 2" xfId="37585" xr:uid="{00000000-0005-0000-0000-000007960000}"/>
    <cellStyle name="Złe 2 13 3 2 3" xfId="37586" xr:uid="{00000000-0005-0000-0000-000008960000}"/>
    <cellStyle name="Złe 2 13 3 2 4" xfId="37587" xr:uid="{00000000-0005-0000-0000-000009960000}"/>
    <cellStyle name="Złe 2 13 3 2 5" xfId="37588" xr:uid="{00000000-0005-0000-0000-00000A960000}"/>
    <cellStyle name="Złe 2 13 3 2 6" xfId="37589" xr:uid="{00000000-0005-0000-0000-00000B960000}"/>
    <cellStyle name="Złe 2 13 3 3" xfId="37590" xr:uid="{00000000-0005-0000-0000-00000C960000}"/>
    <cellStyle name="Złe 2 13 3 4" xfId="37591" xr:uid="{00000000-0005-0000-0000-00000D960000}"/>
    <cellStyle name="Złe 2 13 3 5" xfId="37592" xr:uid="{00000000-0005-0000-0000-00000E960000}"/>
    <cellStyle name="Złe 2 13 3 6" xfId="37593" xr:uid="{00000000-0005-0000-0000-00000F960000}"/>
    <cellStyle name="Złe 2 13 3 7" xfId="37594" xr:uid="{00000000-0005-0000-0000-000010960000}"/>
    <cellStyle name="Złe 2 13 4" xfId="37595" xr:uid="{00000000-0005-0000-0000-000011960000}"/>
    <cellStyle name="Złe 2 13 5" xfId="37596" xr:uid="{00000000-0005-0000-0000-000012960000}"/>
    <cellStyle name="Złe 2 13 6" xfId="37597" xr:uid="{00000000-0005-0000-0000-000013960000}"/>
    <cellStyle name="Złe 2 13 7" xfId="37598" xr:uid="{00000000-0005-0000-0000-000014960000}"/>
    <cellStyle name="Złe 2 13 8" xfId="37599" xr:uid="{00000000-0005-0000-0000-000015960000}"/>
    <cellStyle name="Złe 2 13 8 2" xfId="37600" xr:uid="{00000000-0005-0000-0000-000016960000}"/>
    <cellStyle name="Złe 2 13 8 3" xfId="37601" xr:uid="{00000000-0005-0000-0000-000017960000}"/>
    <cellStyle name="Złe 2 13 8 4" xfId="37602" xr:uid="{00000000-0005-0000-0000-000018960000}"/>
    <cellStyle name="Złe 2 13 8 5" xfId="37603" xr:uid="{00000000-0005-0000-0000-000019960000}"/>
    <cellStyle name="Złe 2 13 8 6" xfId="37604" xr:uid="{00000000-0005-0000-0000-00001A960000}"/>
    <cellStyle name="Złe 2 13 9" xfId="37605" xr:uid="{00000000-0005-0000-0000-00001B960000}"/>
    <cellStyle name="Złe 2 14" xfId="37606" xr:uid="{00000000-0005-0000-0000-00001C960000}"/>
    <cellStyle name="Złe 2 14 10" xfId="37607" xr:uid="{00000000-0005-0000-0000-00001D960000}"/>
    <cellStyle name="Złe 2 14 11" xfId="37608" xr:uid="{00000000-0005-0000-0000-00001E960000}"/>
    <cellStyle name="Złe 2 14 2" xfId="37609" xr:uid="{00000000-0005-0000-0000-00001F960000}"/>
    <cellStyle name="Złe 2 14 2 2" xfId="37610" xr:uid="{00000000-0005-0000-0000-000020960000}"/>
    <cellStyle name="Złe 2 14 2 2 2" xfId="37611" xr:uid="{00000000-0005-0000-0000-000021960000}"/>
    <cellStyle name="Złe 2 14 2 2 3" xfId="37612" xr:uid="{00000000-0005-0000-0000-000022960000}"/>
    <cellStyle name="Złe 2 14 2 2 4" xfId="37613" xr:uid="{00000000-0005-0000-0000-000023960000}"/>
    <cellStyle name="Złe 2 14 2 2 5" xfId="37614" xr:uid="{00000000-0005-0000-0000-000024960000}"/>
    <cellStyle name="Złe 2 14 2 2 6" xfId="37615" xr:uid="{00000000-0005-0000-0000-000025960000}"/>
    <cellStyle name="Złe 2 14 2 3" xfId="37616" xr:uid="{00000000-0005-0000-0000-000026960000}"/>
    <cellStyle name="Złe 2 14 2 4" xfId="37617" xr:uid="{00000000-0005-0000-0000-000027960000}"/>
    <cellStyle name="Złe 2 14 2 5" xfId="37618" xr:uid="{00000000-0005-0000-0000-000028960000}"/>
    <cellStyle name="Złe 2 14 2 6" xfId="37619" xr:uid="{00000000-0005-0000-0000-000029960000}"/>
    <cellStyle name="Złe 2 14 2 7" xfId="37620" xr:uid="{00000000-0005-0000-0000-00002A960000}"/>
    <cellStyle name="Złe 2 14 3" xfId="37621" xr:uid="{00000000-0005-0000-0000-00002B960000}"/>
    <cellStyle name="Złe 2 14 4" xfId="37622" xr:uid="{00000000-0005-0000-0000-00002C960000}"/>
    <cellStyle name="Złe 2 14 5" xfId="37623" xr:uid="{00000000-0005-0000-0000-00002D960000}"/>
    <cellStyle name="Złe 2 14 6" xfId="37624" xr:uid="{00000000-0005-0000-0000-00002E960000}"/>
    <cellStyle name="Złe 2 14 7" xfId="37625" xr:uid="{00000000-0005-0000-0000-00002F960000}"/>
    <cellStyle name="Złe 2 14 7 2" xfId="37626" xr:uid="{00000000-0005-0000-0000-000030960000}"/>
    <cellStyle name="Złe 2 14 7 3" xfId="37627" xr:uid="{00000000-0005-0000-0000-000031960000}"/>
    <cellStyle name="Złe 2 14 7 4" xfId="37628" xr:uid="{00000000-0005-0000-0000-000032960000}"/>
    <cellStyle name="Złe 2 14 7 5" xfId="37629" xr:uid="{00000000-0005-0000-0000-000033960000}"/>
    <cellStyle name="Złe 2 14 7 6" xfId="37630" xr:uid="{00000000-0005-0000-0000-000034960000}"/>
    <cellStyle name="Złe 2 14 8" xfId="37631" xr:uid="{00000000-0005-0000-0000-000035960000}"/>
    <cellStyle name="Złe 2 14 9" xfId="37632" xr:uid="{00000000-0005-0000-0000-000036960000}"/>
    <cellStyle name="Złe 2 15" xfId="37633" xr:uid="{00000000-0005-0000-0000-000037960000}"/>
    <cellStyle name="Złe 2 15 2" xfId="37634" xr:uid="{00000000-0005-0000-0000-000038960000}"/>
    <cellStyle name="Złe 2 15 2 2" xfId="37635" xr:uid="{00000000-0005-0000-0000-000039960000}"/>
    <cellStyle name="Złe 2 15 2 3" xfId="37636" xr:uid="{00000000-0005-0000-0000-00003A960000}"/>
    <cellStyle name="Złe 2 15 2 4" xfId="37637" xr:uid="{00000000-0005-0000-0000-00003B960000}"/>
    <cellStyle name="Złe 2 15 2 5" xfId="37638" xr:uid="{00000000-0005-0000-0000-00003C960000}"/>
    <cellStyle name="Złe 2 15 2 6" xfId="37639" xr:uid="{00000000-0005-0000-0000-00003D960000}"/>
    <cellStyle name="Złe 2 15 3" xfId="37640" xr:uid="{00000000-0005-0000-0000-00003E960000}"/>
    <cellStyle name="Złe 2 15 4" xfId="37641" xr:uid="{00000000-0005-0000-0000-00003F960000}"/>
    <cellStyle name="Złe 2 15 5" xfId="37642" xr:uid="{00000000-0005-0000-0000-000040960000}"/>
    <cellStyle name="Złe 2 15 6" xfId="37643" xr:uid="{00000000-0005-0000-0000-000041960000}"/>
    <cellStyle name="Złe 2 15 7" xfId="37644" xr:uid="{00000000-0005-0000-0000-000042960000}"/>
    <cellStyle name="Złe 2 16" xfId="37645" xr:uid="{00000000-0005-0000-0000-000043960000}"/>
    <cellStyle name="Złe 2 17" xfId="37646" xr:uid="{00000000-0005-0000-0000-000044960000}"/>
    <cellStyle name="Złe 2 18" xfId="37647" xr:uid="{00000000-0005-0000-0000-000045960000}"/>
    <cellStyle name="Złe 2 19" xfId="37648" xr:uid="{00000000-0005-0000-0000-000046960000}"/>
    <cellStyle name="Złe 2 2" xfId="37649" xr:uid="{00000000-0005-0000-0000-000047960000}"/>
    <cellStyle name="Złe 2 20" xfId="37650" xr:uid="{00000000-0005-0000-0000-000048960000}"/>
    <cellStyle name="Złe 2 21" xfId="37651" xr:uid="{00000000-0005-0000-0000-000049960000}"/>
    <cellStyle name="Złe 2 21 2" xfId="37652" xr:uid="{00000000-0005-0000-0000-00004A960000}"/>
    <cellStyle name="Złe 2 21 3" xfId="37653" xr:uid="{00000000-0005-0000-0000-00004B960000}"/>
    <cellStyle name="Złe 2 21 4" xfId="37654" xr:uid="{00000000-0005-0000-0000-00004C960000}"/>
    <cellStyle name="Złe 2 21 5" xfId="37655" xr:uid="{00000000-0005-0000-0000-00004D960000}"/>
    <cellStyle name="Złe 2 21 6" xfId="37656" xr:uid="{00000000-0005-0000-0000-00004E960000}"/>
    <cellStyle name="Złe 2 22" xfId="37657" xr:uid="{00000000-0005-0000-0000-00004F960000}"/>
    <cellStyle name="Złe 2 23" xfId="37658" xr:uid="{00000000-0005-0000-0000-000050960000}"/>
    <cellStyle name="Złe 2 24" xfId="37659" xr:uid="{00000000-0005-0000-0000-000051960000}"/>
    <cellStyle name="Złe 2 25" xfId="37660" xr:uid="{00000000-0005-0000-0000-000052960000}"/>
    <cellStyle name="Złe 2 26" xfId="37661" xr:uid="{00000000-0005-0000-0000-000053960000}"/>
    <cellStyle name="Złe 2 27" xfId="37662" xr:uid="{00000000-0005-0000-0000-000054960000}"/>
    <cellStyle name="Złe 2 28" xfId="37663" xr:uid="{00000000-0005-0000-0000-000055960000}"/>
    <cellStyle name="Złe 2 29" xfId="37664" xr:uid="{00000000-0005-0000-0000-000056960000}"/>
    <cellStyle name="Złe 2 3" xfId="37665" xr:uid="{00000000-0005-0000-0000-000057960000}"/>
    <cellStyle name="Złe 2 30" xfId="37666" xr:uid="{00000000-0005-0000-0000-000058960000}"/>
    <cellStyle name="Złe 2 31" xfId="37667" xr:uid="{00000000-0005-0000-0000-000059960000}"/>
    <cellStyle name="Złe 2 32" xfId="37522" xr:uid="{00000000-0005-0000-0000-00005A960000}"/>
    <cellStyle name="Złe 2 33" xfId="38632" xr:uid="{00000000-0005-0000-0000-00005B960000}"/>
    <cellStyle name="Złe 2 34" xfId="38699" xr:uid="{435A6333-217E-4778-88E0-D0CC371E2D71}"/>
    <cellStyle name="Złe 2 4" xfId="37668" xr:uid="{00000000-0005-0000-0000-00005C960000}"/>
    <cellStyle name="Złe 2 5" xfId="37669" xr:uid="{00000000-0005-0000-0000-00005D960000}"/>
    <cellStyle name="Złe 2 6" xfId="37670" xr:uid="{00000000-0005-0000-0000-00005E960000}"/>
    <cellStyle name="Złe 2 6 10" xfId="37671" xr:uid="{00000000-0005-0000-0000-00005F960000}"/>
    <cellStyle name="Złe 2 6 11" xfId="37672" xr:uid="{00000000-0005-0000-0000-000060960000}"/>
    <cellStyle name="Złe 2 6 12" xfId="37673" xr:uid="{00000000-0005-0000-0000-000061960000}"/>
    <cellStyle name="Złe 2 6 13" xfId="37674" xr:uid="{00000000-0005-0000-0000-000062960000}"/>
    <cellStyle name="Złe 2 6 2" xfId="37675" xr:uid="{00000000-0005-0000-0000-000063960000}"/>
    <cellStyle name="Złe 2 6 2 10" xfId="37676" xr:uid="{00000000-0005-0000-0000-000064960000}"/>
    <cellStyle name="Złe 2 6 2 11" xfId="37677" xr:uid="{00000000-0005-0000-0000-000065960000}"/>
    <cellStyle name="Złe 2 6 2 12" xfId="37678" xr:uid="{00000000-0005-0000-0000-000066960000}"/>
    <cellStyle name="Złe 2 6 2 2" xfId="37679" xr:uid="{00000000-0005-0000-0000-000067960000}"/>
    <cellStyle name="Złe 2 6 2 2 10" xfId="37680" xr:uid="{00000000-0005-0000-0000-000068960000}"/>
    <cellStyle name="Złe 2 6 2 2 11" xfId="37681" xr:uid="{00000000-0005-0000-0000-000069960000}"/>
    <cellStyle name="Złe 2 6 2 2 2" xfId="37682" xr:uid="{00000000-0005-0000-0000-00006A960000}"/>
    <cellStyle name="Złe 2 6 2 2 2 10" xfId="37683" xr:uid="{00000000-0005-0000-0000-00006B960000}"/>
    <cellStyle name="Złe 2 6 2 2 2 11" xfId="37684" xr:uid="{00000000-0005-0000-0000-00006C960000}"/>
    <cellStyle name="Złe 2 6 2 2 2 2" xfId="37685" xr:uid="{00000000-0005-0000-0000-00006D960000}"/>
    <cellStyle name="Złe 2 6 2 2 2 2 2" xfId="37686" xr:uid="{00000000-0005-0000-0000-00006E960000}"/>
    <cellStyle name="Złe 2 6 2 2 2 2 2 2" xfId="37687" xr:uid="{00000000-0005-0000-0000-00006F960000}"/>
    <cellStyle name="Złe 2 6 2 2 2 2 2 3" xfId="37688" xr:uid="{00000000-0005-0000-0000-000070960000}"/>
    <cellStyle name="Złe 2 6 2 2 2 2 2 4" xfId="37689" xr:uid="{00000000-0005-0000-0000-000071960000}"/>
    <cellStyle name="Złe 2 6 2 2 2 2 2 5" xfId="37690" xr:uid="{00000000-0005-0000-0000-000072960000}"/>
    <cellStyle name="Złe 2 6 2 2 2 2 2 6" xfId="37691" xr:uid="{00000000-0005-0000-0000-000073960000}"/>
    <cellStyle name="Złe 2 6 2 2 2 2 3" xfId="37692" xr:uid="{00000000-0005-0000-0000-000074960000}"/>
    <cellStyle name="Złe 2 6 2 2 2 2 4" xfId="37693" xr:uid="{00000000-0005-0000-0000-000075960000}"/>
    <cellStyle name="Złe 2 6 2 2 2 2 5" xfId="37694" xr:uid="{00000000-0005-0000-0000-000076960000}"/>
    <cellStyle name="Złe 2 6 2 2 2 2 6" xfId="37695" xr:uid="{00000000-0005-0000-0000-000077960000}"/>
    <cellStyle name="Złe 2 6 2 2 2 2 7" xfId="37696" xr:uid="{00000000-0005-0000-0000-000078960000}"/>
    <cellStyle name="Złe 2 6 2 2 2 3" xfId="37697" xr:uid="{00000000-0005-0000-0000-000079960000}"/>
    <cellStyle name="Złe 2 6 2 2 2 4" xfId="37698" xr:uid="{00000000-0005-0000-0000-00007A960000}"/>
    <cellStyle name="Złe 2 6 2 2 2 5" xfId="37699" xr:uid="{00000000-0005-0000-0000-00007B960000}"/>
    <cellStyle name="Złe 2 6 2 2 2 6" xfId="37700" xr:uid="{00000000-0005-0000-0000-00007C960000}"/>
    <cellStyle name="Złe 2 6 2 2 2 7" xfId="37701" xr:uid="{00000000-0005-0000-0000-00007D960000}"/>
    <cellStyle name="Złe 2 6 2 2 2 7 2" xfId="37702" xr:uid="{00000000-0005-0000-0000-00007E960000}"/>
    <cellStyle name="Złe 2 6 2 2 2 7 3" xfId="37703" xr:uid="{00000000-0005-0000-0000-00007F960000}"/>
    <cellStyle name="Złe 2 6 2 2 2 7 4" xfId="37704" xr:uid="{00000000-0005-0000-0000-000080960000}"/>
    <cellStyle name="Złe 2 6 2 2 2 7 5" xfId="37705" xr:uid="{00000000-0005-0000-0000-000081960000}"/>
    <cellStyle name="Złe 2 6 2 2 2 7 6" xfId="37706" xr:uid="{00000000-0005-0000-0000-000082960000}"/>
    <cellStyle name="Złe 2 6 2 2 2 8" xfId="37707" xr:uid="{00000000-0005-0000-0000-000083960000}"/>
    <cellStyle name="Złe 2 6 2 2 2 9" xfId="37708" xr:uid="{00000000-0005-0000-0000-000084960000}"/>
    <cellStyle name="Złe 2 6 2 2 3" xfId="37709" xr:uid="{00000000-0005-0000-0000-000085960000}"/>
    <cellStyle name="Złe 2 6 2 2 3 2" xfId="37710" xr:uid="{00000000-0005-0000-0000-000086960000}"/>
    <cellStyle name="Złe 2 6 2 2 3 2 2" xfId="37711" xr:uid="{00000000-0005-0000-0000-000087960000}"/>
    <cellStyle name="Złe 2 6 2 2 3 2 3" xfId="37712" xr:uid="{00000000-0005-0000-0000-000088960000}"/>
    <cellStyle name="Złe 2 6 2 2 3 2 4" xfId="37713" xr:uid="{00000000-0005-0000-0000-000089960000}"/>
    <cellStyle name="Złe 2 6 2 2 3 2 5" xfId="37714" xr:uid="{00000000-0005-0000-0000-00008A960000}"/>
    <cellStyle name="Złe 2 6 2 2 3 2 6" xfId="37715" xr:uid="{00000000-0005-0000-0000-00008B960000}"/>
    <cellStyle name="Złe 2 6 2 2 3 3" xfId="37716" xr:uid="{00000000-0005-0000-0000-00008C960000}"/>
    <cellStyle name="Złe 2 6 2 2 3 4" xfId="37717" xr:uid="{00000000-0005-0000-0000-00008D960000}"/>
    <cellStyle name="Złe 2 6 2 2 3 5" xfId="37718" xr:uid="{00000000-0005-0000-0000-00008E960000}"/>
    <cellStyle name="Złe 2 6 2 2 3 6" xfId="37719" xr:uid="{00000000-0005-0000-0000-00008F960000}"/>
    <cellStyle name="Złe 2 6 2 2 3 7" xfId="37720" xr:uid="{00000000-0005-0000-0000-000090960000}"/>
    <cellStyle name="Złe 2 6 2 2 4" xfId="37721" xr:uid="{00000000-0005-0000-0000-000091960000}"/>
    <cellStyle name="Złe 2 6 2 2 5" xfId="37722" xr:uid="{00000000-0005-0000-0000-000092960000}"/>
    <cellStyle name="Złe 2 6 2 2 6" xfId="37723" xr:uid="{00000000-0005-0000-0000-000093960000}"/>
    <cellStyle name="Złe 2 6 2 2 7" xfId="37724" xr:uid="{00000000-0005-0000-0000-000094960000}"/>
    <cellStyle name="Złe 2 6 2 2 7 2" xfId="37725" xr:uid="{00000000-0005-0000-0000-000095960000}"/>
    <cellStyle name="Złe 2 6 2 2 7 3" xfId="37726" xr:uid="{00000000-0005-0000-0000-000096960000}"/>
    <cellStyle name="Złe 2 6 2 2 7 4" xfId="37727" xr:uid="{00000000-0005-0000-0000-000097960000}"/>
    <cellStyle name="Złe 2 6 2 2 7 5" xfId="37728" xr:uid="{00000000-0005-0000-0000-000098960000}"/>
    <cellStyle name="Złe 2 6 2 2 7 6" xfId="37729" xr:uid="{00000000-0005-0000-0000-000099960000}"/>
    <cellStyle name="Złe 2 6 2 2 8" xfId="37730" xr:uid="{00000000-0005-0000-0000-00009A960000}"/>
    <cellStyle name="Złe 2 6 2 2 9" xfId="37731" xr:uid="{00000000-0005-0000-0000-00009B960000}"/>
    <cellStyle name="Złe 2 6 2 3" xfId="37732" xr:uid="{00000000-0005-0000-0000-00009C960000}"/>
    <cellStyle name="Złe 2 6 2 3 2" xfId="37733" xr:uid="{00000000-0005-0000-0000-00009D960000}"/>
    <cellStyle name="Złe 2 6 2 3 2 2" xfId="37734" xr:uid="{00000000-0005-0000-0000-00009E960000}"/>
    <cellStyle name="Złe 2 6 2 3 2 3" xfId="37735" xr:uid="{00000000-0005-0000-0000-00009F960000}"/>
    <cellStyle name="Złe 2 6 2 3 2 4" xfId="37736" xr:uid="{00000000-0005-0000-0000-0000A0960000}"/>
    <cellStyle name="Złe 2 6 2 3 2 5" xfId="37737" xr:uid="{00000000-0005-0000-0000-0000A1960000}"/>
    <cellStyle name="Złe 2 6 2 3 2 6" xfId="37738" xr:uid="{00000000-0005-0000-0000-0000A2960000}"/>
    <cellStyle name="Złe 2 6 2 3 3" xfId="37739" xr:uid="{00000000-0005-0000-0000-0000A3960000}"/>
    <cellStyle name="Złe 2 6 2 3 4" xfId="37740" xr:uid="{00000000-0005-0000-0000-0000A4960000}"/>
    <cellStyle name="Złe 2 6 2 3 5" xfId="37741" xr:uid="{00000000-0005-0000-0000-0000A5960000}"/>
    <cellStyle name="Złe 2 6 2 3 6" xfId="37742" xr:uid="{00000000-0005-0000-0000-0000A6960000}"/>
    <cellStyle name="Złe 2 6 2 3 7" xfId="37743" xr:uid="{00000000-0005-0000-0000-0000A7960000}"/>
    <cellStyle name="Złe 2 6 2 4" xfId="37744" xr:uid="{00000000-0005-0000-0000-0000A8960000}"/>
    <cellStyle name="Złe 2 6 2 5" xfId="37745" xr:uid="{00000000-0005-0000-0000-0000A9960000}"/>
    <cellStyle name="Złe 2 6 2 6" xfId="37746" xr:uid="{00000000-0005-0000-0000-0000AA960000}"/>
    <cellStyle name="Złe 2 6 2 7" xfId="37747" xr:uid="{00000000-0005-0000-0000-0000AB960000}"/>
    <cellStyle name="Złe 2 6 2 8" xfId="37748" xr:uid="{00000000-0005-0000-0000-0000AC960000}"/>
    <cellStyle name="Złe 2 6 2 8 2" xfId="37749" xr:uid="{00000000-0005-0000-0000-0000AD960000}"/>
    <cellStyle name="Złe 2 6 2 8 3" xfId="37750" xr:uid="{00000000-0005-0000-0000-0000AE960000}"/>
    <cellStyle name="Złe 2 6 2 8 4" xfId="37751" xr:uid="{00000000-0005-0000-0000-0000AF960000}"/>
    <cellStyle name="Złe 2 6 2 8 5" xfId="37752" xr:uid="{00000000-0005-0000-0000-0000B0960000}"/>
    <cellStyle name="Złe 2 6 2 8 6" xfId="37753" xr:uid="{00000000-0005-0000-0000-0000B1960000}"/>
    <cellStyle name="Złe 2 6 2 9" xfId="37754" xr:uid="{00000000-0005-0000-0000-0000B2960000}"/>
    <cellStyle name="Złe 2 6 3" xfId="37755" xr:uid="{00000000-0005-0000-0000-0000B3960000}"/>
    <cellStyle name="Złe 2 6 4" xfId="37756" xr:uid="{00000000-0005-0000-0000-0000B4960000}"/>
    <cellStyle name="Złe 2 6 4 10" xfId="37757" xr:uid="{00000000-0005-0000-0000-0000B5960000}"/>
    <cellStyle name="Złe 2 6 4 11" xfId="37758" xr:uid="{00000000-0005-0000-0000-0000B6960000}"/>
    <cellStyle name="Złe 2 6 4 2" xfId="37759" xr:uid="{00000000-0005-0000-0000-0000B7960000}"/>
    <cellStyle name="Złe 2 6 4 2 2" xfId="37760" xr:uid="{00000000-0005-0000-0000-0000B8960000}"/>
    <cellStyle name="Złe 2 6 4 2 2 2" xfId="37761" xr:uid="{00000000-0005-0000-0000-0000B9960000}"/>
    <cellStyle name="Złe 2 6 4 2 2 3" xfId="37762" xr:uid="{00000000-0005-0000-0000-0000BA960000}"/>
    <cellStyle name="Złe 2 6 4 2 2 4" xfId="37763" xr:uid="{00000000-0005-0000-0000-0000BB960000}"/>
    <cellStyle name="Złe 2 6 4 2 2 5" xfId="37764" xr:uid="{00000000-0005-0000-0000-0000BC960000}"/>
    <cellStyle name="Złe 2 6 4 2 2 6" xfId="37765" xr:uid="{00000000-0005-0000-0000-0000BD960000}"/>
    <cellStyle name="Złe 2 6 4 2 3" xfId="37766" xr:uid="{00000000-0005-0000-0000-0000BE960000}"/>
    <cellStyle name="Złe 2 6 4 2 4" xfId="37767" xr:uid="{00000000-0005-0000-0000-0000BF960000}"/>
    <cellStyle name="Złe 2 6 4 2 5" xfId="37768" xr:uid="{00000000-0005-0000-0000-0000C0960000}"/>
    <cellStyle name="Złe 2 6 4 2 6" xfId="37769" xr:uid="{00000000-0005-0000-0000-0000C1960000}"/>
    <cellStyle name="Złe 2 6 4 2 7" xfId="37770" xr:uid="{00000000-0005-0000-0000-0000C2960000}"/>
    <cellStyle name="Złe 2 6 4 3" xfId="37771" xr:uid="{00000000-0005-0000-0000-0000C3960000}"/>
    <cellStyle name="Złe 2 6 4 4" xfId="37772" xr:uid="{00000000-0005-0000-0000-0000C4960000}"/>
    <cellStyle name="Złe 2 6 4 5" xfId="37773" xr:uid="{00000000-0005-0000-0000-0000C5960000}"/>
    <cellStyle name="Złe 2 6 4 6" xfId="37774" xr:uid="{00000000-0005-0000-0000-0000C6960000}"/>
    <cellStyle name="Złe 2 6 4 7" xfId="37775" xr:uid="{00000000-0005-0000-0000-0000C7960000}"/>
    <cellStyle name="Złe 2 6 4 7 2" xfId="37776" xr:uid="{00000000-0005-0000-0000-0000C8960000}"/>
    <cellStyle name="Złe 2 6 4 7 3" xfId="37777" xr:uid="{00000000-0005-0000-0000-0000C9960000}"/>
    <cellStyle name="Złe 2 6 4 7 4" xfId="37778" xr:uid="{00000000-0005-0000-0000-0000CA960000}"/>
    <cellStyle name="Złe 2 6 4 7 5" xfId="37779" xr:uid="{00000000-0005-0000-0000-0000CB960000}"/>
    <cellStyle name="Złe 2 6 4 7 6" xfId="37780" xr:uid="{00000000-0005-0000-0000-0000CC960000}"/>
    <cellStyle name="Złe 2 6 4 8" xfId="37781" xr:uid="{00000000-0005-0000-0000-0000CD960000}"/>
    <cellStyle name="Złe 2 6 4 9" xfId="37782" xr:uid="{00000000-0005-0000-0000-0000CE960000}"/>
    <cellStyle name="Złe 2 6 5" xfId="37783" xr:uid="{00000000-0005-0000-0000-0000CF960000}"/>
    <cellStyle name="Złe 2 6 5 2" xfId="37784" xr:uid="{00000000-0005-0000-0000-0000D0960000}"/>
    <cellStyle name="Złe 2 6 5 2 2" xfId="37785" xr:uid="{00000000-0005-0000-0000-0000D1960000}"/>
    <cellStyle name="Złe 2 6 5 2 3" xfId="37786" xr:uid="{00000000-0005-0000-0000-0000D2960000}"/>
    <cellStyle name="Złe 2 6 5 2 4" xfId="37787" xr:uid="{00000000-0005-0000-0000-0000D3960000}"/>
    <cellStyle name="Złe 2 6 5 2 5" xfId="37788" xr:uid="{00000000-0005-0000-0000-0000D4960000}"/>
    <cellStyle name="Złe 2 6 5 2 6" xfId="37789" xr:uid="{00000000-0005-0000-0000-0000D5960000}"/>
    <cellStyle name="Złe 2 6 5 3" xfId="37790" xr:uid="{00000000-0005-0000-0000-0000D6960000}"/>
    <cellStyle name="Złe 2 6 5 4" xfId="37791" xr:uid="{00000000-0005-0000-0000-0000D7960000}"/>
    <cellStyle name="Złe 2 6 5 5" xfId="37792" xr:uid="{00000000-0005-0000-0000-0000D8960000}"/>
    <cellStyle name="Złe 2 6 5 6" xfId="37793" xr:uid="{00000000-0005-0000-0000-0000D9960000}"/>
    <cellStyle name="Złe 2 6 5 7" xfId="37794" xr:uid="{00000000-0005-0000-0000-0000DA960000}"/>
    <cellStyle name="Złe 2 6 6" xfId="37795" xr:uid="{00000000-0005-0000-0000-0000DB960000}"/>
    <cellStyle name="Złe 2 6 7" xfId="37796" xr:uid="{00000000-0005-0000-0000-0000DC960000}"/>
    <cellStyle name="Złe 2 6 8" xfId="37797" xr:uid="{00000000-0005-0000-0000-0000DD960000}"/>
    <cellStyle name="Złe 2 6 9" xfId="37798" xr:uid="{00000000-0005-0000-0000-0000DE960000}"/>
    <cellStyle name="Złe 2 6 9 2" xfId="37799" xr:uid="{00000000-0005-0000-0000-0000DF960000}"/>
    <cellStyle name="Złe 2 6 9 3" xfId="37800" xr:uid="{00000000-0005-0000-0000-0000E0960000}"/>
    <cellStyle name="Złe 2 6 9 4" xfId="37801" xr:uid="{00000000-0005-0000-0000-0000E1960000}"/>
    <cellStyle name="Złe 2 6 9 5" xfId="37802" xr:uid="{00000000-0005-0000-0000-0000E2960000}"/>
    <cellStyle name="Złe 2 6 9 6" xfId="37803" xr:uid="{00000000-0005-0000-0000-0000E3960000}"/>
    <cellStyle name="Złe 2 7" xfId="37804" xr:uid="{00000000-0005-0000-0000-0000E4960000}"/>
    <cellStyle name="Złe 2 8" xfId="37805" xr:uid="{00000000-0005-0000-0000-0000E5960000}"/>
    <cellStyle name="Złe 2 9" xfId="37806" xr:uid="{00000000-0005-0000-0000-0000E6960000}"/>
    <cellStyle name="Złe 3" xfId="375" xr:uid="{00000000-0005-0000-0000-0000E7960000}"/>
    <cellStyle name="Złe 3 2" xfId="37807" xr:uid="{00000000-0005-0000-0000-0000E8960000}"/>
    <cellStyle name="Złe 4" xfId="376" xr:uid="{00000000-0005-0000-0000-0000E9960000}"/>
    <cellStyle name="Złe 4 2" xfId="37808" xr:uid="{00000000-0005-0000-0000-0000EA960000}"/>
    <cellStyle name="Złe 5" xfId="377" xr:uid="{00000000-0005-0000-0000-0000EB960000}"/>
    <cellStyle name="Złe 5 2" xfId="37809" xr:uid="{00000000-0005-0000-0000-0000EC960000}"/>
    <cellStyle name="Złe 6" xfId="378" xr:uid="{00000000-0005-0000-0000-0000ED960000}"/>
    <cellStyle name="Złe 6 2" xfId="37810" xr:uid="{00000000-0005-0000-0000-0000EE960000}"/>
    <cellStyle name="Złe 7" xfId="379" xr:uid="{00000000-0005-0000-0000-0000EF960000}"/>
    <cellStyle name="Złe 7 2" xfId="37811" xr:uid="{00000000-0005-0000-0000-0000F0960000}"/>
    <cellStyle name="Złe 8" xfId="37812" xr:uid="{00000000-0005-0000-0000-0000F1960000}"/>
    <cellStyle name="Złe 9" xfId="37813" xr:uid="{00000000-0005-0000-0000-0000F2960000}"/>
  </cellStyles>
  <dxfs count="4">
    <dxf>
      <fill>
        <patternFill>
          <bgColor indexed="44"/>
        </patternFill>
      </fill>
    </dxf>
    <dxf>
      <fill>
        <patternFill>
          <bgColor indexed="44"/>
        </patternFill>
      </fill>
    </dxf>
    <dxf>
      <font>
        <color rgb="FFFF0000"/>
      </font>
    </dxf>
    <dxf>
      <font>
        <color rgb="FFFF0000"/>
      </font>
    </dxf>
  </dxfs>
  <tableStyles count="0" defaultTableStyle="TableStyleMedium9" defaultPivotStyle="PivotStyleLight16"/>
  <colors>
    <mruColors>
      <color rgb="FF3AE6C1"/>
      <color rgb="FFFFFF99"/>
      <color rgb="FFCCFFFF"/>
      <color rgb="FFFF66CC"/>
      <color rgb="FF0000FF"/>
      <color rgb="FF99CCFF"/>
      <color rgb="FFF1F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Cash 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manualLayout>
          <c:layoutTarget val="inner"/>
          <c:xMode val="edge"/>
          <c:yMode val="edge"/>
          <c:x val="3.7175534007378476E-2"/>
          <c:y val="0.10634843745471001"/>
          <c:w val="0.95599619695882154"/>
          <c:h val="0.77861456659394068"/>
        </c:manualLayout>
      </c:layout>
      <c:lineChart>
        <c:grouping val="standard"/>
        <c:varyColors val="0"/>
        <c:ser>
          <c:idx val="3"/>
          <c:order val="0"/>
          <c:tx>
            <c:strRef>
              <c:f>'CF - nowe KM HRF UMOWA'!$A$12</c:f>
              <c:strCache>
                <c:ptCount val="1"/>
                <c:pt idx="0">
                  <c:v>Cumulative Balance</c:v>
                </c:pt>
              </c:strCache>
            </c:strRef>
          </c:tx>
          <c:spPr>
            <a:ln w="28575" cap="rnd">
              <a:solidFill>
                <a:schemeClr val="accent4"/>
              </a:solidFill>
              <a:round/>
            </a:ln>
            <a:effectLst/>
          </c:spPr>
          <c:marker>
            <c:symbol val="none"/>
          </c:marker>
          <c:cat>
            <c:strRef>
              <c:f>'CF - nowe KM HRF UMOWA'!$B$8:$AA$8</c:f>
              <c:strCache>
                <c:ptCount val="26"/>
                <c:pt idx="0">
                  <c:v>december 2025</c:v>
                </c:pt>
                <c:pt idx="1">
                  <c:v>January 2026</c:v>
                </c:pt>
                <c:pt idx="2">
                  <c:v>February 2026</c:v>
                </c:pt>
                <c:pt idx="3">
                  <c:v>March 2026</c:v>
                </c:pt>
                <c:pt idx="4">
                  <c:v>April 2026</c:v>
                </c:pt>
                <c:pt idx="5">
                  <c:v>May 2026</c:v>
                </c:pt>
                <c:pt idx="6">
                  <c:v>June 2026</c:v>
                </c:pt>
                <c:pt idx="7">
                  <c:v>July 2026</c:v>
                </c:pt>
                <c:pt idx="8">
                  <c:v>August 2029</c:v>
                </c:pt>
                <c:pt idx="9">
                  <c:v>September 2026</c:v>
                </c:pt>
                <c:pt idx="10">
                  <c:v>October 2026</c:v>
                </c:pt>
                <c:pt idx="11">
                  <c:v>November 2026</c:v>
                </c:pt>
                <c:pt idx="12">
                  <c:v>December 2026</c:v>
                </c:pt>
                <c:pt idx="13">
                  <c:v>January 2027</c:v>
                </c:pt>
                <c:pt idx="14">
                  <c:v>February 2027</c:v>
                </c:pt>
                <c:pt idx="15">
                  <c:v>March 2027</c:v>
                </c:pt>
                <c:pt idx="16">
                  <c:v>April 2027</c:v>
                </c:pt>
                <c:pt idx="17">
                  <c:v>May 2027</c:v>
                </c:pt>
                <c:pt idx="18">
                  <c:v>June 2027</c:v>
                </c:pt>
                <c:pt idx="19">
                  <c:v>July 2027</c:v>
                </c:pt>
                <c:pt idx="20">
                  <c:v>August 2027</c:v>
                </c:pt>
                <c:pt idx="21">
                  <c:v>September 2027</c:v>
                </c:pt>
                <c:pt idx="22">
                  <c:v>October 2027</c:v>
                </c:pt>
                <c:pt idx="23">
                  <c:v>November 2027</c:v>
                </c:pt>
                <c:pt idx="24">
                  <c:v>December 2027</c:v>
                </c:pt>
                <c:pt idx="25">
                  <c:v>2028</c:v>
                </c:pt>
              </c:strCache>
            </c:strRef>
          </c:cat>
          <c:val>
            <c:numRef>
              <c:f>'CF - nowe KM HRF UMOWA'!$B$12:$AA$12</c:f>
              <c:numCache>
                <c:formatCode>#,##0</c:formatCode>
                <c:ptCount val="26"/>
                <c:pt idx="0">
                  <c:v>127000000</c:v>
                </c:pt>
                <c:pt idx="1">
                  <c:v>133399316.91</c:v>
                </c:pt>
                <c:pt idx="2">
                  <c:v>145028065.88966668</c:v>
                </c:pt>
                <c:pt idx="3">
                  <c:v>163105326.82966667</c:v>
                </c:pt>
                <c:pt idx="4">
                  <c:v>159085965.9196322</c:v>
                </c:pt>
                <c:pt idx="5">
                  <c:v>154129594.58376777</c:v>
                </c:pt>
                <c:pt idx="6">
                  <c:v>150502261.59353483</c:v>
                </c:pt>
                <c:pt idx="7">
                  <c:v>142209831.95579657</c:v>
                </c:pt>
                <c:pt idx="8">
                  <c:v>133421227.42703524</c:v>
                </c:pt>
                <c:pt idx="9">
                  <c:v>133255680.74871747</c:v>
                </c:pt>
                <c:pt idx="10">
                  <c:v>178071814.30762494</c:v>
                </c:pt>
                <c:pt idx="11">
                  <c:v>168667893.10654888</c:v>
                </c:pt>
                <c:pt idx="12">
                  <c:v>181302619.03512967</c:v>
                </c:pt>
                <c:pt idx="13">
                  <c:v>177964517.42737713</c:v>
                </c:pt>
                <c:pt idx="14">
                  <c:v>171108687.5775587</c:v>
                </c:pt>
                <c:pt idx="15">
                  <c:v>161364785.0761736</c:v>
                </c:pt>
                <c:pt idx="16">
                  <c:v>140164688.95672554</c:v>
                </c:pt>
                <c:pt idx="17">
                  <c:v>143425654.80701017</c:v>
                </c:pt>
                <c:pt idx="18">
                  <c:v>138789331.13800362</c:v>
                </c:pt>
                <c:pt idx="19">
                  <c:v>134603133.42047483</c:v>
                </c:pt>
                <c:pt idx="20">
                  <c:v>131110411.90045713</c:v>
                </c:pt>
                <c:pt idx="21">
                  <c:v>137668328.45032766</c:v>
                </c:pt>
                <c:pt idx="22">
                  <c:v>121103816.08546486</c:v>
                </c:pt>
                <c:pt idx="23">
                  <c:v>125216597.0511588</c:v>
                </c:pt>
                <c:pt idx="24">
                  <c:v>129895721.09644163</c:v>
                </c:pt>
                <c:pt idx="25">
                  <c:v>127462969.87644163</c:v>
                </c:pt>
              </c:numCache>
            </c:numRef>
          </c:val>
          <c:smooth val="0"/>
          <c:extLst>
            <c:ext xmlns:c16="http://schemas.microsoft.com/office/drawing/2014/chart" uri="{C3380CC4-5D6E-409C-BE32-E72D297353CC}">
              <c16:uniqueId val="{00000000-87C7-4645-895D-9CF8679156CE}"/>
            </c:ext>
          </c:extLst>
        </c:ser>
        <c:dLbls>
          <c:showLegendKey val="0"/>
          <c:showVal val="0"/>
          <c:showCatName val="0"/>
          <c:showSerName val="0"/>
          <c:showPercent val="0"/>
          <c:showBubbleSize val="0"/>
        </c:dLbls>
        <c:smooth val="0"/>
        <c:axId val="763719256"/>
        <c:axId val="763715648"/>
      </c:lineChart>
      <c:catAx>
        <c:axId val="763719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5648"/>
        <c:crosses val="autoZero"/>
        <c:auto val="1"/>
        <c:lblAlgn val="ctr"/>
        <c:lblOffset val="100"/>
        <c:noMultiLvlLbl val="1"/>
      </c:catAx>
      <c:valAx>
        <c:axId val="763715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9256"/>
        <c:crosses val="autoZero"/>
        <c:crossBetween val="between"/>
      </c:valAx>
      <c:spPr>
        <a:noFill/>
        <a:ln>
          <a:noFill/>
        </a:ln>
        <a:effectLst/>
      </c:spPr>
    </c:plotArea>
    <c:legend>
      <c:legendPos val="b"/>
      <c:layout>
        <c:manualLayout>
          <c:xMode val="edge"/>
          <c:yMode val="edge"/>
          <c:x val="0.4414144420971769"/>
          <c:y val="0.94460819383332784"/>
          <c:w val="0.11717111580564625"/>
          <c:h val="5.53918061666721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Cash 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manualLayout>
          <c:layoutTarget val="inner"/>
          <c:xMode val="edge"/>
          <c:yMode val="edge"/>
          <c:x val="3.7175534007378476E-2"/>
          <c:y val="0.10634843745471001"/>
          <c:w val="0.95599619695882154"/>
          <c:h val="0.77861456659394068"/>
        </c:manualLayout>
      </c:layout>
      <c:lineChart>
        <c:grouping val="standard"/>
        <c:varyColors val="0"/>
        <c:ser>
          <c:idx val="3"/>
          <c:order val="0"/>
          <c:tx>
            <c:strRef>
              <c:f>'CF - stare KM'!$A$12</c:f>
              <c:strCache>
                <c:ptCount val="1"/>
                <c:pt idx="0">
                  <c:v>Cumulative Balance</c:v>
                </c:pt>
              </c:strCache>
            </c:strRef>
          </c:tx>
          <c:spPr>
            <a:ln w="28575" cap="rnd">
              <a:solidFill>
                <a:schemeClr val="accent4"/>
              </a:solidFill>
              <a:round/>
            </a:ln>
            <a:effectLst/>
          </c:spPr>
          <c:marker>
            <c:symbol val="none"/>
          </c:marker>
          <c:cat>
            <c:strRef>
              <c:f>'CF - stare KM'!$B$8:$R$8</c:f>
              <c:strCache>
                <c:ptCount val="17"/>
                <c:pt idx="0">
                  <c:v>October 2024</c:v>
                </c:pt>
                <c:pt idx="1">
                  <c:v>November 2024</c:v>
                </c:pt>
                <c:pt idx="2">
                  <c:v>December 2024</c:v>
                </c:pt>
                <c:pt idx="3">
                  <c:v>January 2025</c:v>
                </c:pt>
                <c:pt idx="4">
                  <c:v>February 2025</c:v>
                </c:pt>
                <c:pt idx="5">
                  <c:v>March 2025</c:v>
                </c:pt>
                <c:pt idx="6">
                  <c:v>April 2025</c:v>
                </c:pt>
                <c:pt idx="7">
                  <c:v>May 2025</c:v>
                </c:pt>
                <c:pt idx="8">
                  <c:v>June 2025</c:v>
                </c:pt>
                <c:pt idx="9">
                  <c:v>July 2025</c:v>
                </c:pt>
                <c:pt idx="10">
                  <c:v>August 2025</c:v>
                </c:pt>
                <c:pt idx="11">
                  <c:v>September 2025</c:v>
                </c:pt>
                <c:pt idx="12">
                  <c:v>October 2025</c:v>
                </c:pt>
                <c:pt idx="13">
                  <c:v>November 2025</c:v>
                </c:pt>
                <c:pt idx="14">
                  <c:v>December 2025</c:v>
                </c:pt>
                <c:pt idx="15">
                  <c:v>2026</c:v>
                </c:pt>
                <c:pt idx="16">
                  <c:v>2027</c:v>
                </c:pt>
              </c:strCache>
            </c:strRef>
          </c:cat>
          <c:val>
            <c:numRef>
              <c:f>'CF - stare KM'!$B$12:$R$12</c:f>
              <c:numCache>
                <c:formatCode>#,##0</c:formatCode>
                <c:ptCount val="17"/>
                <c:pt idx="0">
                  <c:v>13938460.75</c:v>
                </c:pt>
                <c:pt idx="1">
                  <c:v>8581733.0300000012</c:v>
                </c:pt>
                <c:pt idx="2">
                  <c:v>5352723.3922617361</c:v>
                </c:pt>
                <c:pt idx="3">
                  <c:v>5737713.8635004163</c:v>
                </c:pt>
                <c:pt idx="4">
                  <c:v>5274972.1851826459</c:v>
                </c:pt>
                <c:pt idx="5">
                  <c:v>13668643.244090103</c:v>
                </c:pt>
                <c:pt idx="6">
                  <c:v>41637002.043014042</c:v>
                </c:pt>
                <c:pt idx="7">
                  <c:v>37719426.47159484</c:v>
                </c:pt>
                <c:pt idx="8">
                  <c:v>45517109.863842309</c:v>
                </c:pt>
                <c:pt idx="9">
                  <c:v>0</c:v>
                </c:pt>
                <c:pt idx="10">
                  <c:v>0</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3-B3E0-490E-A4DE-F5CDAD56369E}"/>
            </c:ext>
          </c:extLst>
        </c:ser>
        <c:dLbls>
          <c:showLegendKey val="0"/>
          <c:showVal val="0"/>
          <c:showCatName val="0"/>
          <c:showSerName val="0"/>
          <c:showPercent val="0"/>
          <c:showBubbleSize val="0"/>
        </c:dLbls>
        <c:smooth val="0"/>
        <c:axId val="763719256"/>
        <c:axId val="763715648"/>
      </c:lineChart>
      <c:catAx>
        <c:axId val="763719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5648"/>
        <c:crosses val="autoZero"/>
        <c:auto val="1"/>
        <c:lblAlgn val="ctr"/>
        <c:lblOffset val="100"/>
        <c:noMultiLvlLbl val="1"/>
      </c:catAx>
      <c:valAx>
        <c:axId val="763715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9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cid:image003.png@01DB3A85.1BB01EB0" TargetMode="External"/><Relationship Id="rId1" Type="http://schemas.openxmlformats.org/officeDocument/2006/relationships/image" Target="../media/image1.png"/><Relationship Id="rId6" Type="http://schemas.openxmlformats.org/officeDocument/2006/relationships/image" Target="cid:image007.png@01DB3A85.655A26F0" TargetMode="External"/><Relationship Id="rId5" Type="http://schemas.openxmlformats.org/officeDocument/2006/relationships/image" Target="../media/image3.png"/><Relationship Id="rId4" Type="http://schemas.openxmlformats.org/officeDocument/2006/relationships/image" Target="cid:image006.png@01DB3A85.655A26F0" TargetMode="External"/></Relationships>
</file>

<file path=xl/drawings/drawing1.xml><?xml version="1.0" encoding="utf-8"?>
<xdr:wsDr xmlns:xdr="http://schemas.openxmlformats.org/drawingml/2006/spreadsheetDrawing" xmlns:a="http://schemas.openxmlformats.org/drawingml/2006/main">
  <xdr:twoCellAnchor>
    <xdr:from>
      <xdr:col>0</xdr:col>
      <xdr:colOff>161925</xdr:colOff>
      <xdr:row>15</xdr:row>
      <xdr:rowOff>121919</xdr:rowOff>
    </xdr:from>
    <xdr:to>
      <xdr:col>27</xdr:col>
      <xdr:colOff>76200</xdr:colOff>
      <xdr:row>39</xdr:row>
      <xdr:rowOff>104775</xdr:rowOff>
    </xdr:to>
    <xdr:graphicFrame macro="">
      <xdr:nvGraphicFramePr>
        <xdr:cNvPr id="2" name="Wykres 1">
          <a:extLst>
            <a:ext uri="{FF2B5EF4-FFF2-40B4-BE49-F238E27FC236}">
              <a16:creationId xmlns:a16="http://schemas.microsoft.com/office/drawing/2014/main" id="{751DFD11-35A4-493A-ABC9-1F9D7DE1E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161925</xdr:colOff>
      <xdr:row>15</xdr:row>
      <xdr:rowOff>121919</xdr:rowOff>
    </xdr:from>
    <xdr:to>
      <xdr:col>18</xdr:col>
      <xdr:colOff>76200</xdr:colOff>
      <xdr:row>39</xdr:row>
      <xdr:rowOff>104775</xdr:rowOff>
    </xdr:to>
    <xdr:graphicFrame macro="">
      <xdr:nvGraphicFramePr>
        <xdr:cNvPr id="3" name="Wykres 2">
          <a:extLst>
            <a:ext uri="{FF2B5EF4-FFF2-40B4-BE49-F238E27FC236}">
              <a16:creationId xmlns:a16="http://schemas.microsoft.com/office/drawing/2014/main" id="{DF70DC4F-FC69-1404-3993-0977127586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85725</xdr:rowOff>
    </xdr:from>
    <xdr:to>
      <xdr:col>16</xdr:col>
      <xdr:colOff>447675</xdr:colOff>
      <xdr:row>12</xdr:row>
      <xdr:rowOff>38100</xdr:rowOff>
    </xdr:to>
    <xdr:pic>
      <xdr:nvPicPr>
        <xdr:cNvPr id="2" name="Obraz 1">
          <a:extLst>
            <a:ext uri="{FF2B5EF4-FFF2-40B4-BE49-F238E27FC236}">
              <a16:creationId xmlns:a16="http://schemas.microsoft.com/office/drawing/2014/main" id="{CD63DF98-AB36-D772-D3D0-4CBBDCF041A7}"/>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9050" y="85725"/>
          <a:ext cx="11401425" cy="2124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xdr:row>
      <xdr:rowOff>66675</xdr:rowOff>
    </xdr:from>
    <xdr:to>
      <xdr:col>16</xdr:col>
      <xdr:colOff>438150</xdr:colOff>
      <xdr:row>23</xdr:row>
      <xdr:rowOff>133350</xdr:rowOff>
    </xdr:to>
    <xdr:pic>
      <xdr:nvPicPr>
        <xdr:cNvPr id="3" name="Obraz 2">
          <a:extLst>
            <a:ext uri="{FF2B5EF4-FFF2-40B4-BE49-F238E27FC236}">
              <a16:creationId xmlns:a16="http://schemas.microsoft.com/office/drawing/2014/main" id="{FB1AFF83-EBD4-1684-5F5B-441DE979F6F8}"/>
            </a:ext>
          </a:extLst>
        </xdr:cNvPr>
        <xdr:cNvPicPr>
          <a:picLocks noChangeAspect="1" noChangeArrowheads="1"/>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0" y="2238375"/>
          <a:ext cx="1141095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xdr:row>
      <xdr:rowOff>76200</xdr:rowOff>
    </xdr:from>
    <xdr:to>
      <xdr:col>16</xdr:col>
      <xdr:colOff>485775</xdr:colOff>
      <xdr:row>35</xdr:row>
      <xdr:rowOff>28575</xdr:rowOff>
    </xdr:to>
    <xdr:pic>
      <xdr:nvPicPr>
        <xdr:cNvPr id="4" name="Obraz 3">
          <a:extLst>
            <a:ext uri="{FF2B5EF4-FFF2-40B4-BE49-F238E27FC236}">
              <a16:creationId xmlns:a16="http://schemas.microsoft.com/office/drawing/2014/main" id="{09BF1554-4FB3-EFDD-1550-6B01D175753A}"/>
            </a:ext>
          </a:extLst>
        </xdr:cNvPr>
        <xdr:cNvPicPr>
          <a:picLocks noChangeAspect="1" noChangeArrowheads="1"/>
        </xdr:cNvPicPr>
      </xdr:nvPicPr>
      <xdr:blipFill>
        <a:blip xmlns:r="http://schemas.openxmlformats.org/officeDocument/2006/relationships" r:embed="rId5" r:link="rId6">
          <a:extLst>
            <a:ext uri="{28A0092B-C50C-407E-A947-70E740481C1C}">
              <a14:useLocalDpi xmlns:a14="http://schemas.microsoft.com/office/drawing/2010/main" val="0"/>
            </a:ext>
          </a:extLst>
        </a:blip>
        <a:srcRect/>
        <a:stretch>
          <a:fillRect/>
        </a:stretch>
      </xdr:blipFill>
      <xdr:spPr bwMode="auto">
        <a:xfrm>
          <a:off x="0" y="4238625"/>
          <a:ext cx="11458575" cy="2124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b6-srv2p\KBF\Documents%20and%20Settings\LJ\Moje%20dokumenty\TABELA%20ELEM.%20SCALONYCH%20GANDHI%20I\Tabele%20el.%20scal\STRABAG\BoQ_Wilanowska_13_12_02ok.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intranet/Documents%20and%20Settings/rzeszoteka/Ustawienia%20lokalne/Temporary%20Internet%20Files/Content.Outlook/D46IKGVA/BB%20PL_Wa_H000_Nazwa%20budowy_dat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erver-plk\mr\O%20F%20E%20R%20T%20Y\oferty%202005\24_MOSTOWO_Szczecin\koszt\Kosztorys%20Mostowo-ceny.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ILE03\Energetyka\Users\pe0779\Desktop\Krzy&#380;-dobiegniew\Finanse\2.%20marzec%202020\1.%20prognozy%20bud&#380;etu%2025.mm.rr\202030_Budget_1110200459_E59Krzyz.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LE03\Energetyka\Users\pe0779\Desktop\DK%2018\1.%20PO%20WYGRANIU\FINANSE\1.%20kwiecie&#324;%202020\3.%20CashFlow%20%20do%205mc%20i%2017-18.mm.rr\202004_CF_final_1110200465_A18Olszyn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estaw"/>
      <sheetName val="kwartał_MU-7A"/>
      <sheetName val="kwartal_MU-7B"/>
      <sheetName val="kwartal_MU-6"/>
      <sheetName val="Aufwand_neu"/>
    </sheetNames>
    <sheetDataSet>
      <sheetData sheetId="0" refreshError="1"/>
      <sheetData sheetId="1" refreshError="1"/>
      <sheetData sheetId="2" refreshError="1"/>
      <sheetData sheetId="3" refreshError="1"/>
      <sheetData sheetId="4" refreshError="1">
        <row r="8">
          <cell r="H8">
            <v>4</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żet"/>
      <sheetName val="specyfikacja"/>
      <sheetName val="Arkusz1"/>
      <sheetName val="2.5 Staff "/>
    </sheetNames>
    <sheetDataSet>
      <sheetData sheetId="0"/>
      <sheetData sheetId="1"/>
      <sheetData sheetId="2">
        <row r="1">
          <cell r="A1" t="str">
            <v>Robocizna</v>
          </cell>
        </row>
        <row r="2">
          <cell r="A2" t="str">
            <v>Materiały</v>
          </cell>
        </row>
        <row r="3">
          <cell r="A3" t="str">
            <v>Sprzęt i transport</v>
          </cell>
        </row>
        <row r="4">
          <cell r="A4" t="str">
            <v>Podwykonawcy</v>
          </cell>
        </row>
        <row r="5">
          <cell r="A5" t="str">
            <v>Poz. koszty bezp.</v>
          </cell>
        </row>
      </sheetData>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cje"/>
      <sheetName val="Przedmiar"/>
      <sheetName val="Kosztorys"/>
      <sheetName val="SlepyKosztorys"/>
      <sheetName val="PrzedmiarEng"/>
      <sheetName val="KosztorysEng"/>
      <sheetName val="SlepyKosztorysEng"/>
      <sheetName val="Aufwand_neu"/>
      <sheetName val="Arkusz1"/>
    </sheetNames>
    <sheetDataSet>
      <sheetData sheetId="0" refreshError="1">
        <row r="2">
          <cell r="B2" t="str">
            <v>PLN</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1102.00459"/>
    </sheetNames>
    <sheetDataSet>
      <sheetData sheetId="0" refreshError="1">
        <row r="1415">
          <cell r="AJ1415">
            <v>0</v>
          </cell>
          <cell r="CM1415">
            <v>65066187.259999976</v>
          </cell>
          <cell r="CP1415">
            <v>21806511.780000001</v>
          </cell>
          <cell r="CQ1415">
            <v>23169810.499999996</v>
          </cell>
          <cell r="CR1415">
            <v>20089864.98</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yk. 12.2016"/>
      <sheetName val="Arkusz2"/>
      <sheetName val="wyk. 10.2016"/>
      <sheetName val="wyk. 09.2016"/>
      <sheetName val="wyk. 08.2016"/>
      <sheetName val="wyk. 07.2016"/>
      <sheetName val="wyk. 06.2016"/>
      <sheetName val="wyk. 05.2016"/>
      <sheetName val="wyk.04.2016"/>
      <sheetName val="wyk.03.2016"/>
      <sheetName val="wyk.02.2016"/>
      <sheetName val="wyk.01.2016"/>
      <sheetName val="CF_otwarcie"/>
      <sheetName val="CASHFLOW 1.1102.00459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25">
          <cell r="AT25">
            <v>-147821.737515924</v>
          </cell>
        </row>
        <row r="26">
          <cell r="AT26">
            <v>-138275.010117</v>
          </cell>
        </row>
      </sheetData>
    </sheetDataSet>
  </externalBook>
</externalLink>
</file>

<file path=xl/persons/person.xml><?xml version="1.0" encoding="utf-8"?>
<personList xmlns="http://schemas.microsoft.com/office/spreadsheetml/2018/threadedcomments" xmlns:x="http://schemas.openxmlformats.org/spreadsheetml/2006/main">
  <person displayName="Krzemien Justyna" id="{EE1328C6-2314-4AE0-AE04-E27BC35F03A0}" userId="S::pd7314@konzern.work::e29f8c40-8e2f-4bfb-ab76-3b81f8d9dff1"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47" dT="2026-04-07T14:32:32.45" personId="{EE1328C6-2314-4AE0-AE04-E27BC35F03A0}" id="{4575287B-50CD-4A89-A618-8D3260F9C20C}">
    <text>Ecr 3 rev 1 cała kwota wraca do budżetu</text>
  </threadedComment>
  <threadedComment ref="AC71" dT="2026-03-31T12:32:10.22" personId="{EE1328C6-2314-4AE0-AE04-E27BC35F03A0}" id="{00C018A1-4F95-49F6-A3C1-19BFE7B301E9}">
    <text xml:space="preserve">Nr umowy dla BUSZREM 4502986603
</text>
  </threadedComment>
  <threadedComment ref="AC78" dT="2026-01-21T11:53:18.20" personId="{EE1328C6-2314-4AE0-AE04-E27BC35F03A0}" id="{177CE72D-EEA3-45AE-A9CE-A551954F3BE6}">
    <text xml:space="preserve">Będzie zmiana kwoty
</text>
  </threadedComment>
  <threadedComment ref="AO192" dT="2026-02-10T18:04:11.20" personId="{EE1328C6-2314-4AE0-AE04-E27BC35F03A0}" id="{F3486E34-24A8-4A0C-834E-140CAA29189A}">
    <text>W tym 1570000 e - 3 116 711,67 pln zaliczka</text>
  </threadedComment>
  <threadedComment ref="AF386" dT="2026-04-01T16:51:44.61" personId="{EE1328C6-2314-4AE0-AE04-E27BC35F03A0}" id="{F34D0BC0-A367-42EE-A77E-84F025CC14B7}">
    <text xml:space="preserve">Z kwoty zostało zdjęte 48 pln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outlinePr summaryBelow="0"/>
    <pageSetUpPr fitToPage="1"/>
  </sheetPr>
  <dimension ref="A1:KP5062"/>
  <sheetViews>
    <sheetView showGridLines="0" tabSelected="1" topLeftCell="A181" zoomScaleNormal="100" zoomScaleSheetLayoutView="70" workbookViewId="0">
      <selection activeCell="C184" sqref="C184"/>
    </sheetView>
  </sheetViews>
  <sheetFormatPr defaultColWidth="9" defaultRowHeight="25.25" customHeight="1" outlineLevelRow="2" outlineLevelCol="2"/>
  <cols>
    <col min="1" max="1" width="9.1875" style="1429" customWidth="1"/>
    <col min="2" max="2" width="6.6875" style="35" customWidth="1"/>
    <col min="3" max="3" width="68.3125" style="106" customWidth="1"/>
    <col min="4" max="4" width="49" style="106" customWidth="1"/>
    <col min="5" max="5" width="13.875" style="159" customWidth="1" outlineLevel="1"/>
    <col min="6" max="6" width="14.1875" style="43" customWidth="1" outlineLevel="1"/>
    <col min="7" max="7" width="4.6875" style="56" customWidth="1"/>
    <col min="8" max="8" width="12.375" style="43" customWidth="1" outlineLevel="1"/>
    <col min="9" max="9" width="11.875" style="61" bestFit="1" customWidth="1"/>
    <col min="10" max="10" width="17.125" style="46" customWidth="1" outlineLevel="1"/>
    <col min="11" max="11" width="5.625" style="1903" customWidth="1" outlineLevel="1"/>
    <col min="12" max="12" width="8" style="5" customWidth="1" outlineLevel="1"/>
    <col min="13" max="13" width="14.5" style="37" customWidth="1" outlineLevel="1"/>
    <col min="14" max="14" width="13.6875" style="37" customWidth="1" outlineLevel="1"/>
    <col min="15" max="15" width="15.1875" style="32" bestFit="1" customWidth="1"/>
    <col min="16" max="16" width="9.1875" style="32" customWidth="1" outlineLevel="1"/>
    <col min="17" max="17" width="16" style="32" customWidth="1" outlineLevel="1"/>
    <col min="18" max="18" width="4.125" style="32" customWidth="1" outlineLevel="1"/>
    <col min="19" max="19" width="6.375" style="32" bestFit="1" customWidth="1"/>
    <col min="20" max="20" width="7.375" style="32" customWidth="1" outlineLevel="1"/>
    <col min="21" max="21" width="11.375" style="32" customWidth="1" outlineLevel="1"/>
    <col min="22" max="22" width="4.375" style="32" customWidth="1" outlineLevel="1"/>
    <col min="23" max="23" width="15.6875" style="32" bestFit="1" customWidth="1"/>
    <col min="24" max="24" width="17.125" style="46" customWidth="1" outlineLevel="1"/>
    <col min="25" max="25" width="9.1875" style="32" customWidth="1" outlineLevel="1"/>
    <col min="26" max="26" width="12.6875" style="32" customWidth="1" outlineLevel="1"/>
    <col min="27" max="27" width="10.1875" style="32" customWidth="1" outlineLevel="1"/>
    <col min="28" max="28" width="35.625" style="32" customWidth="1"/>
    <col min="29" max="29" width="33.625" style="1429" customWidth="1" outlineLevel="1"/>
    <col min="30" max="30" width="15.125" style="1499" customWidth="1" outlineLevel="1"/>
    <col min="31" max="31" width="7.6875" style="35" customWidth="1" outlineLevel="1"/>
    <col min="32" max="32" width="12.375" style="35" customWidth="1" outlineLevel="1"/>
    <col min="33" max="33" width="5.125" style="35" customWidth="1" outlineLevel="1"/>
    <col min="34" max="34" width="16.6875" style="35" customWidth="1"/>
    <col min="35" max="35" width="12" style="35" bestFit="1" customWidth="1"/>
    <col min="36" max="36" width="7" style="35" customWidth="1" outlineLevel="1"/>
    <col min="37" max="37" width="2.875" style="35" customWidth="1" outlineLevel="1"/>
    <col min="38" max="38" width="11.6875" style="35" customWidth="1" outlineLevel="1"/>
    <col min="39" max="39" width="16.1875" style="35" customWidth="1" outlineLevel="1"/>
    <col min="40" max="40" width="13.375" style="35" customWidth="1" outlineLevel="2"/>
    <col min="41" max="41" width="14.375" style="35" customWidth="1" outlineLevel="2"/>
    <col min="42" max="42" width="15.5" style="35" customWidth="1" outlineLevel="2"/>
    <col min="43" max="43" width="15" style="35" customWidth="1" outlineLevel="2"/>
    <col min="44" max="44" width="17.1875" style="39" customWidth="1" outlineLevel="2"/>
    <col min="45" max="45" width="19.875" style="35" customWidth="1" outlineLevel="2"/>
    <col min="46" max="47" width="14.875" style="35" customWidth="1" outlineLevel="2"/>
    <col min="48" max="48" width="14.6875" style="35" customWidth="1" outlineLevel="2"/>
    <col min="49" max="49" width="13.375" style="2074" customWidth="1" outlineLevel="2"/>
    <col min="50" max="50" width="13.625" style="35" customWidth="1" outlineLevel="2"/>
    <col min="51" max="51" width="16" style="35" customWidth="1" outlineLevel="2"/>
    <col min="52" max="68" width="12.5" style="35" customWidth="1" outlineLevel="2"/>
    <col min="69" max="69" width="13.125" style="35" customWidth="1" outlineLevel="2"/>
    <col min="70" max="70" width="12.125" style="2424" customWidth="1" outlineLevel="2"/>
    <col min="71" max="73" width="12.125" style="35" customWidth="1" outlineLevel="2"/>
    <col min="74" max="74" width="11.5" style="35" customWidth="1" outlineLevel="2"/>
    <col min="75" max="75" width="12.125" style="35" customWidth="1" outlineLevel="2"/>
    <col min="76" max="76" width="11.5" style="35" customWidth="1" outlineLevel="2"/>
    <col min="77" max="77" width="25" style="35" customWidth="1" outlineLevel="2"/>
    <col min="78" max="78" width="12" style="35" customWidth="1" outlineLevel="2"/>
    <col min="79" max="79" width="22.1875" style="35" customWidth="1" outlineLevel="1"/>
    <col min="80" max="80" width="8.625" style="35" customWidth="1" outlineLevel="1"/>
    <col min="81" max="81" width="5" style="35" bestFit="1" customWidth="1"/>
    <col min="82" max="82" width="10.5" style="35" hidden="1" customWidth="1"/>
    <col min="83" max="83" width="12" style="35" hidden="1" customWidth="1"/>
    <col min="84" max="84" width="17" style="35" hidden="1" customWidth="1"/>
    <col min="85" max="85" width="5.375" style="35" hidden="1" customWidth="1"/>
    <col min="86" max="86" width="9.1875" style="39" hidden="1" customWidth="1"/>
    <col min="87" max="87" width="21.375" style="40" hidden="1" customWidth="1"/>
    <col min="88" max="88" width="8.1875" style="36" hidden="1" customWidth="1"/>
    <col min="89" max="89" width="7.375" style="36" hidden="1" customWidth="1"/>
    <col min="90" max="90" width="16" style="35" customWidth="1"/>
    <col min="91" max="91" width="19.625" style="41" customWidth="1"/>
    <col min="92" max="92" width="13.5" style="35" hidden="1" customWidth="1"/>
    <col min="93" max="93" width="4.625" style="35" hidden="1" customWidth="1"/>
    <col min="94" max="94" width="12.5" style="35" hidden="1" customWidth="1"/>
    <col min="95" max="95" width="4.625" style="35" hidden="1" customWidth="1"/>
    <col min="96" max="96" width="4.625" style="42" hidden="1" customWidth="1"/>
    <col min="97" max="97" width="10.1875" style="35" bestFit="1" customWidth="1"/>
    <col min="98" max="98" width="4.625" style="35" bestFit="1" customWidth="1"/>
    <col min="99" max="99" width="24" style="35" customWidth="1"/>
    <col min="100" max="100" width="4.6875" style="35" customWidth="1"/>
    <col min="101" max="102" width="4.625" style="35" bestFit="1" customWidth="1"/>
    <col min="103" max="103" width="14.625" style="35" customWidth="1"/>
    <col min="104" max="104" width="18.1875" style="35" customWidth="1"/>
    <col min="105" max="110" width="18.1875" style="35" hidden="1" customWidth="1"/>
    <col min="111" max="111" width="12.1875" style="32" hidden="1" customWidth="1"/>
    <col min="112" max="112" width="11.1875" style="32" hidden="1" customWidth="1"/>
    <col min="113" max="113" width="11.6875" style="35" hidden="1" customWidth="1"/>
    <col min="114" max="114" width="10.1875" style="35" hidden="1" customWidth="1"/>
    <col min="115" max="116" width="10" style="35" hidden="1" customWidth="1"/>
    <col min="117" max="138" width="0" style="35" hidden="1" customWidth="1"/>
    <col min="139" max="139" width="9.6875" style="35" bestFit="1" customWidth="1"/>
    <col min="140" max="140" width="10.6875" style="35" bestFit="1" customWidth="1"/>
    <col min="141" max="141" width="9.5" style="35" bestFit="1" customWidth="1"/>
    <col min="142" max="142" width="11.6875" style="35" bestFit="1" customWidth="1"/>
    <col min="143" max="16384" width="9" style="35"/>
  </cols>
  <sheetData>
    <row r="1" spans="1:302" s="1" customFormat="1" ht="38.450000000000003" customHeight="1">
      <c r="A1" s="2643"/>
      <c r="C1" s="240" t="s">
        <v>508</v>
      </c>
      <c r="D1" s="240"/>
      <c r="E1" s="241"/>
      <c r="F1" s="242"/>
      <c r="G1" s="2928"/>
      <c r="H1" s="2928"/>
      <c r="I1" s="2928"/>
      <c r="J1" s="2928"/>
      <c r="K1" s="2928"/>
      <c r="L1" s="2928"/>
      <c r="M1" s="2928"/>
      <c r="N1" s="2928"/>
      <c r="O1" s="2928"/>
      <c r="P1" s="11"/>
      <c r="Q1" s="11"/>
      <c r="R1" s="11"/>
      <c r="S1" s="1712"/>
      <c r="T1" s="1712"/>
      <c r="U1" s="1712"/>
      <c r="V1" s="1712"/>
      <c r="W1" s="1713" t="s">
        <v>248</v>
      </c>
      <c r="X1" s="1714"/>
      <c r="Y1" s="1712"/>
      <c r="Z1" s="1712"/>
      <c r="AA1" s="1712"/>
      <c r="AB1" s="2523">
        <f ca="1">TODAY()</f>
        <v>46121</v>
      </c>
      <c r="AC1" s="243" t="s">
        <v>85</v>
      </c>
      <c r="AD1" s="1450"/>
      <c r="AE1" s="243"/>
      <c r="AF1" s="243"/>
      <c r="AG1" s="243"/>
      <c r="AH1" s="3"/>
      <c r="AI1" s="3"/>
      <c r="AN1" s="1355" t="s">
        <v>519</v>
      </c>
      <c r="AO1" s="1355" t="s">
        <v>520</v>
      </c>
      <c r="AP1" s="1355" t="s">
        <v>521</v>
      </c>
      <c r="AQ1" s="1355" t="s">
        <v>522</v>
      </c>
      <c r="AR1" s="1355" t="s">
        <v>523</v>
      </c>
      <c r="AS1" s="1355" t="s">
        <v>524</v>
      </c>
      <c r="AT1" s="1355" t="s">
        <v>525</v>
      </c>
      <c r="AU1" s="1355" t="s">
        <v>272</v>
      </c>
      <c r="AV1" s="1355" t="s">
        <v>273</v>
      </c>
      <c r="AW1" s="2073" t="s">
        <v>274</v>
      </c>
      <c r="AX1" s="1355" t="s">
        <v>275</v>
      </c>
      <c r="AY1" s="1355" t="s">
        <v>276</v>
      </c>
      <c r="AZ1" s="1355" t="s">
        <v>526</v>
      </c>
      <c r="BA1" s="1355" t="s">
        <v>527</v>
      </c>
      <c r="BB1" s="1355" t="s">
        <v>528</v>
      </c>
      <c r="BC1" s="1355" t="s">
        <v>529</v>
      </c>
      <c r="BD1" s="1355" t="s">
        <v>530</v>
      </c>
      <c r="BE1" s="1355" t="s">
        <v>531</v>
      </c>
      <c r="BF1" s="1355" t="s">
        <v>532</v>
      </c>
      <c r="BG1" s="1355" t="s">
        <v>533</v>
      </c>
      <c r="BH1" s="1355" t="s">
        <v>534</v>
      </c>
      <c r="BI1" s="1355" t="s">
        <v>535</v>
      </c>
      <c r="BJ1" s="1355" t="s">
        <v>536</v>
      </c>
      <c r="BK1" s="1355" t="s">
        <v>537</v>
      </c>
      <c r="BL1" s="1355" t="s">
        <v>538</v>
      </c>
      <c r="BM1" s="1355" t="s">
        <v>539</v>
      </c>
      <c r="BN1" s="1355" t="s">
        <v>540</v>
      </c>
      <c r="BO1" s="1355" t="s">
        <v>541</v>
      </c>
      <c r="BP1" s="1355" t="s">
        <v>542</v>
      </c>
      <c r="BQ1" s="1355" t="s">
        <v>543</v>
      </c>
      <c r="BR1" s="2423" t="s">
        <v>544</v>
      </c>
      <c r="BS1" s="1355" t="s">
        <v>545</v>
      </c>
      <c r="BT1" s="1355" t="s">
        <v>546</v>
      </c>
      <c r="BU1" s="1355" t="s">
        <v>547</v>
      </c>
      <c r="BV1" s="2364">
        <v>47058</v>
      </c>
      <c r="BW1" s="1355" t="s">
        <v>548</v>
      </c>
      <c r="BX1" s="1355">
        <v>2029</v>
      </c>
      <c r="BY1" s="1355"/>
      <c r="BZ1" s="1355"/>
      <c r="CA1" s="1355"/>
      <c r="CB1" s="1355"/>
      <c r="CC1" s="1355"/>
      <c r="CD1" s="1355"/>
      <c r="CE1" s="4"/>
      <c r="CF1" s="5"/>
      <c r="CG1" s="6"/>
      <c r="CI1" s="7"/>
      <c r="CJ1" s="8"/>
      <c r="CK1" s="8"/>
      <c r="CM1" s="9"/>
      <c r="CR1" s="10"/>
      <c r="CS1" s="1626"/>
      <c r="DG1" s="11"/>
      <c r="DH1" s="11"/>
    </row>
    <row r="2" spans="1:302" s="1" customFormat="1" ht="25.25" customHeight="1" outlineLevel="1">
      <c r="A2" s="2644"/>
      <c r="B2" s="12"/>
      <c r="C2" s="107"/>
      <c r="D2" s="107"/>
      <c r="E2" s="146"/>
      <c r="F2" s="13"/>
      <c r="G2" s="14"/>
      <c r="H2" s="13"/>
      <c r="I2" s="58"/>
      <c r="J2" s="1714"/>
      <c r="K2" s="1715"/>
      <c r="L2" s="1716"/>
      <c r="M2" s="1717"/>
      <c r="N2" s="1717"/>
      <c r="O2" s="87"/>
      <c r="P2" s="87"/>
      <c r="Q2" s="87"/>
      <c r="R2" s="87"/>
      <c r="S2" s="87"/>
      <c r="T2" s="87"/>
      <c r="U2" s="87"/>
      <c r="V2" s="87"/>
      <c r="W2" s="87"/>
      <c r="X2" s="1714"/>
      <c r="Y2" s="87"/>
      <c r="Z2" s="87"/>
      <c r="AA2" s="87"/>
      <c r="AB2" s="3"/>
      <c r="AC2" s="1429"/>
      <c r="AD2" s="1451"/>
      <c r="AE2" s="12"/>
      <c r="AF2" s="12"/>
      <c r="AG2" s="12"/>
      <c r="AH2" s="3"/>
      <c r="AI2" s="3"/>
      <c r="AJ2" s="37"/>
      <c r="AK2" s="37"/>
      <c r="AL2" s="37"/>
      <c r="AM2" s="37"/>
      <c r="AN2" s="94"/>
      <c r="AO2" s="4"/>
      <c r="AP2" s="4"/>
      <c r="AQ2" s="4"/>
      <c r="AR2" s="76"/>
      <c r="AS2" s="4"/>
      <c r="AT2" s="4"/>
      <c r="AU2" s="2049"/>
      <c r="AV2" s="4"/>
      <c r="AW2" s="4"/>
      <c r="AX2" s="4"/>
      <c r="AY2" s="4"/>
      <c r="AZ2" s="4"/>
      <c r="BA2" s="4"/>
      <c r="BB2" s="4"/>
      <c r="BC2" s="4"/>
      <c r="BD2" s="4"/>
      <c r="BE2" s="4"/>
      <c r="BF2" s="4"/>
      <c r="BG2" s="4"/>
      <c r="BH2" s="4"/>
      <c r="BI2" s="4"/>
      <c r="BJ2" s="4"/>
      <c r="BK2" s="4"/>
      <c r="BL2" s="4"/>
      <c r="BM2" s="4"/>
      <c r="BN2" s="4"/>
      <c r="BO2" s="4"/>
      <c r="BP2" s="4"/>
      <c r="BQ2" s="4"/>
      <c r="BR2" s="2494"/>
      <c r="BS2" s="4"/>
      <c r="BT2" s="4"/>
      <c r="BU2" s="4"/>
      <c r="BV2" s="4"/>
      <c r="BW2" s="4"/>
      <c r="BX2" s="4"/>
      <c r="BY2" s="4"/>
      <c r="BZ2" s="4"/>
      <c r="CA2" s="4"/>
      <c r="CB2" s="4"/>
      <c r="CC2" s="4"/>
      <c r="CD2" s="4"/>
      <c r="CE2" s="4"/>
      <c r="CF2" s="5"/>
      <c r="CG2" s="6"/>
      <c r="CI2" s="7"/>
      <c r="CJ2" s="8"/>
      <c r="CK2" s="8"/>
      <c r="CM2" s="9"/>
      <c r="CR2" s="10"/>
      <c r="CS2" s="1627">
        <f ca="1">CA446/CA442</f>
        <v>0.10073947050640007</v>
      </c>
      <c r="CT2" s="1635"/>
      <c r="CU2" s="1635"/>
      <c r="CV2" s="1635"/>
      <c r="CW2" s="1635"/>
      <c r="CX2" s="1635"/>
      <c r="CY2" s="1635"/>
      <c r="CZ2" s="1635"/>
      <c r="DA2" s="1635"/>
      <c r="DB2" s="1635"/>
      <c r="DC2" s="1635"/>
      <c r="DD2" s="1635"/>
      <c r="DE2" s="1635"/>
      <c r="DF2" s="1635"/>
      <c r="DG2" s="11"/>
      <c r="DH2" s="11"/>
      <c r="EI2" s="1658"/>
    </row>
    <row r="3" spans="1:302" s="1" customFormat="1" ht="25.25" customHeight="1" outlineLevel="1">
      <c r="A3" s="2643"/>
      <c r="C3" s="107" t="s">
        <v>102</v>
      </c>
      <c r="D3" s="107"/>
      <c r="E3" s="147"/>
      <c r="F3" s="64"/>
      <c r="G3" s="65"/>
      <c r="H3" s="64"/>
      <c r="I3" s="66"/>
      <c r="J3" s="1718"/>
      <c r="K3" s="2929"/>
      <c r="L3" s="2929"/>
      <c r="M3" s="2929"/>
      <c r="N3" s="2929"/>
      <c r="O3" s="2929"/>
      <c r="P3" s="2929"/>
      <c r="Q3" s="2929"/>
      <c r="R3" s="2929"/>
      <c r="S3" s="1719"/>
      <c r="T3" s="1719"/>
      <c r="U3" s="1719"/>
      <c r="V3" s="1719"/>
      <c r="W3" s="1720"/>
      <c r="X3" s="1718"/>
      <c r="Y3" s="1720"/>
      <c r="Z3" s="1720"/>
      <c r="AA3" s="1720"/>
      <c r="AB3" s="67"/>
      <c r="AC3" s="1434"/>
      <c r="AD3" s="1452"/>
      <c r="AE3" s="2"/>
      <c r="AF3" s="2"/>
      <c r="AG3" s="2"/>
      <c r="AH3" s="3"/>
      <c r="AI3" s="3"/>
      <c r="AN3" s="94"/>
      <c r="AO3" s="63"/>
      <c r="AP3" s="63"/>
      <c r="AQ3" s="95"/>
      <c r="AR3" s="96"/>
      <c r="AS3" s="95"/>
      <c r="AT3" s="63"/>
      <c r="AU3" s="2050"/>
      <c r="AV3" s="95"/>
      <c r="AW3" s="95"/>
      <c r="AX3" s="63"/>
      <c r="AY3" s="63"/>
      <c r="AZ3" s="63"/>
      <c r="BA3" s="4"/>
      <c r="BB3" s="4"/>
      <c r="BC3" s="4"/>
      <c r="BD3" s="4"/>
      <c r="BE3" s="4"/>
      <c r="BF3" s="4"/>
      <c r="BG3" s="4"/>
      <c r="BH3" s="4"/>
      <c r="BI3" s="4"/>
      <c r="BJ3" s="4"/>
      <c r="BK3" s="4"/>
      <c r="BL3" s="4"/>
      <c r="BM3" s="4"/>
      <c r="BN3" s="4"/>
      <c r="BO3" s="4"/>
      <c r="BP3" s="4"/>
      <c r="BQ3" s="4"/>
      <c r="BR3" s="2494"/>
      <c r="BS3" s="4"/>
      <c r="BT3" s="4"/>
      <c r="BU3" s="4"/>
      <c r="BV3" s="4"/>
      <c r="BW3" s="4"/>
      <c r="BX3" s="4"/>
      <c r="BY3" s="4"/>
      <c r="BZ3" s="4"/>
      <c r="CA3" s="4"/>
      <c r="CB3" s="4"/>
      <c r="CC3" s="4"/>
      <c r="CD3" s="4"/>
      <c r="CE3" s="4"/>
      <c r="CF3" s="5"/>
      <c r="CG3" s="6"/>
      <c r="CI3" s="7"/>
      <c r="CJ3" s="8"/>
      <c r="CK3" s="8"/>
      <c r="CM3" s="9"/>
      <c r="CR3" s="10"/>
      <c r="CS3" s="1627">
        <f ca="1">CA463/CA442</f>
        <v>4.9900000000000007E-2</v>
      </c>
      <c r="CT3" s="1635"/>
      <c r="CU3" s="1635"/>
      <c r="CV3" s="1635"/>
      <c r="CW3" s="1635"/>
      <c r="CX3" s="1635"/>
      <c r="CY3" s="1635"/>
      <c r="CZ3" s="1635"/>
      <c r="DA3" s="1635"/>
      <c r="DB3" s="1635"/>
      <c r="DC3" s="1635"/>
      <c r="DD3" s="1635"/>
      <c r="DE3" s="1635"/>
      <c r="DF3" s="1635"/>
      <c r="DG3" s="11"/>
      <c r="DH3" s="11"/>
      <c r="EI3" s="1658"/>
    </row>
    <row r="4" spans="1:302" s="1" customFormat="1" ht="25.25" customHeight="1" outlineLevel="1">
      <c r="A4" s="2643"/>
      <c r="C4" s="107" t="s">
        <v>1244</v>
      </c>
      <c r="D4" s="107"/>
      <c r="E4" s="147"/>
      <c r="F4" s="64"/>
      <c r="G4" s="65"/>
      <c r="H4" s="64"/>
      <c r="I4" s="66"/>
      <c r="J4" s="1718"/>
      <c r="K4" s="2932"/>
      <c r="L4" s="2932"/>
      <c r="M4" s="2932"/>
      <c r="N4" s="2932"/>
      <c r="O4" s="2932"/>
      <c r="P4" s="2932"/>
      <c r="Q4" s="2932"/>
      <c r="R4" s="2932"/>
      <c r="S4" s="1720"/>
      <c r="T4" s="1720"/>
      <c r="U4" s="1720"/>
      <c r="V4" s="1720"/>
      <c r="W4" s="1721"/>
      <c r="X4" s="1718"/>
      <c r="Y4" s="1719"/>
      <c r="Z4" s="1719"/>
      <c r="AA4" s="1719"/>
      <c r="AB4" s="1721"/>
      <c r="AC4" s="1435" t="s">
        <v>85</v>
      </c>
      <c r="AD4" s="1450"/>
      <c r="AE4" s="12"/>
      <c r="AF4" s="12"/>
      <c r="AG4" s="12"/>
      <c r="AH4" s="3"/>
      <c r="AI4" s="98">
        <v>45995</v>
      </c>
      <c r="AJ4" s="88"/>
      <c r="AK4" s="88"/>
      <c r="AN4" s="2931"/>
      <c r="AO4" s="2931"/>
      <c r="AP4" s="63"/>
      <c r="AQ4" s="95"/>
      <c r="AR4" s="96"/>
      <c r="AS4" s="95"/>
      <c r="AT4" s="63"/>
      <c r="AU4" s="2050"/>
      <c r="AV4" s="95"/>
      <c r="AW4" s="95"/>
      <c r="AX4" s="63"/>
      <c r="AY4" s="63"/>
      <c r="AZ4" s="63"/>
      <c r="BA4" s="4"/>
      <c r="BB4" s="4"/>
      <c r="BC4" s="4"/>
      <c r="BD4" s="4"/>
      <c r="BE4" s="4"/>
      <c r="BF4" s="4"/>
      <c r="BG4" s="4"/>
      <c r="BH4" s="4"/>
      <c r="BI4" s="4"/>
      <c r="BJ4" s="4"/>
      <c r="BK4" s="4"/>
      <c r="BL4" s="4"/>
      <c r="BM4" s="4"/>
      <c r="BN4" s="4"/>
      <c r="BO4" s="4"/>
      <c r="BP4" s="4"/>
      <c r="BQ4" s="4"/>
      <c r="BR4" s="2494"/>
      <c r="BS4" s="4"/>
      <c r="BT4" s="4"/>
      <c r="BU4" s="4"/>
      <c r="BV4" s="4"/>
      <c r="BW4" s="4"/>
      <c r="BX4" s="4"/>
      <c r="BY4" s="4"/>
      <c r="BZ4" s="4"/>
      <c r="CA4" s="4"/>
      <c r="CB4" s="4"/>
      <c r="CC4" s="4"/>
      <c r="CD4" s="4"/>
      <c r="CE4" s="4"/>
      <c r="CF4" s="1921" t="s">
        <v>276</v>
      </c>
      <c r="CG4" s="6"/>
      <c r="CI4" s="7"/>
      <c r="CJ4" s="8"/>
      <c r="CK4" s="8"/>
      <c r="CM4" s="9"/>
      <c r="CR4" s="10"/>
      <c r="CS4" s="1627" t="e">
        <f>CA465/C442</f>
        <v>#VALUE!</v>
      </c>
      <c r="CT4" s="1635"/>
      <c r="CU4" s="1635"/>
      <c r="CV4" s="1635"/>
      <c r="CW4" s="1635"/>
      <c r="CX4" s="1635"/>
      <c r="CY4" s="1635"/>
      <c r="CZ4" s="1635"/>
      <c r="DA4" s="1635"/>
      <c r="DB4" s="1635"/>
      <c r="DC4" s="1635"/>
      <c r="DD4" s="1635"/>
      <c r="DE4" s="1635"/>
      <c r="DF4" s="1635"/>
      <c r="DG4" s="11"/>
      <c r="DH4" s="11"/>
      <c r="EI4" s="1658"/>
    </row>
    <row r="5" spans="1:302" s="15" customFormat="1" ht="25.25" customHeight="1" outlineLevel="1">
      <c r="A5" s="2645"/>
      <c r="C5" s="107" t="s">
        <v>1243</v>
      </c>
      <c r="D5" s="107"/>
      <c r="E5" s="147"/>
      <c r="F5" s="64"/>
      <c r="G5" s="68"/>
      <c r="H5" s="64"/>
      <c r="I5" s="69"/>
      <c r="J5" s="69"/>
      <c r="K5" s="69"/>
      <c r="L5" s="69"/>
      <c r="M5" s="69"/>
      <c r="N5" s="69"/>
      <c r="O5" s="69"/>
      <c r="P5" s="69"/>
      <c r="Q5" s="69"/>
      <c r="R5" s="69"/>
      <c r="S5" s="69"/>
      <c r="T5" s="69"/>
      <c r="U5" s="69"/>
      <c r="V5" s="69"/>
      <c r="W5" s="69"/>
      <c r="X5" s="69"/>
      <c r="Y5" s="69"/>
      <c r="Z5" s="69"/>
      <c r="AA5" s="69"/>
      <c r="AB5" s="69"/>
      <c r="AC5" s="1436"/>
      <c r="AD5" s="1450"/>
      <c r="AE5" s="12"/>
      <c r="AF5" s="12"/>
      <c r="AG5" s="87"/>
      <c r="AH5" s="16"/>
      <c r="AI5" s="17" t="s">
        <v>0</v>
      </c>
      <c r="AN5" s="62"/>
      <c r="AO5" s="62"/>
      <c r="AP5" s="62"/>
      <c r="AQ5" s="62"/>
      <c r="AR5" s="77"/>
      <c r="AS5" s="62"/>
      <c r="AT5" s="62"/>
      <c r="AU5" s="1652"/>
      <c r="AV5" s="62"/>
      <c r="AW5" s="62"/>
      <c r="AX5" s="62"/>
      <c r="AY5" s="62"/>
      <c r="AZ5" s="62"/>
      <c r="BA5" s="18"/>
      <c r="BB5" s="18"/>
      <c r="BC5" s="18"/>
      <c r="BD5" s="18"/>
      <c r="BE5" s="18"/>
      <c r="BF5" s="18"/>
      <c r="BG5" s="18"/>
      <c r="BH5" s="18"/>
      <c r="BI5" s="18"/>
      <c r="BJ5" s="18"/>
      <c r="BK5" s="18"/>
      <c r="BL5" s="18"/>
      <c r="BM5" s="18"/>
      <c r="BN5" s="18"/>
      <c r="BO5" s="18"/>
      <c r="BP5" s="18"/>
      <c r="BQ5" s="18"/>
      <c r="BR5" s="2495"/>
      <c r="BS5" s="18"/>
      <c r="BT5" s="18"/>
      <c r="BU5" s="18"/>
      <c r="BV5" s="18"/>
      <c r="BW5" s="18"/>
      <c r="BX5" s="18"/>
      <c r="BY5" s="18"/>
      <c r="BZ5" s="18"/>
      <c r="CA5" s="18"/>
      <c r="CB5" s="18"/>
      <c r="CC5" s="18"/>
      <c r="CD5" s="18"/>
      <c r="CE5" s="18"/>
      <c r="CF5" s="17" t="s">
        <v>1</v>
      </c>
      <c r="CG5" s="19"/>
      <c r="CI5" s="20"/>
      <c r="CJ5" s="21"/>
      <c r="CK5" s="21"/>
      <c r="CM5" s="22"/>
      <c r="CR5" s="10"/>
      <c r="CS5" s="1628"/>
      <c r="CT5" s="1636"/>
      <c r="CU5" s="1636"/>
      <c r="CV5" s="1636"/>
      <c r="CW5" s="1636"/>
      <c r="CX5" s="1636"/>
      <c r="CY5" s="1636"/>
      <c r="CZ5" s="1636"/>
      <c r="DA5" s="1636"/>
      <c r="DB5" s="1636"/>
      <c r="DC5" s="1636"/>
      <c r="DD5" s="1636"/>
      <c r="DE5" s="1636"/>
      <c r="DF5" s="1636"/>
      <c r="DG5" s="1637"/>
      <c r="DH5" s="1637"/>
      <c r="EI5" s="1658"/>
    </row>
    <row r="6" spans="1:302" s="15" customFormat="1" ht="25.25" customHeight="1" outlineLevel="1">
      <c r="A6" s="2645"/>
      <c r="C6" s="108"/>
      <c r="D6" s="108"/>
      <c r="E6" s="148"/>
      <c r="F6" s="70"/>
      <c r="G6" s="71"/>
      <c r="H6" s="70"/>
      <c r="I6" s="69"/>
      <c r="J6" s="69"/>
      <c r="K6" s="69"/>
      <c r="L6" s="69"/>
      <c r="M6" s="69"/>
      <c r="N6" s="69"/>
      <c r="O6" s="69"/>
      <c r="P6" s="69"/>
      <c r="Q6" s="69"/>
      <c r="R6" s="69"/>
      <c r="S6" s="69"/>
      <c r="T6" s="69"/>
      <c r="U6" s="69"/>
      <c r="V6" s="69"/>
      <c r="W6" s="69"/>
      <c r="X6" s="69"/>
      <c r="Y6" s="69"/>
      <c r="Z6" s="69"/>
      <c r="AA6" s="69"/>
      <c r="AB6" s="1722"/>
      <c r="AC6" s="1436"/>
      <c r="AD6" s="1450"/>
      <c r="AE6" s="12"/>
      <c r="AF6" s="12"/>
      <c r="AG6" s="12"/>
      <c r="AH6" s="16"/>
      <c r="AI6" s="23"/>
      <c r="AJ6" s="24"/>
      <c r="AK6" s="24"/>
      <c r="AL6" s="24"/>
      <c r="AM6" s="24"/>
      <c r="AN6" s="62"/>
      <c r="AO6" s="62"/>
      <c r="AP6" s="62"/>
      <c r="AQ6" s="62"/>
      <c r="AR6" s="77"/>
      <c r="AS6" s="62"/>
      <c r="AT6" s="62"/>
      <c r="AU6" s="1652"/>
      <c r="AV6" s="62"/>
      <c r="AW6" s="62"/>
      <c r="AX6" s="62"/>
      <c r="AY6" s="62"/>
      <c r="AZ6" s="62"/>
      <c r="BA6" s="18"/>
      <c r="BB6" s="18"/>
      <c r="BC6" s="18"/>
      <c r="BD6" s="18"/>
      <c r="BE6" s="18"/>
      <c r="BF6" s="18"/>
      <c r="BG6" s="18"/>
      <c r="BH6" s="18"/>
      <c r="BI6" s="18"/>
      <c r="BJ6" s="18"/>
      <c r="BK6" s="18"/>
      <c r="BL6" s="18"/>
      <c r="BM6" s="18"/>
      <c r="BN6" s="18"/>
      <c r="BO6" s="18"/>
      <c r="BP6" s="18"/>
      <c r="BQ6" s="18"/>
      <c r="BR6" s="2495"/>
      <c r="BS6" s="18"/>
      <c r="BT6" s="18"/>
      <c r="BU6" s="18"/>
      <c r="BV6" s="18"/>
      <c r="BW6" s="18"/>
      <c r="BX6" s="18"/>
      <c r="BY6" s="18"/>
      <c r="BZ6" s="18"/>
      <c r="CA6" s="18"/>
      <c r="CB6" s="18"/>
      <c r="CC6" s="18"/>
      <c r="CD6" s="18"/>
      <c r="CE6" s="18"/>
      <c r="CF6" s="25"/>
      <c r="CG6" s="26"/>
      <c r="CI6" s="20"/>
      <c r="CJ6" s="21"/>
      <c r="CK6" s="21"/>
      <c r="CM6" s="22"/>
      <c r="CR6" s="10"/>
      <c r="CS6" s="1628"/>
      <c r="CT6" s="1636"/>
      <c r="CU6" s="1636"/>
      <c r="CV6" s="1636"/>
      <c r="CW6" s="1636"/>
      <c r="CX6" s="1636"/>
      <c r="CY6" s="1636"/>
      <c r="CZ6" s="1636"/>
      <c r="DA6" s="1636"/>
      <c r="DB6" s="1636"/>
      <c r="DC6" s="1636"/>
      <c r="DD6" s="1636"/>
      <c r="DE6" s="1636"/>
      <c r="DF6" s="1636"/>
      <c r="DG6" s="1637"/>
      <c r="DH6" s="1637"/>
      <c r="EI6" s="1658"/>
    </row>
    <row r="7" spans="1:302" s="22" customFormat="1" ht="32" customHeight="1" outlineLevel="1" thickBot="1">
      <c r="A7" s="2646"/>
      <c r="B7" s="141"/>
      <c r="C7" s="99"/>
      <c r="D7" s="99"/>
      <c r="E7" s="149"/>
      <c r="F7" s="90"/>
      <c r="G7" s="89"/>
      <c r="H7" s="90"/>
      <c r="I7" s="1513"/>
      <c r="J7" s="1722"/>
      <c r="K7" s="1513"/>
      <c r="L7" s="1722"/>
      <c r="M7" s="1513"/>
      <c r="N7" s="1722"/>
      <c r="O7" s="1513"/>
      <c r="P7" s="1722"/>
      <c r="Q7" s="1513"/>
      <c r="R7" s="1722"/>
      <c r="S7" s="1513"/>
      <c r="T7" s="1722"/>
      <c r="U7" s="1513"/>
      <c r="V7" s="1722"/>
      <c r="W7" s="1513"/>
      <c r="X7" s="1722"/>
      <c r="Y7" s="1513"/>
      <c r="Z7" s="1722"/>
      <c r="AA7" s="1513"/>
      <c r="AB7" s="93"/>
      <c r="AC7" s="1437"/>
      <c r="AD7" s="1453"/>
      <c r="AE7" s="90"/>
      <c r="AF7" s="89"/>
      <c r="AG7" s="90"/>
      <c r="AH7" s="89"/>
      <c r="AI7" s="90"/>
      <c r="AJ7" s="89"/>
      <c r="AK7" s="89"/>
      <c r="AL7" s="90"/>
      <c r="AM7" s="90"/>
      <c r="AN7" s="90"/>
      <c r="AO7" s="89"/>
      <c r="AP7" s="90"/>
      <c r="AQ7" s="89"/>
      <c r="AR7" s="90"/>
      <c r="AS7" s="89"/>
      <c r="AT7" s="90"/>
      <c r="AU7" s="2051"/>
      <c r="AV7" s="90"/>
      <c r="AW7" s="89"/>
      <c r="AX7" s="89"/>
      <c r="AY7" s="90"/>
      <c r="AZ7" s="89"/>
      <c r="BA7" s="89"/>
      <c r="BB7" s="89"/>
      <c r="BC7" s="89"/>
      <c r="BD7" s="89"/>
      <c r="BE7" s="89"/>
      <c r="BF7" s="89"/>
      <c r="BG7" s="89"/>
      <c r="BH7" s="89"/>
      <c r="BI7" s="89"/>
      <c r="BJ7" s="89"/>
      <c r="BK7" s="89"/>
      <c r="BL7" s="89"/>
      <c r="BM7" s="89"/>
      <c r="BN7" s="89"/>
      <c r="BO7" s="89"/>
      <c r="BP7" s="89"/>
      <c r="BQ7" s="89"/>
      <c r="BR7" s="2496"/>
      <c r="BS7" s="89"/>
      <c r="BT7" s="89"/>
      <c r="BU7" s="89"/>
      <c r="BV7" s="89"/>
      <c r="BW7" s="89"/>
      <c r="BX7" s="89"/>
      <c r="BY7" s="89"/>
      <c r="BZ7" s="89"/>
      <c r="CA7" s="89"/>
      <c r="CB7" s="89"/>
      <c r="CC7" s="89"/>
      <c r="CD7" s="89"/>
      <c r="CE7" s="89"/>
      <c r="CF7" s="90"/>
      <c r="CG7" s="89"/>
      <c r="CH7" s="90"/>
      <c r="CI7" s="89"/>
      <c r="CJ7" s="89"/>
      <c r="CK7" s="90"/>
      <c r="CR7" s="91"/>
      <c r="CS7" s="1629"/>
      <c r="CT7" s="1638"/>
      <c r="CU7" s="1638"/>
      <c r="CV7" s="1638"/>
      <c r="CW7" s="1638"/>
      <c r="CX7" s="1638"/>
      <c r="CY7" s="1638"/>
      <c r="CZ7" s="1638"/>
      <c r="DA7" s="1638"/>
      <c r="DB7" s="1638"/>
      <c r="DC7" s="1638"/>
      <c r="DD7" s="1638"/>
      <c r="DE7" s="1638"/>
      <c r="DF7" s="1638"/>
      <c r="DG7" s="93"/>
      <c r="DH7" s="93"/>
      <c r="EI7" s="1658"/>
    </row>
    <row r="8" spans="1:302" s="15" customFormat="1" ht="28.5" customHeight="1" thickBot="1">
      <c r="A8" s="2903" t="s">
        <v>2</v>
      </c>
      <c r="B8" s="2610"/>
      <c r="C8" s="138" t="s">
        <v>3</v>
      </c>
      <c r="D8" s="165"/>
      <c r="E8" s="263"/>
      <c r="F8" s="264"/>
      <c r="G8" s="265"/>
      <c r="H8" s="2909" t="s">
        <v>4</v>
      </c>
      <c r="I8" s="2910"/>
      <c r="J8" s="2919" t="s">
        <v>5</v>
      </c>
      <c r="K8" s="2907"/>
      <c r="L8" s="2907"/>
      <c r="M8" s="2907"/>
      <c r="N8" s="2907"/>
      <c r="O8" s="2907"/>
      <c r="P8" s="2907"/>
      <c r="Q8" s="2907"/>
      <c r="R8" s="2907"/>
      <c r="S8" s="2907"/>
      <c r="T8" s="2907"/>
      <c r="U8" s="2907"/>
      <c r="V8" s="2907"/>
      <c r="W8" s="2920"/>
      <c r="X8" s="2921" t="s">
        <v>6</v>
      </c>
      <c r="Y8" s="2921"/>
      <c r="Z8" s="2921"/>
      <c r="AA8" s="2921"/>
      <c r="AB8" s="2922"/>
      <c r="AC8" s="2909" t="s">
        <v>7</v>
      </c>
      <c r="AD8" s="2913"/>
      <c r="AE8" s="2913"/>
      <c r="AF8" s="2913"/>
      <c r="AG8" s="2913"/>
      <c r="AH8" s="2910"/>
      <c r="AI8" s="2905" t="s">
        <v>9</v>
      </c>
      <c r="AJ8" s="2906"/>
      <c r="AK8" s="2906"/>
      <c r="AL8" s="2906"/>
      <c r="AM8" s="2906"/>
      <c r="AN8" s="2906"/>
      <c r="AO8" s="2906"/>
      <c r="AP8" s="2906"/>
      <c r="AQ8" s="2906"/>
      <c r="AR8" s="2906"/>
      <c r="AS8" s="2906"/>
      <c r="AT8" s="2907"/>
      <c r="AU8" s="2907"/>
      <c r="AV8" s="2907"/>
      <c r="AW8" s="2907"/>
      <c r="AX8" s="2907"/>
      <c r="AY8" s="2907"/>
      <c r="AZ8" s="2907"/>
      <c r="BA8" s="2907"/>
      <c r="BB8" s="2907"/>
      <c r="BC8" s="2907"/>
      <c r="BD8" s="2907"/>
      <c r="BE8" s="2907"/>
      <c r="BF8" s="2907"/>
      <c r="BG8" s="2907"/>
      <c r="BH8" s="2907"/>
      <c r="BI8" s="2907"/>
      <c r="BJ8" s="2907"/>
      <c r="BK8" s="2907"/>
      <c r="BL8" s="2907"/>
      <c r="BM8" s="2907"/>
      <c r="BN8" s="2907"/>
      <c r="BO8" s="2907"/>
      <c r="BP8" s="2907"/>
      <c r="BQ8" s="2906"/>
      <c r="BR8" s="2906"/>
      <c r="BS8" s="2906"/>
      <c r="BT8" s="2906"/>
      <c r="BU8" s="2906"/>
      <c r="BV8" s="2906"/>
      <c r="BW8" s="2906"/>
      <c r="BX8" s="2906"/>
      <c r="BY8" s="2906"/>
      <c r="BZ8" s="2906"/>
      <c r="CA8" s="2906"/>
      <c r="CB8" s="2906"/>
      <c r="CC8" s="2906"/>
      <c r="CD8" s="2906"/>
      <c r="CE8" s="2906"/>
      <c r="CF8" s="2906"/>
      <c r="CG8" s="2908"/>
      <c r="CH8" s="266"/>
      <c r="CI8" s="2210" t="s">
        <v>57</v>
      </c>
      <c r="CJ8" s="2211"/>
      <c r="CK8" s="267"/>
      <c r="CL8" s="268"/>
      <c r="CM8" s="2204" t="s">
        <v>10</v>
      </c>
      <c r="CN8" s="2205"/>
      <c r="CO8" s="2205"/>
      <c r="CP8" s="2206" t="s">
        <v>8</v>
      </c>
      <c r="CQ8" s="269"/>
      <c r="CR8" s="270"/>
      <c r="CS8" s="269"/>
      <c r="DG8" s="1637"/>
      <c r="DH8" s="1637"/>
      <c r="EI8" s="1658"/>
    </row>
    <row r="9" spans="1:302" s="27" customFormat="1" ht="50.25" customHeight="1" thickBot="1">
      <c r="A9" s="2904"/>
      <c r="B9" s="2611"/>
      <c r="C9" s="139"/>
      <c r="D9" s="166"/>
      <c r="E9" s="271"/>
      <c r="F9" s="272"/>
      <c r="G9" s="273"/>
      <c r="H9" s="2911"/>
      <c r="I9" s="2912"/>
      <c r="J9" s="2925" t="s">
        <v>11</v>
      </c>
      <c r="K9" s="2926"/>
      <c r="L9" s="2926"/>
      <c r="M9" s="2926"/>
      <c r="N9" s="2926"/>
      <c r="O9" s="2927"/>
      <c r="P9" s="2916" t="s">
        <v>12</v>
      </c>
      <c r="Q9" s="2916"/>
      <c r="R9" s="2916"/>
      <c r="S9" s="2916"/>
      <c r="T9" s="2917" t="s">
        <v>13</v>
      </c>
      <c r="U9" s="2917"/>
      <c r="V9" s="2917"/>
      <c r="W9" s="2918"/>
      <c r="X9" s="2923"/>
      <c r="Y9" s="2923"/>
      <c r="Z9" s="2923"/>
      <c r="AA9" s="2923"/>
      <c r="AB9" s="2924"/>
      <c r="AC9" s="2911"/>
      <c r="AD9" s="2914"/>
      <c r="AE9" s="2914"/>
      <c r="AF9" s="2914"/>
      <c r="AG9" s="2914"/>
      <c r="AH9" s="2912"/>
      <c r="AI9" s="274" t="s">
        <v>14</v>
      </c>
      <c r="AJ9" s="275"/>
      <c r="AK9" s="2181"/>
      <c r="AL9" s="1329"/>
      <c r="AM9" s="2623"/>
      <c r="AN9" s="2900">
        <v>2026</v>
      </c>
      <c r="AO9" s="2901"/>
      <c r="AP9" s="2901"/>
      <c r="AQ9" s="2901"/>
      <c r="AR9" s="2901"/>
      <c r="AS9" s="2901"/>
      <c r="AT9" s="2901"/>
      <c r="AU9" s="2901"/>
      <c r="AV9" s="2901"/>
      <c r="AW9" s="2901"/>
      <c r="AX9" s="2901"/>
      <c r="AY9" s="2901"/>
      <c r="AZ9" s="2900">
        <v>2027</v>
      </c>
      <c r="BA9" s="2901"/>
      <c r="BB9" s="2901"/>
      <c r="BC9" s="2901"/>
      <c r="BD9" s="2901"/>
      <c r="BE9" s="2901"/>
      <c r="BF9" s="2901"/>
      <c r="BG9" s="2901"/>
      <c r="BH9" s="2901"/>
      <c r="BI9" s="2901"/>
      <c r="BJ9" s="2901"/>
      <c r="BK9" s="2902"/>
      <c r="BL9" s="2915">
        <v>2028</v>
      </c>
      <c r="BM9" s="2915"/>
      <c r="BN9" s="2915"/>
      <c r="BO9" s="2915"/>
      <c r="BP9" s="2915"/>
      <c r="BQ9" s="2915"/>
      <c r="BR9" s="2915"/>
      <c r="BS9" s="2915"/>
      <c r="BT9" s="2915"/>
      <c r="BU9" s="276"/>
      <c r="BV9" s="276"/>
      <c r="BW9" s="276"/>
      <c r="BX9" s="276"/>
      <c r="BY9" s="276"/>
      <c r="BZ9" s="276"/>
      <c r="CA9" s="2577" t="s">
        <v>15</v>
      </c>
      <c r="CB9" s="2581"/>
      <c r="CC9" s="266"/>
      <c r="CD9" s="2212"/>
      <c r="CE9" s="2213"/>
      <c r="CF9" s="267"/>
      <c r="CG9" s="277"/>
      <c r="CH9" s="2207"/>
      <c r="CI9" s="2208"/>
      <c r="CJ9" s="2208"/>
      <c r="CK9" s="2209"/>
      <c r="CL9" s="266"/>
      <c r="CM9" s="278"/>
      <c r="CN9" s="266"/>
      <c r="DB9" s="25"/>
      <c r="DC9" s="25"/>
      <c r="EI9" s="1658"/>
    </row>
    <row r="10" spans="1:302" s="81" customFormat="1" ht="48.75" customHeight="1" thickBot="1">
      <c r="A10" s="2647"/>
      <c r="B10" s="279"/>
      <c r="C10" s="140" t="s">
        <v>16</v>
      </c>
      <c r="D10" s="140"/>
      <c r="E10" s="280" t="s">
        <v>86</v>
      </c>
      <c r="F10" s="281" t="s">
        <v>87</v>
      </c>
      <c r="G10" s="282" t="s">
        <v>88</v>
      </c>
      <c r="H10" s="283" t="s">
        <v>17</v>
      </c>
      <c r="I10" s="284" t="s">
        <v>18</v>
      </c>
      <c r="J10" s="1723" t="s">
        <v>17</v>
      </c>
      <c r="K10" s="1724"/>
      <c r="L10" s="1725" t="s">
        <v>19</v>
      </c>
      <c r="M10" s="1726" t="s">
        <v>20</v>
      </c>
      <c r="N10" s="1727" t="s">
        <v>21</v>
      </c>
      <c r="O10" s="1727" t="s">
        <v>18</v>
      </c>
      <c r="P10" s="1728" t="s">
        <v>19</v>
      </c>
      <c r="Q10" s="1729" t="s">
        <v>20</v>
      </c>
      <c r="R10" s="1729" t="s">
        <v>21</v>
      </c>
      <c r="S10" s="1729" t="s">
        <v>18</v>
      </c>
      <c r="T10" s="1729" t="s">
        <v>19</v>
      </c>
      <c r="U10" s="1729" t="s">
        <v>20</v>
      </c>
      <c r="V10" s="1730" t="s">
        <v>21</v>
      </c>
      <c r="W10" s="284" t="s">
        <v>18</v>
      </c>
      <c r="X10" s="1731" t="s">
        <v>17</v>
      </c>
      <c r="Y10" s="1728" t="s">
        <v>19</v>
      </c>
      <c r="Z10" s="1729" t="s">
        <v>20</v>
      </c>
      <c r="AA10" s="1729" t="s">
        <v>21</v>
      </c>
      <c r="AB10" s="284" t="s">
        <v>18</v>
      </c>
      <c r="AC10" s="2075" t="s">
        <v>58</v>
      </c>
      <c r="AD10" s="2076" t="s">
        <v>59</v>
      </c>
      <c r="AE10" s="286" t="s">
        <v>19</v>
      </c>
      <c r="AF10" s="286" t="s">
        <v>20</v>
      </c>
      <c r="AG10" s="288" t="s">
        <v>21</v>
      </c>
      <c r="AH10" s="282" t="s">
        <v>18</v>
      </c>
      <c r="AI10" s="289" t="s">
        <v>18</v>
      </c>
      <c r="AJ10" s="285" t="s">
        <v>22</v>
      </c>
      <c r="AK10" s="2182"/>
      <c r="AL10" s="290"/>
      <c r="AM10" s="2745" t="s">
        <v>14</v>
      </c>
      <c r="AN10" s="2745" t="s">
        <v>14</v>
      </c>
      <c r="AO10" s="2745" t="s">
        <v>14</v>
      </c>
      <c r="AP10" s="2007" t="s">
        <v>15</v>
      </c>
      <c r="AQ10" s="2007" t="s">
        <v>15</v>
      </c>
      <c r="AR10" s="2007" t="s">
        <v>15</v>
      </c>
      <c r="AS10" s="2007" t="s">
        <v>15</v>
      </c>
      <c r="AT10" s="2007" t="s">
        <v>15</v>
      </c>
      <c r="AU10" s="2007" t="s">
        <v>15</v>
      </c>
      <c r="AV10" s="2007" t="s">
        <v>15</v>
      </c>
      <c r="AW10" s="291" t="s">
        <v>15</v>
      </c>
      <c r="AX10" s="291" t="s">
        <v>15</v>
      </c>
      <c r="AY10" s="2310" t="s">
        <v>15</v>
      </c>
      <c r="AZ10" s="2331" t="s">
        <v>15</v>
      </c>
      <c r="BA10" s="291" t="s">
        <v>15</v>
      </c>
      <c r="BB10" s="291" t="s">
        <v>15</v>
      </c>
      <c r="BC10" s="291" t="s">
        <v>15</v>
      </c>
      <c r="BD10" s="291" t="s">
        <v>15</v>
      </c>
      <c r="BE10" s="291" t="s">
        <v>15</v>
      </c>
      <c r="BF10" s="291" t="s">
        <v>15</v>
      </c>
      <c r="BG10" s="291" t="s">
        <v>15</v>
      </c>
      <c r="BH10" s="291" t="s">
        <v>15</v>
      </c>
      <c r="BI10" s="291" t="s">
        <v>15</v>
      </c>
      <c r="BJ10" s="291" t="s">
        <v>15</v>
      </c>
      <c r="BK10" s="2118" t="s">
        <v>15</v>
      </c>
      <c r="BL10" s="2109" t="s">
        <v>15</v>
      </c>
      <c r="BM10" s="292" t="s">
        <v>15</v>
      </c>
      <c r="BN10" s="292" t="s">
        <v>15</v>
      </c>
      <c r="BO10" s="292" t="s">
        <v>15</v>
      </c>
      <c r="BP10" s="292" t="s">
        <v>15</v>
      </c>
      <c r="BQ10" s="2365" t="s">
        <v>15</v>
      </c>
      <c r="BR10" s="292" t="s">
        <v>15</v>
      </c>
      <c r="BS10" s="292" t="s">
        <v>15</v>
      </c>
      <c r="BT10" s="292" t="s">
        <v>15</v>
      </c>
      <c r="BU10" s="292" t="s">
        <v>15</v>
      </c>
      <c r="BV10" s="292" t="s">
        <v>15</v>
      </c>
      <c r="BW10" s="2365" t="s">
        <v>15</v>
      </c>
      <c r="BX10" s="2414" t="s">
        <v>15</v>
      </c>
      <c r="BY10" s="2414" t="s">
        <v>15</v>
      </c>
      <c r="BZ10" s="2414" t="s">
        <v>15</v>
      </c>
      <c r="CA10" s="297" t="s">
        <v>18</v>
      </c>
      <c r="CB10" s="297" t="s">
        <v>22</v>
      </c>
      <c r="CC10" s="293"/>
      <c r="CD10" s="294" t="s">
        <v>65</v>
      </c>
      <c r="CE10" s="295" t="s">
        <v>63</v>
      </c>
      <c r="CF10" s="296"/>
      <c r="CG10" s="293"/>
      <c r="CH10" s="289" t="s">
        <v>19</v>
      </c>
      <c r="CI10" s="287" t="s">
        <v>20</v>
      </c>
      <c r="CJ10" s="282" t="s">
        <v>21</v>
      </c>
      <c r="CK10" s="297" t="s">
        <v>18</v>
      </c>
      <c r="CL10" s="293"/>
      <c r="CM10" s="298"/>
      <c r="CN10" s="293"/>
      <c r="DB10" s="1639"/>
      <c r="DC10" s="1639"/>
      <c r="EI10" s="1658"/>
    </row>
    <row r="11" spans="1:302" s="29" customFormat="1" ht="24.75" customHeight="1">
      <c r="A11" s="2648">
        <v>1</v>
      </c>
      <c r="B11" s="299"/>
      <c r="C11" s="109">
        <v>2</v>
      </c>
      <c r="D11" s="109"/>
      <c r="E11" s="300"/>
      <c r="F11" s="301"/>
      <c r="G11" s="302"/>
      <c r="H11" s="303"/>
      <c r="I11" s="1732">
        <v>3</v>
      </c>
      <c r="J11" s="1733"/>
      <c r="K11" s="1734"/>
      <c r="L11" s="1735"/>
      <c r="M11" s="1736"/>
      <c r="N11" s="1737"/>
      <c r="O11" s="1738">
        <v>4</v>
      </c>
      <c r="P11" s="1735"/>
      <c r="Q11" s="1735"/>
      <c r="R11" s="1735"/>
      <c r="S11" s="1739">
        <v>5</v>
      </c>
      <c r="T11" s="1735"/>
      <c r="U11" s="1740"/>
      <c r="V11" s="1740"/>
      <c r="W11" s="1732" t="s">
        <v>62</v>
      </c>
      <c r="X11" s="1741"/>
      <c r="Y11" s="1735"/>
      <c r="Z11" s="1740"/>
      <c r="AA11" s="1740"/>
      <c r="AB11" s="1732">
        <v>7</v>
      </c>
      <c r="AC11" s="1438"/>
      <c r="AD11" s="1454"/>
      <c r="AE11" s="304"/>
      <c r="AF11" s="305"/>
      <c r="AG11" s="305"/>
      <c r="AH11" s="306">
        <v>8</v>
      </c>
      <c r="AI11" s="307">
        <v>9</v>
      </c>
      <c r="AJ11" s="308"/>
      <c r="AK11" s="308"/>
      <c r="AL11" s="309"/>
      <c r="AM11" s="2253">
        <v>45992</v>
      </c>
      <c r="AN11" s="2253">
        <v>46023</v>
      </c>
      <c r="AO11" s="309">
        <v>46054</v>
      </c>
      <c r="AP11" s="309">
        <v>46082</v>
      </c>
      <c r="AQ11" s="309">
        <v>46113</v>
      </c>
      <c r="AR11" s="309">
        <v>46143</v>
      </c>
      <c r="AS11" s="309">
        <v>46174</v>
      </c>
      <c r="AT11" s="309">
        <v>46204</v>
      </c>
      <c r="AU11" s="309">
        <v>46235</v>
      </c>
      <c r="AV11" s="309">
        <v>46266</v>
      </c>
      <c r="AW11" s="309">
        <v>46296</v>
      </c>
      <c r="AX11" s="309">
        <v>46327</v>
      </c>
      <c r="AY11" s="309">
        <v>46357</v>
      </c>
      <c r="AZ11" s="2309">
        <v>46388</v>
      </c>
      <c r="BA11" s="310">
        <v>46419</v>
      </c>
      <c r="BB11" s="310">
        <v>46447</v>
      </c>
      <c r="BC11" s="310">
        <v>46478</v>
      </c>
      <c r="BD11" s="310">
        <v>46508</v>
      </c>
      <c r="BE11" s="310">
        <v>46539</v>
      </c>
      <c r="BF11" s="310">
        <v>46569</v>
      </c>
      <c r="BG11" s="310">
        <v>46600</v>
      </c>
      <c r="BH11" s="310">
        <v>46631</v>
      </c>
      <c r="BI11" s="310">
        <v>46661</v>
      </c>
      <c r="BJ11" s="310">
        <v>46692</v>
      </c>
      <c r="BK11" s="2119">
        <v>46722</v>
      </c>
      <c r="BL11" s="310">
        <v>46782</v>
      </c>
      <c r="BM11" s="310">
        <v>46784</v>
      </c>
      <c r="BN11" s="310">
        <v>46813</v>
      </c>
      <c r="BO11" s="310">
        <v>46844</v>
      </c>
      <c r="BP11" s="310">
        <v>46874</v>
      </c>
      <c r="BQ11" s="308">
        <v>46905</v>
      </c>
      <c r="BR11" s="2541">
        <v>46935</v>
      </c>
      <c r="BS11" s="310">
        <v>46966</v>
      </c>
      <c r="BT11" s="310">
        <v>46997</v>
      </c>
      <c r="BU11" s="310">
        <v>47027</v>
      </c>
      <c r="BV11" s="310">
        <v>47058</v>
      </c>
      <c r="BW11" s="308">
        <v>47088</v>
      </c>
      <c r="BX11" s="2461" t="s">
        <v>549</v>
      </c>
      <c r="BY11" s="2542" t="s">
        <v>558</v>
      </c>
      <c r="BZ11" s="2542" t="s">
        <v>559</v>
      </c>
      <c r="CA11" s="2430">
        <v>10</v>
      </c>
      <c r="CB11" s="311"/>
      <c r="CC11" s="312"/>
      <c r="CD11" s="313" t="s">
        <v>22</v>
      </c>
      <c r="CE11" s="314" t="s">
        <v>64</v>
      </c>
      <c r="CF11" s="315"/>
      <c r="CG11" s="316"/>
      <c r="CH11" s="317"/>
      <c r="CI11" s="304"/>
      <c r="CJ11" s="318"/>
      <c r="CK11" s="318">
        <v>12</v>
      </c>
      <c r="CL11" s="316"/>
      <c r="CM11" s="319" t="s">
        <v>23</v>
      </c>
      <c r="CN11" s="316"/>
      <c r="DB11" s="1640"/>
      <c r="DC11" s="1640"/>
      <c r="EI11" s="1658"/>
    </row>
    <row r="12" spans="1:302" s="30" customFormat="1" ht="41" customHeight="1">
      <c r="A12" s="2649"/>
      <c r="B12" s="320"/>
      <c r="C12" s="2084" t="s">
        <v>119</v>
      </c>
      <c r="D12" s="110"/>
      <c r="E12" s="321"/>
      <c r="F12" s="322"/>
      <c r="G12" s="323"/>
      <c r="H12" s="324"/>
      <c r="I12" s="325">
        <f>I13+I26+I38+I143+I160+I185+I257+I276+I279</f>
        <v>505343424</v>
      </c>
      <c r="J12" s="325"/>
      <c r="K12" s="325">
        <f>K13+K26+K38+K143+K160+K257+K185+K276+K279</f>
        <v>0</v>
      </c>
      <c r="L12" s="325">
        <f>L13+L26+L38+L143+L160+L257+L185+L276+L279</f>
        <v>0</v>
      </c>
      <c r="M12" s="325">
        <f>M13+M26+M38+M143+M160+M257+M185+M276+M279</f>
        <v>0</v>
      </c>
      <c r="N12" s="325">
        <f>N13+N26+N38+N143+N160+N257+N185+N276+N279</f>
        <v>0</v>
      </c>
      <c r="O12" s="325">
        <f>O26+O143+O160+O185+O257+O276+O279+O38+O13</f>
        <v>501457853</v>
      </c>
      <c r="P12" s="325">
        <f t="shared" ref="P12:W12" si="0">P13+P26+P38+P143+P160+P185+P257+P276+P279</f>
        <v>0</v>
      </c>
      <c r="Q12" s="325">
        <f t="shared" si="0"/>
        <v>0</v>
      </c>
      <c r="R12" s="325">
        <f t="shared" si="0"/>
        <v>0</v>
      </c>
      <c r="S12" s="325">
        <f t="shared" si="0"/>
        <v>0</v>
      </c>
      <c r="T12" s="325">
        <f t="shared" si="0"/>
        <v>0</v>
      </c>
      <c r="U12" s="325">
        <f t="shared" si="0"/>
        <v>0</v>
      </c>
      <c r="V12" s="325">
        <f t="shared" si="0"/>
        <v>0</v>
      </c>
      <c r="W12" s="325">
        <f t="shared" si="0"/>
        <v>501043424</v>
      </c>
      <c r="X12" s="325"/>
      <c r="Y12" s="325">
        <f>Y13+Y26+Y38+Y143+Y160+Y185+Y257+Y276+Y279</f>
        <v>0</v>
      </c>
      <c r="Z12" s="325">
        <f>Z13+Z26+Z38+Z143+Z160+Z185+Z257+Z276+Z279</f>
        <v>0</v>
      </c>
      <c r="AA12" s="325">
        <f>AA13+AA26+AA38+AA143+AA160+AA185+AA257+AA276+AA279</f>
        <v>0</v>
      </c>
      <c r="AB12" s="325">
        <f>AB13+AB26+AB38+AB143+AB160+AB185+AB257+AB276+AB279</f>
        <v>501457852.99120343</v>
      </c>
      <c r="AC12" s="1439"/>
      <c r="AD12" s="1455"/>
      <c r="AE12" s="325"/>
      <c r="AF12" s="325"/>
      <c r="AG12" s="325"/>
      <c r="AH12" s="325">
        <f>AH13+AH26+AH38+AH143+AH160+AH185+AH257+AH276+AH279</f>
        <v>237006887.96000001</v>
      </c>
      <c r="AI12" s="325">
        <f ca="1">AI13+AI26+AI38+AI143+AI160+AI185+AI257+AI276+AI279</f>
        <v>12323042.800000001</v>
      </c>
      <c r="AJ12" s="326">
        <f t="shared" ref="AJ12:AJ103" ca="1" si="1">IF($AB12&lt;&gt;0,AI12/$AB12,"")</f>
        <v>2.4574433776423821E-2</v>
      </c>
      <c r="AK12" s="2003"/>
      <c r="AL12" s="1330"/>
      <c r="AM12" s="2254">
        <f t="shared" ref="AM12:BZ12" si="2">AM13+AM26+AM38+AM143+AM160+AM185+AM257+AM276+AM279</f>
        <v>6199140</v>
      </c>
      <c r="AN12" s="2254">
        <f t="shared" si="2"/>
        <v>1209845.03</v>
      </c>
      <c r="AO12" s="2098">
        <f t="shared" si="2"/>
        <v>4914057.7699999996</v>
      </c>
      <c r="AP12" s="2098">
        <f t="shared" si="2"/>
        <v>5765471.9427805152</v>
      </c>
      <c r="AQ12" s="2098">
        <f t="shared" si="2"/>
        <v>6905734.0930985482</v>
      </c>
      <c r="AR12" s="2098">
        <f t="shared" si="2"/>
        <v>8873827.1469670646</v>
      </c>
      <c r="AS12" s="2098">
        <f t="shared" si="2"/>
        <v>10285632.293248262</v>
      </c>
      <c r="AT12" s="2098">
        <f t="shared" si="2"/>
        <v>10740381.937692372</v>
      </c>
      <c r="AU12" s="2098">
        <f t="shared" si="2"/>
        <v>11563023.063171897</v>
      </c>
      <c r="AV12" s="2098">
        <f t="shared" si="2"/>
        <v>16961088.660946675</v>
      </c>
      <c r="AW12" s="2098">
        <f t="shared" si="2"/>
        <v>20646901.925930191</v>
      </c>
      <c r="AX12" s="2098">
        <f t="shared" si="2"/>
        <v>16967267.571273327</v>
      </c>
      <c r="AY12" s="2311">
        <f t="shared" si="2"/>
        <v>19654432.332606658</v>
      </c>
      <c r="AZ12" s="2332">
        <f t="shared" si="2"/>
        <v>27037107.253422655</v>
      </c>
      <c r="BA12" s="2098">
        <f t="shared" si="2"/>
        <v>31052003.954989325</v>
      </c>
      <c r="BB12" s="2098">
        <f t="shared" si="2"/>
        <v>37364643.970983341</v>
      </c>
      <c r="BC12" s="2098">
        <f t="shared" si="2"/>
        <v>32844839.101250622</v>
      </c>
      <c r="BD12" s="2098">
        <f t="shared" si="2"/>
        <v>34135803.94847285</v>
      </c>
      <c r="BE12" s="2098">
        <f t="shared" si="2"/>
        <v>28870543.176995069</v>
      </c>
      <c r="BF12" s="2098">
        <f t="shared" si="2"/>
        <v>25137377.526380546</v>
      </c>
      <c r="BG12" s="2098">
        <f t="shared" si="2"/>
        <v>19034792.32649231</v>
      </c>
      <c r="BH12" s="2098">
        <f t="shared" si="2"/>
        <v>24283221.761225644</v>
      </c>
      <c r="BI12" s="2098">
        <f t="shared" si="2"/>
        <v>12421394.062247865</v>
      </c>
      <c r="BJ12" s="2098">
        <f t="shared" si="2"/>
        <v>10204106.982658975</v>
      </c>
      <c r="BK12" s="2120">
        <f t="shared" si="2"/>
        <v>18501734.790647868</v>
      </c>
      <c r="BL12" s="2110">
        <f t="shared" si="2"/>
        <v>5817816.9662033143</v>
      </c>
      <c r="BM12" s="2110">
        <f t="shared" si="2"/>
        <v>3279069.2331922036</v>
      </c>
      <c r="BN12" s="2110">
        <f t="shared" si="2"/>
        <v>2859802.3871922032</v>
      </c>
      <c r="BO12" s="2110">
        <f t="shared" si="2"/>
        <v>308626.92642707541</v>
      </c>
      <c r="BP12" s="2110">
        <f t="shared" si="2"/>
        <v>3335488.44087152</v>
      </c>
      <c r="BQ12" s="2483">
        <f t="shared" si="2"/>
        <v>966685.07383448281</v>
      </c>
      <c r="BR12" s="2098">
        <f t="shared" si="2"/>
        <v>0</v>
      </c>
      <c r="BS12" s="2098">
        <f t="shared" si="2"/>
        <v>0</v>
      </c>
      <c r="BT12" s="2098">
        <f t="shared" si="2"/>
        <v>174000</v>
      </c>
      <c r="BU12" s="2098">
        <f t="shared" si="2"/>
        <v>0</v>
      </c>
      <c r="BV12" s="2098">
        <f t="shared" si="2"/>
        <v>0</v>
      </c>
      <c r="BW12" s="2311">
        <f t="shared" si="2"/>
        <v>42828572.339999996</v>
      </c>
      <c r="BX12" s="2462">
        <f t="shared" si="2"/>
        <v>313419</v>
      </c>
      <c r="BY12" s="2462">
        <f t="shared" si="2"/>
        <v>0</v>
      </c>
      <c r="BZ12" s="2462">
        <f t="shared" si="2"/>
        <v>0</v>
      </c>
      <c r="CA12" s="327">
        <f>CA26+CA143+CA160+CA185+CA257+CA276+CA279+CA38+CA13</f>
        <v>489134810.1912033</v>
      </c>
      <c r="CB12" s="2375">
        <f t="shared" ref="CB12:CC185" si="3">IF($AB12&lt;&gt;0,CA12/$AB12,"")</f>
        <v>0.9754255662235759</v>
      </c>
      <c r="CC12" s="365">
        <f t="shared" si="3"/>
        <v>1.9451795607649739E-9</v>
      </c>
      <c r="CD12" s="327">
        <f>CD26+CD143+CD160+CD185+CD257+CD276+CD279+CD38+CD13</f>
        <v>0</v>
      </c>
      <c r="CE12" s="2375">
        <f t="shared" ref="CE12" si="4">IF($AB12&lt;&gt;0,CD12/$AB12,"")</f>
        <v>0</v>
      </c>
      <c r="CF12" s="365">
        <f t="shared" ref="CF12" si="5">IF($AB12&lt;&gt;0,CE12/$AB12,"")</f>
        <v>0</v>
      </c>
      <c r="CG12" s="327">
        <f>CG26+CG143+CG160+CG185+CG257+CG276+CG279+CG38+CG13</f>
        <v>0</v>
      </c>
      <c r="CH12" s="2375">
        <f t="shared" ref="CH12" si="6">IF($AB12&lt;&gt;0,CG12/$AB12,"")</f>
        <v>0</v>
      </c>
      <c r="CI12" s="365">
        <f t="shared" ref="CI12" si="7">IF($AB12&lt;&gt;0,CH12/$AB12,"")</f>
        <v>0</v>
      </c>
      <c r="CJ12" s="327">
        <f>CJ26+CJ143+CJ160+CJ185+CJ257+CJ276+CJ279+CJ38+CJ13</f>
        <v>0</v>
      </c>
      <c r="CK12" s="2375">
        <f t="shared" ref="CK12" si="8">IF($AB12&lt;&gt;0,CJ12/$AB12,"")</f>
        <v>0</v>
      </c>
      <c r="CL12" s="329">
        <f>O12-CA12</f>
        <v>12323042.808796704</v>
      </c>
      <c r="CM12" s="330">
        <f t="shared" ref="CM12" ca="1" si="9">CA12+AI12-AB12</f>
        <v>0</v>
      </c>
      <c r="CN12" s="331">
        <f ca="1">SUM(AN12:AY12)-CA12-AI12</f>
        <v>-366970189.22348779</v>
      </c>
      <c r="CO12" s="86"/>
      <c r="CP12" s="86">
        <f>I12-O12</f>
        <v>3885571</v>
      </c>
      <c r="CQ12" s="1641"/>
      <c r="CR12" s="86"/>
      <c r="CS12" s="86"/>
      <c r="CT12" s="86"/>
      <c r="CU12" s="86"/>
      <c r="CV12" s="86"/>
      <c r="CW12" s="86"/>
      <c r="CX12" s="86"/>
      <c r="CY12" s="86"/>
      <c r="CZ12" s="86"/>
      <c r="DA12" s="86"/>
      <c r="DB12" s="1642" t="e">
        <f>CA12-#REF!</f>
        <v>#REF!</v>
      </c>
      <c r="DC12" s="1642" t="e">
        <f>W12-#REF!</f>
        <v>#REF!</v>
      </c>
      <c r="EI12" s="1658"/>
    </row>
    <row r="13" spans="1:302" s="97" customFormat="1" ht="27.75" customHeight="1">
      <c r="A13" s="2650">
        <v>1</v>
      </c>
      <c r="B13" s="1418"/>
      <c r="C13" s="2085" t="s">
        <v>503</v>
      </c>
      <c r="D13" s="2085" t="s">
        <v>320</v>
      </c>
      <c r="E13" s="333"/>
      <c r="F13" s="334"/>
      <c r="G13" s="335"/>
      <c r="H13" s="334">
        <f>SUM(H14:H25)</f>
        <v>0</v>
      </c>
      <c r="I13" s="336">
        <f>SUM(I14)</f>
        <v>30550000</v>
      </c>
      <c r="J13" s="336"/>
      <c r="K13" s="336"/>
      <c r="L13" s="336"/>
      <c r="M13" s="336"/>
      <c r="N13" s="336"/>
      <c r="O13" s="336">
        <f>SUM(O14:O25)</f>
        <v>27170000</v>
      </c>
      <c r="P13" s="1742"/>
      <c r="Q13" s="1742"/>
      <c r="R13" s="1742"/>
      <c r="S13" s="336">
        <f t="shared" ref="S13" si="10">R13*Q13</f>
        <v>0</v>
      </c>
      <c r="T13" s="1742"/>
      <c r="U13" s="1743"/>
      <c r="V13" s="1743"/>
      <c r="W13" s="336">
        <f>SUM(W14:W25)</f>
        <v>27170000</v>
      </c>
      <c r="X13" s="1743"/>
      <c r="Y13" s="1742"/>
      <c r="Z13" s="1742"/>
      <c r="AA13" s="1743"/>
      <c r="AB13" s="336">
        <f>SUM(AB14:AB25)</f>
        <v>27169999.9970502</v>
      </c>
      <c r="AC13" s="1440"/>
      <c r="AD13" s="1456"/>
      <c r="AE13" s="336"/>
      <c r="AF13" s="336"/>
      <c r="AG13" s="336"/>
      <c r="AH13" s="336">
        <f>SUM(AH14:AH25)</f>
        <v>24573000</v>
      </c>
      <c r="AI13" s="336">
        <f ca="1">SUM(AI14:AI25)</f>
        <v>4837717.58</v>
      </c>
      <c r="AJ13" s="337"/>
      <c r="AK13" s="2183"/>
      <c r="AL13" s="1331"/>
      <c r="AM13" s="2308">
        <f>SUM(AM14:AM25)</f>
        <v>2400000</v>
      </c>
      <c r="AN13" s="2308">
        <f t="shared" ref="AN13:BZ13" si="11">SUM(AN14:AN25)</f>
        <v>836604.99</v>
      </c>
      <c r="AO13" s="336">
        <f t="shared" si="11"/>
        <v>1601112.59</v>
      </c>
      <c r="AP13" s="336">
        <f t="shared" si="11"/>
        <v>564228.79</v>
      </c>
      <c r="AQ13" s="336">
        <f t="shared" si="11"/>
        <v>1564695.4756055335</v>
      </c>
      <c r="AR13" s="336">
        <f t="shared" si="11"/>
        <v>1624378.7955725337</v>
      </c>
      <c r="AS13" s="336">
        <f t="shared" si="11"/>
        <v>1970835.3666836447</v>
      </c>
      <c r="AT13" s="336">
        <f t="shared" si="11"/>
        <v>2140104.8000166449</v>
      </c>
      <c r="AU13" s="336">
        <f t="shared" si="11"/>
        <v>1660104.8000166449</v>
      </c>
      <c r="AV13" s="336">
        <f t="shared" si="11"/>
        <v>1385104.8000166449</v>
      </c>
      <c r="AW13" s="336">
        <f t="shared" si="11"/>
        <v>1185104.8000166446</v>
      </c>
      <c r="AX13" s="336">
        <f t="shared" si="11"/>
        <v>1284578.7000166448</v>
      </c>
      <c r="AY13" s="338">
        <f t="shared" si="11"/>
        <v>988978.70001664467</v>
      </c>
      <c r="AZ13" s="2255">
        <f t="shared" si="11"/>
        <v>1365680.8000166449</v>
      </c>
      <c r="BA13" s="336">
        <f t="shared" si="11"/>
        <v>1067841.2700166448</v>
      </c>
      <c r="BB13" s="336">
        <f t="shared" si="11"/>
        <v>867841.27001664473</v>
      </c>
      <c r="BC13" s="336">
        <f t="shared" si="11"/>
        <v>549927.48001664469</v>
      </c>
      <c r="BD13" s="336">
        <f t="shared" si="11"/>
        <v>415645.20001664467</v>
      </c>
      <c r="BE13" s="336">
        <f t="shared" si="11"/>
        <v>415645.20001664467</v>
      </c>
      <c r="BF13" s="336">
        <f t="shared" si="11"/>
        <v>415645.20001664467</v>
      </c>
      <c r="BG13" s="336">
        <f t="shared" si="11"/>
        <v>415645.20001664467</v>
      </c>
      <c r="BH13" s="336">
        <f t="shared" si="11"/>
        <v>351145.20001664473</v>
      </c>
      <c r="BI13" s="336">
        <f t="shared" si="11"/>
        <v>308145.20001664473</v>
      </c>
      <c r="BJ13" s="336">
        <f t="shared" si="11"/>
        <v>308145.20001664473</v>
      </c>
      <c r="BK13" s="2121">
        <f t="shared" si="11"/>
        <v>206860.16890553362</v>
      </c>
      <c r="BL13" s="339">
        <f t="shared" si="11"/>
        <v>0</v>
      </c>
      <c r="BM13" s="336">
        <f t="shared" si="11"/>
        <v>0</v>
      </c>
      <c r="BN13" s="336">
        <f t="shared" si="11"/>
        <v>0</v>
      </c>
      <c r="BO13" s="336">
        <f t="shared" si="11"/>
        <v>0</v>
      </c>
      <c r="BP13" s="336">
        <f t="shared" si="11"/>
        <v>1089000</v>
      </c>
      <c r="BQ13" s="338">
        <f t="shared" si="11"/>
        <v>0</v>
      </c>
      <c r="BR13" s="336">
        <f t="shared" si="11"/>
        <v>0</v>
      </c>
      <c r="BS13" s="336">
        <f t="shared" si="11"/>
        <v>0</v>
      </c>
      <c r="BT13" s="336">
        <f t="shared" si="11"/>
        <v>0</v>
      </c>
      <c r="BU13" s="336">
        <f t="shared" si="11"/>
        <v>0</v>
      </c>
      <c r="BV13" s="336">
        <f t="shared" si="11"/>
        <v>0</v>
      </c>
      <c r="BW13" s="338">
        <f t="shared" si="11"/>
        <v>187000</v>
      </c>
      <c r="BX13" s="2391">
        <f t="shared" si="11"/>
        <v>0</v>
      </c>
      <c r="BY13" s="2391">
        <f t="shared" si="11"/>
        <v>0</v>
      </c>
      <c r="BZ13" s="2391">
        <f t="shared" si="11"/>
        <v>0</v>
      </c>
      <c r="CA13" s="2431">
        <f>SUMIF($AM$10:$BZ$10,$CA$9,AM13:BZ13)</f>
        <v>22332282.417050201</v>
      </c>
      <c r="CB13" s="2376">
        <f t="shared" si="3"/>
        <v>0.82194635331154875</v>
      </c>
      <c r="CC13" s="365">
        <f t="shared" si="3"/>
        <v>3.025198209056997E-8</v>
      </c>
      <c r="CD13" s="341"/>
      <c r="CE13" s="342"/>
      <c r="CF13" s="343"/>
      <c r="CG13" s="340"/>
      <c r="CH13" s="344"/>
      <c r="CI13" s="345"/>
      <c r="CJ13" s="345"/>
      <c r="CK13" s="346"/>
      <c r="CL13" s="329">
        <f t="shared" ref="CL13:CL76" si="12">O13-CA13</f>
        <v>4837717.5829497986</v>
      </c>
      <c r="CM13" s="330">
        <f t="shared" ref="CM13:CM76" ca="1" si="13">CA13+AI13-AB13</f>
        <v>0</v>
      </c>
      <c r="CN13" s="331">
        <f t="shared" ref="CN13:CN90" ca="1" si="14">SUM(AN13:AY13)-CA13-AI13</f>
        <v>-10364167.389088618</v>
      </c>
      <c r="CO13" s="86"/>
      <c r="CP13" s="86">
        <f>I13-O13</f>
        <v>3380000</v>
      </c>
      <c r="CQ13" s="1641"/>
      <c r="CR13" s="86"/>
      <c r="CS13" s="86"/>
      <c r="CT13" s="86"/>
      <c r="CU13" s="86"/>
      <c r="CV13" s="86"/>
      <c r="CW13" s="86"/>
      <c r="CX13" s="86"/>
      <c r="CY13" s="86"/>
      <c r="CZ13" s="86"/>
      <c r="DA13" s="86"/>
      <c r="DB13" s="1642"/>
      <c r="DC13" s="1642"/>
      <c r="DD13" s="30"/>
      <c r="DE13" s="30"/>
      <c r="DF13" s="30"/>
      <c r="DG13" s="1642"/>
      <c r="DH13" s="1642"/>
      <c r="DI13" s="1642"/>
      <c r="DJ13" s="1642"/>
      <c r="DK13" s="1642"/>
      <c r="DL13" s="1642"/>
      <c r="DM13" s="1642"/>
      <c r="DN13" s="1642"/>
      <c r="DO13" s="1642"/>
      <c r="DP13" s="1642"/>
      <c r="DQ13" s="1642"/>
      <c r="DR13" s="1642"/>
      <c r="DS13" s="1642"/>
      <c r="DT13" s="1642"/>
      <c r="DU13" s="1642"/>
      <c r="DV13" s="1642"/>
      <c r="DW13" s="1642"/>
      <c r="DX13" s="1642"/>
      <c r="DY13" s="1642"/>
      <c r="DZ13" s="1642"/>
      <c r="EA13" s="1642"/>
      <c r="EB13" s="1642"/>
      <c r="EC13" s="1642"/>
      <c r="ED13" s="1642"/>
      <c r="EE13" s="1642"/>
      <c r="EF13" s="1642"/>
      <c r="EG13" s="1642"/>
      <c r="EH13" s="1643"/>
      <c r="EI13" s="1658"/>
      <c r="EJ13" s="30"/>
      <c r="EK13" s="1642"/>
      <c r="EL13" s="30"/>
      <c r="EM13" s="30"/>
      <c r="EN13" s="30"/>
      <c r="EO13" s="30"/>
      <c r="EP13" s="30"/>
      <c r="EQ13" s="30"/>
      <c r="ER13" s="30"/>
      <c r="ES13" s="30"/>
      <c r="ET13" s="30"/>
      <c r="EU13" s="30"/>
      <c r="EV13" s="30"/>
      <c r="EW13" s="30"/>
      <c r="EX13" s="30"/>
      <c r="EY13" s="30"/>
      <c r="EZ13" s="30"/>
      <c r="FA13" s="30"/>
      <c r="FB13" s="30"/>
      <c r="FC13" s="30"/>
      <c r="FD13" s="30"/>
      <c r="FE13" s="30"/>
      <c r="FF13" s="30"/>
      <c r="FG13" s="30"/>
      <c r="FH13" s="30"/>
      <c r="FI13" s="30"/>
      <c r="FJ13" s="30"/>
      <c r="FK13" s="30"/>
      <c r="FL13" s="30"/>
      <c r="FM13" s="30"/>
      <c r="FN13" s="30"/>
      <c r="FO13" s="30"/>
      <c r="FP13" s="30"/>
      <c r="FQ13" s="30"/>
      <c r="FR13" s="30"/>
      <c r="FS13" s="30"/>
      <c r="FT13" s="30"/>
      <c r="FU13" s="30"/>
      <c r="FV13" s="30"/>
      <c r="FW13" s="30"/>
      <c r="FX13" s="30"/>
      <c r="FY13" s="30"/>
      <c r="FZ13" s="30"/>
      <c r="GA13" s="30"/>
      <c r="GB13" s="30"/>
      <c r="GC13" s="30"/>
      <c r="GD13" s="30"/>
      <c r="GE13" s="30"/>
      <c r="GF13" s="30"/>
      <c r="GG13" s="30"/>
      <c r="GH13" s="30"/>
      <c r="GI13" s="30"/>
      <c r="GJ13" s="30"/>
      <c r="GK13" s="30"/>
      <c r="GL13" s="30"/>
      <c r="GM13" s="30"/>
      <c r="GN13" s="30"/>
      <c r="GO13" s="30"/>
      <c r="GP13" s="30"/>
      <c r="GQ13" s="30"/>
      <c r="GR13" s="30"/>
      <c r="GS13" s="30"/>
      <c r="GT13" s="30"/>
      <c r="GU13" s="30"/>
      <c r="GV13" s="30"/>
      <c r="GW13" s="30"/>
      <c r="GX13" s="30"/>
      <c r="GY13" s="30"/>
      <c r="GZ13" s="30"/>
      <c r="HA13" s="30"/>
      <c r="HB13" s="30"/>
      <c r="HC13" s="30"/>
      <c r="HD13" s="30"/>
      <c r="HE13" s="30"/>
      <c r="HF13" s="30"/>
      <c r="HG13" s="30"/>
      <c r="HH13" s="30"/>
      <c r="HI13" s="30"/>
      <c r="HJ13" s="30"/>
      <c r="HK13" s="30"/>
      <c r="HL13" s="30"/>
      <c r="HM13" s="30"/>
      <c r="HN13" s="30"/>
      <c r="HO13" s="30"/>
      <c r="HP13" s="30"/>
      <c r="HQ13" s="30"/>
      <c r="HR13" s="30"/>
      <c r="HS13" s="30"/>
      <c r="HT13" s="30"/>
      <c r="HU13" s="30"/>
      <c r="HV13" s="30"/>
      <c r="HW13" s="30"/>
      <c r="HX13" s="30"/>
      <c r="HY13" s="30"/>
      <c r="HZ13" s="30"/>
      <c r="IA13" s="30"/>
      <c r="IB13" s="30"/>
      <c r="IC13" s="30"/>
      <c r="ID13" s="30"/>
      <c r="IE13" s="30"/>
      <c r="IF13" s="30"/>
      <c r="IG13" s="30"/>
      <c r="IH13" s="30"/>
      <c r="II13" s="30"/>
      <c r="IJ13" s="30"/>
      <c r="IK13" s="30"/>
      <c r="IL13" s="30"/>
      <c r="IM13" s="30"/>
      <c r="IN13" s="30"/>
      <c r="IO13" s="30"/>
      <c r="IP13" s="30"/>
      <c r="IQ13" s="30"/>
      <c r="IR13" s="30"/>
      <c r="IS13" s="30"/>
      <c r="IT13" s="30"/>
      <c r="IU13" s="30"/>
      <c r="IV13" s="30"/>
      <c r="IW13" s="30"/>
      <c r="IX13" s="30"/>
      <c r="IY13" s="30"/>
      <c r="IZ13" s="30"/>
      <c r="JA13" s="30"/>
      <c r="JB13" s="30"/>
      <c r="JC13" s="30"/>
      <c r="JD13" s="30"/>
      <c r="JE13" s="30"/>
      <c r="JF13" s="30"/>
      <c r="JG13" s="30"/>
      <c r="JH13" s="30"/>
      <c r="JI13" s="30"/>
      <c r="JJ13" s="30"/>
      <c r="JK13" s="30"/>
      <c r="JL13" s="30"/>
      <c r="JM13" s="30"/>
      <c r="JN13" s="30"/>
      <c r="JO13" s="30"/>
      <c r="JP13" s="30"/>
      <c r="JQ13" s="30"/>
      <c r="JR13" s="30"/>
      <c r="JS13" s="30"/>
      <c r="JT13" s="30"/>
      <c r="JU13" s="30"/>
      <c r="JV13" s="30"/>
      <c r="JW13" s="30"/>
      <c r="JX13" s="30"/>
      <c r="JY13" s="30"/>
      <c r="JZ13" s="30"/>
      <c r="KA13" s="30"/>
      <c r="KB13" s="30"/>
      <c r="KC13" s="30"/>
      <c r="KD13" s="30"/>
      <c r="KE13" s="30"/>
      <c r="KF13" s="30"/>
      <c r="KG13" s="30"/>
      <c r="KH13" s="30"/>
      <c r="KI13" s="30"/>
      <c r="KJ13" s="30"/>
      <c r="KK13" s="30"/>
      <c r="KL13" s="30"/>
      <c r="KM13" s="30"/>
      <c r="KN13" s="30"/>
      <c r="KO13" s="30"/>
      <c r="KP13" s="1630"/>
    </row>
    <row r="14" spans="1:302" s="97" customFormat="1" ht="25.25" customHeight="1" outlineLevel="1">
      <c r="A14" s="2651" t="s">
        <v>68</v>
      </c>
      <c r="B14" s="1419" t="s">
        <v>68</v>
      </c>
      <c r="C14" s="1517" t="s">
        <v>321</v>
      </c>
      <c r="D14" s="1517" t="s">
        <v>322</v>
      </c>
      <c r="E14" s="1415"/>
      <c r="F14" s="370"/>
      <c r="G14" s="387"/>
      <c r="H14" s="350" t="s">
        <v>26</v>
      </c>
      <c r="I14" s="2933">
        <v>30550000</v>
      </c>
      <c r="J14" s="362" t="s">
        <v>26</v>
      </c>
      <c r="K14" s="355"/>
      <c r="L14" s="357"/>
      <c r="M14" s="357"/>
      <c r="N14" s="357"/>
      <c r="O14" s="1510">
        <v>9890000</v>
      </c>
      <c r="P14" s="355"/>
      <c r="Q14" s="355"/>
      <c r="R14" s="355"/>
      <c r="S14" s="1510">
        <f>R14*Q14</f>
        <v>0</v>
      </c>
      <c r="T14" s="355"/>
      <c r="U14" s="355"/>
      <c r="V14" s="355"/>
      <c r="W14" s="1744">
        <f>O14+S14</f>
        <v>9890000</v>
      </c>
      <c r="X14" s="359" t="s">
        <v>26</v>
      </c>
      <c r="Y14" s="357"/>
      <c r="Z14" s="355"/>
      <c r="AA14" s="355"/>
      <c r="AB14" s="1510">
        <f>SUM(AM14:BZ14)</f>
        <v>9890000.0000339989</v>
      </c>
      <c r="AC14" s="1441" t="s">
        <v>1147</v>
      </c>
      <c r="AD14" s="1444"/>
      <c r="AE14" s="357" t="s">
        <v>564</v>
      </c>
      <c r="AF14" s="357">
        <v>9890000</v>
      </c>
      <c r="AG14" s="357">
        <v>1</v>
      </c>
      <c r="AH14" s="354">
        <f>AF14*AG14</f>
        <v>9890000</v>
      </c>
      <c r="AI14" s="355">
        <f t="shared" ref="AI14:AI25" ca="1" si="15">SUMIF($AM$10:$BZ$10,$AI$9,AM14:BT14)</f>
        <v>1171390</v>
      </c>
      <c r="AJ14" s="374">
        <f t="shared" ca="1" si="1"/>
        <v>0.11844186046470911</v>
      </c>
      <c r="AK14" s="2184"/>
      <c r="AL14" s="260"/>
      <c r="AM14" s="2256"/>
      <c r="AN14" s="2774">
        <v>778191.2</v>
      </c>
      <c r="AO14" s="359">
        <v>393198.8</v>
      </c>
      <c r="AP14" s="379"/>
      <c r="AQ14" s="359">
        <f>933100-194543.3333</f>
        <v>738556.66669999994</v>
      </c>
      <c r="AR14" s="359">
        <f>933100-194543.333333</f>
        <v>738556.66666700004</v>
      </c>
      <c r="AS14" s="380">
        <f>958900-194543.333333</f>
        <v>764356.66666700004</v>
      </c>
      <c r="AT14" s="360">
        <f>503100+100526.1+100000</f>
        <v>703626.1</v>
      </c>
      <c r="AU14" s="360">
        <f>503100+100526.1+100000</f>
        <v>703626.1</v>
      </c>
      <c r="AV14" s="360">
        <f>503100+100526.1+100000</f>
        <v>703626.1</v>
      </c>
      <c r="AW14" s="360">
        <f t="shared" ref="AW14" si="16">503100+100526.1</f>
        <v>603626.1</v>
      </c>
      <c r="AX14" s="359">
        <f>503100+200000</f>
        <v>703100</v>
      </c>
      <c r="AY14" s="360">
        <f>107500+100000</f>
        <v>207500</v>
      </c>
      <c r="AZ14" s="2258">
        <f>107500+167260+392775.6</f>
        <v>667535.6</v>
      </c>
      <c r="BA14" s="359">
        <f>107500+200000</f>
        <v>307500</v>
      </c>
      <c r="BB14" s="359">
        <f>107500+200000</f>
        <v>307500</v>
      </c>
      <c r="BC14" s="359">
        <v>107500</v>
      </c>
      <c r="BD14" s="359">
        <v>107500</v>
      </c>
      <c r="BE14" s="359">
        <v>107500</v>
      </c>
      <c r="BF14" s="359">
        <v>107500</v>
      </c>
      <c r="BG14" s="359">
        <v>107500</v>
      </c>
      <c r="BH14" s="359">
        <v>43000</v>
      </c>
      <c r="BI14" s="380"/>
      <c r="BJ14" s="359"/>
      <c r="BK14" s="2122"/>
      <c r="BL14" s="380"/>
      <c r="BM14" s="380"/>
      <c r="BN14" s="380"/>
      <c r="BO14" s="380"/>
      <c r="BP14" s="380">
        <v>989000</v>
      </c>
      <c r="BQ14" s="2087"/>
      <c r="BR14" s="359"/>
      <c r="BS14" s="359"/>
      <c r="BT14" s="359"/>
      <c r="BU14" s="355"/>
      <c r="BV14" s="355"/>
      <c r="BW14" s="446"/>
      <c r="BX14" s="2392"/>
      <c r="BY14" s="2432"/>
      <c r="BZ14" s="2432"/>
      <c r="CA14" s="2432">
        <f>SUMIF($AM$10:$BZ$10,$CA$9,AM14:BZ14)</f>
        <v>8718610.0000339989</v>
      </c>
      <c r="CB14" s="2377">
        <f t="shared" si="3"/>
        <v>0.88155813953529094</v>
      </c>
      <c r="CC14" s="365">
        <f t="shared" si="3"/>
        <v>8.9136313400633001E-8</v>
      </c>
      <c r="CD14" s="366"/>
      <c r="CE14" s="343"/>
      <c r="CF14" s="343"/>
      <c r="CG14" s="340"/>
      <c r="CH14" s="1416"/>
      <c r="CI14" s="1417"/>
      <c r="CJ14" s="1417"/>
      <c r="CK14" s="355"/>
      <c r="CL14" s="329">
        <f t="shared" si="12"/>
        <v>1171389.9999660011</v>
      </c>
      <c r="CM14" s="330">
        <f t="shared" ca="1" si="13"/>
        <v>0</v>
      </c>
      <c r="CN14" s="331">
        <f t="shared" ca="1" si="14"/>
        <v>-2852035.5999999996</v>
      </c>
      <c r="CO14" s="86"/>
      <c r="CP14" s="86"/>
      <c r="CQ14" s="1641"/>
      <c r="CR14" s="86"/>
      <c r="CS14" s="86"/>
      <c r="CT14" s="86"/>
      <c r="CU14" s="86"/>
      <c r="CV14" s="86"/>
      <c r="CW14" s="86"/>
      <c r="CX14" s="86"/>
      <c r="CY14" s="86"/>
      <c r="CZ14" s="86"/>
      <c r="DA14" s="86"/>
      <c r="DB14" s="1642"/>
      <c r="DC14" s="1642"/>
      <c r="DD14" s="30"/>
      <c r="DE14" s="30"/>
      <c r="DF14" s="30"/>
      <c r="DG14" s="1642"/>
      <c r="DH14" s="1642"/>
      <c r="DI14" s="1642"/>
      <c r="DJ14" s="1642"/>
      <c r="DK14" s="1642"/>
      <c r="DL14" s="1642"/>
      <c r="DM14" s="1642"/>
      <c r="DN14" s="1642"/>
      <c r="DO14" s="1642"/>
      <c r="DP14" s="1642"/>
      <c r="DQ14" s="1642"/>
      <c r="DR14" s="1642"/>
      <c r="DS14" s="1642"/>
      <c r="DT14" s="1642"/>
      <c r="DU14" s="1642"/>
      <c r="DV14" s="1642"/>
      <c r="DW14" s="1642"/>
      <c r="DX14" s="1642"/>
      <c r="DY14" s="1642"/>
      <c r="DZ14" s="1642"/>
      <c r="EA14" s="1642"/>
      <c r="EB14" s="1642"/>
      <c r="EC14" s="1642"/>
      <c r="ED14" s="1642"/>
      <c r="EE14" s="1642"/>
      <c r="EF14" s="1642"/>
      <c r="EG14" s="1642"/>
      <c r="EH14" s="1643"/>
      <c r="EI14" s="1658"/>
      <c r="EJ14" s="30"/>
      <c r="EK14" s="30"/>
      <c r="EL14" s="30"/>
      <c r="EM14" s="30"/>
      <c r="EN14" s="30"/>
      <c r="EO14" s="30"/>
      <c r="EP14" s="30"/>
      <c r="EQ14" s="30"/>
      <c r="ER14" s="30"/>
      <c r="ES14" s="30"/>
      <c r="ET14" s="30"/>
      <c r="EU14" s="30"/>
      <c r="EV14" s="30"/>
      <c r="EW14" s="30"/>
      <c r="EX14" s="30"/>
      <c r="EY14" s="30"/>
      <c r="EZ14" s="30"/>
      <c r="FA14" s="30"/>
      <c r="FB14" s="30"/>
      <c r="FC14" s="30"/>
      <c r="FD14" s="30"/>
      <c r="FE14" s="30"/>
      <c r="FF14" s="30"/>
      <c r="FG14" s="30"/>
      <c r="FH14" s="30"/>
      <c r="FI14" s="30"/>
      <c r="FJ14" s="30"/>
      <c r="FK14" s="30"/>
      <c r="FL14" s="30"/>
      <c r="FM14" s="30"/>
      <c r="FN14" s="30"/>
      <c r="FO14" s="30"/>
      <c r="FP14" s="30"/>
      <c r="FQ14" s="30"/>
      <c r="FR14" s="30"/>
      <c r="FS14" s="30"/>
      <c r="FT14" s="30"/>
      <c r="FU14" s="30"/>
      <c r="FV14" s="30"/>
      <c r="FW14" s="30"/>
      <c r="FX14" s="30"/>
      <c r="FY14" s="30"/>
      <c r="FZ14" s="30"/>
      <c r="GA14" s="30"/>
      <c r="GB14" s="30"/>
      <c r="GC14" s="30"/>
      <c r="GD14" s="30"/>
      <c r="GE14" s="30"/>
      <c r="GF14" s="30"/>
      <c r="GG14" s="30"/>
      <c r="GH14" s="30"/>
      <c r="GI14" s="30"/>
      <c r="GJ14" s="30"/>
      <c r="GK14" s="30"/>
      <c r="GL14" s="30"/>
      <c r="GM14" s="30"/>
      <c r="GN14" s="30"/>
      <c r="GO14" s="30"/>
      <c r="GP14" s="30"/>
      <c r="GQ14" s="30"/>
      <c r="GR14" s="30"/>
      <c r="GS14" s="30"/>
      <c r="GT14" s="30"/>
      <c r="GU14" s="30"/>
      <c r="GV14" s="30"/>
      <c r="GW14" s="30"/>
      <c r="GX14" s="30"/>
      <c r="GY14" s="30"/>
      <c r="GZ14" s="30"/>
      <c r="HA14" s="30"/>
      <c r="HB14" s="30"/>
      <c r="HC14" s="30"/>
      <c r="HD14" s="30"/>
      <c r="HE14" s="30"/>
      <c r="HF14" s="30"/>
      <c r="HG14" s="30"/>
      <c r="HH14" s="30"/>
      <c r="HI14" s="30"/>
      <c r="HJ14" s="30"/>
      <c r="HK14" s="30"/>
      <c r="HL14" s="30"/>
      <c r="HM14" s="30"/>
      <c r="HN14" s="30"/>
      <c r="HO14" s="30"/>
      <c r="HP14" s="30"/>
      <c r="HQ14" s="30"/>
      <c r="HR14" s="30"/>
      <c r="HS14" s="30"/>
      <c r="HT14" s="30"/>
      <c r="HU14" s="30"/>
      <c r="HV14" s="30"/>
      <c r="HW14" s="30"/>
      <c r="HX14" s="30"/>
      <c r="HY14" s="30"/>
      <c r="HZ14" s="30"/>
      <c r="IA14" s="30"/>
      <c r="IB14" s="30"/>
      <c r="IC14" s="30"/>
      <c r="ID14" s="30"/>
      <c r="IE14" s="30"/>
      <c r="IF14" s="30"/>
      <c r="IG14" s="30"/>
      <c r="IH14" s="30"/>
      <c r="II14" s="30"/>
      <c r="IJ14" s="30"/>
      <c r="IK14" s="30"/>
      <c r="IL14" s="30"/>
      <c r="IM14" s="30"/>
      <c r="IN14" s="30"/>
      <c r="IO14" s="30"/>
      <c r="IP14" s="30"/>
      <c r="IQ14" s="30"/>
      <c r="IR14" s="30"/>
      <c r="IS14" s="30"/>
      <c r="IT14" s="30"/>
      <c r="IU14" s="30"/>
      <c r="IV14" s="30"/>
      <c r="IW14" s="30"/>
      <c r="IX14" s="30"/>
      <c r="IY14" s="30"/>
      <c r="IZ14" s="30"/>
      <c r="JA14" s="30"/>
      <c r="JB14" s="30"/>
      <c r="JC14" s="30"/>
      <c r="JD14" s="30"/>
      <c r="JE14" s="30"/>
      <c r="JF14" s="30"/>
      <c r="JG14" s="30"/>
      <c r="JH14" s="30"/>
      <c r="JI14" s="30"/>
      <c r="JJ14" s="30"/>
      <c r="JK14" s="30"/>
      <c r="JL14" s="30"/>
      <c r="JM14" s="30"/>
      <c r="JN14" s="30"/>
      <c r="JO14" s="30"/>
      <c r="JP14" s="30"/>
      <c r="JQ14" s="30"/>
      <c r="JR14" s="30"/>
      <c r="JS14" s="30"/>
      <c r="JT14" s="30"/>
      <c r="JU14" s="30"/>
      <c r="JV14" s="30"/>
      <c r="JW14" s="30"/>
      <c r="JX14" s="30"/>
      <c r="JY14" s="30"/>
      <c r="JZ14" s="30"/>
      <c r="KA14" s="30"/>
      <c r="KB14" s="30"/>
      <c r="KC14" s="30"/>
      <c r="KD14" s="30"/>
      <c r="KE14" s="30"/>
      <c r="KF14" s="30"/>
      <c r="KG14" s="30"/>
      <c r="KH14" s="30"/>
      <c r="KI14" s="30"/>
      <c r="KJ14" s="30"/>
      <c r="KK14" s="30"/>
      <c r="KL14" s="30"/>
      <c r="KM14" s="30"/>
      <c r="KN14" s="30"/>
      <c r="KO14" s="30"/>
      <c r="KP14" s="1630"/>
    </row>
    <row r="15" spans="1:302" s="97" customFormat="1" ht="25.25" customHeight="1" outlineLevel="1">
      <c r="A15" s="2651" t="s">
        <v>30</v>
      </c>
      <c r="B15" s="1419"/>
      <c r="C15" s="247" t="s">
        <v>573</v>
      </c>
      <c r="D15" s="2583" t="s">
        <v>574</v>
      </c>
      <c r="E15" s="1415"/>
      <c r="F15" s="370"/>
      <c r="G15" s="387"/>
      <c r="H15" s="350" t="s">
        <v>26</v>
      </c>
      <c r="I15" s="2934"/>
      <c r="J15" s="362" t="s">
        <v>26</v>
      </c>
      <c r="K15" s="355"/>
      <c r="L15" s="357"/>
      <c r="M15" s="357"/>
      <c r="N15" s="357"/>
      <c r="O15" s="1510">
        <v>12200000</v>
      </c>
      <c r="P15" s="355"/>
      <c r="Q15" s="355"/>
      <c r="R15" s="355"/>
      <c r="S15" s="1510">
        <f t="shared" ref="S15:S38" si="17">R15*Q15</f>
        <v>0</v>
      </c>
      <c r="T15" s="355"/>
      <c r="U15" s="355"/>
      <c r="V15" s="355"/>
      <c r="W15" s="1744">
        <f>O15+S15</f>
        <v>12200000</v>
      </c>
      <c r="X15" s="359" t="s">
        <v>26</v>
      </c>
      <c r="Y15" s="357"/>
      <c r="Z15" s="355"/>
      <c r="AA15" s="355"/>
      <c r="AB15" s="2722">
        <f t="shared" ref="AB15:AB25" si="18">SUM(AM15:BZ15)</f>
        <v>100000</v>
      </c>
      <c r="AC15" s="1441"/>
      <c r="AD15" s="1444"/>
      <c r="AE15" s="357"/>
      <c r="AF15" s="357"/>
      <c r="AG15" s="357"/>
      <c r="AH15" s="354">
        <f t="shared" ref="AH15:AH25" si="19">AF15*AG15</f>
        <v>0</v>
      </c>
      <c r="AI15" s="355">
        <f t="shared" ca="1" si="15"/>
        <v>0</v>
      </c>
      <c r="AJ15" s="356">
        <f t="shared" ca="1" si="1"/>
        <v>0</v>
      </c>
      <c r="AK15" s="2185"/>
      <c r="AL15" s="260"/>
      <c r="AM15" s="2256"/>
      <c r="AN15" s="2256"/>
      <c r="AO15" s="359"/>
      <c r="AP15" s="377"/>
      <c r="AQ15" s="359"/>
      <c r="AR15" s="359"/>
      <c r="AS15" s="359"/>
      <c r="AT15" s="360"/>
      <c r="AU15" s="359"/>
      <c r="AV15" s="359"/>
      <c r="AW15" s="359"/>
      <c r="AX15" s="377"/>
      <c r="AY15" s="360"/>
      <c r="AZ15" s="2258"/>
      <c r="BA15" s="359"/>
      <c r="BB15" s="359"/>
      <c r="BC15" s="359"/>
      <c r="BD15" s="359"/>
      <c r="BE15" s="359"/>
      <c r="BF15" s="359"/>
      <c r="BG15" s="359"/>
      <c r="BH15" s="359"/>
      <c r="BI15" s="380"/>
      <c r="BJ15" s="359"/>
      <c r="BK15" s="2122"/>
      <c r="BL15" s="380"/>
      <c r="BM15" s="380"/>
      <c r="BN15" s="380"/>
      <c r="BO15" s="380"/>
      <c r="BP15" s="380">
        <v>100000</v>
      </c>
      <c r="BQ15" s="2087"/>
      <c r="BR15" s="359"/>
      <c r="BS15" s="359"/>
      <c r="BT15" s="359"/>
      <c r="BU15" s="355"/>
      <c r="BV15" s="355"/>
      <c r="BW15" s="446"/>
      <c r="BX15" s="2392"/>
      <c r="BY15" s="2432"/>
      <c r="BZ15" s="2432"/>
      <c r="CA15" s="2432">
        <f t="shared" ref="CA15:CA23" si="20">SUMIF($AM$10:$BZ$10,$CA$9,AM15:BZ15)</f>
        <v>100000</v>
      </c>
      <c r="CB15" s="2377">
        <f t="shared" ref="CB15:CB23" si="21">IF($AB15&lt;&gt;0,CA15/$AB15,"")</f>
        <v>1</v>
      </c>
      <c r="CC15" s="365">
        <f t="shared" ref="CC15:CC23" si="22">IF($AB15&lt;&gt;0,CB15/$AB15,"")</f>
        <v>1.0000000000000001E-5</v>
      </c>
      <c r="CD15" s="366"/>
      <c r="CE15" s="343"/>
      <c r="CF15" s="343"/>
      <c r="CG15" s="340"/>
      <c r="CH15" s="1416"/>
      <c r="CI15" s="1417"/>
      <c r="CJ15" s="1417"/>
      <c r="CK15" s="355"/>
      <c r="CL15" s="329">
        <f t="shared" si="12"/>
        <v>12100000</v>
      </c>
      <c r="CM15" s="330">
        <f t="shared" ca="1" si="13"/>
        <v>0</v>
      </c>
      <c r="CN15" s="331">
        <f t="shared" ca="1" si="14"/>
        <v>-100000</v>
      </c>
      <c r="CO15" s="86"/>
      <c r="CP15" s="86"/>
      <c r="CQ15" s="1641"/>
      <c r="CR15" s="86"/>
      <c r="CS15" s="86"/>
      <c r="CT15" s="86"/>
      <c r="CU15" s="86"/>
      <c r="CV15" s="86"/>
      <c r="CW15" s="86"/>
      <c r="CX15" s="86"/>
      <c r="CY15" s="86"/>
      <c r="CZ15" s="86"/>
      <c r="DA15" s="86"/>
      <c r="DB15" s="1642"/>
      <c r="DC15" s="1642"/>
      <c r="DD15" s="30"/>
      <c r="DE15" s="30"/>
      <c r="DF15" s="30"/>
      <c r="DG15" s="1642"/>
      <c r="DH15" s="1642"/>
      <c r="DI15" s="1642"/>
      <c r="DJ15" s="1642"/>
      <c r="DK15" s="1642"/>
      <c r="DL15" s="1642"/>
      <c r="DM15" s="1642"/>
      <c r="DN15" s="1642"/>
      <c r="DO15" s="1642"/>
      <c r="DP15" s="1642"/>
      <c r="DQ15" s="1642"/>
      <c r="DR15" s="1642"/>
      <c r="DS15" s="1642"/>
      <c r="DT15" s="1642"/>
      <c r="DU15" s="1642"/>
      <c r="DV15" s="1642"/>
      <c r="DW15" s="1642"/>
      <c r="DX15" s="1642"/>
      <c r="DY15" s="1642"/>
      <c r="DZ15" s="1642"/>
      <c r="EA15" s="1642"/>
      <c r="EB15" s="1642"/>
      <c r="EC15" s="1642"/>
      <c r="ED15" s="1642"/>
      <c r="EE15" s="1642"/>
      <c r="EF15" s="1642"/>
      <c r="EG15" s="1642"/>
      <c r="EH15" s="1643"/>
      <c r="EI15" s="1658"/>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c r="FQ15" s="30"/>
      <c r="FR15" s="30"/>
      <c r="FS15" s="30"/>
      <c r="FT15" s="30"/>
      <c r="FU15" s="30"/>
      <c r="FV15" s="30"/>
      <c r="FW15" s="30"/>
      <c r="FX15" s="30"/>
      <c r="FY15" s="30"/>
      <c r="FZ15" s="30"/>
      <c r="GA15" s="30"/>
      <c r="GB15" s="30"/>
      <c r="GC15" s="30"/>
      <c r="GD15" s="30"/>
      <c r="GE15" s="30"/>
      <c r="GF15" s="30"/>
      <c r="GG15" s="30"/>
      <c r="GH15" s="30"/>
      <c r="GI15" s="30"/>
      <c r="GJ15" s="30"/>
      <c r="GK15" s="30"/>
      <c r="GL15" s="30"/>
      <c r="GM15" s="30"/>
      <c r="GN15" s="30"/>
      <c r="GO15" s="30"/>
      <c r="GP15" s="30"/>
      <c r="GQ15" s="30"/>
      <c r="GR15" s="30"/>
      <c r="GS15" s="30"/>
      <c r="GT15" s="30"/>
      <c r="GU15" s="30"/>
      <c r="GV15" s="30"/>
      <c r="GW15" s="30"/>
      <c r="GX15" s="30"/>
      <c r="GY15" s="30"/>
      <c r="GZ15" s="30"/>
      <c r="HA15" s="30"/>
      <c r="HB15" s="30"/>
      <c r="HC15" s="30"/>
      <c r="HD15" s="30"/>
      <c r="HE15" s="30"/>
      <c r="HF15" s="30"/>
      <c r="HG15" s="30"/>
      <c r="HH15" s="30"/>
      <c r="HI15" s="30"/>
      <c r="HJ15" s="30"/>
      <c r="HK15" s="30"/>
      <c r="HL15" s="30"/>
      <c r="HM15" s="30"/>
      <c r="HN15" s="30"/>
      <c r="HO15" s="30"/>
      <c r="HP15" s="30"/>
      <c r="HQ15" s="30"/>
      <c r="HR15" s="30"/>
      <c r="HS15" s="30"/>
      <c r="HT15" s="30"/>
      <c r="HU15" s="30"/>
      <c r="HV15" s="30"/>
      <c r="HW15" s="30"/>
      <c r="HX15" s="30"/>
      <c r="HY15" s="30"/>
      <c r="HZ15" s="30"/>
      <c r="IA15" s="30"/>
      <c r="IB15" s="30"/>
      <c r="IC15" s="30"/>
      <c r="ID15" s="30"/>
      <c r="IE15" s="30"/>
      <c r="IF15" s="30"/>
      <c r="IG15" s="30"/>
      <c r="IH15" s="30"/>
      <c r="II15" s="30"/>
      <c r="IJ15" s="30"/>
      <c r="IK15" s="30"/>
      <c r="IL15" s="30"/>
      <c r="IM15" s="30"/>
      <c r="IN15" s="30"/>
      <c r="IO15" s="30"/>
      <c r="IP15" s="30"/>
      <c r="IQ15" s="30"/>
      <c r="IR15" s="30"/>
      <c r="IS15" s="30"/>
      <c r="IT15" s="30"/>
      <c r="IU15" s="30"/>
      <c r="IV15" s="30"/>
      <c r="IW15" s="30"/>
      <c r="IX15" s="30"/>
      <c r="IY15" s="30"/>
      <c r="IZ15" s="30"/>
      <c r="JA15" s="30"/>
      <c r="JB15" s="30"/>
      <c r="JC15" s="30"/>
      <c r="JD15" s="30"/>
      <c r="JE15" s="30"/>
      <c r="JF15" s="30"/>
      <c r="JG15" s="30"/>
      <c r="JH15" s="30"/>
      <c r="JI15" s="30"/>
      <c r="JJ15" s="30"/>
      <c r="JK15" s="30"/>
      <c r="JL15" s="30"/>
      <c r="JM15" s="30"/>
      <c r="JN15" s="30"/>
      <c r="JO15" s="30"/>
      <c r="JP15" s="30"/>
      <c r="JQ15" s="30"/>
      <c r="JR15" s="30"/>
      <c r="JS15" s="30"/>
      <c r="JT15" s="30"/>
      <c r="JU15" s="30"/>
      <c r="JV15" s="30"/>
      <c r="JW15" s="30"/>
      <c r="JX15" s="30"/>
      <c r="JY15" s="30"/>
      <c r="JZ15" s="30"/>
      <c r="KA15" s="30"/>
      <c r="KB15" s="30"/>
      <c r="KC15" s="30"/>
      <c r="KD15" s="30"/>
      <c r="KE15" s="30"/>
      <c r="KF15" s="30"/>
      <c r="KG15" s="30"/>
      <c r="KH15" s="30"/>
      <c r="KI15" s="30"/>
      <c r="KJ15" s="30"/>
      <c r="KK15" s="30"/>
      <c r="KL15" s="30"/>
      <c r="KM15" s="30"/>
      <c r="KN15" s="30"/>
      <c r="KO15" s="30"/>
      <c r="KP15" s="1630"/>
    </row>
    <row r="16" spans="1:302" s="97" customFormat="1" ht="25.25" customHeight="1" outlineLevel="1">
      <c r="A16" s="2652" t="s">
        <v>563</v>
      </c>
      <c r="B16" s="2579"/>
      <c r="C16" s="247" t="s">
        <v>1308</v>
      </c>
      <c r="D16" s="247" t="s">
        <v>574</v>
      </c>
      <c r="E16" s="1415"/>
      <c r="F16" s="370"/>
      <c r="G16" s="387"/>
      <c r="H16" s="350" t="s">
        <v>26</v>
      </c>
      <c r="I16" s="2934"/>
      <c r="J16" s="362" t="s">
        <v>26</v>
      </c>
      <c r="K16" s="355"/>
      <c r="L16" s="357"/>
      <c r="M16" s="357"/>
      <c r="N16" s="357"/>
      <c r="O16" s="1510"/>
      <c r="P16" s="355"/>
      <c r="Q16" s="355"/>
      <c r="R16" s="355"/>
      <c r="S16" s="1510">
        <f t="shared" ref="S16" si="23">R16*Q16</f>
        <v>0</v>
      </c>
      <c r="T16" s="355"/>
      <c r="U16" s="355"/>
      <c r="V16" s="355"/>
      <c r="W16" s="1744">
        <f>O16+S16</f>
        <v>0</v>
      </c>
      <c r="X16" s="359" t="s">
        <v>26</v>
      </c>
      <c r="Y16" s="357"/>
      <c r="Z16" s="355"/>
      <c r="AA16" s="355"/>
      <c r="AB16" s="1510">
        <f t="shared" si="18"/>
        <v>12100000</v>
      </c>
      <c r="AC16" s="1441" t="s">
        <v>560</v>
      </c>
      <c r="AD16" s="1467">
        <v>4502938068</v>
      </c>
      <c r="AE16" s="357" t="s">
        <v>564</v>
      </c>
      <c r="AF16" s="357">
        <v>12100000</v>
      </c>
      <c r="AG16" s="357">
        <v>1</v>
      </c>
      <c r="AH16" s="354">
        <f t="shared" si="19"/>
        <v>12100000</v>
      </c>
      <c r="AI16" s="355">
        <f t="shared" ca="1" si="15"/>
        <v>3666327.58</v>
      </c>
      <c r="AJ16" s="356">
        <f t="shared" ca="1" si="1"/>
        <v>0.30300227933884299</v>
      </c>
      <c r="AK16" s="2185"/>
      <c r="AL16" s="260"/>
      <c r="AM16" s="2737">
        <v>2400000</v>
      </c>
      <c r="AN16" s="2774">
        <v>58413.79</v>
      </c>
      <c r="AO16" s="2739">
        <v>1207913.79</v>
      </c>
      <c r="AP16" s="2891">
        <f>20000+544228.79</f>
        <v>564228.79</v>
      </c>
      <c r="AQ16" s="359">
        <f>605000-44228.79</f>
        <v>560771.21</v>
      </c>
      <c r="AR16" s="359">
        <v>605000</v>
      </c>
      <c r="AS16" s="359">
        <v>605000</v>
      </c>
      <c r="AT16" s="360">
        <v>605000</v>
      </c>
      <c r="AU16" s="359">
        <v>605000</v>
      </c>
      <c r="AV16" s="359">
        <v>505000</v>
      </c>
      <c r="AW16" s="359">
        <v>405000</v>
      </c>
      <c r="AX16" s="377">
        <f>605000-200000</f>
        <v>405000</v>
      </c>
      <c r="AY16" s="360">
        <v>605000</v>
      </c>
      <c r="AZ16" s="2258">
        <f>221666.5+300000</f>
        <v>521666.5</v>
      </c>
      <c r="BA16" s="359">
        <f>201666.5+182196.07+200000</f>
        <v>583862.57000000007</v>
      </c>
      <c r="BB16" s="377">
        <v>383862.57</v>
      </c>
      <c r="BC16" s="359">
        <f>151666.5+29282.28+85000</f>
        <v>265948.78000000003</v>
      </c>
      <c r="BD16" s="377">
        <v>151666.5</v>
      </c>
      <c r="BE16" s="359">
        <v>151666.5</v>
      </c>
      <c r="BF16" s="377">
        <v>151666.5</v>
      </c>
      <c r="BG16" s="359">
        <v>151666.5</v>
      </c>
      <c r="BH16" s="377">
        <v>151666.5</v>
      </c>
      <c r="BI16" s="359">
        <v>151666.5</v>
      </c>
      <c r="BJ16" s="377">
        <f>201666.5-50000</f>
        <v>151666.5</v>
      </c>
      <c r="BK16" s="360">
        <f>201666.5-50000</f>
        <v>151666.5</v>
      </c>
      <c r="BL16" s="2258"/>
      <c r="BM16" s="380"/>
      <c r="BN16" s="380"/>
      <c r="BO16" s="380"/>
      <c r="BP16" s="380"/>
      <c r="BQ16" s="2087"/>
      <c r="BR16" s="359"/>
      <c r="BS16" s="359"/>
      <c r="BT16" s="359"/>
      <c r="BU16" s="355"/>
      <c r="BV16" s="355"/>
      <c r="BW16" s="446"/>
      <c r="BX16" s="2392"/>
      <c r="BY16" s="2432"/>
      <c r="BZ16" s="2432"/>
      <c r="CA16" s="2432">
        <f t="shared" si="20"/>
        <v>8433672.4200000018</v>
      </c>
      <c r="CB16" s="2377">
        <f t="shared" si="21"/>
        <v>0.69699772066115717</v>
      </c>
      <c r="CC16" s="365">
        <f t="shared" si="22"/>
        <v>5.7603117410012992E-8</v>
      </c>
      <c r="CD16" s="366"/>
      <c r="CE16" s="343"/>
      <c r="CF16" s="343"/>
      <c r="CG16" s="340"/>
      <c r="CH16" s="1416"/>
      <c r="CI16" s="1417"/>
      <c r="CJ16" s="1417"/>
      <c r="CK16" s="355"/>
      <c r="CL16" s="329">
        <f t="shared" si="12"/>
        <v>-8433672.4200000018</v>
      </c>
      <c r="CM16" s="330">
        <f t="shared" ca="1" si="13"/>
        <v>0</v>
      </c>
      <c r="CN16" s="331">
        <f t="shared" ca="1" si="14"/>
        <v>-5368672.4200000018</v>
      </c>
      <c r="CO16" s="86"/>
      <c r="CP16" s="86"/>
      <c r="CQ16" s="1641"/>
      <c r="CR16" s="86"/>
      <c r="CS16" s="86"/>
      <c r="CT16" s="86"/>
      <c r="CU16" s="86"/>
      <c r="CV16" s="86"/>
      <c r="CW16" s="86"/>
      <c r="CX16" s="86"/>
      <c r="CY16" s="86"/>
      <c r="CZ16" s="86"/>
      <c r="DA16" s="86"/>
      <c r="DB16" s="1642"/>
      <c r="DC16" s="1642"/>
      <c r="DD16" s="30"/>
      <c r="DE16" s="30"/>
      <c r="DF16" s="30"/>
      <c r="DG16" s="1642"/>
      <c r="DH16" s="1642"/>
      <c r="DI16" s="1642"/>
      <c r="DJ16" s="1642"/>
      <c r="DK16" s="1642"/>
      <c r="DL16" s="1642"/>
      <c r="DM16" s="1642"/>
      <c r="DN16" s="1642"/>
      <c r="DO16" s="1642"/>
      <c r="DP16" s="1642"/>
      <c r="DQ16" s="1642"/>
      <c r="DR16" s="1642"/>
      <c r="DS16" s="1642"/>
      <c r="DT16" s="1642"/>
      <c r="DU16" s="1642"/>
      <c r="DV16" s="1642"/>
      <c r="DW16" s="1642"/>
      <c r="DX16" s="1642"/>
      <c r="DY16" s="1642"/>
      <c r="DZ16" s="1642"/>
      <c r="EA16" s="1642"/>
      <c r="EB16" s="1642"/>
      <c r="EC16" s="1642"/>
      <c r="ED16" s="1642"/>
      <c r="EE16" s="1642"/>
      <c r="EF16" s="1642"/>
      <c r="EG16" s="1642"/>
      <c r="EH16" s="1643"/>
      <c r="EI16" s="1658"/>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0"/>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0"/>
      <c r="HO16" s="30"/>
      <c r="HP16" s="30"/>
      <c r="HQ16" s="30"/>
      <c r="HR16" s="30"/>
      <c r="HS16" s="30"/>
      <c r="HT16" s="30"/>
      <c r="HU16" s="30"/>
      <c r="HV16" s="30"/>
      <c r="HW16" s="30"/>
      <c r="HX16" s="30"/>
      <c r="HY16" s="30"/>
      <c r="HZ16" s="30"/>
      <c r="IA16" s="30"/>
      <c r="IB16" s="30"/>
      <c r="IC16" s="30"/>
      <c r="ID16" s="30"/>
      <c r="IE16" s="30"/>
      <c r="IF16" s="30"/>
      <c r="IG16" s="30"/>
      <c r="IH16" s="30"/>
      <c r="II16" s="30"/>
      <c r="IJ16" s="30"/>
      <c r="IK16" s="30"/>
      <c r="IL16" s="30"/>
      <c r="IM16" s="30"/>
      <c r="IN16" s="30"/>
      <c r="IO16" s="30"/>
      <c r="IP16" s="30"/>
      <c r="IQ16" s="30"/>
      <c r="IR16" s="30"/>
      <c r="IS16" s="30"/>
      <c r="IT16" s="30"/>
      <c r="IU16" s="30"/>
      <c r="IV16" s="30"/>
      <c r="IW16" s="30"/>
      <c r="IX16" s="30"/>
      <c r="IY16" s="30"/>
      <c r="IZ16" s="30"/>
      <c r="JA16" s="30"/>
      <c r="JB16" s="30"/>
      <c r="JC16" s="30"/>
      <c r="JD16" s="30"/>
      <c r="JE16" s="30"/>
      <c r="JF16" s="30"/>
      <c r="JG16" s="30"/>
      <c r="JH16" s="30"/>
      <c r="JI16" s="30"/>
      <c r="JJ16" s="30"/>
      <c r="JK16" s="30"/>
      <c r="JL16" s="30"/>
      <c r="JM16" s="30"/>
      <c r="JN16" s="30"/>
      <c r="JO16" s="30"/>
      <c r="JP16" s="30"/>
      <c r="JQ16" s="30"/>
      <c r="JR16" s="30"/>
      <c r="JS16" s="30"/>
      <c r="JT16" s="30"/>
      <c r="JU16" s="30"/>
      <c r="JV16" s="30"/>
      <c r="JW16" s="30"/>
      <c r="JX16" s="30"/>
      <c r="JY16" s="30"/>
      <c r="JZ16" s="30"/>
      <c r="KA16" s="30"/>
      <c r="KB16" s="30"/>
      <c r="KC16" s="30"/>
      <c r="KD16" s="30"/>
      <c r="KE16" s="30"/>
      <c r="KF16" s="30"/>
      <c r="KG16" s="30"/>
      <c r="KH16" s="30"/>
      <c r="KI16" s="30"/>
      <c r="KJ16" s="30"/>
      <c r="KK16" s="30"/>
      <c r="KL16" s="30"/>
      <c r="KM16" s="30"/>
      <c r="KN16" s="30"/>
      <c r="KO16" s="30"/>
      <c r="KP16" s="1630"/>
    </row>
    <row r="17" spans="1:302" s="97" customFormat="1" ht="25.25" customHeight="1" outlineLevel="1">
      <c r="A17" s="2652" t="s">
        <v>767</v>
      </c>
      <c r="B17" s="2579"/>
      <c r="C17" s="247" t="s">
        <v>1383</v>
      </c>
      <c r="D17" s="247" t="s">
        <v>575</v>
      </c>
      <c r="E17" s="1415"/>
      <c r="F17" s="370"/>
      <c r="G17" s="387"/>
      <c r="H17" s="350" t="s">
        <v>26</v>
      </c>
      <c r="I17" s="2934"/>
      <c r="J17" s="362" t="s">
        <v>26</v>
      </c>
      <c r="K17" s="355"/>
      <c r="L17" s="357"/>
      <c r="M17" s="357"/>
      <c r="N17" s="357"/>
      <c r="O17" s="1510">
        <v>500000</v>
      </c>
      <c r="P17" s="355"/>
      <c r="Q17" s="355"/>
      <c r="R17" s="355"/>
      <c r="S17" s="1510">
        <f>R17*Q17</f>
        <v>0</v>
      </c>
      <c r="T17" s="355"/>
      <c r="U17" s="355"/>
      <c r="V17" s="355"/>
      <c r="W17" s="1744">
        <f t="shared" ref="W17:W23" si="24">O17+S17</f>
        <v>500000</v>
      </c>
      <c r="X17" s="359" t="s">
        <v>26</v>
      </c>
      <c r="Y17" s="357"/>
      <c r="Z17" s="355"/>
      <c r="AA17" s="355"/>
      <c r="AB17" s="2598">
        <f t="shared" si="18"/>
        <v>499999.99727272708</v>
      </c>
      <c r="AC17" s="1441" t="s">
        <v>1382</v>
      </c>
      <c r="AD17" s="1441"/>
      <c r="AE17" s="357" t="s">
        <v>564</v>
      </c>
      <c r="AF17" s="1441">
        <v>500000</v>
      </c>
      <c r="AG17" s="357">
        <v>1</v>
      </c>
      <c r="AH17" s="354">
        <f t="shared" si="19"/>
        <v>500000</v>
      </c>
      <c r="AI17" s="355">
        <f t="shared" ca="1" si="15"/>
        <v>0</v>
      </c>
      <c r="AJ17" s="356">
        <f t="shared" ca="1" si="1"/>
        <v>0</v>
      </c>
      <c r="AK17" s="2185"/>
      <c r="AL17" s="260"/>
      <c r="AM17" s="2256"/>
      <c r="AN17" s="2256"/>
      <c r="AO17" s="359"/>
      <c r="AP17" s="377"/>
      <c r="AQ17" s="359">
        <v>22727.272727272728</v>
      </c>
      <c r="AR17" s="359">
        <f>22727.2727272727+22727.27</f>
        <v>45454.542727272696</v>
      </c>
      <c r="AS17" s="359">
        <v>22727.272727272728</v>
      </c>
      <c r="AT17" s="360">
        <v>22727.272727272728</v>
      </c>
      <c r="AU17" s="359">
        <v>22727.272727272728</v>
      </c>
      <c r="AV17" s="359">
        <v>22727.272727272728</v>
      </c>
      <c r="AW17" s="359">
        <v>22727.272727272728</v>
      </c>
      <c r="AX17" s="377">
        <v>22727.272727272728</v>
      </c>
      <c r="AY17" s="360">
        <v>22727.272727272728</v>
      </c>
      <c r="AZ17" s="2258">
        <v>22727.272727272728</v>
      </c>
      <c r="BA17" s="359">
        <v>22727.272727272728</v>
      </c>
      <c r="BB17" s="359">
        <v>22727.272727272728</v>
      </c>
      <c r="BC17" s="359">
        <v>22727.272727272728</v>
      </c>
      <c r="BD17" s="359">
        <v>22727.272727272728</v>
      </c>
      <c r="BE17" s="359">
        <v>22727.272727272728</v>
      </c>
      <c r="BF17" s="359">
        <v>22727.272727272728</v>
      </c>
      <c r="BG17" s="359">
        <v>22727.272727272728</v>
      </c>
      <c r="BH17" s="359">
        <v>22727.272727272728</v>
      </c>
      <c r="BI17" s="380">
        <v>22727.272727272728</v>
      </c>
      <c r="BJ17" s="359">
        <v>22727.272727272728</v>
      </c>
      <c r="BK17" s="2122">
        <v>22727.272727272728</v>
      </c>
      <c r="BL17" s="380"/>
      <c r="BM17" s="380"/>
      <c r="BN17" s="380"/>
      <c r="BO17" s="380"/>
      <c r="BP17" s="380"/>
      <c r="BQ17" s="2087"/>
      <c r="BR17" s="359"/>
      <c r="BS17" s="359"/>
      <c r="BT17" s="359"/>
      <c r="BU17" s="355"/>
      <c r="BV17" s="355"/>
      <c r="BW17" s="446"/>
      <c r="BX17" s="2392"/>
      <c r="BY17" s="2432"/>
      <c r="BZ17" s="2432"/>
      <c r="CA17" s="2432">
        <f t="shared" si="20"/>
        <v>499999.99727272708</v>
      </c>
      <c r="CB17" s="2377">
        <f t="shared" si="21"/>
        <v>1</v>
      </c>
      <c r="CC17" s="365">
        <f t="shared" si="22"/>
        <v>2.0000000109090918E-6</v>
      </c>
      <c r="CD17" s="366"/>
      <c r="CE17" s="343"/>
      <c r="CF17" s="343"/>
      <c r="CG17" s="340"/>
      <c r="CH17" s="1416"/>
      <c r="CI17" s="1417"/>
      <c r="CJ17" s="1417"/>
      <c r="CK17" s="355"/>
      <c r="CL17" s="329">
        <f t="shared" si="12"/>
        <v>2.7272729203104973E-3</v>
      </c>
      <c r="CM17" s="330">
        <f t="shared" ca="1" si="13"/>
        <v>0</v>
      </c>
      <c r="CN17" s="331">
        <f t="shared" ca="1" si="14"/>
        <v>-272727.27272727247</v>
      </c>
      <c r="CO17" s="86"/>
      <c r="CP17" s="86"/>
      <c r="CQ17" s="1641"/>
      <c r="CR17" s="86"/>
      <c r="CS17" s="86"/>
      <c r="CT17" s="86"/>
      <c r="CU17" s="86"/>
      <c r="CV17" s="86"/>
      <c r="CW17" s="86"/>
      <c r="CX17" s="86"/>
      <c r="CY17" s="86"/>
      <c r="CZ17" s="86"/>
      <c r="DA17" s="86"/>
      <c r="DB17" s="1642"/>
      <c r="DC17" s="1642"/>
      <c r="DD17" s="30"/>
      <c r="DE17" s="30"/>
      <c r="DF17" s="30"/>
      <c r="DG17" s="1642"/>
      <c r="DH17" s="1642"/>
      <c r="DI17" s="1642"/>
      <c r="DJ17" s="1642"/>
      <c r="DK17" s="1642"/>
      <c r="DL17" s="1642"/>
      <c r="DM17" s="1642"/>
      <c r="DN17" s="1642"/>
      <c r="DO17" s="1642"/>
      <c r="DP17" s="1642"/>
      <c r="DQ17" s="1642"/>
      <c r="DR17" s="1642"/>
      <c r="DS17" s="1642"/>
      <c r="DT17" s="1642"/>
      <c r="DU17" s="1642"/>
      <c r="DV17" s="1642"/>
      <c r="DW17" s="1642"/>
      <c r="DX17" s="1642"/>
      <c r="DY17" s="1642"/>
      <c r="DZ17" s="1642"/>
      <c r="EA17" s="1642"/>
      <c r="EB17" s="1642"/>
      <c r="EC17" s="1642"/>
      <c r="ED17" s="1642"/>
      <c r="EE17" s="1642"/>
      <c r="EF17" s="1642"/>
      <c r="EG17" s="1642"/>
      <c r="EH17" s="1643"/>
      <c r="EI17" s="1658"/>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c r="GJ17" s="30"/>
      <c r="GK17" s="30"/>
      <c r="GL17" s="30"/>
      <c r="GM17" s="30"/>
      <c r="GN17" s="30"/>
      <c r="GO17" s="30"/>
      <c r="GP17" s="30"/>
      <c r="GQ17" s="30"/>
      <c r="GR17" s="30"/>
      <c r="GS17" s="30"/>
      <c r="GT17" s="30"/>
      <c r="GU17" s="30"/>
      <c r="GV17" s="30"/>
      <c r="GW17" s="30"/>
      <c r="GX17" s="30"/>
      <c r="GY17" s="30"/>
      <c r="GZ17" s="30"/>
      <c r="HA17" s="30"/>
      <c r="HB17" s="30"/>
      <c r="HC17" s="30"/>
      <c r="HD17" s="30"/>
      <c r="HE17" s="30"/>
      <c r="HF17" s="30"/>
      <c r="HG17" s="30"/>
      <c r="HH17" s="30"/>
      <c r="HI17" s="30"/>
      <c r="HJ17" s="30"/>
      <c r="HK17" s="30"/>
      <c r="HL17" s="30"/>
      <c r="HM17" s="30"/>
      <c r="HN17" s="30"/>
      <c r="HO17" s="30"/>
      <c r="HP17" s="30"/>
      <c r="HQ17" s="30"/>
      <c r="HR17" s="30"/>
      <c r="HS17" s="30"/>
      <c r="HT17" s="30"/>
      <c r="HU17" s="30"/>
      <c r="HV17" s="30"/>
      <c r="HW17" s="30"/>
      <c r="HX17" s="30"/>
      <c r="HY17" s="30"/>
      <c r="HZ17" s="30"/>
      <c r="IA17" s="30"/>
      <c r="IB17" s="30"/>
      <c r="IC17" s="30"/>
      <c r="ID17" s="30"/>
      <c r="IE17" s="30"/>
      <c r="IF17" s="30"/>
      <c r="IG17" s="30"/>
      <c r="IH17" s="30"/>
      <c r="II17" s="30"/>
      <c r="IJ17" s="30"/>
      <c r="IK17" s="30"/>
      <c r="IL17" s="30"/>
      <c r="IM17" s="30"/>
      <c r="IN17" s="30"/>
      <c r="IO17" s="30"/>
      <c r="IP17" s="30"/>
      <c r="IQ17" s="30"/>
      <c r="IR17" s="30"/>
      <c r="IS17" s="30"/>
      <c r="IT17" s="30"/>
      <c r="IU17" s="30"/>
      <c r="IV17" s="30"/>
      <c r="IW17" s="30"/>
      <c r="IX17" s="30"/>
      <c r="IY17" s="30"/>
      <c r="IZ17" s="30"/>
      <c r="JA17" s="30"/>
      <c r="JB17" s="30"/>
      <c r="JC17" s="30"/>
      <c r="JD17" s="30"/>
      <c r="JE17" s="30"/>
      <c r="JF17" s="30"/>
      <c r="JG17" s="30"/>
      <c r="JH17" s="30"/>
      <c r="JI17" s="30"/>
      <c r="JJ17" s="30"/>
      <c r="JK17" s="30"/>
      <c r="JL17" s="30"/>
      <c r="JM17" s="30"/>
      <c r="JN17" s="30"/>
      <c r="JO17" s="30"/>
      <c r="JP17" s="30"/>
      <c r="JQ17" s="30"/>
      <c r="JR17" s="30"/>
      <c r="JS17" s="30"/>
      <c r="JT17" s="30"/>
      <c r="JU17" s="30"/>
      <c r="JV17" s="30"/>
      <c r="JW17" s="30"/>
      <c r="JX17" s="30"/>
      <c r="JY17" s="30"/>
      <c r="JZ17" s="30"/>
      <c r="KA17" s="30"/>
      <c r="KB17" s="30"/>
      <c r="KC17" s="30"/>
      <c r="KD17" s="30"/>
      <c r="KE17" s="30"/>
      <c r="KF17" s="30"/>
      <c r="KG17" s="30"/>
      <c r="KH17" s="30"/>
      <c r="KI17" s="30"/>
      <c r="KJ17" s="30"/>
      <c r="KK17" s="30"/>
      <c r="KL17" s="30"/>
      <c r="KM17" s="30"/>
      <c r="KN17" s="30"/>
      <c r="KO17" s="30"/>
      <c r="KP17" s="1630"/>
    </row>
    <row r="18" spans="1:302" s="97" customFormat="1" ht="25.25" customHeight="1" outlineLevel="1">
      <c r="A18" s="2652" t="s">
        <v>768</v>
      </c>
      <c r="B18" s="2579"/>
      <c r="C18" s="247" t="s">
        <v>576</v>
      </c>
      <c r="D18" s="247" t="s">
        <v>577</v>
      </c>
      <c r="E18" s="1415"/>
      <c r="F18" s="370"/>
      <c r="G18" s="387"/>
      <c r="H18" s="350" t="s">
        <v>26</v>
      </c>
      <c r="I18" s="2934"/>
      <c r="J18" s="362" t="s">
        <v>26</v>
      </c>
      <c r="K18" s="355"/>
      <c r="L18" s="357"/>
      <c r="M18" s="357"/>
      <c r="N18" s="357"/>
      <c r="O18" s="1510">
        <v>260000</v>
      </c>
      <c r="P18" s="355"/>
      <c r="Q18" s="355"/>
      <c r="R18" s="355"/>
      <c r="S18" s="1510">
        <f t="shared" ref="S18:S23" si="25">R18*Q18</f>
        <v>0</v>
      </c>
      <c r="T18" s="355"/>
      <c r="U18" s="355"/>
      <c r="V18" s="355"/>
      <c r="W18" s="1744">
        <f t="shared" si="24"/>
        <v>260000</v>
      </c>
      <c r="X18" s="359" t="s">
        <v>26</v>
      </c>
      <c r="Y18" s="357"/>
      <c r="Z18" s="355"/>
      <c r="AA18" s="355"/>
      <c r="AB18" s="2598">
        <f t="shared" si="18"/>
        <v>260000</v>
      </c>
      <c r="AC18" s="2578"/>
      <c r="AD18" s="1441"/>
      <c r="AE18" s="357"/>
      <c r="AF18" s="1441"/>
      <c r="AG18" s="357"/>
      <c r="AH18" s="354">
        <f t="shared" si="19"/>
        <v>0</v>
      </c>
      <c r="AI18" s="355">
        <f t="shared" ca="1" si="15"/>
        <v>0</v>
      </c>
      <c r="AJ18" s="356">
        <f t="shared" ca="1" si="1"/>
        <v>0</v>
      </c>
      <c r="AK18" s="2185"/>
      <c r="AL18" s="260"/>
      <c r="AM18" s="2256"/>
      <c r="AN18" s="2256"/>
      <c r="AO18" s="359"/>
      <c r="AP18" s="377"/>
      <c r="AQ18" s="359">
        <f>O18/13</f>
        <v>20000</v>
      </c>
      <c r="AR18" s="359">
        <v>20000</v>
      </c>
      <c r="AS18" s="359">
        <v>20000</v>
      </c>
      <c r="AT18" s="360">
        <v>20000</v>
      </c>
      <c r="AU18" s="359">
        <v>20000</v>
      </c>
      <c r="AV18" s="359">
        <v>20000</v>
      </c>
      <c r="AW18" s="359">
        <v>20000</v>
      </c>
      <c r="AX18" s="377">
        <v>20000</v>
      </c>
      <c r="AY18" s="360">
        <v>20000</v>
      </c>
      <c r="AZ18" s="2258">
        <v>20000</v>
      </c>
      <c r="BA18" s="359">
        <v>20000</v>
      </c>
      <c r="BB18" s="359">
        <v>20000</v>
      </c>
      <c r="BC18" s="359">
        <v>20000</v>
      </c>
      <c r="BD18" s="359"/>
      <c r="BE18" s="359"/>
      <c r="BF18" s="359"/>
      <c r="BG18" s="359"/>
      <c r="BH18" s="359"/>
      <c r="BI18" s="380"/>
      <c r="BJ18" s="359"/>
      <c r="BK18" s="2122"/>
      <c r="BL18" s="380"/>
      <c r="BM18" s="380"/>
      <c r="BN18" s="380"/>
      <c r="BO18" s="380"/>
      <c r="BP18" s="380"/>
      <c r="BQ18" s="2087"/>
      <c r="BR18" s="359"/>
      <c r="BS18" s="359"/>
      <c r="BT18" s="359"/>
      <c r="BU18" s="355"/>
      <c r="BV18" s="355"/>
      <c r="BW18" s="446"/>
      <c r="BX18" s="2392"/>
      <c r="BY18" s="2432"/>
      <c r="BZ18" s="2432"/>
      <c r="CA18" s="2432">
        <f t="shared" si="20"/>
        <v>260000</v>
      </c>
      <c r="CB18" s="2377">
        <f t="shared" si="21"/>
        <v>1</v>
      </c>
      <c r="CC18" s="365">
        <f t="shared" si="22"/>
        <v>3.8461538461538459E-6</v>
      </c>
      <c r="CD18" s="366"/>
      <c r="CE18" s="343"/>
      <c r="CF18" s="343"/>
      <c r="CG18" s="340"/>
      <c r="CH18" s="1416"/>
      <c r="CI18" s="1417"/>
      <c r="CJ18" s="1417"/>
      <c r="CK18" s="355"/>
      <c r="CL18" s="329">
        <f t="shared" si="12"/>
        <v>0</v>
      </c>
      <c r="CM18" s="330">
        <f t="shared" ca="1" si="13"/>
        <v>0</v>
      </c>
      <c r="CN18" s="331">
        <f t="shared" ca="1" si="14"/>
        <v>-80000</v>
      </c>
      <c r="CO18" s="86"/>
      <c r="CP18" s="86"/>
      <c r="CQ18" s="1641"/>
      <c r="CR18" s="86"/>
      <c r="CS18" s="86"/>
      <c r="CT18" s="86"/>
      <c r="CU18" s="86"/>
      <c r="CV18" s="86"/>
      <c r="CW18" s="86"/>
      <c r="CX18" s="86"/>
      <c r="CY18" s="86"/>
      <c r="CZ18" s="86"/>
      <c r="DA18" s="86"/>
      <c r="DB18" s="1642"/>
      <c r="DC18" s="1642"/>
      <c r="DD18" s="30"/>
      <c r="DE18" s="30"/>
      <c r="DF18" s="30"/>
      <c r="DG18" s="1642"/>
      <c r="DH18" s="1642"/>
      <c r="DI18" s="1642"/>
      <c r="DJ18" s="1642"/>
      <c r="DK18" s="1642"/>
      <c r="DL18" s="1642"/>
      <c r="DM18" s="1642"/>
      <c r="DN18" s="1642"/>
      <c r="DO18" s="1642"/>
      <c r="DP18" s="1642"/>
      <c r="DQ18" s="1642"/>
      <c r="DR18" s="1642"/>
      <c r="DS18" s="1642"/>
      <c r="DT18" s="1642"/>
      <c r="DU18" s="1642"/>
      <c r="DV18" s="1642"/>
      <c r="DW18" s="1642"/>
      <c r="DX18" s="1642"/>
      <c r="DY18" s="1642"/>
      <c r="DZ18" s="1642"/>
      <c r="EA18" s="1642"/>
      <c r="EB18" s="1642"/>
      <c r="EC18" s="1642"/>
      <c r="ED18" s="1642"/>
      <c r="EE18" s="1642"/>
      <c r="EF18" s="1642"/>
      <c r="EG18" s="1642"/>
      <c r="EH18" s="1643"/>
      <c r="EI18" s="1658"/>
      <c r="EJ18" s="30"/>
      <c r="EK18" s="30"/>
      <c r="EL18" s="30"/>
      <c r="EM18" s="30"/>
      <c r="EN18" s="30"/>
      <c r="EO18" s="30"/>
      <c r="EP18" s="30"/>
      <c r="EQ18" s="30"/>
      <c r="ER18" s="30"/>
      <c r="ES18" s="30"/>
      <c r="ET18" s="30"/>
      <c r="EU18" s="30"/>
      <c r="EV18" s="30"/>
      <c r="EW18" s="30"/>
      <c r="EX18" s="30"/>
      <c r="EY18" s="30"/>
      <c r="EZ18" s="30"/>
      <c r="FA18" s="30"/>
      <c r="FB18" s="30"/>
      <c r="FC18" s="30"/>
      <c r="FD18" s="30"/>
      <c r="FE18" s="30"/>
      <c r="FF18" s="30"/>
      <c r="FG18" s="30"/>
      <c r="FH18" s="30"/>
      <c r="FI18" s="30"/>
      <c r="FJ18" s="30"/>
      <c r="FK18" s="30"/>
      <c r="FL18" s="30"/>
      <c r="FM18" s="30"/>
      <c r="FN18" s="30"/>
      <c r="FO18" s="30"/>
      <c r="FP18" s="30"/>
      <c r="FQ18" s="30"/>
      <c r="FR18" s="30"/>
      <c r="FS18" s="30"/>
      <c r="FT18" s="30"/>
      <c r="FU18" s="30"/>
      <c r="FV18" s="30"/>
      <c r="FW18" s="30"/>
      <c r="FX18" s="30"/>
      <c r="FY18" s="30"/>
      <c r="FZ18" s="30"/>
      <c r="GA18" s="30"/>
      <c r="GB18" s="30"/>
      <c r="GC18" s="30"/>
      <c r="GD18" s="30"/>
      <c r="GE18" s="30"/>
      <c r="GF18" s="30"/>
      <c r="GG18" s="30"/>
      <c r="GH18" s="30"/>
      <c r="GI18" s="30"/>
      <c r="GJ18" s="30"/>
      <c r="GK18" s="30"/>
      <c r="GL18" s="30"/>
      <c r="GM18" s="30"/>
      <c r="GN18" s="30"/>
      <c r="GO18" s="30"/>
      <c r="GP18" s="30"/>
      <c r="GQ18" s="30"/>
      <c r="GR18" s="30"/>
      <c r="GS18" s="30"/>
      <c r="GT18" s="30"/>
      <c r="GU18" s="30"/>
      <c r="GV18" s="30"/>
      <c r="GW18" s="30"/>
      <c r="GX18" s="30"/>
      <c r="GY18" s="30"/>
      <c r="GZ18" s="30"/>
      <c r="HA18" s="30"/>
      <c r="HB18" s="30"/>
      <c r="HC18" s="30"/>
      <c r="HD18" s="30"/>
      <c r="HE18" s="30"/>
      <c r="HF18" s="30"/>
      <c r="HG18" s="30"/>
      <c r="HH18" s="30"/>
      <c r="HI18" s="30"/>
      <c r="HJ18" s="30"/>
      <c r="HK18" s="30"/>
      <c r="HL18" s="30"/>
      <c r="HM18" s="30"/>
      <c r="HN18" s="30"/>
      <c r="HO18" s="30"/>
      <c r="HP18" s="30"/>
      <c r="HQ18" s="30"/>
      <c r="HR18" s="30"/>
      <c r="HS18" s="30"/>
      <c r="HT18" s="30"/>
      <c r="HU18" s="30"/>
      <c r="HV18" s="30"/>
      <c r="HW18" s="30"/>
      <c r="HX18" s="30"/>
      <c r="HY18" s="30"/>
      <c r="HZ18" s="30"/>
      <c r="IA18" s="30"/>
      <c r="IB18" s="30"/>
      <c r="IC18" s="30"/>
      <c r="ID18" s="30"/>
      <c r="IE18" s="30"/>
      <c r="IF18" s="30"/>
      <c r="IG18" s="30"/>
      <c r="IH18" s="30"/>
      <c r="II18" s="30"/>
      <c r="IJ18" s="30"/>
      <c r="IK18" s="30"/>
      <c r="IL18" s="30"/>
      <c r="IM18" s="30"/>
      <c r="IN18" s="30"/>
      <c r="IO18" s="30"/>
      <c r="IP18" s="30"/>
      <c r="IQ18" s="30"/>
      <c r="IR18" s="30"/>
      <c r="IS18" s="30"/>
      <c r="IT18" s="30"/>
      <c r="IU18" s="30"/>
      <c r="IV18" s="30"/>
      <c r="IW18" s="30"/>
      <c r="IX18" s="30"/>
      <c r="IY18" s="30"/>
      <c r="IZ18" s="30"/>
      <c r="JA18" s="30"/>
      <c r="JB18" s="30"/>
      <c r="JC18" s="30"/>
      <c r="JD18" s="30"/>
      <c r="JE18" s="30"/>
      <c r="JF18" s="30"/>
      <c r="JG18" s="30"/>
      <c r="JH18" s="30"/>
      <c r="JI18" s="30"/>
      <c r="JJ18" s="30"/>
      <c r="JK18" s="30"/>
      <c r="JL18" s="30"/>
      <c r="JM18" s="30"/>
      <c r="JN18" s="30"/>
      <c r="JO18" s="30"/>
      <c r="JP18" s="30"/>
      <c r="JQ18" s="30"/>
      <c r="JR18" s="30"/>
      <c r="JS18" s="30"/>
      <c r="JT18" s="30"/>
      <c r="JU18" s="30"/>
      <c r="JV18" s="30"/>
      <c r="JW18" s="30"/>
      <c r="JX18" s="30"/>
      <c r="JY18" s="30"/>
      <c r="JZ18" s="30"/>
      <c r="KA18" s="30"/>
      <c r="KB18" s="30"/>
      <c r="KC18" s="30"/>
      <c r="KD18" s="30"/>
      <c r="KE18" s="30"/>
      <c r="KF18" s="30"/>
      <c r="KG18" s="30"/>
      <c r="KH18" s="30"/>
      <c r="KI18" s="30"/>
      <c r="KJ18" s="30"/>
      <c r="KK18" s="30"/>
      <c r="KL18" s="30"/>
      <c r="KM18" s="30"/>
      <c r="KN18" s="30"/>
      <c r="KO18" s="30"/>
      <c r="KP18" s="1630"/>
    </row>
    <row r="19" spans="1:302" s="97" customFormat="1" ht="25.25" customHeight="1" outlineLevel="1">
      <c r="A19" s="2652" t="s">
        <v>769</v>
      </c>
      <c r="B19" s="2579"/>
      <c r="C19" s="247" t="s">
        <v>595</v>
      </c>
      <c r="D19" s="247" t="s">
        <v>596</v>
      </c>
      <c r="E19" s="1415"/>
      <c r="F19" s="370"/>
      <c r="G19" s="387"/>
      <c r="H19" s="350" t="s">
        <v>26</v>
      </c>
      <c r="I19" s="2934"/>
      <c r="J19" s="362" t="s">
        <v>26</v>
      </c>
      <c r="K19" s="355"/>
      <c r="L19" s="357"/>
      <c r="M19" s="357"/>
      <c r="N19" s="357"/>
      <c r="O19" s="1510">
        <v>1580000</v>
      </c>
      <c r="P19" s="355"/>
      <c r="Q19" s="355"/>
      <c r="R19" s="355"/>
      <c r="S19" s="1510">
        <f t="shared" si="25"/>
        <v>0</v>
      </c>
      <c r="T19" s="355"/>
      <c r="U19" s="355"/>
      <c r="V19" s="355"/>
      <c r="W19" s="1744">
        <f t="shared" si="24"/>
        <v>1580000</v>
      </c>
      <c r="X19" s="359" t="s">
        <v>26</v>
      </c>
      <c r="Y19" s="357"/>
      <c r="Z19" s="355"/>
      <c r="AA19" s="355"/>
      <c r="AB19" s="2598">
        <f t="shared" si="18"/>
        <v>1580000</v>
      </c>
      <c r="AC19" s="1443" t="s">
        <v>1233</v>
      </c>
      <c r="AD19" s="1441"/>
      <c r="AE19" s="372" t="s">
        <v>564</v>
      </c>
      <c r="AF19" s="2769">
        <v>1580000</v>
      </c>
      <c r="AG19" s="357">
        <v>1</v>
      </c>
      <c r="AH19" s="354">
        <f t="shared" si="19"/>
        <v>1580000</v>
      </c>
      <c r="AI19" s="355">
        <f t="shared" ca="1" si="15"/>
        <v>0</v>
      </c>
      <c r="AJ19" s="356">
        <f t="shared" ca="1" si="1"/>
        <v>0</v>
      </c>
      <c r="AK19" s="2185"/>
      <c r="AL19" s="260"/>
      <c r="AM19" s="2256"/>
      <c r="AN19" s="2256"/>
      <c r="AO19" s="359"/>
      <c r="AP19" s="2837"/>
      <c r="AQ19" s="359">
        <v>200000</v>
      </c>
      <c r="AR19" s="359">
        <v>175000</v>
      </c>
      <c r="AS19" s="359">
        <v>400000</v>
      </c>
      <c r="AT19" s="360">
        <f>875000-220000</f>
        <v>655000</v>
      </c>
      <c r="AU19" s="359">
        <v>150000</v>
      </c>
      <c r="AV19" s="359"/>
      <c r="AW19" s="359"/>
      <c r="AX19" s="377"/>
      <c r="AY19" s="360"/>
      <c r="AZ19" s="2258"/>
      <c r="BA19" s="359"/>
      <c r="BB19" s="359"/>
      <c r="BC19" s="359"/>
      <c r="BD19" s="359"/>
      <c r="BE19" s="359"/>
      <c r="BF19" s="359"/>
      <c r="BG19" s="359"/>
      <c r="BH19" s="359"/>
      <c r="BI19" s="380"/>
      <c r="BJ19" s="359"/>
      <c r="BK19" s="2122"/>
      <c r="BL19" s="380"/>
      <c r="BM19" s="380"/>
      <c r="BN19" s="380"/>
      <c r="BO19" s="380"/>
      <c r="BP19" s="380"/>
      <c r="BQ19" s="2087"/>
      <c r="BR19" s="359"/>
      <c r="BS19" s="359"/>
      <c r="BT19" s="359"/>
      <c r="BU19" s="355"/>
      <c r="BV19" s="355"/>
      <c r="BW19" s="446"/>
      <c r="BX19" s="2392"/>
      <c r="BY19" s="2432"/>
      <c r="BZ19" s="2432"/>
      <c r="CA19" s="2432">
        <f t="shared" si="20"/>
        <v>1580000</v>
      </c>
      <c r="CB19" s="2377">
        <f t="shared" si="21"/>
        <v>1</v>
      </c>
      <c r="CC19" s="365">
        <f t="shared" si="22"/>
        <v>6.3291139240506327E-7</v>
      </c>
      <c r="CD19" s="366"/>
      <c r="CE19" s="343"/>
      <c r="CF19" s="343"/>
      <c r="CG19" s="340"/>
      <c r="CH19" s="1416"/>
      <c r="CI19" s="1417"/>
      <c r="CJ19" s="1417"/>
      <c r="CK19" s="355"/>
      <c r="CL19" s="329">
        <f t="shared" si="12"/>
        <v>0</v>
      </c>
      <c r="CM19" s="330">
        <f t="shared" ca="1" si="13"/>
        <v>0</v>
      </c>
      <c r="CN19" s="331">
        <f t="shared" ca="1" si="14"/>
        <v>0</v>
      </c>
      <c r="CO19" s="86"/>
      <c r="CP19" s="86"/>
      <c r="CQ19" s="1641"/>
      <c r="CR19" s="86"/>
      <c r="CS19" s="86"/>
      <c r="CT19" s="86"/>
      <c r="CU19" s="86"/>
      <c r="CV19" s="86"/>
      <c r="CW19" s="86"/>
      <c r="CX19" s="86"/>
      <c r="CY19" s="86"/>
      <c r="CZ19" s="86"/>
      <c r="DA19" s="86"/>
      <c r="DB19" s="1642"/>
      <c r="DC19" s="1642"/>
      <c r="DD19" s="30"/>
      <c r="DE19" s="30"/>
      <c r="DF19" s="30"/>
      <c r="DG19" s="1642"/>
      <c r="DH19" s="1642"/>
      <c r="DI19" s="1642"/>
      <c r="DJ19" s="1642"/>
      <c r="DK19" s="1642"/>
      <c r="DL19" s="1642"/>
      <c r="DM19" s="1642"/>
      <c r="DN19" s="1642"/>
      <c r="DO19" s="1642"/>
      <c r="DP19" s="1642"/>
      <c r="DQ19" s="1642"/>
      <c r="DR19" s="1642"/>
      <c r="DS19" s="1642"/>
      <c r="DT19" s="1642"/>
      <c r="DU19" s="1642"/>
      <c r="DV19" s="1642"/>
      <c r="DW19" s="1642"/>
      <c r="DX19" s="1642"/>
      <c r="DY19" s="1642"/>
      <c r="DZ19" s="1642"/>
      <c r="EA19" s="1642"/>
      <c r="EB19" s="1642"/>
      <c r="EC19" s="1642"/>
      <c r="ED19" s="1642"/>
      <c r="EE19" s="1642"/>
      <c r="EF19" s="1642"/>
      <c r="EG19" s="1642"/>
      <c r="EH19" s="1643"/>
      <c r="EI19" s="1658"/>
      <c r="EJ19" s="30"/>
      <c r="EK19" s="30"/>
      <c r="EL19" s="30"/>
      <c r="EM19" s="30"/>
      <c r="EN19" s="30"/>
      <c r="EO19" s="30"/>
      <c r="EP19" s="30"/>
      <c r="EQ19" s="30"/>
      <c r="ER19" s="30"/>
      <c r="ES19" s="30"/>
      <c r="ET19" s="30"/>
      <c r="EU19" s="30"/>
      <c r="EV19" s="30"/>
      <c r="EW19" s="30"/>
      <c r="EX19" s="30"/>
      <c r="EY19" s="30"/>
      <c r="EZ19" s="30"/>
      <c r="FA19" s="30"/>
      <c r="FB19" s="30"/>
      <c r="FC19" s="30"/>
      <c r="FD19" s="30"/>
      <c r="FE19" s="30"/>
      <c r="FF19" s="30"/>
      <c r="FG19" s="30"/>
      <c r="FH19" s="30"/>
      <c r="FI19" s="30"/>
      <c r="FJ19" s="30"/>
      <c r="FK19" s="30"/>
      <c r="FL19" s="30"/>
      <c r="FM19" s="30"/>
      <c r="FN19" s="30"/>
      <c r="FO19" s="30"/>
      <c r="FP19" s="30"/>
      <c r="FQ19" s="30"/>
      <c r="FR19" s="30"/>
      <c r="FS19" s="30"/>
      <c r="FT19" s="30"/>
      <c r="FU19" s="30"/>
      <c r="FV19" s="30"/>
      <c r="FW19" s="30"/>
      <c r="FX19" s="30"/>
      <c r="FY19" s="30"/>
      <c r="FZ19" s="30"/>
      <c r="GA19" s="30"/>
      <c r="GB19" s="30"/>
      <c r="GC19" s="30"/>
      <c r="GD19" s="30"/>
      <c r="GE19" s="30"/>
      <c r="GF19" s="30"/>
      <c r="GG19" s="30"/>
      <c r="GH19" s="30"/>
      <c r="GI19" s="30"/>
      <c r="GJ19" s="30"/>
      <c r="GK19" s="30"/>
      <c r="GL19" s="30"/>
      <c r="GM19" s="30"/>
      <c r="GN19" s="30"/>
      <c r="GO19" s="30"/>
      <c r="GP19" s="30"/>
      <c r="GQ19" s="30"/>
      <c r="GR19" s="30"/>
      <c r="GS19" s="30"/>
      <c r="GT19" s="30"/>
      <c r="GU19" s="30"/>
      <c r="GV19" s="30"/>
      <c r="GW19" s="30"/>
      <c r="GX19" s="30"/>
      <c r="GY19" s="30"/>
      <c r="GZ19" s="30"/>
      <c r="HA19" s="30"/>
      <c r="HB19" s="30"/>
      <c r="HC19" s="30"/>
      <c r="HD19" s="30"/>
      <c r="HE19" s="30"/>
      <c r="HF19" s="30"/>
      <c r="HG19" s="30"/>
      <c r="HH19" s="30"/>
      <c r="HI19" s="30"/>
      <c r="HJ19" s="30"/>
      <c r="HK19" s="30"/>
      <c r="HL19" s="30"/>
      <c r="HM19" s="30"/>
      <c r="HN19" s="30"/>
      <c r="HO19" s="30"/>
      <c r="HP19" s="30"/>
      <c r="HQ19" s="30"/>
      <c r="HR19" s="30"/>
      <c r="HS19" s="30"/>
      <c r="HT19" s="30"/>
      <c r="HU19" s="30"/>
      <c r="HV19" s="30"/>
      <c r="HW19" s="30"/>
      <c r="HX19" s="30"/>
      <c r="HY19" s="30"/>
      <c r="HZ19" s="30"/>
      <c r="IA19" s="30"/>
      <c r="IB19" s="30"/>
      <c r="IC19" s="30"/>
      <c r="ID19" s="30"/>
      <c r="IE19" s="30"/>
      <c r="IF19" s="30"/>
      <c r="IG19" s="30"/>
      <c r="IH19" s="30"/>
      <c r="II19" s="30"/>
      <c r="IJ19" s="30"/>
      <c r="IK19" s="30"/>
      <c r="IL19" s="30"/>
      <c r="IM19" s="30"/>
      <c r="IN19" s="30"/>
      <c r="IO19" s="30"/>
      <c r="IP19" s="30"/>
      <c r="IQ19" s="30"/>
      <c r="IR19" s="30"/>
      <c r="IS19" s="30"/>
      <c r="IT19" s="30"/>
      <c r="IU19" s="30"/>
      <c r="IV19" s="30"/>
      <c r="IW19" s="30"/>
      <c r="IX19" s="30"/>
      <c r="IY19" s="30"/>
      <c r="IZ19" s="30"/>
      <c r="JA19" s="30"/>
      <c r="JB19" s="30"/>
      <c r="JC19" s="30"/>
      <c r="JD19" s="30"/>
      <c r="JE19" s="30"/>
      <c r="JF19" s="30"/>
      <c r="JG19" s="30"/>
      <c r="JH19" s="30"/>
      <c r="JI19" s="30"/>
      <c r="JJ19" s="30"/>
      <c r="JK19" s="30"/>
      <c r="JL19" s="30"/>
      <c r="JM19" s="30"/>
      <c r="JN19" s="30"/>
      <c r="JO19" s="30"/>
      <c r="JP19" s="30"/>
      <c r="JQ19" s="30"/>
      <c r="JR19" s="30"/>
      <c r="JS19" s="30"/>
      <c r="JT19" s="30"/>
      <c r="JU19" s="30"/>
      <c r="JV19" s="30"/>
      <c r="JW19" s="30"/>
      <c r="JX19" s="30"/>
      <c r="JY19" s="30"/>
      <c r="JZ19" s="30"/>
      <c r="KA19" s="30"/>
      <c r="KB19" s="30"/>
      <c r="KC19" s="30"/>
      <c r="KD19" s="30"/>
      <c r="KE19" s="30"/>
      <c r="KF19" s="30"/>
      <c r="KG19" s="30"/>
      <c r="KH19" s="30"/>
      <c r="KI19" s="30"/>
      <c r="KJ19" s="30"/>
      <c r="KK19" s="30"/>
      <c r="KL19" s="30"/>
      <c r="KM19" s="30"/>
      <c r="KN19" s="30"/>
      <c r="KO19" s="30"/>
      <c r="KP19" s="1630"/>
    </row>
    <row r="20" spans="1:302" s="97" customFormat="1" ht="25.25" customHeight="1" outlineLevel="1">
      <c r="A20" s="2652" t="s">
        <v>770</v>
      </c>
      <c r="B20" s="2579"/>
      <c r="C20" s="247" t="s">
        <v>597</v>
      </c>
      <c r="D20" s="247" t="s">
        <v>598</v>
      </c>
      <c r="E20" s="1415"/>
      <c r="F20" s="370"/>
      <c r="G20" s="387"/>
      <c r="H20" s="350" t="s">
        <v>26</v>
      </c>
      <c r="I20" s="2934"/>
      <c r="J20" s="362" t="s">
        <v>26</v>
      </c>
      <c r="K20" s="355"/>
      <c r="L20" s="357"/>
      <c r="M20" s="357"/>
      <c r="N20" s="357"/>
      <c r="O20" s="1510">
        <v>440000</v>
      </c>
      <c r="P20" s="355"/>
      <c r="Q20" s="355"/>
      <c r="R20" s="355"/>
      <c r="S20" s="1510">
        <f t="shared" si="25"/>
        <v>0</v>
      </c>
      <c r="T20" s="355"/>
      <c r="U20" s="355"/>
      <c r="V20" s="355"/>
      <c r="W20" s="1744">
        <f t="shared" si="24"/>
        <v>440000</v>
      </c>
      <c r="X20" s="359" t="s">
        <v>26</v>
      </c>
      <c r="Y20" s="357"/>
      <c r="Z20" s="355"/>
      <c r="AA20" s="355"/>
      <c r="AB20" s="2722">
        <f t="shared" si="18"/>
        <v>50000</v>
      </c>
      <c r="AC20" s="2578"/>
      <c r="AD20" s="1441"/>
      <c r="AE20" s="357"/>
      <c r="AF20" s="1441"/>
      <c r="AG20" s="357"/>
      <c r="AH20" s="354">
        <f t="shared" si="19"/>
        <v>0</v>
      </c>
      <c r="AI20" s="355">
        <f t="shared" ca="1" si="15"/>
        <v>0</v>
      </c>
      <c r="AJ20" s="356">
        <f t="shared" ca="1" si="1"/>
        <v>0</v>
      </c>
      <c r="AK20" s="2185"/>
      <c r="AL20" s="260"/>
      <c r="AM20" s="2256"/>
      <c r="AN20" s="2256"/>
      <c r="AO20" s="359"/>
      <c r="AP20" s="377"/>
      <c r="AQ20" s="359"/>
      <c r="AR20" s="359"/>
      <c r="AS20" s="2627">
        <v>25000</v>
      </c>
      <c r="AT20" s="2626"/>
      <c r="AU20" s="2627">
        <v>25000</v>
      </c>
      <c r="AV20" s="359"/>
      <c r="AW20" s="359"/>
      <c r="AX20" s="377"/>
      <c r="AY20" s="360"/>
      <c r="AZ20" s="2258"/>
      <c r="BA20" s="359"/>
      <c r="BB20" s="359"/>
      <c r="BC20" s="359"/>
      <c r="BD20" s="359"/>
      <c r="BE20" s="359"/>
      <c r="BF20" s="359"/>
      <c r="BG20" s="359"/>
      <c r="BH20" s="359"/>
      <c r="BI20" s="380"/>
      <c r="BJ20" s="359"/>
      <c r="BK20" s="2122"/>
      <c r="BL20" s="380"/>
      <c r="BM20" s="380"/>
      <c r="BN20" s="380"/>
      <c r="BO20" s="380"/>
      <c r="BP20" s="380"/>
      <c r="BQ20" s="2087"/>
      <c r="BR20" s="359"/>
      <c r="BS20" s="359"/>
      <c r="BT20" s="359"/>
      <c r="BU20" s="355"/>
      <c r="BV20" s="355"/>
      <c r="BW20" s="446"/>
      <c r="BX20" s="2392"/>
      <c r="BY20" s="2432"/>
      <c r="BZ20" s="2432"/>
      <c r="CA20" s="2432">
        <f t="shared" si="20"/>
        <v>50000</v>
      </c>
      <c r="CB20" s="2377">
        <f t="shared" si="21"/>
        <v>1</v>
      </c>
      <c r="CC20" s="365">
        <f t="shared" si="22"/>
        <v>2.0000000000000002E-5</v>
      </c>
      <c r="CD20" s="366"/>
      <c r="CE20" s="343"/>
      <c r="CF20" s="343"/>
      <c r="CG20" s="340"/>
      <c r="CH20" s="1416"/>
      <c r="CI20" s="1417"/>
      <c r="CJ20" s="1417"/>
      <c r="CK20" s="355"/>
      <c r="CL20" s="329">
        <f t="shared" si="12"/>
        <v>390000</v>
      </c>
      <c r="CM20" s="330">
        <f t="shared" ca="1" si="13"/>
        <v>0</v>
      </c>
      <c r="CN20" s="331">
        <f t="shared" ca="1" si="14"/>
        <v>0</v>
      </c>
      <c r="CO20" s="86"/>
      <c r="CP20" s="86"/>
      <c r="CQ20" s="1641"/>
      <c r="CR20" s="86"/>
      <c r="CS20" s="86"/>
      <c r="CT20" s="86"/>
      <c r="CU20" s="86"/>
      <c r="CV20" s="86"/>
      <c r="CW20" s="86"/>
      <c r="CX20" s="86"/>
      <c r="CY20" s="86"/>
      <c r="CZ20" s="86"/>
      <c r="DA20" s="86"/>
      <c r="DB20" s="1642"/>
      <c r="DC20" s="1642"/>
      <c r="DD20" s="30"/>
      <c r="DE20" s="30"/>
      <c r="DF20" s="30"/>
      <c r="DG20" s="1642"/>
      <c r="DH20" s="1642"/>
      <c r="DI20" s="1642"/>
      <c r="DJ20" s="1642"/>
      <c r="DK20" s="1642"/>
      <c r="DL20" s="1642"/>
      <c r="DM20" s="1642"/>
      <c r="DN20" s="1642"/>
      <c r="DO20" s="1642"/>
      <c r="DP20" s="1642"/>
      <c r="DQ20" s="1642"/>
      <c r="DR20" s="1642"/>
      <c r="DS20" s="1642"/>
      <c r="DT20" s="1642"/>
      <c r="DU20" s="1642"/>
      <c r="DV20" s="1642"/>
      <c r="DW20" s="1642"/>
      <c r="DX20" s="1642"/>
      <c r="DY20" s="1642"/>
      <c r="DZ20" s="1642"/>
      <c r="EA20" s="1642"/>
      <c r="EB20" s="1642"/>
      <c r="EC20" s="1642"/>
      <c r="ED20" s="1642"/>
      <c r="EE20" s="1642"/>
      <c r="EF20" s="1642"/>
      <c r="EG20" s="1642"/>
      <c r="EH20" s="1643"/>
      <c r="EI20" s="1658"/>
      <c r="EJ20" s="30"/>
      <c r="EK20" s="30"/>
      <c r="EL20" s="30"/>
      <c r="EM20" s="30"/>
      <c r="EN20" s="30"/>
      <c r="EO20" s="30"/>
      <c r="EP20" s="30"/>
      <c r="EQ20" s="30"/>
      <c r="ER20" s="30"/>
      <c r="ES20" s="30"/>
      <c r="ET20" s="30"/>
      <c r="EU20" s="30"/>
      <c r="EV20" s="30"/>
      <c r="EW20" s="30"/>
      <c r="EX20" s="30"/>
      <c r="EY20" s="30"/>
      <c r="EZ20" s="30"/>
      <c r="FA20" s="30"/>
      <c r="FB20" s="30"/>
      <c r="FC20" s="30"/>
      <c r="FD20" s="30"/>
      <c r="FE20" s="30"/>
      <c r="FF20" s="30"/>
      <c r="FG20" s="30"/>
      <c r="FH20" s="30"/>
      <c r="FI20" s="30"/>
      <c r="FJ20" s="30"/>
      <c r="FK20" s="30"/>
      <c r="FL20" s="30"/>
      <c r="FM20" s="30"/>
      <c r="FN20" s="30"/>
      <c r="FO20" s="30"/>
      <c r="FP20" s="30"/>
      <c r="FQ20" s="30"/>
      <c r="FR20" s="30"/>
      <c r="FS20" s="30"/>
      <c r="FT20" s="30"/>
      <c r="FU20" s="30"/>
      <c r="FV20" s="30"/>
      <c r="FW20" s="30"/>
      <c r="FX20" s="30"/>
      <c r="FY20" s="30"/>
      <c r="FZ20" s="30"/>
      <c r="GA20" s="30"/>
      <c r="GB20" s="30"/>
      <c r="GC20" s="30"/>
      <c r="GD20" s="30"/>
      <c r="GE20" s="30"/>
      <c r="GF20" s="30"/>
      <c r="GG20" s="30"/>
      <c r="GH20" s="30"/>
      <c r="GI20" s="30"/>
      <c r="GJ20" s="30"/>
      <c r="GK20" s="30"/>
      <c r="GL20" s="30"/>
      <c r="GM20" s="30"/>
      <c r="GN20" s="30"/>
      <c r="GO20" s="30"/>
      <c r="GP20" s="30"/>
      <c r="GQ20" s="30"/>
      <c r="GR20" s="30"/>
      <c r="GS20" s="30"/>
      <c r="GT20" s="30"/>
      <c r="GU20" s="30"/>
      <c r="GV20" s="30"/>
      <c r="GW20" s="30"/>
      <c r="GX20" s="30"/>
      <c r="GY20" s="30"/>
      <c r="GZ20" s="30"/>
      <c r="HA20" s="30"/>
      <c r="HB20" s="30"/>
      <c r="HC20" s="30"/>
      <c r="HD20" s="30"/>
      <c r="HE20" s="30"/>
      <c r="HF20" s="30"/>
      <c r="HG20" s="30"/>
      <c r="HH20" s="30"/>
      <c r="HI20" s="30"/>
      <c r="HJ20" s="30"/>
      <c r="HK20" s="30"/>
      <c r="HL20" s="30"/>
      <c r="HM20" s="30"/>
      <c r="HN20" s="30"/>
      <c r="HO20" s="30"/>
      <c r="HP20" s="30"/>
      <c r="HQ20" s="30"/>
      <c r="HR20" s="30"/>
      <c r="HS20" s="30"/>
      <c r="HT20" s="30"/>
      <c r="HU20" s="30"/>
      <c r="HV20" s="30"/>
      <c r="HW20" s="30"/>
      <c r="HX20" s="30"/>
      <c r="HY20" s="30"/>
      <c r="HZ20" s="30"/>
      <c r="IA20" s="30"/>
      <c r="IB20" s="30"/>
      <c r="IC20" s="30"/>
      <c r="ID20" s="30"/>
      <c r="IE20" s="30"/>
      <c r="IF20" s="30"/>
      <c r="IG20" s="30"/>
      <c r="IH20" s="30"/>
      <c r="II20" s="30"/>
      <c r="IJ20" s="30"/>
      <c r="IK20" s="30"/>
      <c r="IL20" s="30"/>
      <c r="IM20" s="30"/>
      <c r="IN20" s="30"/>
      <c r="IO20" s="30"/>
      <c r="IP20" s="30"/>
      <c r="IQ20" s="30"/>
      <c r="IR20" s="30"/>
      <c r="IS20" s="30"/>
      <c r="IT20" s="30"/>
      <c r="IU20" s="30"/>
      <c r="IV20" s="30"/>
      <c r="IW20" s="30"/>
      <c r="IX20" s="30"/>
      <c r="IY20" s="30"/>
      <c r="IZ20" s="30"/>
      <c r="JA20" s="30"/>
      <c r="JB20" s="30"/>
      <c r="JC20" s="30"/>
      <c r="JD20" s="30"/>
      <c r="JE20" s="30"/>
      <c r="JF20" s="30"/>
      <c r="JG20" s="30"/>
      <c r="JH20" s="30"/>
      <c r="JI20" s="30"/>
      <c r="JJ20" s="30"/>
      <c r="JK20" s="30"/>
      <c r="JL20" s="30"/>
      <c r="JM20" s="30"/>
      <c r="JN20" s="30"/>
      <c r="JO20" s="30"/>
      <c r="JP20" s="30"/>
      <c r="JQ20" s="30"/>
      <c r="JR20" s="30"/>
      <c r="JS20" s="30"/>
      <c r="JT20" s="30"/>
      <c r="JU20" s="30"/>
      <c r="JV20" s="30"/>
      <c r="JW20" s="30"/>
      <c r="JX20" s="30"/>
      <c r="JY20" s="30"/>
      <c r="JZ20" s="30"/>
      <c r="KA20" s="30"/>
      <c r="KB20" s="30"/>
      <c r="KC20" s="30"/>
      <c r="KD20" s="30"/>
      <c r="KE20" s="30"/>
      <c r="KF20" s="30"/>
      <c r="KG20" s="30"/>
      <c r="KH20" s="30"/>
      <c r="KI20" s="30"/>
      <c r="KJ20" s="30"/>
      <c r="KK20" s="30"/>
      <c r="KL20" s="30"/>
      <c r="KM20" s="30"/>
      <c r="KN20" s="30"/>
      <c r="KO20" s="30"/>
      <c r="KP20" s="1630"/>
    </row>
    <row r="21" spans="1:302" s="97" customFormat="1" ht="25.25" customHeight="1" outlineLevel="1">
      <c r="A21" s="2652" t="s">
        <v>1248</v>
      </c>
      <c r="B21" s="2579"/>
      <c r="C21" s="247" t="s">
        <v>597</v>
      </c>
      <c r="D21" s="247" t="s">
        <v>598</v>
      </c>
      <c r="E21" s="1415"/>
      <c r="F21" s="370"/>
      <c r="G21" s="387"/>
      <c r="H21" s="350" t="s">
        <v>26</v>
      </c>
      <c r="I21" s="2934"/>
      <c r="J21" s="362" t="s">
        <v>26</v>
      </c>
      <c r="K21" s="355"/>
      <c r="L21" s="357"/>
      <c r="M21" s="357"/>
      <c r="N21" s="357"/>
      <c r="O21" s="1510">
        <v>0</v>
      </c>
      <c r="P21" s="355"/>
      <c r="Q21" s="355"/>
      <c r="R21" s="355"/>
      <c r="S21" s="1510">
        <f t="shared" ref="S21" si="26">R21*Q21</f>
        <v>0</v>
      </c>
      <c r="T21" s="355"/>
      <c r="U21" s="355"/>
      <c r="V21" s="355"/>
      <c r="W21" s="1744">
        <f t="shared" ref="W21" si="27">O21+S21</f>
        <v>0</v>
      </c>
      <c r="X21" s="359" t="s">
        <v>26</v>
      </c>
      <c r="Y21" s="357"/>
      <c r="Z21" s="355"/>
      <c r="AA21" s="355"/>
      <c r="AB21" s="2598">
        <f t="shared" si="18"/>
        <v>389999.99669999979</v>
      </c>
      <c r="AC21" s="2578" t="s">
        <v>1249</v>
      </c>
      <c r="AD21" s="1441"/>
      <c r="AE21" s="357" t="s">
        <v>564</v>
      </c>
      <c r="AF21" s="357">
        <v>390000</v>
      </c>
      <c r="AG21" s="357">
        <v>1</v>
      </c>
      <c r="AH21" s="354">
        <f t="shared" ref="AH21" si="28">AF21*AG21</f>
        <v>390000</v>
      </c>
      <c r="AI21" s="355">
        <f t="shared" ref="AI21" ca="1" si="29">SUMIF($AM$10:$BZ$10,$AI$9,AM21:BT21)</f>
        <v>0</v>
      </c>
      <c r="AJ21" s="356">
        <f t="shared" ref="AJ21" ca="1" si="30">IF($AB21&lt;&gt;0,AI21/$AB21,"")</f>
        <v>0</v>
      </c>
      <c r="AK21" s="2185"/>
      <c r="AL21" s="260"/>
      <c r="AM21" s="2256"/>
      <c r="AN21" s="2256"/>
      <c r="AO21" s="359"/>
      <c r="AP21" s="377"/>
      <c r="AQ21" s="359">
        <v>17727.272700000001</v>
      </c>
      <c r="AR21" s="359">
        <f>17727.2727+17727.27</f>
        <v>35454.542700000005</v>
      </c>
      <c r="AS21" s="359">
        <v>17727.272700000001</v>
      </c>
      <c r="AT21" s="360">
        <v>17727.272700000001</v>
      </c>
      <c r="AU21" s="359">
        <v>17727.272700000001</v>
      </c>
      <c r="AV21" s="359">
        <v>17727.272700000001</v>
      </c>
      <c r="AW21" s="359">
        <v>17727.272700000001</v>
      </c>
      <c r="AX21" s="377">
        <v>17727.272700000001</v>
      </c>
      <c r="AY21" s="360">
        <v>17727.272700000001</v>
      </c>
      <c r="AZ21" s="2258">
        <v>17727.272700000001</v>
      </c>
      <c r="BA21" s="359">
        <v>17727.272700000001</v>
      </c>
      <c r="BB21" s="359">
        <v>17727.272700000001</v>
      </c>
      <c r="BC21" s="359">
        <v>17727.272700000001</v>
      </c>
      <c r="BD21" s="359">
        <v>17727.272700000001</v>
      </c>
      <c r="BE21" s="359">
        <v>17727.272700000001</v>
      </c>
      <c r="BF21" s="359">
        <v>17727.272700000001</v>
      </c>
      <c r="BG21" s="359">
        <v>17727.272700000001</v>
      </c>
      <c r="BH21" s="359">
        <v>17727.272700000001</v>
      </c>
      <c r="BI21" s="380">
        <v>17727.272700000001</v>
      </c>
      <c r="BJ21" s="359">
        <v>17727.272700000001</v>
      </c>
      <c r="BK21" s="2122">
        <v>17727.272700000001</v>
      </c>
      <c r="BL21" s="380"/>
      <c r="BM21" s="380"/>
      <c r="BN21" s="380"/>
      <c r="BO21" s="380"/>
      <c r="BP21" s="380"/>
      <c r="BQ21" s="2087"/>
      <c r="BR21" s="359"/>
      <c r="BS21" s="359"/>
      <c r="BT21" s="359"/>
      <c r="BU21" s="355"/>
      <c r="BV21" s="355"/>
      <c r="BW21" s="446"/>
      <c r="BX21" s="2392"/>
      <c r="BY21" s="2432"/>
      <c r="BZ21" s="2432"/>
      <c r="CA21" s="2432">
        <f t="shared" si="20"/>
        <v>389999.99669999979</v>
      </c>
      <c r="CB21" s="2377">
        <f t="shared" si="21"/>
        <v>1</v>
      </c>
      <c r="CC21" s="365">
        <f t="shared" si="22"/>
        <v>2.5641025857988182E-6</v>
      </c>
      <c r="CD21" s="366"/>
      <c r="CE21" s="343"/>
      <c r="CF21" s="343"/>
      <c r="CG21" s="340"/>
      <c r="CH21" s="1416"/>
      <c r="CI21" s="1417"/>
      <c r="CJ21" s="1417"/>
      <c r="CK21" s="355"/>
      <c r="CL21" s="329">
        <f t="shared" si="12"/>
        <v>-389999.99669999979</v>
      </c>
      <c r="CM21" s="330">
        <f t="shared" ca="1" si="13"/>
        <v>0</v>
      </c>
      <c r="CN21" s="331">
        <f t="shared" ca="1" si="14"/>
        <v>-212727.27239999978</v>
      </c>
      <c r="CO21" s="86"/>
      <c r="CP21" s="86"/>
      <c r="CQ21" s="1641"/>
      <c r="CR21" s="86"/>
      <c r="CS21" s="86"/>
      <c r="CT21" s="86"/>
      <c r="CU21" s="86"/>
      <c r="CV21" s="86"/>
      <c r="CW21" s="86"/>
      <c r="CX21" s="86"/>
      <c r="CY21" s="86"/>
      <c r="CZ21" s="86"/>
      <c r="DA21" s="86"/>
      <c r="DB21" s="1642"/>
      <c r="DC21" s="1642"/>
      <c r="DD21" s="30"/>
      <c r="DE21" s="30"/>
      <c r="DF21" s="30"/>
      <c r="DG21" s="1642"/>
      <c r="DH21" s="1642"/>
      <c r="DI21" s="1642"/>
      <c r="DJ21" s="1642"/>
      <c r="DK21" s="1642"/>
      <c r="DL21" s="1642"/>
      <c r="DM21" s="1642"/>
      <c r="DN21" s="1642"/>
      <c r="DO21" s="1642"/>
      <c r="DP21" s="1642"/>
      <c r="DQ21" s="1642"/>
      <c r="DR21" s="1642"/>
      <c r="DS21" s="1642"/>
      <c r="DT21" s="1642"/>
      <c r="DU21" s="1642"/>
      <c r="DV21" s="1642"/>
      <c r="DW21" s="1642"/>
      <c r="DX21" s="1642"/>
      <c r="DY21" s="1642"/>
      <c r="DZ21" s="1642"/>
      <c r="EA21" s="1642"/>
      <c r="EB21" s="1642"/>
      <c r="EC21" s="1642"/>
      <c r="ED21" s="1642"/>
      <c r="EE21" s="1642"/>
      <c r="EF21" s="1642"/>
      <c r="EG21" s="1642"/>
      <c r="EH21" s="1643"/>
      <c r="EI21" s="1658"/>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0"/>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0"/>
      <c r="HO21" s="30"/>
      <c r="HP21" s="30"/>
      <c r="HQ21" s="30"/>
      <c r="HR21" s="30"/>
      <c r="HS21" s="30"/>
      <c r="HT21" s="30"/>
      <c r="HU21" s="30"/>
      <c r="HV21" s="30"/>
      <c r="HW21" s="30"/>
      <c r="HX21" s="30"/>
      <c r="HY21" s="30"/>
      <c r="HZ21" s="30"/>
      <c r="IA21" s="30"/>
      <c r="IB21" s="30"/>
      <c r="IC21" s="30"/>
      <c r="ID21" s="30"/>
      <c r="IE21" s="30"/>
      <c r="IF21" s="30"/>
      <c r="IG21" s="30"/>
      <c r="IH21" s="30"/>
      <c r="II21" s="30"/>
      <c r="IJ21" s="30"/>
      <c r="IK21" s="30"/>
      <c r="IL21" s="30"/>
      <c r="IM21" s="30"/>
      <c r="IN21" s="30"/>
      <c r="IO21" s="30"/>
      <c r="IP21" s="30"/>
      <c r="IQ21" s="30"/>
      <c r="IR21" s="30"/>
      <c r="IS21" s="30"/>
      <c r="IT21" s="30"/>
      <c r="IU21" s="30"/>
      <c r="IV21" s="30"/>
      <c r="IW21" s="30"/>
      <c r="IX21" s="30"/>
      <c r="IY21" s="30"/>
      <c r="IZ21" s="30"/>
      <c r="JA21" s="30"/>
      <c r="JB21" s="30"/>
      <c r="JC21" s="30"/>
      <c r="JD21" s="30"/>
      <c r="JE21" s="30"/>
      <c r="JF21" s="30"/>
      <c r="JG21" s="30"/>
      <c r="JH21" s="30"/>
      <c r="JI21" s="30"/>
      <c r="JJ21" s="30"/>
      <c r="JK21" s="30"/>
      <c r="JL21" s="30"/>
      <c r="JM21" s="30"/>
      <c r="JN21" s="30"/>
      <c r="JO21" s="30"/>
      <c r="JP21" s="30"/>
      <c r="JQ21" s="30"/>
      <c r="JR21" s="30"/>
      <c r="JS21" s="30"/>
      <c r="JT21" s="30"/>
      <c r="JU21" s="30"/>
      <c r="JV21" s="30"/>
      <c r="JW21" s="30"/>
      <c r="JX21" s="30"/>
      <c r="JY21" s="30"/>
      <c r="JZ21" s="30"/>
      <c r="KA21" s="30"/>
      <c r="KB21" s="30"/>
      <c r="KC21" s="30"/>
      <c r="KD21" s="30"/>
      <c r="KE21" s="30"/>
      <c r="KF21" s="30"/>
      <c r="KG21" s="30"/>
      <c r="KH21" s="30"/>
      <c r="KI21" s="30"/>
      <c r="KJ21" s="30"/>
      <c r="KK21" s="30"/>
      <c r="KL21" s="30"/>
      <c r="KM21" s="30"/>
      <c r="KN21" s="30"/>
      <c r="KO21" s="30"/>
      <c r="KP21" s="1630"/>
    </row>
    <row r="22" spans="1:302" s="97" customFormat="1" ht="25.25" customHeight="1" outlineLevel="1">
      <c r="A22" s="2652" t="s">
        <v>771</v>
      </c>
      <c r="B22" s="2579"/>
      <c r="C22" s="247" t="s">
        <v>599</v>
      </c>
      <c r="D22" s="247" t="s">
        <v>600</v>
      </c>
      <c r="E22" s="1415"/>
      <c r="F22" s="370"/>
      <c r="G22" s="387"/>
      <c r="H22" s="350" t="s">
        <v>26</v>
      </c>
      <c r="I22" s="2934"/>
      <c r="J22" s="362" t="s">
        <v>26</v>
      </c>
      <c r="K22" s="355"/>
      <c r="L22" s="357"/>
      <c r="M22" s="357"/>
      <c r="N22" s="357"/>
      <c r="O22" s="1510">
        <v>2000000</v>
      </c>
      <c r="P22" s="355"/>
      <c r="Q22" s="355"/>
      <c r="R22" s="355"/>
      <c r="S22" s="1510">
        <f t="shared" si="25"/>
        <v>0</v>
      </c>
      <c r="T22" s="355"/>
      <c r="U22" s="355"/>
      <c r="V22" s="355"/>
      <c r="W22" s="1744">
        <f t="shared" si="24"/>
        <v>2000000</v>
      </c>
      <c r="X22" s="359" t="s">
        <v>26</v>
      </c>
      <c r="Y22" s="357"/>
      <c r="Z22" s="355"/>
      <c r="AA22" s="355"/>
      <c r="AB22" s="2598">
        <f t="shared" si="18"/>
        <v>1999999.9999999991</v>
      </c>
      <c r="AC22" s="2578"/>
      <c r="AD22" s="1441"/>
      <c r="AE22" s="357"/>
      <c r="AF22" s="1441"/>
      <c r="AG22" s="357"/>
      <c r="AH22" s="354">
        <f t="shared" si="19"/>
        <v>0</v>
      </c>
      <c r="AI22" s="355">
        <f t="shared" ca="1" si="15"/>
        <v>0</v>
      </c>
      <c r="AJ22" s="356">
        <f t="shared" ca="1" si="1"/>
        <v>0</v>
      </c>
      <c r="AK22" s="2185"/>
      <c r="AL22" s="260"/>
      <c r="AM22" s="2256"/>
      <c r="AN22" s="2256"/>
      <c r="AO22" s="359"/>
      <c r="AP22" s="377"/>
      <c r="AQ22" s="359"/>
      <c r="AR22" s="359"/>
      <c r="AS22" s="359">
        <f>O22/18</f>
        <v>111111.11111111111</v>
      </c>
      <c r="AT22" s="360">
        <v>111111.11111111111</v>
      </c>
      <c r="AU22" s="359">
        <v>111111.11111111111</v>
      </c>
      <c r="AV22" s="359">
        <v>111111.11111111111</v>
      </c>
      <c r="AW22" s="359">
        <v>111111.11111111111</v>
      </c>
      <c r="AX22" s="377">
        <v>111111.11111111111</v>
      </c>
      <c r="AY22" s="360">
        <v>111111.11111111111</v>
      </c>
      <c r="AZ22" s="2258">
        <v>111111.11111111111</v>
      </c>
      <c r="BA22" s="359">
        <v>111111.11111111111</v>
      </c>
      <c r="BB22" s="359">
        <v>111111.11111111111</v>
      </c>
      <c r="BC22" s="359">
        <v>111111.11111111111</v>
      </c>
      <c r="BD22" s="359">
        <v>111111.11111111111</v>
      </c>
      <c r="BE22" s="359">
        <v>111111.11111111111</v>
      </c>
      <c r="BF22" s="359">
        <v>111111.11111111111</v>
      </c>
      <c r="BG22" s="359">
        <v>111111.11111111111</v>
      </c>
      <c r="BH22" s="359">
        <v>111111.11111111111</v>
      </c>
      <c r="BI22" s="380">
        <v>111111.11111111111</v>
      </c>
      <c r="BJ22" s="359">
        <v>111111.11111111111</v>
      </c>
      <c r="BK22" s="2122"/>
      <c r="BL22" s="380"/>
      <c r="BM22" s="380"/>
      <c r="BN22" s="380"/>
      <c r="BO22" s="380"/>
      <c r="BP22" s="380"/>
      <c r="BQ22" s="2087"/>
      <c r="BR22" s="359"/>
      <c r="BS22" s="359"/>
      <c r="BT22" s="359"/>
      <c r="BU22" s="355"/>
      <c r="BV22" s="355"/>
      <c r="BW22" s="446"/>
      <c r="BX22" s="2392"/>
      <c r="BY22" s="2432"/>
      <c r="BZ22" s="2432"/>
      <c r="CA22" s="2432">
        <f t="shared" si="20"/>
        <v>1999999.9999999991</v>
      </c>
      <c r="CB22" s="2377">
        <f t="shared" si="21"/>
        <v>1</v>
      </c>
      <c r="CC22" s="365">
        <f t="shared" si="22"/>
        <v>5.0000000000000019E-7</v>
      </c>
      <c r="CD22" s="366"/>
      <c r="CE22" s="343"/>
      <c r="CF22" s="343"/>
      <c r="CG22" s="340"/>
      <c r="CH22" s="1416"/>
      <c r="CI22" s="1417"/>
      <c r="CJ22" s="1417"/>
      <c r="CK22" s="355"/>
      <c r="CL22" s="329">
        <f t="shared" si="12"/>
        <v>0</v>
      </c>
      <c r="CM22" s="330">
        <f t="shared" ca="1" si="13"/>
        <v>0</v>
      </c>
      <c r="CN22" s="331">
        <f t="shared" ca="1" si="14"/>
        <v>-1222222.2222222213</v>
      </c>
      <c r="CO22" s="86"/>
      <c r="CP22" s="86"/>
      <c r="CQ22" s="1641"/>
      <c r="CR22" s="86"/>
      <c r="CS22" s="86"/>
      <c r="CT22" s="86"/>
      <c r="CU22" s="86"/>
      <c r="CV22" s="86"/>
      <c r="CW22" s="86"/>
      <c r="CX22" s="86"/>
      <c r="CY22" s="86"/>
      <c r="CZ22" s="86"/>
      <c r="DA22" s="86"/>
      <c r="DB22" s="1642"/>
      <c r="DC22" s="1642"/>
      <c r="DD22" s="30"/>
      <c r="DE22" s="30"/>
      <c r="DF22" s="30"/>
      <c r="DG22" s="1642"/>
      <c r="DH22" s="1642"/>
      <c r="DI22" s="1642"/>
      <c r="DJ22" s="1642"/>
      <c r="DK22" s="1642"/>
      <c r="DL22" s="1642"/>
      <c r="DM22" s="1642"/>
      <c r="DN22" s="1642"/>
      <c r="DO22" s="1642"/>
      <c r="DP22" s="1642"/>
      <c r="DQ22" s="1642"/>
      <c r="DR22" s="1642"/>
      <c r="DS22" s="1642"/>
      <c r="DT22" s="1642"/>
      <c r="DU22" s="1642"/>
      <c r="DV22" s="1642"/>
      <c r="DW22" s="1642"/>
      <c r="DX22" s="1642"/>
      <c r="DY22" s="1642"/>
      <c r="DZ22" s="1642"/>
      <c r="EA22" s="1642"/>
      <c r="EB22" s="1642"/>
      <c r="EC22" s="1642"/>
      <c r="ED22" s="1642"/>
      <c r="EE22" s="1642"/>
      <c r="EF22" s="1642"/>
      <c r="EG22" s="1642"/>
      <c r="EH22" s="1643"/>
      <c r="EI22" s="1658"/>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c r="GH22" s="30"/>
      <c r="GI22" s="30"/>
      <c r="GJ22" s="30"/>
      <c r="GK22" s="30"/>
      <c r="GL22" s="30"/>
      <c r="GM22" s="30"/>
      <c r="GN22" s="30"/>
      <c r="GO22" s="30"/>
      <c r="GP22" s="30"/>
      <c r="GQ22" s="30"/>
      <c r="GR22" s="30"/>
      <c r="GS22" s="30"/>
      <c r="GT22" s="30"/>
      <c r="GU22" s="30"/>
      <c r="GV22" s="30"/>
      <c r="GW22" s="30"/>
      <c r="GX22" s="30"/>
      <c r="GY22" s="30"/>
      <c r="GZ22" s="30"/>
      <c r="HA22" s="30"/>
      <c r="HB22" s="30"/>
      <c r="HC22" s="30"/>
      <c r="HD22" s="30"/>
      <c r="HE22" s="30"/>
      <c r="HF22" s="30"/>
      <c r="HG22" s="30"/>
      <c r="HH22" s="30"/>
      <c r="HI22" s="30"/>
      <c r="HJ22" s="30"/>
      <c r="HK22" s="30"/>
      <c r="HL22" s="30"/>
      <c r="HM22" s="30"/>
      <c r="HN22" s="30"/>
      <c r="HO22" s="30"/>
      <c r="HP22" s="30"/>
      <c r="HQ22" s="30"/>
      <c r="HR22" s="30"/>
      <c r="HS22" s="30"/>
      <c r="HT22" s="30"/>
      <c r="HU22" s="30"/>
      <c r="HV22" s="30"/>
      <c r="HW22" s="30"/>
      <c r="HX22" s="30"/>
      <c r="HY22" s="30"/>
      <c r="HZ22" s="30"/>
      <c r="IA22" s="30"/>
      <c r="IB22" s="30"/>
      <c r="IC22" s="30"/>
      <c r="ID22" s="30"/>
      <c r="IE22" s="30"/>
      <c r="IF22" s="30"/>
      <c r="IG22" s="30"/>
      <c r="IH22" s="30"/>
      <c r="II22" s="30"/>
      <c r="IJ22" s="30"/>
      <c r="IK22" s="30"/>
      <c r="IL22" s="30"/>
      <c r="IM22" s="30"/>
      <c r="IN22" s="30"/>
      <c r="IO22" s="30"/>
      <c r="IP22" s="30"/>
      <c r="IQ22" s="30"/>
      <c r="IR22" s="30"/>
      <c r="IS22" s="30"/>
      <c r="IT22" s="30"/>
      <c r="IU22" s="30"/>
      <c r="IV22" s="30"/>
      <c r="IW22" s="30"/>
      <c r="IX22" s="30"/>
      <c r="IY22" s="30"/>
      <c r="IZ22" s="30"/>
      <c r="JA22" s="30"/>
      <c r="JB22" s="30"/>
      <c r="JC22" s="30"/>
      <c r="JD22" s="30"/>
      <c r="JE22" s="30"/>
      <c r="JF22" s="30"/>
      <c r="JG22" s="30"/>
      <c r="JH22" s="30"/>
      <c r="JI22" s="30"/>
      <c r="JJ22" s="30"/>
      <c r="JK22" s="30"/>
      <c r="JL22" s="30"/>
      <c r="JM22" s="30"/>
      <c r="JN22" s="30"/>
      <c r="JO22" s="30"/>
      <c r="JP22" s="30"/>
      <c r="JQ22" s="30"/>
      <c r="JR22" s="30"/>
      <c r="JS22" s="30"/>
      <c r="JT22" s="30"/>
      <c r="JU22" s="30"/>
      <c r="JV22" s="30"/>
      <c r="JW22" s="30"/>
      <c r="JX22" s="30"/>
      <c r="JY22" s="30"/>
      <c r="JZ22" s="30"/>
      <c r="KA22" s="30"/>
      <c r="KB22" s="30"/>
      <c r="KC22" s="30"/>
      <c r="KD22" s="30"/>
      <c r="KE22" s="30"/>
      <c r="KF22" s="30"/>
      <c r="KG22" s="30"/>
      <c r="KH22" s="30"/>
      <c r="KI22" s="30"/>
      <c r="KJ22" s="30"/>
      <c r="KK22" s="30"/>
      <c r="KL22" s="30"/>
      <c r="KM22" s="30"/>
      <c r="KN22" s="30"/>
      <c r="KO22" s="30"/>
      <c r="KP22" s="1630"/>
    </row>
    <row r="23" spans="1:302" s="97" customFormat="1" ht="111" outlineLevel="1">
      <c r="A23" s="2652" t="s">
        <v>772</v>
      </c>
      <c r="B23" s="2579"/>
      <c r="C23" s="2582" t="s">
        <v>601</v>
      </c>
      <c r="D23" s="2582" t="s">
        <v>602</v>
      </c>
      <c r="E23" s="1415"/>
      <c r="F23" s="370"/>
      <c r="G23" s="387"/>
      <c r="H23" s="350" t="s">
        <v>26</v>
      </c>
      <c r="I23" s="2934"/>
      <c r="J23" s="362" t="s">
        <v>26</v>
      </c>
      <c r="K23" s="355"/>
      <c r="L23" s="357"/>
      <c r="M23" s="357"/>
      <c r="N23" s="357"/>
      <c r="O23" s="1510">
        <v>300000</v>
      </c>
      <c r="P23" s="355"/>
      <c r="Q23" s="355"/>
      <c r="R23" s="355"/>
      <c r="S23" s="1510">
        <f t="shared" si="25"/>
        <v>0</v>
      </c>
      <c r="T23" s="355"/>
      <c r="U23" s="355"/>
      <c r="V23" s="355"/>
      <c r="W23" s="1744">
        <f t="shared" si="24"/>
        <v>300000</v>
      </c>
      <c r="X23" s="359" t="s">
        <v>26</v>
      </c>
      <c r="Y23" s="357"/>
      <c r="Z23" s="355"/>
      <c r="AA23" s="355"/>
      <c r="AB23" s="2585">
        <f t="shared" si="18"/>
        <v>187000</v>
      </c>
      <c r="AC23" s="2578"/>
      <c r="AD23" s="1441"/>
      <c r="AE23" s="357"/>
      <c r="AF23" s="1441"/>
      <c r="AG23" s="357"/>
      <c r="AH23" s="354">
        <f t="shared" si="19"/>
        <v>0</v>
      </c>
      <c r="AI23" s="355">
        <f t="shared" ca="1" si="15"/>
        <v>0</v>
      </c>
      <c r="AJ23" s="356">
        <f t="shared" ca="1" si="1"/>
        <v>0</v>
      </c>
      <c r="AK23" s="2185"/>
      <c r="AL23" s="260"/>
      <c r="AM23" s="2256"/>
      <c r="AN23" s="2256"/>
      <c r="AO23" s="359"/>
      <c r="AP23" s="377"/>
      <c r="AQ23" s="359"/>
      <c r="AR23" s="359"/>
      <c r="AS23" s="359"/>
      <c r="AT23" s="360"/>
      <c r="AU23" s="359"/>
      <c r="AV23" s="359"/>
      <c r="AW23" s="359"/>
      <c r="AX23" s="377"/>
      <c r="AY23" s="360"/>
      <c r="AZ23" s="2258"/>
      <c r="BA23" s="359"/>
      <c r="BB23" s="359"/>
      <c r="BC23" s="359"/>
      <c r="BD23" s="359"/>
      <c r="BE23" s="359"/>
      <c r="BF23" s="359"/>
      <c r="BG23" s="359"/>
      <c r="BH23" s="359"/>
      <c r="BI23" s="380"/>
      <c r="BJ23" s="359"/>
      <c r="BK23" s="2761"/>
      <c r="BL23" s="380"/>
      <c r="BM23" s="380"/>
      <c r="BN23" s="380"/>
      <c r="BO23" s="380"/>
      <c r="BP23" s="380"/>
      <c r="BQ23" s="2087"/>
      <c r="BR23" s="359"/>
      <c r="BS23" s="359"/>
      <c r="BT23" s="359"/>
      <c r="BU23" s="355"/>
      <c r="BV23" s="355"/>
      <c r="BW23" s="446">
        <v>187000</v>
      </c>
      <c r="BX23" s="2392"/>
      <c r="BY23" s="2432"/>
      <c r="BZ23" s="2432"/>
      <c r="CA23" s="2432">
        <f t="shared" si="20"/>
        <v>187000</v>
      </c>
      <c r="CB23" s="2377">
        <f t="shared" si="21"/>
        <v>1</v>
      </c>
      <c r="CC23" s="365">
        <f t="shared" si="22"/>
        <v>5.3475935828877008E-6</v>
      </c>
      <c r="CD23" s="366"/>
      <c r="CE23" s="343"/>
      <c r="CF23" s="343"/>
      <c r="CG23" s="340"/>
      <c r="CH23" s="1416"/>
      <c r="CI23" s="1417"/>
      <c r="CJ23" s="1417"/>
      <c r="CK23" s="355"/>
      <c r="CL23" s="329">
        <f t="shared" si="12"/>
        <v>113000</v>
      </c>
      <c r="CM23" s="330">
        <f t="shared" ca="1" si="13"/>
        <v>0</v>
      </c>
      <c r="CN23" s="331">
        <f t="shared" ca="1" si="14"/>
        <v>-187000</v>
      </c>
      <c r="CO23" s="86"/>
      <c r="CP23" s="86"/>
      <c r="CQ23" s="1641"/>
      <c r="CR23" s="86"/>
      <c r="CS23" s="86"/>
      <c r="CT23" s="86"/>
      <c r="CU23" s="86"/>
      <c r="CV23" s="86"/>
      <c r="CW23" s="86"/>
      <c r="CX23" s="86"/>
      <c r="CY23" s="86"/>
      <c r="CZ23" s="86"/>
      <c r="DA23" s="86"/>
      <c r="DB23" s="1642"/>
      <c r="DC23" s="1642"/>
      <c r="DD23" s="30"/>
      <c r="DE23" s="30"/>
      <c r="DF23" s="30"/>
      <c r="DG23" s="1642"/>
      <c r="DH23" s="1642"/>
      <c r="DI23" s="1642"/>
      <c r="DJ23" s="1642"/>
      <c r="DK23" s="1642"/>
      <c r="DL23" s="1642"/>
      <c r="DM23" s="1642"/>
      <c r="DN23" s="1642"/>
      <c r="DO23" s="1642"/>
      <c r="DP23" s="1642"/>
      <c r="DQ23" s="1642"/>
      <c r="DR23" s="1642"/>
      <c r="DS23" s="1642"/>
      <c r="DT23" s="1642"/>
      <c r="DU23" s="1642"/>
      <c r="DV23" s="1642"/>
      <c r="DW23" s="1642"/>
      <c r="DX23" s="1642"/>
      <c r="DY23" s="1642"/>
      <c r="DZ23" s="1642"/>
      <c r="EA23" s="1642"/>
      <c r="EB23" s="1642"/>
      <c r="EC23" s="1642"/>
      <c r="ED23" s="1642"/>
      <c r="EE23" s="1642"/>
      <c r="EF23" s="1642"/>
      <c r="EG23" s="1642"/>
      <c r="EH23" s="1643"/>
      <c r="EI23" s="1658"/>
      <c r="EJ23" s="30"/>
      <c r="EK23" s="30"/>
      <c r="EL23" s="30"/>
      <c r="EM23" s="30"/>
      <c r="EN23" s="30"/>
      <c r="EO23" s="30"/>
      <c r="EP23" s="30"/>
      <c r="EQ23" s="30"/>
      <c r="ER23" s="30"/>
      <c r="ES23" s="30"/>
      <c r="ET23" s="30"/>
      <c r="EU23" s="30"/>
      <c r="EV23" s="30"/>
      <c r="EW23" s="30"/>
      <c r="EX23" s="30"/>
      <c r="EY23" s="30"/>
      <c r="EZ23" s="30"/>
      <c r="FA23" s="30"/>
      <c r="FB23" s="30"/>
      <c r="FC23" s="30"/>
      <c r="FD23" s="30"/>
      <c r="FE23" s="30"/>
      <c r="FF23" s="30"/>
      <c r="FG23" s="30"/>
      <c r="FH23" s="30"/>
      <c r="FI23" s="30"/>
      <c r="FJ23" s="30"/>
      <c r="FK23" s="30"/>
      <c r="FL23" s="30"/>
      <c r="FM23" s="30"/>
      <c r="FN23" s="30"/>
      <c r="FO23" s="30"/>
      <c r="FP23" s="30"/>
      <c r="FQ23" s="30"/>
      <c r="FR23" s="30"/>
      <c r="FS23" s="30"/>
      <c r="FT23" s="30"/>
      <c r="FU23" s="30"/>
      <c r="FV23" s="30"/>
      <c r="FW23" s="30"/>
      <c r="FX23" s="30"/>
      <c r="FY23" s="30"/>
      <c r="FZ23" s="30"/>
      <c r="GA23" s="30"/>
      <c r="GB23" s="30"/>
      <c r="GC23" s="30"/>
      <c r="GD23" s="30"/>
      <c r="GE23" s="30"/>
      <c r="GF23" s="30"/>
      <c r="GG23" s="30"/>
      <c r="GH23" s="30"/>
      <c r="GI23" s="30"/>
      <c r="GJ23" s="30"/>
      <c r="GK23" s="30"/>
      <c r="GL23" s="30"/>
      <c r="GM23" s="30"/>
      <c r="GN23" s="30"/>
      <c r="GO23" s="30"/>
      <c r="GP23" s="30"/>
      <c r="GQ23" s="30"/>
      <c r="GR23" s="30"/>
      <c r="GS23" s="30"/>
      <c r="GT23" s="30"/>
      <c r="GU23" s="30"/>
      <c r="GV23" s="30"/>
      <c r="GW23" s="30"/>
      <c r="GX23" s="30"/>
      <c r="GY23" s="30"/>
      <c r="GZ23" s="30"/>
      <c r="HA23" s="30"/>
      <c r="HB23" s="30"/>
      <c r="HC23" s="30"/>
      <c r="HD23" s="30"/>
      <c r="HE23" s="30"/>
      <c r="HF23" s="30"/>
      <c r="HG23" s="30"/>
      <c r="HH23" s="30"/>
      <c r="HI23" s="30"/>
      <c r="HJ23" s="30"/>
      <c r="HK23" s="30"/>
      <c r="HL23" s="30"/>
      <c r="HM23" s="30"/>
      <c r="HN23" s="30"/>
      <c r="HO23" s="30"/>
      <c r="HP23" s="30"/>
      <c r="HQ23" s="30"/>
      <c r="HR23" s="30"/>
      <c r="HS23" s="30"/>
      <c r="HT23" s="30"/>
      <c r="HU23" s="30"/>
      <c r="HV23" s="30"/>
      <c r="HW23" s="30"/>
      <c r="HX23" s="30"/>
      <c r="HY23" s="30"/>
      <c r="HZ23" s="30"/>
      <c r="IA23" s="30"/>
      <c r="IB23" s="30"/>
      <c r="IC23" s="30"/>
      <c r="ID23" s="30"/>
      <c r="IE23" s="30"/>
      <c r="IF23" s="30"/>
      <c r="IG23" s="30"/>
      <c r="IH23" s="30"/>
      <c r="II23" s="30"/>
      <c r="IJ23" s="30"/>
      <c r="IK23" s="30"/>
      <c r="IL23" s="30"/>
      <c r="IM23" s="30"/>
      <c r="IN23" s="30"/>
      <c r="IO23" s="30"/>
      <c r="IP23" s="30"/>
      <c r="IQ23" s="30"/>
      <c r="IR23" s="30"/>
      <c r="IS23" s="30"/>
      <c r="IT23" s="30"/>
      <c r="IU23" s="30"/>
      <c r="IV23" s="30"/>
      <c r="IW23" s="30"/>
      <c r="IX23" s="30"/>
      <c r="IY23" s="30"/>
      <c r="IZ23" s="30"/>
      <c r="JA23" s="30"/>
      <c r="JB23" s="30"/>
      <c r="JC23" s="30"/>
      <c r="JD23" s="30"/>
      <c r="JE23" s="30"/>
      <c r="JF23" s="30"/>
      <c r="JG23" s="30"/>
      <c r="JH23" s="30"/>
      <c r="JI23" s="30"/>
      <c r="JJ23" s="30"/>
      <c r="JK23" s="30"/>
      <c r="JL23" s="30"/>
      <c r="JM23" s="30"/>
      <c r="JN23" s="30"/>
      <c r="JO23" s="30"/>
      <c r="JP23" s="30"/>
      <c r="JQ23" s="30"/>
      <c r="JR23" s="30"/>
      <c r="JS23" s="30"/>
      <c r="JT23" s="30"/>
      <c r="JU23" s="30"/>
      <c r="JV23" s="30"/>
      <c r="JW23" s="30"/>
      <c r="JX23" s="30"/>
      <c r="JY23" s="30"/>
      <c r="JZ23" s="30"/>
      <c r="KA23" s="30"/>
      <c r="KB23" s="30"/>
      <c r="KC23" s="30"/>
      <c r="KD23" s="30"/>
      <c r="KE23" s="30"/>
      <c r="KF23" s="30"/>
      <c r="KG23" s="30"/>
      <c r="KH23" s="30"/>
      <c r="KI23" s="30"/>
      <c r="KJ23" s="30"/>
      <c r="KK23" s="30"/>
      <c r="KL23" s="30"/>
      <c r="KM23" s="30"/>
      <c r="KN23" s="30"/>
      <c r="KO23" s="30"/>
      <c r="KP23" s="1630"/>
    </row>
    <row r="24" spans="1:302" s="97" customFormat="1" ht="37.25" customHeight="1" outlineLevel="1">
      <c r="A24" s="2652" t="s">
        <v>1319</v>
      </c>
      <c r="B24" s="2579"/>
      <c r="C24" s="2582" t="s">
        <v>1322</v>
      </c>
      <c r="D24" s="2582" t="s">
        <v>1320</v>
      </c>
      <c r="E24" s="1415"/>
      <c r="F24" s="370"/>
      <c r="G24" s="387"/>
      <c r="H24" s="350" t="s">
        <v>26</v>
      </c>
      <c r="I24" s="2934"/>
      <c r="J24" s="362" t="s">
        <v>26</v>
      </c>
      <c r="K24" s="355"/>
      <c r="L24" s="357"/>
      <c r="M24" s="357"/>
      <c r="N24" s="357"/>
      <c r="O24" s="1510">
        <v>0</v>
      </c>
      <c r="P24" s="355"/>
      <c r="Q24" s="355"/>
      <c r="R24" s="355"/>
      <c r="S24" s="1510">
        <f t="shared" ref="S24" si="31">R24*Q24</f>
        <v>0</v>
      </c>
      <c r="T24" s="355"/>
      <c r="U24" s="355"/>
      <c r="V24" s="355"/>
      <c r="W24" s="1744">
        <f t="shared" ref="W24" si="32">O24+S24</f>
        <v>0</v>
      </c>
      <c r="X24" s="359" t="s">
        <v>26</v>
      </c>
      <c r="Y24" s="357"/>
      <c r="Z24" s="355"/>
      <c r="AA24" s="355"/>
      <c r="AB24" s="2598">
        <f t="shared" ref="AB24" si="33">SUM(AM24:BZ24)</f>
        <v>113000.00304347825</v>
      </c>
      <c r="AC24" s="2578" t="s">
        <v>1321</v>
      </c>
      <c r="AD24" s="1467">
        <v>4502966963</v>
      </c>
      <c r="AE24" s="357" t="s">
        <v>1247</v>
      </c>
      <c r="AF24" s="357">
        <v>113000</v>
      </c>
      <c r="AG24" s="357">
        <v>1</v>
      </c>
      <c r="AH24" s="354">
        <f t="shared" si="19"/>
        <v>113000</v>
      </c>
      <c r="AI24" s="355"/>
      <c r="AJ24" s="356"/>
      <c r="AK24" s="2185"/>
      <c r="AL24" s="260"/>
      <c r="AM24" s="2256"/>
      <c r="AN24" s="2256"/>
      <c r="AO24" s="359"/>
      <c r="AP24" s="377"/>
      <c r="AQ24" s="359">
        <f>4913.04347826087+0.01</f>
        <v>4913.0534782608702</v>
      </c>
      <c r="AR24" s="359">
        <v>4913.04347826087</v>
      </c>
      <c r="AS24" s="359">
        <v>4913.04347826087</v>
      </c>
      <c r="AT24" s="360">
        <v>4913.04347826087</v>
      </c>
      <c r="AU24" s="359">
        <v>4913.04347826087</v>
      </c>
      <c r="AV24" s="359">
        <v>4913.04347826087</v>
      </c>
      <c r="AW24" s="359">
        <v>4913.04347826087</v>
      </c>
      <c r="AX24" s="377">
        <v>4913.04347826087</v>
      </c>
      <c r="AY24" s="360">
        <v>4913.04347826087</v>
      </c>
      <c r="AZ24" s="2258">
        <v>4913.04347826087</v>
      </c>
      <c r="BA24" s="359">
        <v>4913.04347826087</v>
      </c>
      <c r="BB24" s="359">
        <v>4913.04347826087</v>
      </c>
      <c r="BC24" s="359">
        <v>4913.04347826087</v>
      </c>
      <c r="BD24" s="359">
        <v>4913.04347826087</v>
      </c>
      <c r="BE24" s="359">
        <v>4913.04347826087</v>
      </c>
      <c r="BF24" s="359">
        <v>4913.04347826087</v>
      </c>
      <c r="BG24" s="359">
        <v>4913.04347826087</v>
      </c>
      <c r="BH24" s="359">
        <v>4913.04347826087</v>
      </c>
      <c r="BI24" s="380">
        <v>4913.04347826087</v>
      </c>
      <c r="BJ24" s="359">
        <v>4913.04347826087</v>
      </c>
      <c r="BK24" s="2122">
        <f>4913.04347826087+9826.08</f>
        <v>14739.12347826087</v>
      </c>
      <c r="BL24" s="380"/>
      <c r="BM24" s="380"/>
      <c r="BN24" s="380"/>
      <c r="BO24" s="380"/>
      <c r="BP24" s="380"/>
      <c r="BQ24" s="2087"/>
      <c r="BR24" s="359"/>
      <c r="BS24" s="359"/>
      <c r="BT24" s="359"/>
      <c r="BU24" s="355"/>
      <c r="BV24" s="355"/>
      <c r="BW24" s="446"/>
      <c r="BX24" s="2392"/>
      <c r="BY24" s="2432"/>
      <c r="BZ24" s="2432"/>
      <c r="CA24" s="2432">
        <f t="shared" ref="CA24:CA25" si="34">SUMIF($AM$10:$BZ$10,$CA$9,AM24:BZ24)</f>
        <v>113000.00304347825</v>
      </c>
      <c r="CB24" s="2377">
        <f t="shared" ref="CB24:CB25" si="35">IF($AB24&lt;&gt;0,CA24/$AB24,"")</f>
        <v>1</v>
      </c>
      <c r="CC24" s="365">
        <f t="shared" ref="CC24:CC25" si="36">IF($AB24&lt;&gt;0,CB24/$AB24,"")</f>
        <v>8.8495572837749107E-6</v>
      </c>
      <c r="CD24" s="366"/>
      <c r="CE24" s="343"/>
      <c r="CF24" s="343"/>
      <c r="CG24" s="340"/>
      <c r="CH24" s="1416"/>
      <c r="CI24" s="1417"/>
      <c r="CJ24" s="1417"/>
      <c r="CK24" s="355"/>
      <c r="CL24" s="329">
        <f t="shared" si="12"/>
        <v>-113000.00304347825</v>
      </c>
      <c r="CM24" s="330">
        <f t="shared" si="13"/>
        <v>0</v>
      </c>
      <c r="CN24" s="331"/>
      <c r="CO24" s="86"/>
      <c r="CP24" s="86"/>
      <c r="CQ24" s="1641"/>
      <c r="CR24" s="86"/>
      <c r="CS24" s="86"/>
      <c r="CT24" s="86"/>
      <c r="CU24" s="86"/>
      <c r="CV24" s="86"/>
      <c r="CW24" s="86"/>
      <c r="CX24" s="86"/>
      <c r="CY24" s="86"/>
      <c r="CZ24" s="86"/>
      <c r="DA24" s="86"/>
      <c r="DB24" s="1642"/>
      <c r="DC24" s="1642"/>
      <c r="DD24" s="30"/>
      <c r="DE24" s="30"/>
      <c r="DF24" s="30"/>
      <c r="DG24" s="1642"/>
      <c r="DH24" s="1642"/>
      <c r="DI24" s="1642"/>
      <c r="DJ24" s="1642"/>
      <c r="DK24" s="1642"/>
      <c r="DL24" s="1642"/>
      <c r="DM24" s="1642"/>
      <c r="DN24" s="1642"/>
      <c r="DO24" s="1642"/>
      <c r="DP24" s="1642"/>
      <c r="DQ24" s="1642"/>
      <c r="DR24" s="1642"/>
      <c r="DS24" s="1642"/>
      <c r="DT24" s="1642"/>
      <c r="DU24" s="1642"/>
      <c r="DV24" s="1642"/>
      <c r="DW24" s="1642"/>
      <c r="DX24" s="1642"/>
      <c r="DY24" s="1642"/>
      <c r="DZ24" s="1642"/>
      <c r="EA24" s="1642"/>
      <c r="EB24" s="1642"/>
      <c r="EC24" s="1642"/>
      <c r="ED24" s="1642"/>
      <c r="EE24" s="1642"/>
      <c r="EF24" s="1642"/>
      <c r="EG24" s="1642"/>
      <c r="EH24" s="1643"/>
      <c r="EI24" s="1658"/>
      <c r="EJ24" s="30"/>
      <c r="EK24" s="30"/>
      <c r="EL24" s="30"/>
      <c r="EM24" s="30"/>
      <c r="EN24" s="30"/>
      <c r="EO24" s="30"/>
      <c r="EP24" s="30"/>
      <c r="EQ24" s="30"/>
      <c r="ER24" s="30"/>
      <c r="ES24" s="30"/>
      <c r="ET24" s="30"/>
      <c r="EU24" s="30"/>
      <c r="EV24" s="30"/>
      <c r="EW24" s="30"/>
      <c r="EX24" s="30"/>
      <c r="EY24" s="30"/>
      <c r="EZ24" s="30"/>
      <c r="FA24" s="30"/>
      <c r="FB24" s="30"/>
      <c r="FC24" s="30"/>
      <c r="FD24" s="30"/>
      <c r="FE24" s="30"/>
      <c r="FF24" s="30"/>
      <c r="FG24" s="30"/>
      <c r="FH24" s="30"/>
      <c r="FI24" s="30"/>
      <c r="FJ24" s="30"/>
      <c r="FK24" s="30"/>
      <c r="FL24" s="30"/>
      <c r="FM24" s="30"/>
      <c r="FN24" s="30"/>
      <c r="FO24" s="30"/>
      <c r="FP24" s="30"/>
      <c r="FQ24" s="30"/>
      <c r="FR24" s="30"/>
      <c r="FS24" s="30"/>
      <c r="FT24" s="30"/>
      <c r="FU24" s="30"/>
      <c r="FV24" s="30"/>
      <c r="FW24" s="30"/>
      <c r="FX24" s="30"/>
      <c r="FY24" s="30"/>
      <c r="FZ24" s="30"/>
      <c r="GA24" s="30"/>
      <c r="GB24" s="30"/>
      <c r="GC24" s="30"/>
      <c r="GD24" s="30"/>
      <c r="GE24" s="30"/>
      <c r="GF24" s="30"/>
      <c r="GG24" s="30"/>
      <c r="GH24" s="30"/>
      <c r="GI24" s="30"/>
      <c r="GJ24" s="30"/>
      <c r="GK24" s="30"/>
      <c r="GL24" s="30"/>
      <c r="GM24" s="30"/>
      <c r="GN24" s="30"/>
      <c r="GO24" s="30"/>
      <c r="GP24" s="30"/>
      <c r="GQ24" s="30"/>
      <c r="GR24" s="30"/>
      <c r="GS24" s="30"/>
      <c r="GT24" s="30"/>
      <c r="GU24" s="30"/>
      <c r="GV24" s="30"/>
      <c r="GW24" s="30"/>
      <c r="GX24" s="30"/>
      <c r="GY24" s="30"/>
      <c r="GZ24" s="30"/>
      <c r="HA24" s="30"/>
      <c r="HB24" s="30"/>
      <c r="HC24" s="30"/>
      <c r="HD24" s="30"/>
      <c r="HE24" s="30"/>
      <c r="HF24" s="30"/>
      <c r="HG24" s="30"/>
      <c r="HH24" s="30"/>
      <c r="HI24" s="30"/>
      <c r="HJ24" s="30"/>
      <c r="HK24" s="30"/>
      <c r="HL24" s="30"/>
      <c r="HM24" s="30"/>
      <c r="HN24" s="30"/>
      <c r="HO24" s="30"/>
      <c r="HP24" s="30"/>
      <c r="HQ24" s="30"/>
      <c r="HR24" s="30"/>
      <c r="HS24" s="30"/>
      <c r="HT24" s="30"/>
      <c r="HU24" s="30"/>
      <c r="HV24" s="30"/>
      <c r="HW24" s="30"/>
      <c r="HX24" s="30"/>
      <c r="HY24" s="30"/>
      <c r="HZ24" s="30"/>
      <c r="IA24" s="30"/>
      <c r="IB24" s="30"/>
      <c r="IC24" s="30"/>
      <c r="ID24" s="30"/>
      <c r="IE24" s="30"/>
      <c r="IF24" s="30"/>
      <c r="IG24" s="30"/>
      <c r="IH24" s="30"/>
      <c r="II24" s="30"/>
      <c r="IJ24" s="30"/>
      <c r="IK24" s="30"/>
      <c r="IL24" s="30"/>
      <c r="IM24" s="30"/>
      <c r="IN24" s="30"/>
      <c r="IO24" s="30"/>
      <c r="IP24" s="30"/>
      <c r="IQ24" s="30"/>
      <c r="IR24" s="30"/>
      <c r="IS24" s="30"/>
      <c r="IT24" s="30"/>
      <c r="IU24" s="30"/>
      <c r="IV24" s="30"/>
      <c r="IW24" s="30"/>
      <c r="IX24" s="30"/>
      <c r="IY24" s="30"/>
      <c r="IZ24" s="30"/>
      <c r="JA24" s="30"/>
      <c r="JB24" s="30"/>
      <c r="JC24" s="30"/>
      <c r="JD24" s="30"/>
      <c r="JE24" s="30"/>
      <c r="JF24" s="30"/>
      <c r="JG24" s="30"/>
      <c r="JH24" s="30"/>
      <c r="JI24" s="30"/>
      <c r="JJ24" s="30"/>
      <c r="JK24" s="30"/>
      <c r="JL24" s="30"/>
      <c r="JM24" s="30"/>
      <c r="JN24" s="30"/>
      <c r="JO24" s="30"/>
      <c r="JP24" s="30"/>
      <c r="JQ24" s="30"/>
      <c r="JR24" s="30"/>
      <c r="JS24" s="30"/>
      <c r="JT24" s="30"/>
      <c r="JU24" s="30"/>
      <c r="JV24" s="30"/>
      <c r="JW24" s="30"/>
      <c r="JX24" s="30"/>
      <c r="JY24" s="30"/>
      <c r="JZ24" s="30"/>
      <c r="KA24" s="30"/>
      <c r="KB24" s="30"/>
      <c r="KC24" s="30"/>
      <c r="KD24" s="30"/>
      <c r="KE24" s="30"/>
      <c r="KF24" s="30"/>
      <c r="KG24" s="30"/>
      <c r="KH24" s="30"/>
      <c r="KI24" s="30"/>
      <c r="KJ24" s="30"/>
      <c r="KK24" s="30"/>
      <c r="KL24" s="30"/>
      <c r="KM24" s="30"/>
      <c r="KN24" s="30"/>
      <c r="KO24" s="30"/>
      <c r="KP24" s="1630"/>
    </row>
    <row r="25" spans="1:302" s="97" customFormat="1" ht="33" customHeight="1" outlineLevel="1">
      <c r="A25" s="2652"/>
      <c r="B25" s="2579"/>
      <c r="C25" s="2584"/>
      <c r="D25" s="2584"/>
      <c r="E25" s="1415"/>
      <c r="F25" s="370"/>
      <c r="G25" s="387"/>
      <c r="H25" s="350" t="s">
        <v>26</v>
      </c>
      <c r="I25" s="2934"/>
      <c r="J25" s="362" t="s">
        <v>26</v>
      </c>
      <c r="K25" s="355"/>
      <c r="L25" s="357"/>
      <c r="M25" s="357"/>
      <c r="N25" s="357"/>
      <c r="O25" s="1510"/>
      <c r="P25" s="355"/>
      <c r="Q25" s="355"/>
      <c r="R25" s="355"/>
      <c r="S25" s="1510"/>
      <c r="T25" s="355"/>
      <c r="U25" s="355"/>
      <c r="V25" s="355"/>
      <c r="W25" s="1744"/>
      <c r="X25" s="359" t="s">
        <v>26</v>
      </c>
      <c r="Y25" s="357"/>
      <c r="Z25" s="355"/>
      <c r="AA25" s="355"/>
      <c r="AB25" s="2640">
        <f t="shared" si="18"/>
        <v>0</v>
      </c>
      <c r="AC25" s="2578"/>
      <c r="AD25" s="1441"/>
      <c r="AE25" s="357"/>
      <c r="AF25" s="1441"/>
      <c r="AG25" s="357"/>
      <c r="AH25" s="354">
        <f t="shared" si="19"/>
        <v>0</v>
      </c>
      <c r="AI25" s="355">
        <f t="shared" ca="1" si="15"/>
        <v>0</v>
      </c>
      <c r="AJ25" s="356" t="str">
        <f t="shared" si="1"/>
        <v/>
      </c>
      <c r="AK25" s="2185"/>
      <c r="AL25" s="260"/>
      <c r="AM25" s="2256"/>
      <c r="AN25" s="2256"/>
      <c r="AO25" s="359"/>
      <c r="AP25" s="377"/>
      <c r="AQ25" s="359"/>
      <c r="AR25" s="359"/>
      <c r="AS25" s="359"/>
      <c r="AT25" s="360"/>
      <c r="AU25" s="359"/>
      <c r="AV25" s="359"/>
      <c r="AW25" s="359"/>
      <c r="AX25" s="377"/>
      <c r="AY25" s="360"/>
      <c r="AZ25" s="2258"/>
      <c r="BA25" s="359"/>
      <c r="BB25" s="359"/>
      <c r="BC25" s="359"/>
      <c r="BD25" s="359"/>
      <c r="BE25" s="359"/>
      <c r="BF25" s="359"/>
      <c r="BG25" s="359"/>
      <c r="BH25" s="359"/>
      <c r="BI25" s="380"/>
      <c r="BJ25" s="359"/>
      <c r="BK25" s="2122"/>
      <c r="BL25" s="380"/>
      <c r="BM25" s="380"/>
      <c r="BN25" s="380"/>
      <c r="BO25" s="380"/>
      <c r="BP25" s="380"/>
      <c r="BQ25" s="2087"/>
      <c r="BR25" s="359"/>
      <c r="BS25" s="359"/>
      <c r="BT25" s="359"/>
      <c r="BU25" s="355"/>
      <c r="BV25" s="355"/>
      <c r="BW25" s="446"/>
      <c r="BX25" s="2392"/>
      <c r="BY25" s="2432"/>
      <c r="BZ25" s="2432"/>
      <c r="CA25" s="2432">
        <f t="shared" si="34"/>
        <v>0</v>
      </c>
      <c r="CB25" s="2377" t="str">
        <f t="shared" si="35"/>
        <v/>
      </c>
      <c r="CC25" s="365" t="str">
        <f t="shared" si="36"/>
        <v/>
      </c>
      <c r="CD25" s="366"/>
      <c r="CE25" s="343"/>
      <c r="CF25" s="343"/>
      <c r="CG25" s="340"/>
      <c r="CH25" s="1416"/>
      <c r="CI25" s="1417"/>
      <c r="CJ25" s="1417"/>
      <c r="CK25" s="355"/>
      <c r="CL25" s="329">
        <f t="shared" si="12"/>
        <v>0</v>
      </c>
      <c r="CM25" s="330">
        <f t="shared" ca="1" si="13"/>
        <v>0</v>
      </c>
      <c r="CN25" s="331">
        <f t="shared" ca="1" si="14"/>
        <v>0</v>
      </c>
      <c r="CO25" s="86"/>
      <c r="CP25" s="86"/>
      <c r="CQ25" s="1641"/>
      <c r="CR25" s="86"/>
      <c r="CS25" s="86"/>
      <c r="CT25" s="86"/>
      <c r="CU25" s="86"/>
      <c r="CV25" s="86"/>
      <c r="CW25" s="86"/>
      <c r="CX25" s="86"/>
      <c r="CY25" s="86"/>
      <c r="CZ25" s="86"/>
      <c r="DA25" s="86"/>
      <c r="DB25" s="1642"/>
      <c r="DC25" s="1642"/>
      <c r="DD25" s="30"/>
      <c r="DE25" s="30"/>
      <c r="DF25" s="30"/>
      <c r="DG25" s="1642"/>
      <c r="DH25" s="1642"/>
      <c r="DI25" s="1642"/>
      <c r="DJ25" s="1642"/>
      <c r="DK25" s="1642"/>
      <c r="DL25" s="1642"/>
      <c r="DM25" s="1642"/>
      <c r="DN25" s="1642"/>
      <c r="DO25" s="1642"/>
      <c r="DP25" s="1642"/>
      <c r="DQ25" s="1642"/>
      <c r="DR25" s="1642"/>
      <c r="DS25" s="1642"/>
      <c r="DT25" s="1642"/>
      <c r="DU25" s="1642"/>
      <c r="DV25" s="1642"/>
      <c r="DW25" s="1642"/>
      <c r="DX25" s="1642"/>
      <c r="DY25" s="1642"/>
      <c r="DZ25" s="1642"/>
      <c r="EA25" s="1642"/>
      <c r="EB25" s="1642"/>
      <c r="EC25" s="1642"/>
      <c r="ED25" s="1642"/>
      <c r="EE25" s="1642"/>
      <c r="EF25" s="1642"/>
      <c r="EG25" s="1642"/>
      <c r="EH25" s="1643"/>
      <c r="EI25" s="1658"/>
      <c r="EJ25" s="30"/>
      <c r="EK25" s="30"/>
      <c r="EL25" s="30"/>
      <c r="EM25" s="30"/>
      <c r="EN25" s="30"/>
      <c r="EO25" s="30"/>
      <c r="EP25" s="30"/>
      <c r="EQ25" s="30"/>
      <c r="ER25" s="30"/>
      <c r="ES25" s="30"/>
      <c r="ET25" s="30"/>
      <c r="EU25" s="30"/>
      <c r="EV25" s="30"/>
      <c r="EW25" s="30"/>
      <c r="EX25" s="30"/>
      <c r="EY25" s="30"/>
      <c r="EZ25" s="30"/>
      <c r="FA25" s="30"/>
      <c r="FB25" s="30"/>
      <c r="FC25" s="30"/>
      <c r="FD25" s="30"/>
      <c r="FE25" s="30"/>
      <c r="FF25" s="30"/>
      <c r="FG25" s="30"/>
      <c r="FH25" s="30"/>
      <c r="FI25" s="30"/>
      <c r="FJ25" s="30"/>
      <c r="FK25" s="30"/>
      <c r="FL25" s="30"/>
      <c r="FM25" s="30"/>
      <c r="FN25" s="30"/>
      <c r="FO25" s="30"/>
      <c r="FP25" s="30"/>
      <c r="FQ25" s="30"/>
      <c r="FR25" s="30"/>
      <c r="FS25" s="30"/>
      <c r="FT25" s="30"/>
      <c r="FU25" s="30"/>
      <c r="FV25" s="30"/>
      <c r="FW25" s="30"/>
      <c r="FX25" s="30"/>
      <c r="FY25" s="30"/>
      <c r="FZ25" s="30"/>
      <c r="GA25" s="30"/>
      <c r="GB25" s="30"/>
      <c r="GC25" s="30"/>
      <c r="GD25" s="30"/>
      <c r="GE25" s="30"/>
      <c r="GF25" s="30"/>
      <c r="GG25" s="30"/>
      <c r="GH25" s="30"/>
      <c r="GI25" s="30"/>
      <c r="GJ25" s="30"/>
      <c r="GK25" s="30"/>
      <c r="GL25" s="30"/>
      <c r="GM25" s="30"/>
      <c r="GN25" s="30"/>
      <c r="GO25" s="30"/>
      <c r="GP25" s="30"/>
      <c r="GQ25" s="30"/>
      <c r="GR25" s="30"/>
      <c r="GS25" s="30"/>
      <c r="GT25" s="30"/>
      <c r="GU25" s="30"/>
      <c r="GV25" s="30"/>
      <c r="GW25" s="30"/>
      <c r="GX25" s="30"/>
      <c r="GY25" s="30"/>
      <c r="GZ25" s="30"/>
      <c r="HA25" s="30"/>
      <c r="HB25" s="30"/>
      <c r="HC25" s="30"/>
      <c r="HD25" s="30"/>
      <c r="HE25" s="30"/>
      <c r="HF25" s="30"/>
      <c r="HG25" s="30"/>
      <c r="HH25" s="30"/>
      <c r="HI25" s="30"/>
      <c r="HJ25" s="30"/>
      <c r="HK25" s="30"/>
      <c r="HL25" s="30"/>
      <c r="HM25" s="30"/>
      <c r="HN25" s="30"/>
      <c r="HO25" s="30"/>
      <c r="HP25" s="30"/>
      <c r="HQ25" s="30"/>
      <c r="HR25" s="30"/>
      <c r="HS25" s="30"/>
      <c r="HT25" s="30"/>
      <c r="HU25" s="30"/>
      <c r="HV25" s="30"/>
      <c r="HW25" s="30"/>
      <c r="HX25" s="30"/>
      <c r="HY25" s="30"/>
      <c r="HZ25" s="30"/>
      <c r="IA25" s="30"/>
      <c r="IB25" s="30"/>
      <c r="IC25" s="30"/>
      <c r="ID25" s="30"/>
      <c r="IE25" s="30"/>
      <c r="IF25" s="30"/>
      <c r="IG25" s="30"/>
      <c r="IH25" s="30"/>
      <c r="II25" s="30"/>
      <c r="IJ25" s="30"/>
      <c r="IK25" s="30"/>
      <c r="IL25" s="30"/>
      <c r="IM25" s="30"/>
      <c r="IN25" s="30"/>
      <c r="IO25" s="30"/>
      <c r="IP25" s="30"/>
      <c r="IQ25" s="30"/>
      <c r="IR25" s="30"/>
      <c r="IS25" s="30"/>
      <c r="IT25" s="30"/>
      <c r="IU25" s="30"/>
      <c r="IV25" s="30"/>
      <c r="IW25" s="30"/>
      <c r="IX25" s="30"/>
      <c r="IY25" s="30"/>
      <c r="IZ25" s="30"/>
      <c r="JA25" s="30"/>
      <c r="JB25" s="30"/>
      <c r="JC25" s="30"/>
      <c r="JD25" s="30"/>
      <c r="JE25" s="30"/>
      <c r="JF25" s="30"/>
      <c r="JG25" s="30"/>
      <c r="JH25" s="30"/>
      <c r="JI25" s="30"/>
      <c r="JJ25" s="30"/>
      <c r="JK25" s="30"/>
      <c r="JL25" s="30"/>
      <c r="JM25" s="30"/>
      <c r="JN25" s="30"/>
      <c r="JO25" s="30"/>
      <c r="JP25" s="30"/>
      <c r="JQ25" s="30"/>
      <c r="JR25" s="30"/>
      <c r="JS25" s="30"/>
      <c r="JT25" s="30"/>
      <c r="JU25" s="30"/>
      <c r="JV25" s="30"/>
      <c r="JW25" s="30"/>
      <c r="JX25" s="30"/>
      <c r="JY25" s="30"/>
      <c r="JZ25" s="30"/>
      <c r="KA25" s="30"/>
      <c r="KB25" s="30"/>
      <c r="KC25" s="30"/>
      <c r="KD25" s="30"/>
      <c r="KE25" s="30"/>
      <c r="KF25" s="30"/>
      <c r="KG25" s="30"/>
      <c r="KH25" s="30"/>
      <c r="KI25" s="30"/>
      <c r="KJ25" s="30"/>
      <c r="KK25" s="30"/>
      <c r="KL25" s="30"/>
      <c r="KM25" s="30"/>
      <c r="KN25" s="30"/>
      <c r="KO25" s="30"/>
      <c r="KP25" s="1630"/>
    </row>
    <row r="26" spans="1:302" s="97" customFormat="1" ht="28.25" customHeight="1">
      <c r="A26" s="2653"/>
      <c r="B26" s="2603"/>
      <c r="C26" s="164" t="s">
        <v>270</v>
      </c>
      <c r="D26" s="164" t="s">
        <v>271</v>
      </c>
      <c r="E26" s="333"/>
      <c r="F26" s="334"/>
      <c r="G26" s="335"/>
      <c r="H26" s="334"/>
      <c r="I26" s="336">
        <f>SUM(I27)</f>
        <v>13950000</v>
      </c>
      <c r="J26" s="336"/>
      <c r="K26" s="336"/>
      <c r="L26" s="336">
        <f t="shared" ref="L26:N26" si="37">SUM(L27)</f>
        <v>0</v>
      </c>
      <c r="M26" s="336">
        <f t="shared" si="37"/>
        <v>0</v>
      </c>
      <c r="N26" s="336">
        <f t="shared" si="37"/>
        <v>0</v>
      </c>
      <c r="O26" s="336">
        <f>SUM(O27:O37)</f>
        <v>18420000</v>
      </c>
      <c r="P26" s="336">
        <f t="shared" ref="P26:AA26" si="38">SUM(P27:P37)</f>
        <v>0</v>
      </c>
      <c r="Q26" s="336">
        <f t="shared" si="38"/>
        <v>0</v>
      </c>
      <c r="R26" s="336">
        <f t="shared" si="38"/>
        <v>0</v>
      </c>
      <c r="S26" s="336">
        <f t="shared" ref="S26" si="39">R26*Q26</f>
        <v>0</v>
      </c>
      <c r="T26" s="336"/>
      <c r="U26" s="336"/>
      <c r="V26" s="336"/>
      <c r="W26" s="336">
        <f>O26+S26</f>
        <v>18420000</v>
      </c>
      <c r="X26" s="336"/>
      <c r="Y26" s="336">
        <f t="shared" si="38"/>
        <v>0</v>
      </c>
      <c r="Z26" s="336">
        <f t="shared" si="38"/>
        <v>0</v>
      </c>
      <c r="AA26" s="336">
        <f t="shared" si="38"/>
        <v>0</v>
      </c>
      <c r="AB26" s="336">
        <f>SUM(AB27:AB37)</f>
        <v>18420000.004547693</v>
      </c>
      <c r="AC26" s="1440"/>
      <c r="AD26" s="1456"/>
      <c r="AE26" s="336"/>
      <c r="AF26" s="336"/>
      <c r="AG26" s="336"/>
      <c r="AH26" s="336">
        <f>SUM(AH27:AH37)</f>
        <v>17214974</v>
      </c>
      <c r="AI26" s="336">
        <f ca="1">SUM(AI27:AI37)</f>
        <v>3847140</v>
      </c>
      <c r="AJ26" s="337"/>
      <c r="AK26" s="2183"/>
      <c r="AL26" s="2064"/>
      <c r="AM26" s="2259">
        <f>SUM(AM27:AM37)</f>
        <v>3499140</v>
      </c>
      <c r="AN26" s="2259">
        <f>SUM(AN27:AN37)</f>
        <v>348000</v>
      </c>
      <c r="AO26" s="336">
        <f t="shared" ref="AO26:BZ26" si="40">SUM(AO27:AO37)</f>
        <v>0</v>
      </c>
      <c r="AP26" s="336">
        <f t="shared" si="40"/>
        <v>1113600</v>
      </c>
      <c r="AQ26" s="336">
        <f t="shared" si="40"/>
        <v>40951.566952307694</v>
      </c>
      <c r="AR26" s="336">
        <f t="shared" si="40"/>
        <v>99641.498770489517</v>
      </c>
      <c r="AS26" s="336">
        <f t="shared" si="40"/>
        <v>455333.80646279722</v>
      </c>
      <c r="AT26" s="338">
        <f t="shared" si="40"/>
        <v>107333.80646279722</v>
      </c>
      <c r="AU26" s="336">
        <f t="shared" si="40"/>
        <v>107333.80646279722</v>
      </c>
      <c r="AV26" s="336">
        <f t="shared" si="40"/>
        <v>2258333.8064627973</v>
      </c>
      <c r="AW26" s="336">
        <f t="shared" si="40"/>
        <v>83333.80646279722</v>
      </c>
      <c r="AX26" s="336">
        <f t="shared" si="40"/>
        <v>83333.80646279722</v>
      </c>
      <c r="AY26" s="338">
        <f t="shared" si="40"/>
        <v>1979933.8064627973</v>
      </c>
      <c r="AZ26" s="2308">
        <f t="shared" si="40"/>
        <v>56462.056462797205</v>
      </c>
      <c r="BA26" s="336">
        <f t="shared" si="40"/>
        <v>64154.366462797196</v>
      </c>
      <c r="BB26" s="336">
        <f t="shared" si="40"/>
        <v>1330659.7780012586</v>
      </c>
      <c r="BC26" s="336">
        <f t="shared" si="40"/>
        <v>28490.028490769233</v>
      </c>
      <c r="BD26" s="336">
        <f t="shared" si="40"/>
        <v>28490.028490769233</v>
      </c>
      <c r="BE26" s="336">
        <f t="shared" si="40"/>
        <v>2552090.0284907692</v>
      </c>
      <c r="BF26" s="336">
        <f t="shared" si="40"/>
        <v>20797.720798461538</v>
      </c>
      <c r="BG26" s="336">
        <f t="shared" si="40"/>
        <v>40797.720798461538</v>
      </c>
      <c r="BH26" s="336">
        <f t="shared" si="40"/>
        <v>1255857.7207984615</v>
      </c>
      <c r="BI26" s="336">
        <f t="shared" si="40"/>
        <v>40797.720798461538</v>
      </c>
      <c r="BJ26" s="336">
        <f t="shared" si="40"/>
        <v>40797.720798461538</v>
      </c>
      <c r="BK26" s="2121">
        <f t="shared" si="40"/>
        <v>1589397.7207984615</v>
      </c>
      <c r="BL26" s="339">
        <f t="shared" si="40"/>
        <v>20797.720798461538</v>
      </c>
      <c r="BM26" s="339">
        <f t="shared" si="40"/>
        <v>20797.720798461538</v>
      </c>
      <c r="BN26" s="339">
        <f t="shared" si="40"/>
        <v>977797.72079846158</v>
      </c>
      <c r="BO26" s="339">
        <f t="shared" si="40"/>
        <v>9259.26</v>
      </c>
      <c r="BP26" s="339">
        <f t="shared" si="40"/>
        <v>44285.26</v>
      </c>
      <c r="BQ26" s="2086">
        <f t="shared" si="40"/>
        <v>122000</v>
      </c>
      <c r="BR26" s="336">
        <f t="shared" si="40"/>
        <v>0</v>
      </c>
      <c r="BS26" s="336">
        <f t="shared" si="40"/>
        <v>0</v>
      </c>
      <c r="BT26" s="336">
        <f t="shared" si="40"/>
        <v>0</v>
      </c>
      <c r="BU26" s="336">
        <f t="shared" si="40"/>
        <v>0</v>
      </c>
      <c r="BV26" s="336">
        <f t="shared" si="40"/>
        <v>0</v>
      </c>
      <c r="BW26" s="338">
        <f t="shared" si="40"/>
        <v>0</v>
      </c>
      <c r="BX26" s="2391">
        <f t="shared" si="40"/>
        <v>0</v>
      </c>
      <c r="BY26" s="2391">
        <f t="shared" si="40"/>
        <v>0</v>
      </c>
      <c r="BZ26" s="2391">
        <f t="shared" si="40"/>
        <v>0</v>
      </c>
      <c r="CA26" s="2431">
        <f>SUMIF($AM$10:$BZ$10,$CA$9,AM26:BZ26)</f>
        <v>14572860.004547685</v>
      </c>
      <c r="CB26" s="2379">
        <f t="shared" si="3"/>
        <v>0.79114332252713404</v>
      </c>
      <c r="CC26" s="365">
        <f t="shared" si="3"/>
        <v>4.2950234654278476E-8</v>
      </c>
      <c r="CD26" s="341"/>
      <c r="CE26" s="342"/>
      <c r="CF26" s="343"/>
      <c r="CG26" s="340"/>
      <c r="CH26" s="344"/>
      <c r="CI26" s="345"/>
      <c r="CJ26" s="345"/>
      <c r="CK26" s="346"/>
      <c r="CL26" s="329">
        <f t="shared" si="12"/>
        <v>3847139.9954523146</v>
      </c>
      <c r="CM26" s="330">
        <f t="shared" ca="1" si="13"/>
        <v>0</v>
      </c>
      <c r="CN26" s="331">
        <f t="shared" ca="1" si="14"/>
        <v>-11742870.293585308</v>
      </c>
      <c r="CO26" s="86"/>
      <c r="CP26" s="86"/>
      <c r="CQ26" s="1641"/>
      <c r="CR26" s="86"/>
      <c r="CS26" s="86"/>
      <c r="CT26" s="86"/>
      <c r="CU26" s="86"/>
      <c r="CV26" s="86"/>
      <c r="CW26" s="86"/>
      <c r="CX26" s="86"/>
      <c r="CY26" s="86"/>
      <c r="CZ26" s="86"/>
      <c r="DA26" s="86"/>
      <c r="DB26" s="1642"/>
      <c r="DC26" s="1642"/>
      <c r="DD26" s="30"/>
      <c r="DE26" s="30"/>
      <c r="DF26" s="30"/>
      <c r="DG26" s="1642"/>
      <c r="DH26" s="1642"/>
      <c r="DI26" s="1642"/>
      <c r="DJ26" s="1642"/>
      <c r="DK26" s="1642"/>
      <c r="DL26" s="1642"/>
      <c r="DM26" s="1642"/>
      <c r="DN26" s="1642"/>
      <c r="DO26" s="1642"/>
      <c r="DP26" s="1642"/>
      <c r="DQ26" s="1642"/>
      <c r="DR26" s="1642"/>
      <c r="DS26" s="1642"/>
      <c r="DT26" s="1642"/>
      <c r="DU26" s="1642"/>
      <c r="DV26" s="1642"/>
      <c r="DW26" s="1642"/>
      <c r="DX26" s="1642"/>
      <c r="DY26" s="1642"/>
      <c r="DZ26" s="1642"/>
      <c r="EA26" s="1642"/>
      <c r="EB26" s="1642"/>
      <c r="EC26" s="1642"/>
      <c r="ED26" s="1642"/>
      <c r="EE26" s="1642"/>
      <c r="EF26" s="1642"/>
      <c r="EG26" s="1642"/>
      <c r="EH26" s="1643"/>
      <c r="EI26" s="1658"/>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0"/>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0"/>
      <c r="HO26" s="30"/>
      <c r="HP26" s="30"/>
      <c r="HQ26" s="30"/>
      <c r="HR26" s="30"/>
      <c r="HS26" s="30"/>
      <c r="HT26" s="30"/>
      <c r="HU26" s="30"/>
      <c r="HV26" s="30"/>
      <c r="HW26" s="30"/>
      <c r="HX26" s="30"/>
      <c r="HY26" s="30"/>
      <c r="HZ26" s="30"/>
      <c r="IA26" s="30"/>
      <c r="IB26" s="30"/>
      <c r="IC26" s="30"/>
      <c r="ID26" s="30"/>
      <c r="IE26" s="30"/>
      <c r="IF26" s="30"/>
      <c r="IG26" s="30"/>
      <c r="IH26" s="30"/>
      <c r="II26" s="30"/>
      <c r="IJ26" s="30"/>
      <c r="IK26" s="30"/>
      <c r="IL26" s="30"/>
      <c r="IM26" s="30"/>
      <c r="IN26" s="30"/>
      <c r="IO26" s="30"/>
      <c r="IP26" s="30"/>
      <c r="IQ26" s="30"/>
      <c r="IR26" s="30"/>
      <c r="IS26" s="30"/>
      <c r="IT26" s="30"/>
      <c r="IU26" s="30"/>
      <c r="IV26" s="30"/>
      <c r="IW26" s="30"/>
      <c r="IX26" s="30"/>
      <c r="IY26" s="30"/>
      <c r="IZ26" s="30"/>
      <c r="JA26" s="30"/>
      <c r="JB26" s="30"/>
      <c r="JC26" s="30"/>
      <c r="JD26" s="30"/>
      <c r="JE26" s="30"/>
      <c r="JF26" s="30"/>
      <c r="JG26" s="30"/>
      <c r="JH26" s="30"/>
      <c r="JI26" s="30"/>
      <c r="JJ26" s="30"/>
      <c r="JK26" s="30"/>
      <c r="JL26" s="30"/>
      <c r="JM26" s="30"/>
      <c r="JN26" s="30"/>
      <c r="JO26" s="30"/>
      <c r="JP26" s="30"/>
      <c r="JQ26" s="30"/>
      <c r="JR26" s="30"/>
      <c r="JS26" s="30"/>
      <c r="JT26" s="30"/>
      <c r="JU26" s="30"/>
      <c r="JV26" s="30"/>
      <c r="JW26" s="30"/>
      <c r="JX26" s="30"/>
      <c r="JY26" s="30"/>
      <c r="JZ26" s="30"/>
      <c r="KA26" s="30"/>
      <c r="KB26" s="30"/>
      <c r="KC26" s="30"/>
      <c r="KD26" s="30"/>
      <c r="KE26" s="30"/>
      <c r="KF26" s="30"/>
      <c r="KG26" s="30"/>
      <c r="KH26" s="30"/>
      <c r="KI26" s="30"/>
      <c r="KJ26" s="30"/>
      <c r="KK26" s="30"/>
      <c r="KL26" s="30"/>
      <c r="KM26" s="30"/>
      <c r="KN26" s="30"/>
      <c r="KO26" s="30"/>
      <c r="KP26" s="1630"/>
    </row>
    <row r="27" spans="1:302" s="97" customFormat="1" ht="13.9" outlineLevel="1">
      <c r="A27" s="2652" t="s">
        <v>69</v>
      </c>
      <c r="B27" s="2579"/>
      <c r="C27" s="2582" t="s">
        <v>578</v>
      </c>
      <c r="D27" s="2582" t="s">
        <v>587</v>
      </c>
      <c r="E27" s="1415"/>
      <c r="F27" s="370"/>
      <c r="G27" s="387"/>
      <c r="H27" s="350" t="s">
        <v>26</v>
      </c>
      <c r="I27" s="2933">
        <v>13950000</v>
      </c>
      <c r="J27" s="362" t="s">
        <v>26</v>
      </c>
      <c r="K27" s="355"/>
      <c r="L27" s="357"/>
      <c r="M27" s="357"/>
      <c r="N27" s="357"/>
      <c r="O27" s="1510">
        <v>100000</v>
      </c>
      <c r="P27" s="355"/>
      <c r="Q27" s="355"/>
      <c r="R27" s="355"/>
      <c r="S27" s="1510">
        <f t="shared" ref="S27:S36" si="41">R27*Q27</f>
        <v>0</v>
      </c>
      <c r="T27" s="355"/>
      <c r="U27" s="355"/>
      <c r="V27" s="355"/>
      <c r="W27" s="1744">
        <f t="shared" ref="W27:W36" si="42">O27+S27</f>
        <v>100000</v>
      </c>
      <c r="X27" s="359" t="s">
        <v>26</v>
      </c>
      <c r="Y27" s="357"/>
      <c r="Z27" s="355"/>
      <c r="AA27" s="355"/>
      <c r="AB27" s="1510">
        <f t="shared" ref="AB27:AB37" si="43">SUM(AM27:BZ27)</f>
        <v>99999.999999999985</v>
      </c>
      <c r="AC27" s="2578"/>
      <c r="AD27" s="1441"/>
      <c r="AE27" s="357"/>
      <c r="AF27" s="1441"/>
      <c r="AG27" s="357"/>
      <c r="AH27" s="354">
        <f t="shared" ref="AH27" si="44">AF27*AG27</f>
        <v>0</v>
      </c>
      <c r="AI27" s="355">
        <f t="shared" ref="AI27:AI37" ca="1" si="45">SUMIF($AM$10:$BZ$10,$AI$9,AM27:BT27)</f>
        <v>0</v>
      </c>
      <c r="AJ27" s="356">
        <f t="shared" ca="1" si="1"/>
        <v>0</v>
      </c>
      <c r="AK27" s="2185"/>
      <c r="AL27" s="260"/>
      <c r="AM27" s="2256"/>
      <c r="AN27" s="2256"/>
      <c r="AO27" s="359"/>
      <c r="AP27" s="377"/>
      <c r="AQ27" s="359"/>
      <c r="AR27" s="359"/>
      <c r="AS27" s="359">
        <f>100000/13</f>
        <v>7692.3076923076924</v>
      </c>
      <c r="AT27" s="360">
        <v>7692.3076923076924</v>
      </c>
      <c r="AU27" s="359">
        <v>7692.3076923076924</v>
      </c>
      <c r="AV27" s="359">
        <v>7692.3076923076924</v>
      </c>
      <c r="AW27" s="359">
        <v>7692.3076923076924</v>
      </c>
      <c r="AX27" s="377">
        <v>7692.3076923076924</v>
      </c>
      <c r="AY27" s="360">
        <v>7692.3076923076924</v>
      </c>
      <c r="AZ27" s="2258">
        <v>7692.3076923076924</v>
      </c>
      <c r="BA27" s="359">
        <v>7692.3076923076924</v>
      </c>
      <c r="BB27" s="359">
        <v>7692.3076923076924</v>
      </c>
      <c r="BC27" s="359">
        <v>7692.3076923076924</v>
      </c>
      <c r="BD27" s="359">
        <v>7692.3076923076924</v>
      </c>
      <c r="BE27" s="359">
        <v>7692.3076923076924</v>
      </c>
      <c r="BF27" s="359"/>
      <c r="BG27" s="359"/>
      <c r="BH27" s="359"/>
      <c r="BI27" s="380"/>
      <c r="BJ27" s="359"/>
      <c r="BK27" s="2122"/>
      <c r="BL27" s="380"/>
      <c r="BM27" s="380"/>
      <c r="BN27" s="380"/>
      <c r="BO27" s="380"/>
      <c r="BP27" s="380"/>
      <c r="BQ27" s="2087"/>
      <c r="BR27" s="359"/>
      <c r="BS27" s="359"/>
      <c r="BT27" s="359"/>
      <c r="BU27" s="355"/>
      <c r="BV27" s="355"/>
      <c r="BW27" s="446"/>
      <c r="BX27" s="2392"/>
      <c r="BY27" s="2432"/>
      <c r="BZ27" s="2432"/>
      <c r="CA27" s="2432">
        <f>SUMIF($AM$10:$BZ$10,$CA$9,AM27:BZ27)</f>
        <v>99999.999999999985</v>
      </c>
      <c r="CB27" s="2377">
        <f t="shared" ref="CB27" si="46">IF($AB27&lt;&gt;0,CA27/$AB27,"")</f>
        <v>1</v>
      </c>
      <c r="CC27" s="365">
        <f t="shared" si="3"/>
        <v>1.0000000000000001E-5</v>
      </c>
      <c r="CD27" s="366"/>
      <c r="CE27" s="343"/>
      <c r="CF27" s="343"/>
      <c r="CG27" s="340"/>
      <c r="CH27" s="1416"/>
      <c r="CI27" s="1417"/>
      <c r="CJ27" s="1417"/>
      <c r="CK27" s="355"/>
      <c r="CL27" s="329">
        <f t="shared" si="12"/>
        <v>0</v>
      </c>
      <c r="CM27" s="330">
        <f t="shared" ca="1" si="13"/>
        <v>0</v>
      </c>
      <c r="CN27" s="331">
        <f t="shared" ca="1" si="14"/>
        <v>-46153.846153846134</v>
      </c>
      <c r="CO27" s="86"/>
      <c r="CP27" s="86"/>
      <c r="CQ27" s="1641"/>
      <c r="CR27" s="86"/>
      <c r="CS27" s="86"/>
      <c r="CT27" s="86"/>
      <c r="CU27" s="86"/>
      <c r="CV27" s="86"/>
      <c r="CW27" s="86"/>
      <c r="CX27" s="86"/>
      <c r="CY27" s="86"/>
      <c r="CZ27" s="86"/>
      <c r="DA27" s="86"/>
      <c r="DB27" s="1642"/>
      <c r="DC27" s="1642"/>
      <c r="DD27" s="30"/>
      <c r="DE27" s="30"/>
      <c r="DF27" s="30"/>
      <c r="DG27" s="1642"/>
      <c r="DH27" s="1642"/>
      <c r="DI27" s="1642"/>
      <c r="DJ27" s="1642"/>
      <c r="DK27" s="1642"/>
      <c r="DL27" s="1642"/>
      <c r="DM27" s="1642"/>
      <c r="DN27" s="1642"/>
      <c r="DO27" s="1642"/>
      <c r="DP27" s="1642"/>
      <c r="DQ27" s="1642"/>
      <c r="DR27" s="1642"/>
      <c r="DS27" s="1642"/>
      <c r="DT27" s="1642"/>
      <c r="DU27" s="1642"/>
      <c r="DV27" s="1642"/>
      <c r="DW27" s="1642"/>
      <c r="DX27" s="1642"/>
      <c r="DY27" s="1642"/>
      <c r="DZ27" s="1642"/>
      <c r="EA27" s="1642"/>
      <c r="EB27" s="1642"/>
      <c r="EC27" s="1642"/>
      <c r="ED27" s="1642"/>
      <c r="EE27" s="1642"/>
      <c r="EF27" s="1642"/>
      <c r="EG27" s="1642"/>
      <c r="EH27" s="1643"/>
      <c r="EI27" s="1658"/>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c r="GT27" s="30"/>
      <c r="GU27" s="30"/>
      <c r="GV27" s="30"/>
      <c r="GW27" s="30"/>
      <c r="GX27" s="30"/>
      <c r="GY27" s="30"/>
      <c r="GZ27" s="30"/>
      <c r="HA27" s="30"/>
      <c r="HB27" s="30"/>
      <c r="HC27" s="30"/>
      <c r="HD27" s="30"/>
      <c r="HE27" s="30"/>
      <c r="HF27" s="30"/>
      <c r="HG27" s="30"/>
      <c r="HH27" s="30"/>
      <c r="HI27" s="30"/>
      <c r="HJ27" s="30"/>
      <c r="HK27" s="30"/>
      <c r="HL27" s="30"/>
      <c r="HM27" s="30"/>
      <c r="HN27" s="30"/>
      <c r="HO27" s="30"/>
      <c r="HP27" s="30"/>
      <c r="HQ27" s="30"/>
      <c r="HR27" s="30"/>
      <c r="HS27" s="30"/>
      <c r="HT27" s="30"/>
      <c r="HU27" s="30"/>
      <c r="HV27" s="30"/>
      <c r="HW27" s="30"/>
      <c r="HX27" s="30"/>
      <c r="HY27" s="30"/>
      <c r="HZ27" s="30"/>
      <c r="IA27" s="30"/>
      <c r="IB27" s="30"/>
      <c r="IC27" s="30"/>
      <c r="ID27" s="30"/>
      <c r="IE27" s="30"/>
      <c r="IF27" s="30"/>
      <c r="IG27" s="30"/>
      <c r="IH27" s="30"/>
      <c r="II27" s="30"/>
      <c r="IJ27" s="30"/>
      <c r="IK27" s="30"/>
      <c r="IL27" s="30"/>
      <c r="IM27" s="30"/>
      <c r="IN27" s="30"/>
      <c r="IO27" s="30"/>
      <c r="IP27" s="30"/>
      <c r="IQ27" s="30"/>
      <c r="IR27" s="30"/>
      <c r="IS27" s="30"/>
      <c r="IT27" s="30"/>
      <c r="IU27" s="30"/>
      <c r="IV27" s="30"/>
      <c r="IW27" s="30"/>
      <c r="IX27" s="30"/>
      <c r="IY27" s="30"/>
      <c r="IZ27" s="30"/>
      <c r="JA27" s="30"/>
      <c r="JB27" s="30"/>
      <c r="JC27" s="30"/>
      <c r="JD27" s="30"/>
      <c r="JE27" s="30"/>
      <c r="JF27" s="30"/>
      <c r="JG27" s="30"/>
      <c r="JH27" s="30"/>
      <c r="JI27" s="30"/>
      <c r="JJ27" s="30"/>
      <c r="JK27" s="30"/>
      <c r="JL27" s="30"/>
      <c r="JM27" s="30"/>
      <c r="JN27" s="30"/>
      <c r="JO27" s="30"/>
      <c r="JP27" s="30"/>
      <c r="JQ27" s="30"/>
      <c r="JR27" s="30"/>
      <c r="JS27" s="30"/>
      <c r="JT27" s="30"/>
      <c r="JU27" s="30"/>
      <c r="JV27" s="30"/>
      <c r="JW27" s="30"/>
      <c r="JX27" s="30"/>
      <c r="JY27" s="30"/>
      <c r="JZ27" s="30"/>
      <c r="KA27" s="30"/>
      <c r="KB27" s="30"/>
      <c r="KC27" s="30"/>
      <c r="KD27" s="30"/>
      <c r="KE27" s="30"/>
      <c r="KF27" s="30"/>
      <c r="KG27" s="30"/>
      <c r="KH27" s="30"/>
      <c r="KI27" s="30"/>
      <c r="KJ27" s="30"/>
      <c r="KK27" s="30"/>
      <c r="KL27" s="30"/>
      <c r="KM27" s="30"/>
      <c r="KN27" s="30"/>
      <c r="KO27" s="30"/>
      <c r="KP27" s="1630"/>
    </row>
    <row r="28" spans="1:302" s="97" customFormat="1" ht="13.9" outlineLevel="1">
      <c r="A28" s="2652" t="s">
        <v>773</v>
      </c>
      <c r="B28" s="2579"/>
      <c r="C28" s="2582" t="s">
        <v>579</v>
      </c>
      <c r="D28" s="2582" t="s">
        <v>588</v>
      </c>
      <c r="E28" s="1415"/>
      <c r="F28" s="370"/>
      <c r="G28" s="387"/>
      <c r="H28" s="350" t="s">
        <v>26</v>
      </c>
      <c r="I28" s="2934"/>
      <c r="J28" s="362" t="s">
        <v>26</v>
      </c>
      <c r="K28" s="355"/>
      <c r="L28" s="357"/>
      <c r="M28" s="357"/>
      <c r="N28" s="357"/>
      <c r="O28" s="1510">
        <v>250000</v>
      </c>
      <c r="P28" s="355"/>
      <c r="Q28" s="355"/>
      <c r="R28" s="355"/>
      <c r="S28" s="1510">
        <f t="shared" si="41"/>
        <v>0</v>
      </c>
      <c r="T28" s="355"/>
      <c r="U28" s="355"/>
      <c r="V28" s="355"/>
      <c r="W28" s="1744">
        <f t="shared" si="42"/>
        <v>250000</v>
      </c>
      <c r="X28" s="359" t="s">
        <v>26</v>
      </c>
      <c r="Y28" s="357"/>
      <c r="Z28" s="355"/>
      <c r="AA28" s="355"/>
      <c r="AB28" s="1510">
        <f t="shared" si="43"/>
        <v>35026</v>
      </c>
      <c r="AC28" s="2578"/>
      <c r="AD28" s="1441"/>
      <c r="AE28" s="357"/>
      <c r="AF28" s="1441"/>
      <c r="AG28" s="357"/>
      <c r="AH28" s="354">
        <f t="shared" ref="AH28:AH36" si="47">AF28*AG28</f>
        <v>0</v>
      </c>
      <c r="AI28" s="355">
        <f t="shared" ca="1" si="45"/>
        <v>0</v>
      </c>
      <c r="AJ28" s="356">
        <f t="shared" ca="1" si="1"/>
        <v>0</v>
      </c>
      <c r="AK28" s="2185"/>
      <c r="AL28" s="260"/>
      <c r="AM28" s="2256"/>
      <c r="AN28" s="2256"/>
      <c r="AO28" s="359"/>
      <c r="AP28" s="377"/>
      <c r="AQ28" s="359"/>
      <c r="AR28" s="359"/>
      <c r="AS28" s="359"/>
      <c r="AT28" s="360"/>
      <c r="AU28" s="359"/>
      <c r="AV28" s="359"/>
      <c r="AW28" s="359"/>
      <c r="AX28" s="377"/>
      <c r="AY28" s="360"/>
      <c r="AZ28" s="2258"/>
      <c r="BA28" s="359"/>
      <c r="BB28" s="359"/>
      <c r="BC28" s="359"/>
      <c r="BD28" s="359"/>
      <c r="BE28" s="359"/>
      <c r="BF28" s="359"/>
      <c r="BG28" s="359"/>
      <c r="BH28" s="359"/>
      <c r="BI28" s="380"/>
      <c r="BJ28" s="359"/>
      <c r="BK28" s="2122"/>
      <c r="BL28" s="380"/>
      <c r="BM28" s="380"/>
      <c r="BN28" s="380"/>
      <c r="BO28" s="380"/>
      <c r="BP28" s="380">
        <v>35026</v>
      </c>
      <c r="BQ28" s="2087"/>
      <c r="BR28" s="359"/>
      <c r="BS28" s="359"/>
      <c r="BT28" s="359"/>
      <c r="BU28" s="355"/>
      <c r="BV28" s="355"/>
      <c r="BW28" s="446"/>
      <c r="BX28" s="2392"/>
      <c r="BY28" s="2432"/>
      <c r="BZ28" s="2432"/>
      <c r="CA28" s="2432">
        <f t="shared" ref="CA28:CA34" si="48">SUMIF($AM$10:$BZ$10,$CA$9,AM28:BZ28)</f>
        <v>35026</v>
      </c>
      <c r="CB28" s="2377">
        <f t="shared" ref="CB28:CB34" si="49">IF($AB28&lt;&gt;0,CA28/$AB28,"")</f>
        <v>1</v>
      </c>
      <c r="CC28" s="365">
        <f t="shared" ref="CC28:CC34" si="50">IF($AB28&lt;&gt;0,CB28/$AB28,"")</f>
        <v>2.8550219836692744E-5</v>
      </c>
      <c r="CD28" s="366"/>
      <c r="CE28" s="343"/>
      <c r="CF28" s="343"/>
      <c r="CG28" s="340"/>
      <c r="CH28" s="1416"/>
      <c r="CI28" s="1417"/>
      <c r="CJ28" s="1417"/>
      <c r="CK28" s="355"/>
      <c r="CL28" s="329">
        <f t="shared" si="12"/>
        <v>214974</v>
      </c>
      <c r="CM28" s="330">
        <f t="shared" ca="1" si="13"/>
        <v>0</v>
      </c>
      <c r="CN28" s="331">
        <f t="shared" ca="1" si="14"/>
        <v>-35026</v>
      </c>
      <c r="CO28" s="86"/>
      <c r="CP28" s="86"/>
      <c r="CQ28" s="1641"/>
      <c r="CR28" s="86"/>
      <c r="CS28" s="86"/>
      <c r="CT28" s="86"/>
      <c r="CU28" s="86"/>
      <c r="CV28" s="86"/>
      <c r="CW28" s="86"/>
      <c r="CX28" s="86"/>
      <c r="CY28" s="86"/>
      <c r="CZ28" s="86"/>
      <c r="DA28" s="86"/>
      <c r="DB28" s="1642"/>
      <c r="DC28" s="1642"/>
      <c r="DD28" s="30"/>
      <c r="DE28" s="30"/>
      <c r="DF28" s="30"/>
      <c r="DG28" s="1642"/>
      <c r="DH28" s="1642"/>
      <c r="DI28" s="1642"/>
      <c r="DJ28" s="1642"/>
      <c r="DK28" s="1642"/>
      <c r="DL28" s="1642"/>
      <c r="DM28" s="1642"/>
      <c r="DN28" s="1642"/>
      <c r="DO28" s="1642"/>
      <c r="DP28" s="1642"/>
      <c r="DQ28" s="1642"/>
      <c r="DR28" s="1642"/>
      <c r="DS28" s="1642"/>
      <c r="DT28" s="1642"/>
      <c r="DU28" s="1642"/>
      <c r="DV28" s="1642"/>
      <c r="DW28" s="1642"/>
      <c r="DX28" s="1642"/>
      <c r="DY28" s="1642"/>
      <c r="DZ28" s="1642"/>
      <c r="EA28" s="1642"/>
      <c r="EB28" s="1642"/>
      <c r="EC28" s="1642"/>
      <c r="ED28" s="1642"/>
      <c r="EE28" s="1642"/>
      <c r="EF28" s="1642"/>
      <c r="EG28" s="1642"/>
      <c r="EH28" s="1643"/>
      <c r="EI28" s="1658"/>
      <c r="EJ28" s="30"/>
      <c r="EK28" s="30"/>
      <c r="EL28" s="30"/>
      <c r="EM28" s="30"/>
      <c r="EN28" s="30"/>
      <c r="EO28" s="30"/>
      <c r="EP28" s="30"/>
      <c r="EQ28" s="30"/>
      <c r="ER28" s="30"/>
      <c r="ES28" s="30"/>
      <c r="ET28" s="30"/>
      <c r="EU28" s="30"/>
      <c r="EV28" s="30"/>
      <c r="EW28" s="30"/>
      <c r="EX28" s="30"/>
      <c r="EY28" s="30"/>
      <c r="EZ28" s="30"/>
      <c r="FA28" s="30"/>
      <c r="FB28" s="30"/>
      <c r="FC28" s="30"/>
      <c r="FD28" s="30"/>
      <c r="FE28" s="30"/>
      <c r="FF28" s="30"/>
      <c r="FG28" s="30"/>
      <c r="FH28" s="30"/>
      <c r="FI28" s="30"/>
      <c r="FJ28" s="30"/>
      <c r="FK28" s="30"/>
      <c r="FL28" s="30"/>
      <c r="FM28" s="30"/>
      <c r="FN28" s="30"/>
      <c r="FO28" s="30"/>
      <c r="FP28" s="30"/>
      <c r="FQ28" s="30"/>
      <c r="FR28" s="30"/>
      <c r="FS28" s="30"/>
      <c r="FT28" s="30"/>
      <c r="FU28" s="30"/>
      <c r="FV28" s="30"/>
      <c r="FW28" s="30"/>
      <c r="FX28" s="30"/>
      <c r="FY28" s="30"/>
      <c r="FZ28" s="30"/>
      <c r="GA28" s="30"/>
      <c r="GB28" s="30"/>
      <c r="GC28" s="30"/>
      <c r="GD28" s="30"/>
      <c r="GE28" s="30"/>
      <c r="GF28" s="30"/>
      <c r="GG28" s="30"/>
      <c r="GH28" s="30"/>
      <c r="GI28" s="30"/>
      <c r="GJ28" s="30"/>
      <c r="GK28" s="30"/>
      <c r="GL28" s="30"/>
      <c r="GM28" s="30"/>
      <c r="GN28" s="30"/>
      <c r="GO28" s="30"/>
      <c r="GP28" s="30"/>
      <c r="GQ28" s="30"/>
      <c r="GR28" s="30"/>
      <c r="GS28" s="30"/>
      <c r="GT28" s="30"/>
      <c r="GU28" s="30"/>
      <c r="GV28" s="30"/>
      <c r="GW28" s="30"/>
      <c r="GX28" s="30"/>
      <c r="GY28" s="30"/>
      <c r="GZ28" s="30"/>
      <c r="HA28" s="30"/>
      <c r="HB28" s="30"/>
      <c r="HC28" s="30"/>
      <c r="HD28" s="30"/>
      <c r="HE28" s="30"/>
      <c r="HF28" s="30"/>
      <c r="HG28" s="30"/>
      <c r="HH28" s="30"/>
      <c r="HI28" s="30"/>
      <c r="HJ28" s="30"/>
      <c r="HK28" s="30"/>
      <c r="HL28" s="30"/>
      <c r="HM28" s="30"/>
      <c r="HN28" s="30"/>
      <c r="HO28" s="30"/>
      <c r="HP28" s="30"/>
      <c r="HQ28" s="30"/>
      <c r="HR28" s="30"/>
      <c r="HS28" s="30"/>
      <c r="HT28" s="30"/>
      <c r="HU28" s="30"/>
      <c r="HV28" s="30"/>
      <c r="HW28" s="30"/>
      <c r="HX28" s="30"/>
      <c r="HY28" s="30"/>
      <c r="HZ28" s="30"/>
      <c r="IA28" s="30"/>
      <c r="IB28" s="30"/>
      <c r="IC28" s="30"/>
      <c r="ID28" s="30"/>
      <c r="IE28" s="30"/>
      <c r="IF28" s="30"/>
      <c r="IG28" s="30"/>
      <c r="IH28" s="30"/>
      <c r="II28" s="30"/>
      <c r="IJ28" s="30"/>
      <c r="IK28" s="30"/>
      <c r="IL28" s="30"/>
      <c r="IM28" s="30"/>
      <c r="IN28" s="30"/>
      <c r="IO28" s="30"/>
      <c r="IP28" s="30"/>
      <c r="IQ28" s="30"/>
      <c r="IR28" s="30"/>
      <c r="IS28" s="30"/>
      <c r="IT28" s="30"/>
      <c r="IU28" s="30"/>
      <c r="IV28" s="30"/>
      <c r="IW28" s="30"/>
      <c r="IX28" s="30"/>
      <c r="IY28" s="30"/>
      <c r="IZ28" s="30"/>
      <c r="JA28" s="30"/>
      <c r="JB28" s="30"/>
      <c r="JC28" s="30"/>
      <c r="JD28" s="30"/>
      <c r="JE28" s="30"/>
      <c r="JF28" s="30"/>
      <c r="JG28" s="30"/>
      <c r="JH28" s="30"/>
      <c r="JI28" s="30"/>
      <c r="JJ28" s="30"/>
      <c r="JK28" s="30"/>
      <c r="JL28" s="30"/>
      <c r="JM28" s="30"/>
      <c r="JN28" s="30"/>
      <c r="JO28" s="30"/>
      <c r="JP28" s="30"/>
      <c r="JQ28" s="30"/>
      <c r="JR28" s="30"/>
      <c r="JS28" s="30"/>
      <c r="JT28" s="30"/>
      <c r="JU28" s="30"/>
      <c r="JV28" s="30"/>
      <c r="JW28" s="30"/>
      <c r="JX28" s="30"/>
      <c r="JY28" s="30"/>
      <c r="JZ28" s="30"/>
      <c r="KA28" s="30"/>
      <c r="KB28" s="30"/>
      <c r="KC28" s="30"/>
      <c r="KD28" s="30"/>
      <c r="KE28" s="30"/>
      <c r="KF28" s="30"/>
      <c r="KG28" s="30"/>
      <c r="KH28" s="30"/>
      <c r="KI28" s="30"/>
      <c r="KJ28" s="30"/>
      <c r="KK28" s="30"/>
      <c r="KL28" s="30"/>
      <c r="KM28" s="30"/>
      <c r="KN28" s="30"/>
      <c r="KO28" s="30"/>
      <c r="KP28" s="1630"/>
    </row>
    <row r="29" spans="1:302" s="97" customFormat="1" ht="13.8" customHeight="1" outlineLevel="1">
      <c r="A29" s="2652" t="s">
        <v>1418</v>
      </c>
      <c r="B29" s="2579"/>
      <c r="C29" s="2582" t="s">
        <v>579</v>
      </c>
      <c r="D29" s="2582" t="s">
        <v>588</v>
      </c>
      <c r="E29" s="1415"/>
      <c r="F29" s="370"/>
      <c r="G29" s="387"/>
      <c r="H29" s="350" t="s">
        <v>26</v>
      </c>
      <c r="I29" s="2934"/>
      <c r="J29" s="362"/>
      <c r="K29" s="355"/>
      <c r="L29" s="357"/>
      <c r="M29" s="357"/>
      <c r="N29" s="357"/>
      <c r="O29" s="1510"/>
      <c r="P29" s="355"/>
      <c r="Q29" s="355"/>
      <c r="R29" s="355"/>
      <c r="S29" s="1510">
        <f t="shared" si="41"/>
        <v>0</v>
      </c>
      <c r="T29" s="355"/>
      <c r="U29" s="355"/>
      <c r="V29" s="355"/>
      <c r="W29" s="1744">
        <f t="shared" si="42"/>
        <v>0</v>
      </c>
      <c r="X29" s="359" t="s">
        <v>26</v>
      </c>
      <c r="Y29" s="357"/>
      <c r="Z29" s="355"/>
      <c r="AA29" s="355"/>
      <c r="AB29" s="1510">
        <f t="shared" si="43"/>
        <v>214974</v>
      </c>
      <c r="AC29" s="1441" t="s">
        <v>1419</v>
      </c>
      <c r="AD29" s="1444">
        <v>4503027816</v>
      </c>
      <c r="AE29" s="357" t="s">
        <v>564</v>
      </c>
      <c r="AF29" s="1441">
        <v>214974</v>
      </c>
      <c r="AG29" s="357">
        <v>1</v>
      </c>
      <c r="AH29" s="354">
        <f t="shared" ref="AH29" si="51">AF29*AG29</f>
        <v>214974</v>
      </c>
      <c r="AI29" s="355">
        <f t="shared" ref="AI29" ca="1" si="52">SUMIF($AM$10:$BZ$10,$AI$9,AM29:BT29)</f>
        <v>0</v>
      </c>
      <c r="AJ29" s="356">
        <f t="shared" ca="1" si="1"/>
        <v>0</v>
      </c>
      <c r="AK29" s="2185"/>
      <c r="AL29" s="260"/>
      <c r="AM29" s="2256"/>
      <c r="AN29" s="2256"/>
      <c r="AO29" s="359"/>
      <c r="AP29" s="377"/>
      <c r="AQ29" s="359"/>
      <c r="AR29" s="359">
        <f>214974/8</f>
        <v>26871.75</v>
      </c>
      <c r="AS29" s="359">
        <v>26871.75</v>
      </c>
      <c r="AT29" s="360">
        <v>26871.75</v>
      </c>
      <c r="AU29" s="359">
        <v>26871.75</v>
      </c>
      <c r="AV29" s="359">
        <v>26871.75</v>
      </c>
      <c r="AW29" s="359">
        <v>26871.75</v>
      </c>
      <c r="AX29" s="377">
        <v>26871.75</v>
      </c>
      <c r="AY29" s="360">
        <v>26871.75</v>
      </c>
      <c r="AZ29" s="2258"/>
      <c r="BA29" s="359"/>
      <c r="BB29" s="359"/>
      <c r="BC29" s="359"/>
      <c r="BD29" s="359"/>
      <c r="BE29" s="359"/>
      <c r="BF29" s="359"/>
      <c r="BG29" s="359"/>
      <c r="BH29" s="359"/>
      <c r="BI29" s="380"/>
      <c r="BJ29" s="359"/>
      <c r="BK29" s="2122"/>
      <c r="BL29" s="380"/>
      <c r="BM29" s="380"/>
      <c r="BN29" s="380"/>
      <c r="BO29" s="380"/>
      <c r="BP29" s="380"/>
      <c r="BQ29" s="2087"/>
      <c r="BR29" s="359"/>
      <c r="BS29" s="359"/>
      <c r="BT29" s="359"/>
      <c r="BU29" s="355"/>
      <c r="BV29" s="355"/>
      <c r="BW29" s="446"/>
      <c r="BX29" s="2392"/>
      <c r="BY29" s="2432"/>
      <c r="BZ29" s="2432"/>
      <c r="CA29" s="2432">
        <f t="shared" ref="CA29:CA31" si="53">SUMIF($AM$10:$BZ$10,$CA$9,AM29:BZ29)</f>
        <v>214974</v>
      </c>
      <c r="CB29" s="2377">
        <f t="shared" ref="CB29:CB31" si="54">IF($AB29&lt;&gt;0,CA29/$AB29,"")</f>
        <v>1</v>
      </c>
      <c r="CC29" s="365">
        <f t="shared" ref="CC29:CC31" si="55">IF($AB29&lt;&gt;0,CB29/$AB29,"")</f>
        <v>4.6517253249230142E-6</v>
      </c>
      <c r="CD29" s="366"/>
      <c r="CE29" s="343"/>
      <c r="CF29" s="343"/>
      <c r="CG29" s="340"/>
      <c r="CH29" s="1416"/>
      <c r="CI29" s="1417"/>
      <c r="CJ29" s="1417"/>
      <c r="CK29" s="355"/>
      <c r="CL29" s="329">
        <f t="shared" si="12"/>
        <v>-214974</v>
      </c>
      <c r="CM29" s="330">
        <f t="shared" ca="1" si="13"/>
        <v>0</v>
      </c>
      <c r="CN29" s="331"/>
      <c r="CO29" s="86"/>
      <c r="CP29" s="86"/>
      <c r="CQ29" s="1641"/>
      <c r="CR29" s="86"/>
      <c r="CS29" s="86"/>
      <c r="CT29" s="86"/>
      <c r="CU29" s="86"/>
      <c r="CV29" s="86"/>
      <c r="CW29" s="86"/>
      <c r="CX29" s="86"/>
      <c r="CY29" s="86"/>
      <c r="CZ29" s="86"/>
      <c r="DA29" s="86"/>
      <c r="DB29" s="1642"/>
      <c r="DC29" s="1642"/>
      <c r="DD29" s="30"/>
      <c r="DE29" s="30"/>
      <c r="DF29" s="30"/>
      <c r="DG29" s="1642"/>
      <c r="DH29" s="1642"/>
      <c r="DI29" s="1642"/>
      <c r="DJ29" s="1642"/>
      <c r="DK29" s="1642"/>
      <c r="DL29" s="1642"/>
      <c r="DM29" s="1642"/>
      <c r="DN29" s="1642"/>
      <c r="DO29" s="1642"/>
      <c r="DP29" s="1642"/>
      <c r="DQ29" s="1642"/>
      <c r="DR29" s="1642"/>
      <c r="DS29" s="1642"/>
      <c r="DT29" s="1642"/>
      <c r="DU29" s="1642"/>
      <c r="DV29" s="1642"/>
      <c r="DW29" s="1642"/>
      <c r="DX29" s="1642"/>
      <c r="DY29" s="1642"/>
      <c r="DZ29" s="1642"/>
      <c r="EA29" s="1642"/>
      <c r="EB29" s="1642"/>
      <c r="EC29" s="1642"/>
      <c r="ED29" s="1642"/>
      <c r="EE29" s="1642"/>
      <c r="EF29" s="1642"/>
      <c r="EG29" s="1642"/>
      <c r="EH29" s="1643"/>
      <c r="EI29" s="1658"/>
      <c r="EJ29" s="30"/>
      <c r="EK29" s="30"/>
      <c r="EL29" s="30"/>
      <c r="EM29" s="30"/>
      <c r="EN29" s="30"/>
      <c r="EO29" s="30"/>
      <c r="EP29" s="30"/>
      <c r="EQ29" s="30"/>
      <c r="ER29" s="30"/>
      <c r="ES29" s="30"/>
      <c r="ET29" s="30"/>
      <c r="EU29" s="30"/>
      <c r="EV29" s="30"/>
      <c r="EW29" s="30"/>
      <c r="EX29" s="30"/>
      <c r="EY29" s="30"/>
      <c r="EZ29" s="30"/>
      <c r="FA29" s="30"/>
      <c r="FB29" s="30"/>
      <c r="FC29" s="30"/>
      <c r="FD29" s="30"/>
      <c r="FE29" s="30"/>
      <c r="FF29" s="30"/>
      <c r="FG29" s="30"/>
      <c r="FH29" s="30"/>
      <c r="FI29" s="30"/>
      <c r="FJ29" s="30"/>
      <c r="FK29" s="30"/>
      <c r="FL29" s="30"/>
      <c r="FM29" s="30"/>
      <c r="FN29" s="30"/>
      <c r="FO29" s="30"/>
      <c r="FP29" s="30"/>
      <c r="FQ29" s="30"/>
      <c r="FR29" s="30"/>
      <c r="FS29" s="30"/>
      <c r="FT29" s="30"/>
      <c r="FU29" s="30"/>
      <c r="FV29" s="30"/>
      <c r="FW29" s="30"/>
      <c r="FX29" s="30"/>
      <c r="FY29" s="30"/>
      <c r="FZ29" s="30"/>
      <c r="GA29" s="30"/>
      <c r="GB29" s="30"/>
      <c r="GC29" s="30"/>
      <c r="GD29" s="30"/>
      <c r="GE29" s="30"/>
      <c r="GF29" s="30"/>
      <c r="GG29" s="30"/>
      <c r="GH29" s="30"/>
      <c r="GI29" s="30"/>
      <c r="GJ29" s="30"/>
      <c r="GK29" s="30"/>
      <c r="GL29" s="30"/>
      <c r="GM29" s="30"/>
      <c r="GN29" s="30"/>
      <c r="GO29" s="30"/>
      <c r="GP29" s="30"/>
      <c r="GQ29" s="30"/>
      <c r="GR29" s="30"/>
      <c r="GS29" s="30"/>
      <c r="GT29" s="30"/>
      <c r="GU29" s="30"/>
      <c r="GV29" s="30"/>
      <c r="GW29" s="30"/>
      <c r="GX29" s="30"/>
      <c r="GY29" s="30"/>
      <c r="GZ29" s="30"/>
      <c r="HA29" s="30"/>
      <c r="HB29" s="30"/>
      <c r="HC29" s="30"/>
      <c r="HD29" s="30"/>
      <c r="HE29" s="30"/>
      <c r="HF29" s="30"/>
      <c r="HG29" s="30"/>
      <c r="HH29" s="30"/>
      <c r="HI29" s="30"/>
      <c r="HJ29" s="30"/>
      <c r="HK29" s="30"/>
      <c r="HL29" s="30"/>
      <c r="HM29" s="30"/>
      <c r="HN29" s="30"/>
      <c r="HO29" s="30"/>
      <c r="HP29" s="30"/>
      <c r="HQ29" s="30"/>
      <c r="HR29" s="30"/>
      <c r="HS29" s="30"/>
      <c r="HT29" s="30"/>
      <c r="HU29" s="30"/>
      <c r="HV29" s="30"/>
      <c r="HW29" s="30"/>
      <c r="HX29" s="30"/>
      <c r="HY29" s="30"/>
      <c r="HZ29" s="30"/>
      <c r="IA29" s="30"/>
      <c r="IB29" s="30"/>
      <c r="IC29" s="30"/>
      <c r="ID29" s="30"/>
      <c r="IE29" s="30"/>
      <c r="IF29" s="30"/>
      <c r="IG29" s="30"/>
      <c r="IH29" s="30"/>
      <c r="II29" s="30"/>
      <c r="IJ29" s="30"/>
      <c r="IK29" s="30"/>
      <c r="IL29" s="30"/>
      <c r="IM29" s="30"/>
      <c r="IN29" s="30"/>
      <c r="IO29" s="30"/>
      <c r="IP29" s="30"/>
      <c r="IQ29" s="30"/>
      <c r="IR29" s="30"/>
      <c r="IS29" s="30"/>
      <c r="IT29" s="30"/>
      <c r="IU29" s="30"/>
      <c r="IV29" s="30"/>
      <c r="IW29" s="30"/>
      <c r="IX29" s="30"/>
      <c r="IY29" s="30"/>
      <c r="IZ29" s="30"/>
      <c r="JA29" s="30"/>
      <c r="JB29" s="30"/>
      <c r="JC29" s="30"/>
      <c r="JD29" s="30"/>
      <c r="JE29" s="30"/>
      <c r="JF29" s="30"/>
      <c r="JG29" s="30"/>
      <c r="JH29" s="30"/>
      <c r="JI29" s="30"/>
      <c r="JJ29" s="30"/>
      <c r="JK29" s="30"/>
      <c r="JL29" s="30"/>
      <c r="JM29" s="30"/>
      <c r="JN29" s="30"/>
      <c r="JO29" s="30"/>
      <c r="JP29" s="30"/>
      <c r="JQ29" s="30"/>
      <c r="JR29" s="30"/>
      <c r="JS29" s="30"/>
      <c r="JT29" s="30"/>
      <c r="JU29" s="30"/>
      <c r="JV29" s="30"/>
      <c r="JW29" s="30"/>
      <c r="JX29" s="30"/>
      <c r="JY29" s="30"/>
      <c r="JZ29" s="30"/>
      <c r="KA29" s="30"/>
      <c r="KB29" s="30"/>
      <c r="KC29" s="30"/>
      <c r="KD29" s="30"/>
      <c r="KE29" s="30"/>
      <c r="KF29" s="30"/>
      <c r="KG29" s="30"/>
      <c r="KH29" s="30"/>
      <c r="KI29" s="30"/>
      <c r="KJ29" s="30"/>
      <c r="KK29" s="30"/>
      <c r="KL29" s="30"/>
      <c r="KM29" s="30"/>
      <c r="KN29" s="30"/>
      <c r="KO29" s="30"/>
      <c r="KP29" s="1630"/>
    </row>
    <row r="30" spans="1:302" s="97" customFormat="1" ht="13.9" outlineLevel="1">
      <c r="A30" s="2652" t="s">
        <v>774</v>
      </c>
      <c r="B30" s="2579"/>
      <c r="C30" s="2582" t="s">
        <v>580</v>
      </c>
      <c r="D30" s="2582" t="s">
        <v>589</v>
      </c>
      <c r="E30" s="1415"/>
      <c r="F30" s="370"/>
      <c r="G30" s="387"/>
      <c r="H30" s="350" t="s">
        <v>26</v>
      </c>
      <c r="I30" s="2934"/>
      <c r="J30" s="362" t="s">
        <v>26</v>
      </c>
      <c r="K30" s="355"/>
      <c r="L30" s="357"/>
      <c r="M30" s="357"/>
      <c r="N30" s="357"/>
      <c r="O30" s="1510">
        <v>100000</v>
      </c>
      <c r="P30" s="355"/>
      <c r="Q30" s="355"/>
      <c r="R30" s="355"/>
      <c r="S30" s="1510">
        <f t="shared" si="41"/>
        <v>0</v>
      </c>
      <c r="T30" s="355"/>
      <c r="U30" s="355"/>
      <c r="V30" s="355"/>
      <c r="W30" s="1744">
        <f t="shared" si="42"/>
        <v>100000</v>
      </c>
      <c r="X30" s="359" t="s">
        <v>26</v>
      </c>
      <c r="Y30" s="357"/>
      <c r="Z30" s="355"/>
      <c r="AA30" s="355"/>
      <c r="AB30" s="1510">
        <f t="shared" si="43"/>
        <v>100000</v>
      </c>
      <c r="AC30" s="2578"/>
      <c r="AD30" s="1441"/>
      <c r="AE30" s="357"/>
      <c r="AF30" s="1441"/>
      <c r="AG30" s="357"/>
      <c r="AH30" s="354">
        <f t="shared" si="47"/>
        <v>0</v>
      </c>
      <c r="AI30" s="355">
        <f t="shared" ca="1" si="45"/>
        <v>0</v>
      </c>
      <c r="AJ30" s="356">
        <f t="shared" ca="1" si="1"/>
        <v>0</v>
      </c>
      <c r="AK30" s="2185"/>
      <c r="AL30" s="260"/>
      <c r="AM30" s="2256"/>
      <c r="AN30" s="2256"/>
      <c r="AO30" s="359"/>
      <c r="AP30" s="377"/>
      <c r="AQ30" s="359"/>
      <c r="AR30" s="359"/>
      <c r="AS30" s="359"/>
      <c r="AT30" s="360"/>
      <c r="AU30" s="359"/>
      <c r="AV30" s="359"/>
      <c r="AW30" s="359"/>
      <c r="AX30" s="377"/>
      <c r="AY30" s="360"/>
      <c r="AZ30" s="2258"/>
      <c r="BA30" s="359"/>
      <c r="BB30" s="359"/>
      <c r="BC30" s="359"/>
      <c r="BD30" s="359"/>
      <c r="BE30" s="359"/>
      <c r="BF30" s="359"/>
      <c r="BG30" s="359">
        <v>20000</v>
      </c>
      <c r="BH30" s="359">
        <v>20000</v>
      </c>
      <c r="BI30" s="359">
        <v>20000</v>
      </c>
      <c r="BJ30" s="359">
        <v>20000</v>
      </c>
      <c r="BK30" s="2122">
        <v>20000</v>
      </c>
      <c r="BL30" s="380"/>
      <c r="BM30" s="380"/>
      <c r="BN30" s="380"/>
      <c r="BO30" s="380"/>
      <c r="BP30" s="380"/>
      <c r="BQ30" s="2087"/>
      <c r="BR30" s="359"/>
      <c r="BS30" s="359"/>
      <c r="BT30" s="359"/>
      <c r="BU30" s="355"/>
      <c r="BV30" s="355"/>
      <c r="BW30" s="446"/>
      <c r="BX30" s="2392"/>
      <c r="BY30" s="2432"/>
      <c r="BZ30" s="2432"/>
      <c r="CA30" s="2432">
        <f t="shared" si="53"/>
        <v>100000</v>
      </c>
      <c r="CB30" s="2377">
        <f t="shared" si="54"/>
        <v>1</v>
      </c>
      <c r="CC30" s="365">
        <f t="shared" si="55"/>
        <v>1.0000000000000001E-5</v>
      </c>
      <c r="CD30" s="366"/>
      <c r="CE30" s="343"/>
      <c r="CF30" s="343"/>
      <c r="CG30" s="340"/>
      <c r="CH30" s="1416"/>
      <c r="CI30" s="1417"/>
      <c r="CJ30" s="1417"/>
      <c r="CK30" s="355"/>
      <c r="CL30" s="329">
        <f t="shared" si="12"/>
        <v>0</v>
      </c>
      <c r="CM30" s="330">
        <f t="shared" ca="1" si="13"/>
        <v>0</v>
      </c>
      <c r="CN30" s="331">
        <f t="shared" ca="1" si="14"/>
        <v>-100000</v>
      </c>
      <c r="CO30" s="86"/>
      <c r="CP30" s="86"/>
      <c r="CQ30" s="1641"/>
      <c r="CR30" s="86"/>
      <c r="CS30" s="86"/>
      <c r="CT30" s="86"/>
      <c r="CU30" s="86"/>
      <c r="CV30" s="86"/>
      <c r="CW30" s="86"/>
      <c r="CX30" s="86"/>
      <c r="CY30" s="86"/>
      <c r="CZ30" s="86"/>
      <c r="DA30" s="86"/>
      <c r="DB30" s="1642"/>
      <c r="DC30" s="1642"/>
      <c r="DD30" s="30"/>
      <c r="DE30" s="30"/>
      <c r="DF30" s="30"/>
      <c r="DG30" s="1642"/>
      <c r="DH30" s="1642"/>
      <c r="DI30" s="1642"/>
      <c r="DJ30" s="1642"/>
      <c r="DK30" s="1642"/>
      <c r="DL30" s="1642"/>
      <c r="DM30" s="1642"/>
      <c r="DN30" s="1642"/>
      <c r="DO30" s="1642"/>
      <c r="DP30" s="1642"/>
      <c r="DQ30" s="1642"/>
      <c r="DR30" s="1642"/>
      <c r="DS30" s="1642"/>
      <c r="DT30" s="1642"/>
      <c r="DU30" s="1642"/>
      <c r="DV30" s="1642"/>
      <c r="DW30" s="1642"/>
      <c r="DX30" s="1642"/>
      <c r="DY30" s="1642"/>
      <c r="DZ30" s="1642"/>
      <c r="EA30" s="1642"/>
      <c r="EB30" s="1642"/>
      <c r="EC30" s="1642"/>
      <c r="ED30" s="1642"/>
      <c r="EE30" s="1642"/>
      <c r="EF30" s="1642"/>
      <c r="EG30" s="1642"/>
      <c r="EH30" s="1643"/>
      <c r="EI30" s="1658"/>
      <c r="EJ30" s="30"/>
      <c r="EK30" s="30"/>
      <c r="EL30" s="30"/>
      <c r="EM30" s="30"/>
      <c r="EN30" s="30"/>
      <c r="EO30" s="30"/>
      <c r="EP30" s="30"/>
      <c r="EQ30" s="30"/>
      <c r="ER30" s="30"/>
      <c r="ES30" s="30"/>
      <c r="ET30" s="30"/>
      <c r="EU30" s="30"/>
      <c r="EV30" s="30"/>
      <c r="EW30" s="30"/>
      <c r="EX30" s="30"/>
      <c r="EY30" s="30"/>
      <c r="EZ30" s="30"/>
      <c r="FA30" s="30"/>
      <c r="FB30" s="30"/>
      <c r="FC30" s="30"/>
      <c r="FD30" s="30"/>
      <c r="FE30" s="30"/>
      <c r="FF30" s="30"/>
      <c r="FG30" s="30"/>
      <c r="FH30" s="30"/>
      <c r="FI30" s="30"/>
      <c r="FJ30" s="30"/>
      <c r="FK30" s="30"/>
      <c r="FL30" s="30"/>
      <c r="FM30" s="30"/>
      <c r="FN30" s="30"/>
      <c r="FO30" s="30"/>
      <c r="FP30" s="30"/>
      <c r="FQ30" s="30"/>
      <c r="FR30" s="30"/>
      <c r="FS30" s="30"/>
      <c r="FT30" s="30"/>
      <c r="FU30" s="30"/>
      <c r="FV30" s="30"/>
      <c r="FW30" s="30"/>
      <c r="FX30" s="30"/>
      <c r="FY30" s="30"/>
      <c r="FZ30" s="30"/>
      <c r="GA30" s="30"/>
      <c r="GB30" s="30"/>
      <c r="GC30" s="30"/>
      <c r="GD30" s="30"/>
      <c r="GE30" s="30"/>
      <c r="GF30" s="30"/>
      <c r="GG30" s="30"/>
      <c r="GH30" s="30"/>
      <c r="GI30" s="30"/>
      <c r="GJ30" s="30"/>
      <c r="GK30" s="30"/>
      <c r="GL30" s="30"/>
      <c r="GM30" s="30"/>
      <c r="GN30" s="30"/>
      <c r="GO30" s="30"/>
      <c r="GP30" s="30"/>
      <c r="GQ30" s="30"/>
      <c r="GR30" s="30"/>
      <c r="GS30" s="30"/>
      <c r="GT30" s="30"/>
      <c r="GU30" s="30"/>
      <c r="GV30" s="30"/>
      <c r="GW30" s="30"/>
      <c r="GX30" s="30"/>
      <c r="GY30" s="30"/>
      <c r="GZ30" s="30"/>
      <c r="HA30" s="30"/>
      <c r="HB30" s="30"/>
      <c r="HC30" s="30"/>
      <c r="HD30" s="30"/>
      <c r="HE30" s="30"/>
      <c r="HF30" s="30"/>
      <c r="HG30" s="30"/>
      <c r="HH30" s="30"/>
      <c r="HI30" s="30"/>
      <c r="HJ30" s="30"/>
      <c r="HK30" s="30"/>
      <c r="HL30" s="30"/>
      <c r="HM30" s="30"/>
      <c r="HN30" s="30"/>
      <c r="HO30" s="30"/>
      <c r="HP30" s="30"/>
      <c r="HQ30" s="30"/>
      <c r="HR30" s="30"/>
      <c r="HS30" s="30"/>
      <c r="HT30" s="30"/>
      <c r="HU30" s="30"/>
      <c r="HV30" s="30"/>
      <c r="HW30" s="30"/>
      <c r="HX30" s="30"/>
      <c r="HY30" s="30"/>
      <c r="HZ30" s="30"/>
      <c r="IA30" s="30"/>
      <c r="IB30" s="30"/>
      <c r="IC30" s="30"/>
      <c r="ID30" s="30"/>
      <c r="IE30" s="30"/>
      <c r="IF30" s="30"/>
      <c r="IG30" s="30"/>
      <c r="IH30" s="30"/>
      <c r="II30" s="30"/>
      <c r="IJ30" s="30"/>
      <c r="IK30" s="30"/>
      <c r="IL30" s="30"/>
      <c r="IM30" s="30"/>
      <c r="IN30" s="30"/>
      <c r="IO30" s="30"/>
      <c r="IP30" s="30"/>
      <c r="IQ30" s="30"/>
      <c r="IR30" s="30"/>
      <c r="IS30" s="30"/>
      <c r="IT30" s="30"/>
      <c r="IU30" s="30"/>
      <c r="IV30" s="30"/>
      <c r="IW30" s="30"/>
      <c r="IX30" s="30"/>
      <c r="IY30" s="30"/>
      <c r="IZ30" s="30"/>
      <c r="JA30" s="30"/>
      <c r="JB30" s="30"/>
      <c r="JC30" s="30"/>
      <c r="JD30" s="30"/>
      <c r="JE30" s="30"/>
      <c r="JF30" s="30"/>
      <c r="JG30" s="30"/>
      <c r="JH30" s="30"/>
      <c r="JI30" s="30"/>
      <c r="JJ30" s="30"/>
      <c r="JK30" s="30"/>
      <c r="JL30" s="30"/>
      <c r="JM30" s="30"/>
      <c r="JN30" s="30"/>
      <c r="JO30" s="30"/>
      <c r="JP30" s="30"/>
      <c r="JQ30" s="30"/>
      <c r="JR30" s="30"/>
      <c r="JS30" s="30"/>
      <c r="JT30" s="30"/>
      <c r="JU30" s="30"/>
      <c r="JV30" s="30"/>
      <c r="JW30" s="30"/>
      <c r="JX30" s="30"/>
      <c r="JY30" s="30"/>
      <c r="JZ30" s="30"/>
      <c r="KA30" s="30"/>
      <c r="KB30" s="30"/>
      <c r="KC30" s="30"/>
      <c r="KD30" s="30"/>
      <c r="KE30" s="30"/>
      <c r="KF30" s="30"/>
      <c r="KG30" s="30"/>
      <c r="KH30" s="30"/>
      <c r="KI30" s="30"/>
      <c r="KJ30" s="30"/>
      <c r="KK30" s="30"/>
      <c r="KL30" s="30"/>
      <c r="KM30" s="30"/>
      <c r="KN30" s="30"/>
      <c r="KO30" s="30"/>
      <c r="KP30" s="1630"/>
    </row>
    <row r="31" spans="1:302" s="97" customFormat="1" ht="13.9" outlineLevel="1">
      <c r="A31" s="2652" t="s">
        <v>775</v>
      </c>
      <c r="B31" s="2579"/>
      <c r="C31" s="2582" t="s">
        <v>581</v>
      </c>
      <c r="D31" s="2582" t="s">
        <v>327</v>
      </c>
      <c r="E31" s="1415"/>
      <c r="F31" s="370"/>
      <c r="G31" s="387"/>
      <c r="H31" s="350" t="s">
        <v>26</v>
      </c>
      <c r="I31" s="2934"/>
      <c r="J31" s="362" t="s">
        <v>26</v>
      </c>
      <c r="K31" s="355"/>
      <c r="L31" s="357"/>
      <c r="M31" s="357"/>
      <c r="N31" s="357"/>
      <c r="O31" s="1510">
        <v>120000</v>
      </c>
      <c r="P31" s="355"/>
      <c r="Q31" s="355"/>
      <c r="R31" s="355"/>
      <c r="S31" s="1510">
        <f t="shared" si="41"/>
        <v>0</v>
      </c>
      <c r="T31" s="355"/>
      <c r="U31" s="355"/>
      <c r="V31" s="355"/>
      <c r="W31" s="1744">
        <f t="shared" si="42"/>
        <v>120000</v>
      </c>
      <c r="X31" s="359" t="s">
        <v>26</v>
      </c>
      <c r="Y31" s="357"/>
      <c r="Z31" s="355"/>
      <c r="AA31" s="355"/>
      <c r="AB31" s="1510">
        <f t="shared" si="43"/>
        <v>120000</v>
      </c>
      <c r="AC31" s="2578"/>
      <c r="AD31" s="1441"/>
      <c r="AE31" s="357"/>
      <c r="AF31" s="1441"/>
      <c r="AG31" s="357"/>
      <c r="AH31" s="354">
        <f t="shared" si="47"/>
        <v>0</v>
      </c>
      <c r="AI31" s="355">
        <f t="shared" ca="1" si="45"/>
        <v>0</v>
      </c>
      <c r="AJ31" s="356">
        <f t="shared" ca="1" si="1"/>
        <v>0</v>
      </c>
      <c r="AK31" s="2185"/>
      <c r="AL31" s="260"/>
      <c r="AM31" s="2256"/>
      <c r="AN31" s="2256"/>
      <c r="AO31" s="359"/>
      <c r="AP31" s="377"/>
      <c r="AQ31" s="359">
        <v>24000</v>
      </c>
      <c r="AR31" s="359">
        <v>24000</v>
      </c>
      <c r="AS31" s="359">
        <v>24000</v>
      </c>
      <c r="AT31" s="359">
        <v>24000</v>
      </c>
      <c r="AU31" s="359">
        <v>24000</v>
      </c>
      <c r="AV31" s="359"/>
      <c r="AW31" s="359"/>
      <c r="AX31" s="377"/>
      <c r="AY31" s="360"/>
      <c r="AZ31" s="2258"/>
      <c r="BA31" s="359"/>
      <c r="BB31" s="359"/>
      <c r="BC31" s="359"/>
      <c r="BD31" s="359"/>
      <c r="BE31" s="359"/>
      <c r="BF31" s="359"/>
      <c r="BG31" s="359"/>
      <c r="BH31" s="359"/>
      <c r="BI31" s="380"/>
      <c r="BJ31" s="359"/>
      <c r="BK31" s="2122"/>
      <c r="BL31" s="380"/>
      <c r="BM31" s="380"/>
      <c r="BN31" s="380"/>
      <c r="BO31" s="380"/>
      <c r="BP31" s="380"/>
      <c r="BQ31" s="2087"/>
      <c r="BR31" s="359"/>
      <c r="BS31" s="359"/>
      <c r="BT31" s="359"/>
      <c r="BU31" s="355"/>
      <c r="BV31" s="355"/>
      <c r="BW31" s="446"/>
      <c r="BX31" s="2392"/>
      <c r="BY31" s="2432"/>
      <c r="BZ31" s="2432"/>
      <c r="CA31" s="2432">
        <f t="shared" si="53"/>
        <v>120000</v>
      </c>
      <c r="CB31" s="2377">
        <f t="shared" si="54"/>
        <v>1</v>
      </c>
      <c r="CC31" s="365">
        <f t="shared" si="55"/>
        <v>8.3333333333333337E-6</v>
      </c>
      <c r="CD31" s="366"/>
      <c r="CE31" s="343"/>
      <c r="CF31" s="343"/>
      <c r="CG31" s="340"/>
      <c r="CH31" s="1416"/>
      <c r="CI31" s="1417"/>
      <c r="CJ31" s="1417"/>
      <c r="CK31" s="355"/>
      <c r="CL31" s="329">
        <f t="shared" si="12"/>
        <v>0</v>
      </c>
      <c r="CM31" s="330">
        <f t="shared" ca="1" si="13"/>
        <v>0</v>
      </c>
      <c r="CN31" s="331">
        <f t="shared" ca="1" si="14"/>
        <v>0</v>
      </c>
      <c r="CO31" s="86"/>
      <c r="CP31" s="86"/>
      <c r="CQ31" s="1641"/>
      <c r="CR31" s="86"/>
      <c r="CS31" s="86"/>
      <c r="CT31" s="86"/>
      <c r="CU31" s="86"/>
      <c r="CV31" s="86"/>
      <c r="CW31" s="86"/>
      <c r="CX31" s="86"/>
      <c r="CY31" s="86"/>
      <c r="CZ31" s="86"/>
      <c r="DA31" s="86"/>
      <c r="DB31" s="1642"/>
      <c r="DC31" s="1642"/>
      <c r="DD31" s="30"/>
      <c r="DE31" s="30"/>
      <c r="DF31" s="30"/>
      <c r="DG31" s="1642"/>
      <c r="DH31" s="1642"/>
      <c r="DI31" s="1642"/>
      <c r="DJ31" s="1642"/>
      <c r="DK31" s="1642"/>
      <c r="DL31" s="1642"/>
      <c r="DM31" s="1642"/>
      <c r="DN31" s="1642"/>
      <c r="DO31" s="1642"/>
      <c r="DP31" s="1642"/>
      <c r="DQ31" s="1642"/>
      <c r="DR31" s="1642"/>
      <c r="DS31" s="1642"/>
      <c r="DT31" s="1642"/>
      <c r="DU31" s="1642"/>
      <c r="DV31" s="1642"/>
      <c r="DW31" s="1642"/>
      <c r="DX31" s="1642"/>
      <c r="DY31" s="1642"/>
      <c r="DZ31" s="1642"/>
      <c r="EA31" s="1642"/>
      <c r="EB31" s="1642"/>
      <c r="EC31" s="1642"/>
      <c r="ED31" s="1642"/>
      <c r="EE31" s="1642"/>
      <c r="EF31" s="1642"/>
      <c r="EG31" s="1642"/>
      <c r="EH31" s="1643"/>
      <c r="EI31" s="1658"/>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0"/>
      <c r="HP31" s="30"/>
      <c r="HQ31" s="30"/>
      <c r="HR31" s="30"/>
      <c r="HS31" s="30"/>
      <c r="HT31" s="30"/>
      <c r="HU31" s="30"/>
      <c r="HV31" s="30"/>
      <c r="HW31" s="30"/>
      <c r="HX31" s="30"/>
      <c r="HY31" s="30"/>
      <c r="HZ31" s="30"/>
      <c r="IA31" s="30"/>
      <c r="IB31" s="30"/>
      <c r="IC31" s="30"/>
      <c r="ID31" s="30"/>
      <c r="IE31" s="30"/>
      <c r="IF31" s="30"/>
      <c r="IG31" s="30"/>
      <c r="IH31" s="30"/>
      <c r="II31" s="30"/>
      <c r="IJ31" s="30"/>
      <c r="IK31" s="30"/>
      <c r="IL31" s="30"/>
      <c r="IM31" s="30"/>
      <c r="IN31" s="30"/>
      <c r="IO31" s="30"/>
      <c r="IP31" s="30"/>
      <c r="IQ31" s="30"/>
      <c r="IR31" s="30"/>
      <c r="IS31" s="30"/>
      <c r="IT31" s="30"/>
      <c r="IU31" s="30"/>
      <c r="IV31" s="30"/>
      <c r="IW31" s="30"/>
      <c r="IX31" s="30"/>
      <c r="IY31" s="30"/>
      <c r="IZ31" s="30"/>
      <c r="JA31" s="30"/>
      <c r="JB31" s="30"/>
      <c r="JC31" s="30"/>
      <c r="JD31" s="30"/>
      <c r="JE31" s="30"/>
      <c r="JF31" s="30"/>
      <c r="JG31" s="30"/>
      <c r="JH31" s="30"/>
      <c r="JI31" s="30"/>
      <c r="JJ31" s="30"/>
      <c r="JK31" s="30"/>
      <c r="JL31" s="30"/>
      <c r="JM31" s="30"/>
      <c r="JN31" s="30"/>
      <c r="JO31" s="30"/>
      <c r="JP31" s="30"/>
      <c r="JQ31" s="30"/>
      <c r="JR31" s="30"/>
      <c r="JS31" s="30"/>
      <c r="JT31" s="30"/>
      <c r="JU31" s="30"/>
      <c r="JV31" s="30"/>
      <c r="JW31" s="30"/>
      <c r="JX31" s="30"/>
      <c r="JY31" s="30"/>
      <c r="JZ31" s="30"/>
      <c r="KA31" s="30"/>
      <c r="KB31" s="30"/>
      <c r="KC31" s="30"/>
      <c r="KD31" s="30"/>
      <c r="KE31" s="30"/>
      <c r="KF31" s="30"/>
      <c r="KG31" s="30"/>
      <c r="KH31" s="30"/>
      <c r="KI31" s="30"/>
      <c r="KJ31" s="30"/>
      <c r="KK31" s="30"/>
      <c r="KL31" s="30"/>
      <c r="KM31" s="30"/>
      <c r="KN31" s="30"/>
      <c r="KO31" s="30"/>
      <c r="KP31" s="1630"/>
    </row>
    <row r="32" spans="1:302" s="97" customFormat="1" ht="27.75" outlineLevel="1">
      <c r="A32" s="2652" t="s">
        <v>776</v>
      </c>
      <c r="B32" s="2579"/>
      <c r="C32" s="2582" t="s">
        <v>582</v>
      </c>
      <c r="D32" s="2582" t="s">
        <v>590</v>
      </c>
      <c r="E32" s="1415"/>
      <c r="F32" s="370"/>
      <c r="G32" s="387"/>
      <c r="H32" s="350" t="s">
        <v>26</v>
      </c>
      <c r="I32" s="2934"/>
      <c r="J32" s="362" t="s">
        <v>26</v>
      </c>
      <c r="K32" s="355"/>
      <c r="L32" s="357"/>
      <c r="M32" s="357"/>
      <c r="N32" s="357"/>
      <c r="O32" s="1510">
        <v>100000</v>
      </c>
      <c r="P32" s="355"/>
      <c r="Q32" s="355"/>
      <c r="R32" s="355"/>
      <c r="S32" s="1510">
        <f t="shared" si="41"/>
        <v>0</v>
      </c>
      <c r="T32" s="355"/>
      <c r="U32" s="355"/>
      <c r="V32" s="355"/>
      <c r="W32" s="1744">
        <f t="shared" si="42"/>
        <v>100000</v>
      </c>
      <c r="X32" s="359" t="s">
        <v>26</v>
      </c>
      <c r="Y32" s="357"/>
      <c r="Z32" s="355"/>
      <c r="AA32" s="355"/>
      <c r="AB32" s="1510">
        <f t="shared" si="43"/>
        <v>100000.0023076923</v>
      </c>
      <c r="AC32" s="2578"/>
      <c r="AD32" s="1441"/>
      <c r="AE32" s="357"/>
      <c r="AF32" s="1441"/>
      <c r="AG32" s="357"/>
      <c r="AH32" s="354">
        <f t="shared" si="47"/>
        <v>0</v>
      </c>
      <c r="AI32" s="355">
        <f t="shared" ca="1" si="45"/>
        <v>0</v>
      </c>
      <c r="AJ32" s="356">
        <f t="shared" ca="1" si="1"/>
        <v>0</v>
      </c>
      <c r="AK32" s="2185"/>
      <c r="AL32" s="260"/>
      <c r="AM32" s="2256"/>
      <c r="AN32" s="2256"/>
      <c r="AO32" s="359"/>
      <c r="AP32" s="377"/>
      <c r="AQ32" s="359">
        <v>7692.3076923076924</v>
      </c>
      <c r="AR32" s="359">
        <v>7692.3076923076924</v>
      </c>
      <c r="AS32" s="359">
        <v>7692.3076923076924</v>
      </c>
      <c r="AT32" s="360">
        <v>7692.3076923076924</v>
      </c>
      <c r="AU32" s="359">
        <v>7692.3076923076924</v>
      </c>
      <c r="AV32" s="359">
        <v>7692.3076923076924</v>
      </c>
      <c r="AW32" s="359">
        <v>7692.3076923076924</v>
      </c>
      <c r="AX32" s="377">
        <v>7692.3076923076924</v>
      </c>
      <c r="AY32" s="360">
        <v>7692.3076923076924</v>
      </c>
      <c r="AZ32" s="2258">
        <v>7692.3076923076924</v>
      </c>
      <c r="BA32" s="359">
        <f>7692.30769230769+7692.31</f>
        <v>15384.617692307689</v>
      </c>
      <c r="BB32" s="359">
        <v>7692.3076923076924</v>
      </c>
      <c r="BC32" s="359"/>
      <c r="BD32" s="359"/>
      <c r="BE32" s="359"/>
      <c r="BF32" s="359"/>
      <c r="BG32" s="359"/>
      <c r="BH32" s="359"/>
      <c r="BI32" s="380"/>
      <c r="BJ32" s="359"/>
      <c r="BK32" s="2122"/>
      <c r="BL32" s="380"/>
      <c r="BM32" s="380"/>
      <c r="BN32" s="380"/>
      <c r="BO32" s="380"/>
      <c r="BP32" s="380"/>
      <c r="BQ32" s="2087"/>
      <c r="BR32" s="359"/>
      <c r="BS32" s="359"/>
      <c r="BT32" s="359"/>
      <c r="BU32" s="355"/>
      <c r="BV32" s="355"/>
      <c r="BW32" s="446"/>
      <c r="BX32" s="2392"/>
      <c r="BY32" s="2432"/>
      <c r="BZ32" s="2432"/>
      <c r="CA32" s="2432">
        <f t="shared" si="48"/>
        <v>100000.0023076923</v>
      </c>
      <c r="CB32" s="2377">
        <f t="shared" si="49"/>
        <v>1</v>
      </c>
      <c r="CC32" s="365">
        <f t="shared" si="50"/>
        <v>9.9999997692307753E-6</v>
      </c>
      <c r="CD32" s="366"/>
      <c r="CE32" s="343"/>
      <c r="CF32" s="343"/>
      <c r="CG32" s="340"/>
      <c r="CH32" s="1416"/>
      <c r="CI32" s="1417"/>
      <c r="CJ32" s="1417"/>
      <c r="CK32" s="355"/>
      <c r="CL32" s="329">
        <f t="shared" si="12"/>
        <v>-2.3076922952895984E-3</v>
      </c>
      <c r="CM32" s="330">
        <f t="shared" ca="1" si="13"/>
        <v>0</v>
      </c>
      <c r="CN32" s="331">
        <f t="shared" ca="1" si="14"/>
        <v>-30769.233076923061</v>
      </c>
      <c r="CO32" s="86"/>
      <c r="CP32" s="86"/>
      <c r="CQ32" s="1641"/>
      <c r="CR32" s="86"/>
      <c r="CS32" s="86"/>
      <c r="CT32" s="86"/>
      <c r="CU32" s="86"/>
      <c r="CV32" s="86"/>
      <c r="CW32" s="86"/>
      <c r="CX32" s="86"/>
      <c r="CY32" s="86"/>
      <c r="CZ32" s="86"/>
      <c r="DA32" s="86"/>
      <c r="DB32" s="1642"/>
      <c r="DC32" s="1642"/>
      <c r="DD32" s="30"/>
      <c r="DE32" s="30"/>
      <c r="DF32" s="30"/>
      <c r="DG32" s="1642"/>
      <c r="DH32" s="1642"/>
      <c r="DI32" s="1642"/>
      <c r="DJ32" s="1642"/>
      <c r="DK32" s="1642"/>
      <c r="DL32" s="1642"/>
      <c r="DM32" s="1642"/>
      <c r="DN32" s="1642"/>
      <c r="DO32" s="1642"/>
      <c r="DP32" s="1642"/>
      <c r="DQ32" s="1642"/>
      <c r="DR32" s="1642"/>
      <c r="DS32" s="1642"/>
      <c r="DT32" s="1642"/>
      <c r="DU32" s="1642"/>
      <c r="DV32" s="1642"/>
      <c r="DW32" s="1642"/>
      <c r="DX32" s="1642"/>
      <c r="DY32" s="1642"/>
      <c r="DZ32" s="1642"/>
      <c r="EA32" s="1642"/>
      <c r="EB32" s="1642"/>
      <c r="EC32" s="1642"/>
      <c r="ED32" s="1642"/>
      <c r="EE32" s="1642"/>
      <c r="EF32" s="1642"/>
      <c r="EG32" s="1642"/>
      <c r="EH32" s="1643"/>
      <c r="EI32" s="1658"/>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c r="GV32" s="30"/>
      <c r="GW32" s="30"/>
      <c r="GX32" s="30"/>
      <c r="GY32" s="30"/>
      <c r="GZ32" s="30"/>
      <c r="HA32" s="30"/>
      <c r="HB32" s="30"/>
      <c r="HC32" s="30"/>
      <c r="HD32" s="30"/>
      <c r="HE32" s="30"/>
      <c r="HF32" s="30"/>
      <c r="HG32" s="30"/>
      <c r="HH32" s="30"/>
      <c r="HI32" s="30"/>
      <c r="HJ32" s="30"/>
      <c r="HK32" s="30"/>
      <c r="HL32" s="30"/>
      <c r="HM32" s="30"/>
      <c r="HN32" s="30"/>
      <c r="HO32" s="30"/>
      <c r="HP32" s="30"/>
      <c r="HQ32" s="30"/>
      <c r="HR32" s="30"/>
      <c r="HS32" s="30"/>
      <c r="HT32" s="30"/>
      <c r="HU32" s="30"/>
      <c r="HV32" s="30"/>
      <c r="HW32" s="30"/>
      <c r="HX32" s="30"/>
      <c r="HY32" s="30"/>
      <c r="HZ32" s="30"/>
      <c r="IA32" s="30"/>
      <c r="IB32" s="30"/>
      <c r="IC32" s="30"/>
      <c r="ID32" s="30"/>
      <c r="IE32" s="30"/>
      <c r="IF32" s="30"/>
      <c r="IG32" s="30"/>
      <c r="IH32" s="30"/>
      <c r="II32" s="30"/>
      <c r="IJ32" s="30"/>
      <c r="IK32" s="30"/>
      <c r="IL32" s="30"/>
      <c r="IM32" s="30"/>
      <c r="IN32" s="30"/>
      <c r="IO32" s="30"/>
      <c r="IP32" s="30"/>
      <c r="IQ32" s="30"/>
      <c r="IR32" s="30"/>
      <c r="IS32" s="30"/>
      <c r="IT32" s="30"/>
      <c r="IU32" s="30"/>
      <c r="IV32" s="30"/>
      <c r="IW32" s="30"/>
      <c r="IX32" s="30"/>
      <c r="IY32" s="30"/>
      <c r="IZ32" s="30"/>
      <c r="JA32" s="30"/>
      <c r="JB32" s="30"/>
      <c r="JC32" s="30"/>
      <c r="JD32" s="30"/>
      <c r="JE32" s="30"/>
      <c r="JF32" s="30"/>
      <c r="JG32" s="30"/>
      <c r="JH32" s="30"/>
      <c r="JI32" s="30"/>
      <c r="JJ32" s="30"/>
      <c r="JK32" s="30"/>
      <c r="JL32" s="30"/>
      <c r="JM32" s="30"/>
      <c r="JN32" s="30"/>
      <c r="JO32" s="30"/>
      <c r="JP32" s="30"/>
      <c r="JQ32" s="30"/>
      <c r="JR32" s="30"/>
      <c r="JS32" s="30"/>
      <c r="JT32" s="30"/>
      <c r="JU32" s="30"/>
      <c r="JV32" s="30"/>
      <c r="JW32" s="30"/>
      <c r="JX32" s="30"/>
      <c r="JY32" s="30"/>
      <c r="JZ32" s="30"/>
      <c r="KA32" s="30"/>
      <c r="KB32" s="30"/>
      <c r="KC32" s="30"/>
      <c r="KD32" s="30"/>
      <c r="KE32" s="30"/>
      <c r="KF32" s="30"/>
      <c r="KG32" s="30"/>
      <c r="KH32" s="30"/>
      <c r="KI32" s="30"/>
      <c r="KJ32" s="30"/>
      <c r="KK32" s="30"/>
      <c r="KL32" s="30"/>
      <c r="KM32" s="30"/>
      <c r="KN32" s="30"/>
      <c r="KO32" s="30"/>
      <c r="KP32" s="1630"/>
    </row>
    <row r="33" spans="1:302" s="97" customFormat="1" ht="13.9" outlineLevel="1">
      <c r="A33" s="2652" t="s">
        <v>777</v>
      </c>
      <c r="B33" s="2579"/>
      <c r="C33" s="2582" t="s">
        <v>583</v>
      </c>
      <c r="D33" s="2582" t="s">
        <v>591</v>
      </c>
      <c r="E33" s="1415"/>
      <c r="F33" s="370"/>
      <c r="G33" s="387"/>
      <c r="H33" s="350" t="s">
        <v>26</v>
      </c>
      <c r="I33" s="2934"/>
      <c r="J33" s="362" t="s">
        <v>26</v>
      </c>
      <c r="K33" s="355"/>
      <c r="L33" s="357"/>
      <c r="M33" s="357"/>
      <c r="N33" s="357"/>
      <c r="O33" s="1510">
        <v>350000</v>
      </c>
      <c r="P33" s="355"/>
      <c r="Q33" s="355"/>
      <c r="R33" s="355"/>
      <c r="S33" s="1510">
        <f t="shared" si="41"/>
        <v>0</v>
      </c>
      <c r="T33" s="355"/>
      <c r="U33" s="355"/>
      <c r="V33" s="355"/>
      <c r="W33" s="1744">
        <f t="shared" si="42"/>
        <v>350000</v>
      </c>
      <c r="X33" s="359" t="s">
        <v>26</v>
      </c>
      <c r="Y33" s="357"/>
      <c r="Z33" s="355"/>
      <c r="AA33" s="355"/>
      <c r="AB33" s="1510">
        <f t="shared" si="43"/>
        <v>350000</v>
      </c>
      <c r="AC33" s="2578"/>
      <c r="AD33" s="1441"/>
      <c r="AE33" s="357"/>
      <c r="AF33" s="1441"/>
      <c r="AG33" s="357"/>
      <c r="AH33" s="354">
        <f t="shared" si="47"/>
        <v>0</v>
      </c>
      <c r="AI33" s="355">
        <f t="shared" ca="1" si="45"/>
        <v>0</v>
      </c>
      <c r="AJ33" s="356">
        <f t="shared" ca="1" si="1"/>
        <v>0</v>
      </c>
      <c r="AK33" s="2185"/>
      <c r="AL33" s="260"/>
      <c r="AM33" s="2256"/>
      <c r="AN33" s="2256"/>
      <c r="AO33" s="359"/>
      <c r="AP33" s="377"/>
      <c r="AQ33" s="359"/>
      <c r="AR33" s="359">
        <f>O33/11</f>
        <v>31818.18181818182</v>
      </c>
      <c r="AS33" s="359">
        <v>31818.18181818182</v>
      </c>
      <c r="AT33" s="360">
        <v>31818.18181818182</v>
      </c>
      <c r="AU33" s="359">
        <v>31818.18181818182</v>
      </c>
      <c r="AV33" s="359">
        <v>31818.18181818182</v>
      </c>
      <c r="AW33" s="359">
        <v>31818.18181818182</v>
      </c>
      <c r="AX33" s="377">
        <v>31818.18181818182</v>
      </c>
      <c r="AY33" s="360">
        <v>31818.18181818182</v>
      </c>
      <c r="AZ33" s="2258">
        <v>31818.18181818182</v>
      </c>
      <c r="BA33" s="359">
        <v>31818.18181818182</v>
      </c>
      <c r="BB33" s="359">
        <v>31818.18181818182</v>
      </c>
      <c r="BC33" s="359"/>
      <c r="BD33" s="359"/>
      <c r="BE33" s="359"/>
      <c r="BF33" s="359"/>
      <c r="BG33" s="359"/>
      <c r="BH33" s="359"/>
      <c r="BI33" s="380"/>
      <c r="BJ33" s="359"/>
      <c r="BK33" s="2122"/>
      <c r="BL33" s="380"/>
      <c r="BM33" s="380"/>
      <c r="BN33" s="380"/>
      <c r="BO33" s="380"/>
      <c r="BP33" s="380"/>
      <c r="BQ33" s="2087"/>
      <c r="BR33" s="359"/>
      <c r="BS33" s="359"/>
      <c r="BT33" s="359"/>
      <c r="BU33" s="355"/>
      <c r="BV33" s="355"/>
      <c r="BW33" s="446"/>
      <c r="BX33" s="2392"/>
      <c r="BY33" s="2432"/>
      <c r="BZ33" s="2432"/>
      <c r="CA33" s="2432">
        <f t="shared" si="48"/>
        <v>350000</v>
      </c>
      <c r="CB33" s="2377">
        <f t="shared" si="49"/>
        <v>1</v>
      </c>
      <c r="CC33" s="365">
        <f t="shared" si="50"/>
        <v>2.8571428571428573E-6</v>
      </c>
      <c r="CD33" s="366"/>
      <c r="CE33" s="343"/>
      <c r="CF33" s="343"/>
      <c r="CG33" s="340"/>
      <c r="CH33" s="1416"/>
      <c r="CI33" s="1417"/>
      <c r="CJ33" s="1417"/>
      <c r="CK33" s="355"/>
      <c r="CL33" s="329">
        <f t="shared" si="12"/>
        <v>0</v>
      </c>
      <c r="CM33" s="330">
        <f t="shared" ca="1" si="13"/>
        <v>0</v>
      </c>
      <c r="CN33" s="331">
        <f t="shared" ca="1" si="14"/>
        <v>-95454.545454545441</v>
      </c>
      <c r="CO33" s="86"/>
      <c r="CP33" s="86"/>
      <c r="CQ33" s="1641"/>
      <c r="CR33" s="86"/>
      <c r="CS33" s="86"/>
      <c r="CT33" s="86"/>
      <c r="CU33" s="86"/>
      <c r="CV33" s="86"/>
      <c r="CW33" s="86"/>
      <c r="CX33" s="86"/>
      <c r="CY33" s="86"/>
      <c r="CZ33" s="86"/>
      <c r="DA33" s="86"/>
      <c r="DB33" s="1642"/>
      <c r="DC33" s="1642"/>
      <c r="DD33" s="30"/>
      <c r="DE33" s="30"/>
      <c r="DF33" s="30"/>
      <c r="DG33" s="1642"/>
      <c r="DH33" s="1642"/>
      <c r="DI33" s="1642"/>
      <c r="DJ33" s="1642"/>
      <c r="DK33" s="1642"/>
      <c r="DL33" s="1642"/>
      <c r="DM33" s="1642"/>
      <c r="DN33" s="1642"/>
      <c r="DO33" s="1642"/>
      <c r="DP33" s="1642"/>
      <c r="DQ33" s="1642"/>
      <c r="DR33" s="1642"/>
      <c r="DS33" s="1642"/>
      <c r="DT33" s="1642"/>
      <c r="DU33" s="1642"/>
      <c r="DV33" s="1642"/>
      <c r="DW33" s="1642"/>
      <c r="DX33" s="1642"/>
      <c r="DY33" s="1642"/>
      <c r="DZ33" s="1642"/>
      <c r="EA33" s="1642"/>
      <c r="EB33" s="1642"/>
      <c r="EC33" s="1642"/>
      <c r="ED33" s="1642"/>
      <c r="EE33" s="1642"/>
      <c r="EF33" s="1642"/>
      <c r="EG33" s="1642"/>
      <c r="EH33" s="1643"/>
      <c r="EI33" s="1658"/>
      <c r="EJ33" s="30"/>
      <c r="EK33" s="30"/>
      <c r="EL33" s="30"/>
      <c r="EM33" s="30"/>
      <c r="EN33" s="30"/>
      <c r="EO33" s="30"/>
      <c r="EP33" s="30"/>
      <c r="EQ33" s="30"/>
      <c r="ER33" s="30"/>
      <c r="ES33" s="30"/>
      <c r="ET33" s="30"/>
      <c r="EU33" s="30"/>
      <c r="EV33" s="30"/>
      <c r="EW33" s="30"/>
      <c r="EX33" s="30"/>
      <c r="EY33" s="30"/>
      <c r="EZ33" s="30"/>
      <c r="FA33" s="30"/>
      <c r="FB33" s="30"/>
      <c r="FC33" s="30"/>
      <c r="FD33" s="30"/>
      <c r="FE33" s="30"/>
      <c r="FF33" s="30"/>
      <c r="FG33" s="30"/>
      <c r="FH33" s="30"/>
      <c r="FI33" s="30"/>
      <c r="FJ33" s="30"/>
      <c r="FK33" s="30"/>
      <c r="FL33" s="30"/>
      <c r="FM33" s="30"/>
      <c r="FN33" s="30"/>
      <c r="FO33" s="30"/>
      <c r="FP33" s="30"/>
      <c r="FQ33" s="30"/>
      <c r="FR33" s="30"/>
      <c r="FS33" s="30"/>
      <c r="FT33" s="30"/>
      <c r="FU33" s="30"/>
      <c r="FV33" s="30"/>
      <c r="FW33" s="30"/>
      <c r="FX33" s="30"/>
      <c r="FY33" s="30"/>
      <c r="FZ33" s="30"/>
      <c r="GA33" s="30"/>
      <c r="GB33" s="30"/>
      <c r="GC33" s="30"/>
      <c r="GD33" s="30"/>
      <c r="GE33" s="30"/>
      <c r="GF33" s="30"/>
      <c r="GG33" s="30"/>
      <c r="GH33" s="30"/>
      <c r="GI33" s="30"/>
      <c r="GJ33" s="30"/>
      <c r="GK33" s="30"/>
      <c r="GL33" s="30"/>
      <c r="GM33" s="30"/>
      <c r="GN33" s="30"/>
      <c r="GO33" s="30"/>
      <c r="GP33" s="30"/>
      <c r="GQ33" s="30"/>
      <c r="GR33" s="30"/>
      <c r="GS33" s="30"/>
      <c r="GT33" s="30"/>
      <c r="GU33" s="30"/>
      <c r="GV33" s="30"/>
      <c r="GW33" s="30"/>
      <c r="GX33" s="30"/>
      <c r="GY33" s="30"/>
      <c r="GZ33" s="30"/>
      <c r="HA33" s="30"/>
      <c r="HB33" s="30"/>
      <c r="HC33" s="30"/>
      <c r="HD33" s="30"/>
      <c r="HE33" s="30"/>
      <c r="HF33" s="30"/>
      <c r="HG33" s="30"/>
      <c r="HH33" s="30"/>
      <c r="HI33" s="30"/>
      <c r="HJ33" s="30"/>
      <c r="HK33" s="30"/>
      <c r="HL33" s="30"/>
      <c r="HM33" s="30"/>
      <c r="HN33" s="30"/>
      <c r="HO33" s="30"/>
      <c r="HP33" s="30"/>
      <c r="HQ33" s="30"/>
      <c r="HR33" s="30"/>
      <c r="HS33" s="30"/>
      <c r="HT33" s="30"/>
      <c r="HU33" s="30"/>
      <c r="HV33" s="30"/>
      <c r="HW33" s="30"/>
      <c r="HX33" s="30"/>
      <c r="HY33" s="30"/>
      <c r="HZ33" s="30"/>
      <c r="IA33" s="30"/>
      <c r="IB33" s="30"/>
      <c r="IC33" s="30"/>
      <c r="ID33" s="30"/>
      <c r="IE33" s="30"/>
      <c r="IF33" s="30"/>
      <c r="IG33" s="30"/>
      <c r="IH33" s="30"/>
      <c r="II33" s="30"/>
      <c r="IJ33" s="30"/>
      <c r="IK33" s="30"/>
      <c r="IL33" s="30"/>
      <c r="IM33" s="30"/>
      <c r="IN33" s="30"/>
      <c r="IO33" s="30"/>
      <c r="IP33" s="30"/>
      <c r="IQ33" s="30"/>
      <c r="IR33" s="30"/>
      <c r="IS33" s="30"/>
      <c r="IT33" s="30"/>
      <c r="IU33" s="30"/>
      <c r="IV33" s="30"/>
      <c r="IW33" s="30"/>
      <c r="IX33" s="30"/>
      <c r="IY33" s="30"/>
      <c r="IZ33" s="30"/>
      <c r="JA33" s="30"/>
      <c r="JB33" s="30"/>
      <c r="JC33" s="30"/>
      <c r="JD33" s="30"/>
      <c r="JE33" s="30"/>
      <c r="JF33" s="30"/>
      <c r="JG33" s="30"/>
      <c r="JH33" s="30"/>
      <c r="JI33" s="30"/>
      <c r="JJ33" s="30"/>
      <c r="JK33" s="30"/>
      <c r="JL33" s="30"/>
      <c r="JM33" s="30"/>
      <c r="JN33" s="30"/>
      <c r="JO33" s="30"/>
      <c r="JP33" s="30"/>
      <c r="JQ33" s="30"/>
      <c r="JR33" s="30"/>
      <c r="JS33" s="30"/>
      <c r="JT33" s="30"/>
      <c r="JU33" s="30"/>
      <c r="JV33" s="30"/>
      <c r="JW33" s="30"/>
      <c r="JX33" s="30"/>
      <c r="JY33" s="30"/>
      <c r="JZ33" s="30"/>
      <c r="KA33" s="30"/>
      <c r="KB33" s="30"/>
      <c r="KC33" s="30"/>
      <c r="KD33" s="30"/>
      <c r="KE33" s="30"/>
      <c r="KF33" s="30"/>
      <c r="KG33" s="30"/>
      <c r="KH33" s="30"/>
      <c r="KI33" s="30"/>
      <c r="KJ33" s="30"/>
      <c r="KK33" s="30"/>
      <c r="KL33" s="30"/>
      <c r="KM33" s="30"/>
      <c r="KN33" s="30"/>
      <c r="KO33" s="30"/>
      <c r="KP33" s="1630"/>
    </row>
    <row r="34" spans="1:302" s="97" customFormat="1" ht="13.9" outlineLevel="1">
      <c r="A34" s="2652" t="s">
        <v>778</v>
      </c>
      <c r="B34" s="2579"/>
      <c r="C34" s="2582" t="s">
        <v>584</v>
      </c>
      <c r="D34" s="2582" t="s">
        <v>592</v>
      </c>
      <c r="E34" s="1415"/>
      <c r="F34" s="370"/>
      <c r="G34" s="387"/>
      <c r="H34" s="350" t="s">
        <v>26</v>
      </c>
      <c r="I34" s="2934"/>
      <c r="J34" s="362" t="s">
        <v>26</v>
      </c>
      <c r="K34" s="355"/>
      <c r="L34" s="357"/>
      <c r="M34" s="357"/>
      <c r="N34" s="357"/>
      <c r="O34" s="1510">
        <v>250000</v>
      </c>
      <c r="P34" s="355"/>
      <c r="Q34" s="355"/>
      <c r="R34" s="355"/>
      <c r="S34" s="1510">
        <f t="shared" si="41"/>
        <v>0</v>
      </c>
      <c r="T34" s="355"/>
      <c r="U34" s="355"/>
      <c r="V34" s="355"/>
      <c r="W34" s="1744">
        <f t="shared" si="42"/>
        <v>250000</v>
      </c>
      <c r="X34" s="359" t="s">
        <v>26</v>
      </c>
      <c r="Y34" s="357"/>
      <c r="Z34" s="355"/>
      <c r="AA34" s="355"/>
      <c r="AB34" s="1510">
        <f t="shared" si="43"/>
        <v>250000.00223999997</v>
      </c>
      <c r="AC34" s="2578"/>
      <c r="AD34" s="1441"/>
      <c r="AE34" s="357"/>
      <c r="AF34" s="1441"/>
      <c r="AG34" s="357"/>
      <c r="AH34" s="354">
        <f t="shared" si="47"/>
        <v>0</v>
      </c>
      <c r="AI34" s="355">
        <f t="shared" ca="1" si="45"/>
        <v>0</v>
      </c>
      <c r="AJ34" s="356">
        <f t="shared" ca="1" si="1"/>
        <v>0</v>
      </c>
      <c r="AK34" s="2185"/>
      <c r="AL34" s="260"/>
      <c r="AM34" s="2256"/>
      <c r="AN34" s="2256"/>
      <c r="AO34" s="359"/>
      <c r="AP34" s="377"/>
      <c r="AQ34" s="359">
        <v>9259.2592600000007</v>
      </c>
      <c r="AR34" s="359">
        <v>9259.2592600000007</v>
      </c>
      <c r="AS34" s="359">
        <v>9259.2592600000007</v>
      </c>
      <c r="AT34" s="360">
        <v>9259.2592600000007</v>
      </c>
      <c r="AU34" s="359">
        <v>9259.2592600000007</v>
      </c>
      <c r="AV34" s="359">
        <v>9259.2592600000007</v>
      </c>
      <c r="AW34" s="359">
        <v>9259.2592600000007</v>
      </c>
      <c r="AX34" s="377">
        <v>9259.2592600000007</v>
      </c>
      <c r="AY34" s="360">
        <v>9259.2592600000007</v>
      </c>
      <c r="AZ34" s="2258">
        <v>9259.2592600000007</v>
      </c>
      <c r="BA34" s="359">
        <v>9259.2592600000007</v>
      </c>
      <c r="BB34" s="359">
        <f>9259.25926+9259.26</f>
        <v>18518.519260000001</v>
      </c>
      <c r="BC34" s="359">
        <v>9259.2592600000007</v>
      </c>
      <c r="BD34" s="359">
        <v>9259.2592600000007</v>
      </c>
      <c r="BE34" s="359">
        <v>9259.2592600000007</v>
      </c>
      <c r="BF34" s="359">
        <v>9259.2592600000007</v>
      </c>
      <c r="BG34" s="359">
        <v>9259.2592600000007</v>
      </c>
      <c r="BH34" s="359">
        <v>9259.2592600000007</v>
      </c>
      <c r="BI34" s="380">
        <v>9259.2592600000007</v>
      </c>
      <c r="BJ34" s="359">
        <v>9259.2592600000007</v>
      </c>
      <c r="BK34" s="2122">
        <v>9259.2592600000007</v>
      </c>
      <c r="BL34" s="380">
        <v>9259.2592600000007</v>
      </c>
      <c r="BM34" s="380">
        <v>9259.2592600000007</v>
      </c>
      <c r="BN34" s="380">
        <v>9259.2592600000007</v>
      </c>
      <c r="BO34" s="380">
        <v>9259.26</v>
      </c>
      <c r="BP34" s="380">
        <v>9259.26</v>
      </c>
      <c r="BQ34" s="2087"/>
      <c r="BR34" s="359"/>
      <c r="BS34" s="359"/>
      <c r="BT34" s="359"/>
      <c r="BU34" s="355"/>
      <c r="BV34" s="355"/>
      <c r="BW34" s="446"/>
      <c r="BX34" s="2392"/>
      <c r="BY34" s="2432"/>
      <c r="BZ34" s="2432"/>
      <c r="CA34" s="2432">
        <f t="shared" si="48"/>
        <v>250000.00223999997</v>
      </c>
      <c r="CB34" s="2377">
        <f t="shared" si="49"/>
        <v>1</v>
      </c>
      <c r="CC34" s="365">
        <f t="shared" si="50"/>
        <v>3.9999999641600004E-6</v>
      </c>
      <c r="CD34" s="366"/>
      <c r="CE34" s="343"/>
      <c r="CF34" s="343"/>
      <c r="CG34" s="340"/>
      <c r="CH34" s="1416"/>
      <c r="CI34" s="1417"/>
      <c r="CJ34" s="1417"/>
      <c r="CK34" s="355"/>
      <c r="CL34" s="329">
        <f t="shared" si="12"/>
        <v>-2.2399999725166708E-3</v>
      </c>
      <c r="CM34" s="330">
        <f t="shared" ca="1" si="13"/>
        <v>0</v>
      </c>
      <c r="CN34" s="331">
        <f t="shared" ca="1" si="14"/>
        <v>-166666.66889999996</v>
      </c>
      <c r="CO34" s="86"/>
      <c r="CP34" s="86"/>
      <c r="CQ34" s="1641"/>
      <c r="CR34" s="86"/>
      <c r="CS34" s="86"/>
      <c r="CT34" s="86"/>
      <c r="CU34" s="86"/>
      <c r="CV34" s="86"/>
      <c r="CW34" s="86"/>
      <c r="CX34" s="86"/>
      <c r="CY34" s="86"/>
      <c r="CZ34" s="86"/>
      <c r="DA34" s="86"/>
      <c r="DB34" s="1642"/>
      <c r="DC34" s="1642"/>
      <c r="DD34" s="30"/>
      <c r="DE34" s="30"/>
      <c r="DF34" s="30"/>
      <c r="DG34" s="1642"/>
      <c r="DH34" s="1642"/>
      <c r="DI34" s="1642"/>
      <c r="DJ34" s="1642"/>
      <c r="DK34" s="1642"/>
      <c r="DL34" s="1642"/>
      <c r="DM34" s="1642"/>
      <c r="DN34" s="1642"/>
      <c r="DO34" s="1642"/>
      <c r="DP34" s="1642"/>
      <c r="DQ34" s="1642"/>
      <c r="DR34" s="1642"/>
      <c r="DS34" s="1642"/>
      <c r="DT34" s="1642"/>
      <c r="DU34" s="1642"/>
      <c r="DV34" s="1642"/>
      <c r="DW34" s="1642"/>
      <c r="DX34" s="1642"/>
      <c r="DY34" s="1642"/>
      <c r="DZ34" s="1642"/>
      <c r="EA34" s="1642"/>
      <c r="EB34" s="1642"/>
      <c r="EC34" s="1642"/>
      <c r="ED34" s="1642"/>
      <c r="EE34" s="1642"/>
      <c r="EF34" s="1642"/>
      <c r="EG34" s="1642"/>
      <c r="EH34" s="1643"/>
      <c r="EI34" s="1658"/>
      <c r="EJ34" s="30"/>
      <c r="EK34" s="30"/>
      <c r="EL34" s="30"/>
      <c r="EM34" s="30"/>
      <c r="EN34" s="30"/>
      <c r="EO34" s="30"/>
      <c r="EP34" s="30"/>
      <c r="EQ34" s="30"/>
      <c r="ER34" s="30"/>
      <c r="ES34" s="30"/>
      <c r="ET34" s="30"/>
      <c r="EU34" s="30"/>
      <c r="EV34" s="30"/>
      <c r="EW34" s="30"/>
      <c r="EX34" s="30"/>
      <c r="EY34" s="30"/>
      <c r="EZ34" s="30"/>
      <c r="FA34" s="30"/>
      <c r="FB34" s="30"/>
      <c r="FC34" s="30"/>
      <c r="FD34" s="30"/>
      <c r="FE34" s="30"/>
      <c r="FF34" s="30"/>
      <c r="FG34" s="30"/>
      <c r="FH34" s="30"/>
      <c r="FI34" s="30"/>
      <c r="FJ34" s="30"/>
      <c r="FK34" s="30"/>
      <c r="FL34" s="30"/>
      <c r="FM34" s="30"/>
      <c r="FN34" s="30"/>
      <c r="FO34" s="30"/>
      <c r="FP34" s="30"/>
      <c r="FQ34" s="30"/>
      <c r="FR34" s="30"/>
      <c r="FS34" s="30"/>
      <c r="FT34" s="30"/>
      <c r="FU34" s="30"/>
      <c r="FV34" s="30"/>
      <c r="FW34" s="30"/>
      <c r="FX34" s="30"/>
      <c r="FY34" s="30"/>
      <c r="FZ34" s="30"/>
      <c r="GA34" s="30"/>
      <c r="GB34" s="30"/>
      <c r="GC34" s="30"/>
      <c r="GD34" s="30"/>
      <c r="GE34" s="30"/>
      <c r="GF34" s="30"/>
      <c r="GG34" s="30"/>
      <c r="GH34" s="30"/>
      <c r="GI34" s="30"/>
      <c r="GJ34" s="30"/>
      <c r="GK34" s="30"/>
      <c r="GL34" s="30"/>
      <c r="GM34" s="30"/>
      <c r="GN34" s="30"/>
      <c r="GO34" s="30"/>
      <c r="GP34" s="30"/>
      <c r="GQ34" s="30"/>
      <c r="GR34" s="30"/>
      <c r="GS34" s="30"/>
      <c r="GT34" s="30"/>
      <c r="GU34" s="30"/>
      <c r="GV34" s="30"/>
      <c r="GW34" s="30"/>
      <c r="GX34" s="30"/>
      <c r="GY34" s="30"/>
      <c r="GZ34" s="30"/>
      <c r="HA34" s="30"/>
      <c r="HB34" s="30"/>
      <c r="HC34" s="30"/>
      <c r="HD34" s="30"/>
      <c r="HE34" s="30"/>
      <c r="HF34" s="30"/>
      <c r="HG34" s="30"/>
      <c r="HH34" s="30"/>
      <c r="HI34" s="30"/>
      <c r="HJ34" s="30"/>
      <c r="HK34" s="30"/>
      <c r="HL34" s="30"/>
      <c r="HM34" s="30"/>
      <c r="HN34" s="30"/>
      <c r="HO34" s="30"/>
      <c r="HP34" s="30"/>
      <c r="HQ34" s="30"/>
      <c r="HR34" s="30"/>
      <c r="HS34" s="30"/>
      <c r="HT34" s="30"/>
      <c r="HU34" s="30"/>
      <c r="HV34" s="30"/>
      <c r="HW34" s="30"/>
      <c r="HX34" s="30"/>
      <c r="HY34" s="30"/>
      <c r="HZ34" s="30"/>
      <c r="IA34" s="30"/>
      <c r="IB34" s="30"/>
      <c r="IC34" s="30"/>
      <c r="ID34" s="30"/>
      <c r="IE34" s="30"/>
      <c r="IF34" s="30"/>
      <c r="IG34" s="30"/>
      <c r="IH34" s="30"/>
      <c r="II34" s="30"/>
      <c r="IJ34" s="30"/>
      <c r="IK34" s="30"/>
      <c r="IL34" s="30"/>
      <c r="IM34" s="30"/>
      <c r="IN34" s="30"/>
      <c r="IO34" s="30"/>
      <c r="IP34" s="30"/>
      <c r="IQ34" s="30"/>
      <c r="IR34" s="30"/>
      <c r="IS34" s="30"/>
      <c r="IT34" s="30"/>
      <c r="IU34" s="30"/>
      <c r="IV34" s="30"/>
      <c r="IW34" s="30"/>
      <c r="IX34" s="30"/>
      <c r="IY34" s="30"/>
      <c r="IZ34" s="30"/>
      <c r="JA34" s="30"/>
      <c r="JB34" s="30"/>
      <c r="JC34" s="30"/>
      <c r="JD34" s="30"/>
      <c r="JE34" s="30"/>
      <c r="JF34" s="30"/>
      <c r="JG34" s="30"/>
      <c r="JH34" s="30"/>
      <c r="JI34" s="30"/>
      <c r="JJ34" s="30"/>
      <c r="JK34" s="30"/>
      <c r="JL34" s="30"/>
      <c r="JM34" s="30"/>
      <c r="JN34" s="30"/>
      <c r="JO34" s="30"/>
      <c r="JP34" s="30"/>
      <c r="JQ34" s="30"/>
      <c r="JR34" s="30"/>
      <c r="JS34" s="30"/>
      <c r="JT34" s="30"/>
      <c r="JU34" s="30"/>
      <c r="JV34" s="30"/>
      <c r="JW34" s="30"/>
      <c r="JX34" s="30"/>
      <c r="JY34" s="30"/>
      <c r="JZ34" s="30"/>
      <c r="KA34" s="30"/>
      <c r="KB34" s="30"/>
      <c r="KC34" s="30"/>
      <c r="KD34" s="30"/>
      <c r="KE34" s="30"/>
      <c r="KF34" s="30"/>
      <c r="KG34" s="30"/>
      <c r="KH34" s="30"/>
      <c r="KI34" s="30"/>
      <c r="KJ34" s="30"/>
      <c r="KK34" s="30"/>
      <c r="KL34" s="30"/>
      <c r="KM34" s="30"/>
      <c r="KN34" s="30"/>
      <c r="KO34" s="30"/>
      <c r="KP34" s="1630"/>
    </row>
    <row r="35" spans="1:302" s="97" customFormat="1" ht="13.9" outlineLevel="1">
      <c r="A35" s="2652" t="s">
        <v>779</v>
      </c>
      <c r="B35" s="2579"/>
      <c r="C35" s="2582" t="s">
        <v>585</v>
      </c>
      <c r="D35" s="2582" t="s">
        <v>593</v>
      </c>
      <c r="E35" s="1415"/>
      <c r="F35" s="370"/>
      <c r="G35" s="387"/>
      <c r="H35" s="350" t="s">
        <v>26</v>
      </c>
      <c r="I35" s="2934"/>
      <c r="J35" s="362" t="s">
        <v>26</v>
      </c>
      <c r="K35" s="355"/>
      <c r="L35" s="357"/>
      <c r="M35" s="357"/>
      <c r="N35" s="357"/>
      <c r="O35" s="1510">
        <v>150000</v>
      </c>
      <c r="P35" s="355"/>
      <c r="Q35" s="355"/>
      <c r="R35" s="355"/>
      <c r="S35" s="1510">
        <f t="shared" si="41"/>
        <v>0</v>
      </c>
      <c r="T35" s="355"/>
      <c r="U35" s="355"/>
      <c r="V35" s="355"/>
      <c r="W35" s="1744">
        <f t="shared" si="42"/>
        <v>150000</v>
      </c>
      <c r="X35" s="359" t="s">
        <v>26</v>
      </c>
      <c r="Y35" s="357"/>
      <c r="Z35" s="355"/>
      <c r="AA35" s="355"/>
      <c r="AB35" s="1510">
        <f t="shared" si="43"/>
        <v>149999.99999999997</v>
      </c>
      <c r="AC35" s="2578"/>
      <c r="AD35" s="1441"/>
      <c r="AE35" s="357"/>
      <c r="AF35" s="1441"/>
      <c r="AG35" s="357"/>
      <c r="AH35" s="354">
        <f t="shared" si="47"/>
        <v>0</v>
      </c>
      <c r="AI35" s="355">
        <f t="shared" ca="1" si="45"/>
        <v>0</v>
      </c>
      <c r="AJ35" s="356">
        <f t="shared" ca="1" si="1"/>
        <v>0</v>
      </c>
      <c r="AK35" s="2185"/>
      <c r="AL35" s="260"/>
      <c r="AM35" s="2256"/>
      <c r="AN35" s="2256"/>
      <c r="AO35" s="359"/>
      <c r="AP35" s="377"/>
      <c r="AQ35" s="359"/>
      <c r="AR35" s="359"/>
      <c r="AS35" s="359"/>
      <c r="AT35" s="360"/>
      <c r="AU35" s="359"/>
      <c r="AV35" s="359"/>
      <c r="AW35" s="359"/>
      <c r="AX35" s="377"/>
      <c r="AY35" s="360"/>
      <c r="AZ35" s="2258"/>
      <c r="BA35" s="359"/>
      <c r="BB35" s="359">
        <f>150000/13</f>
        <v>11538.461538461539</v>
      </c>
      <c r="BC35" s="359">
        <v>11538.461538461539</v>
      </c>
      <c r="BD35" s="359">
        <v>11538.461538461539</v>
      </c>
      <c r="BE35" s="359">
        <v>11538.461538461539</v>
      </c>
      <c r="BF35" s="359">
        <v>11538.461538461539</v>
      </c>
      <c r="BG35" s="359">
        <v>11538.461538461539</v>
      </c>
      <c r="BH35" s="359">
        <v>11538.461538461539</v>
      </c>
      <c r="BI35" s="380">
        <v>11538.461538461539</v>
      </c>
      <c r="BJ35" s="359">
        <v>11538.461538461539</v>
      </c>
      <c r="BK35" s="2122">
        <v>11538.461538461539</v>
      </c>
      <c r="BL35" s="380">
        <v>11538.461538461539</v>
      </c>
      <c r="BM35" s="380">
        <v>11538.461538461539</v>
      </c>
      <c r="BN35" s="380">
        <v>11538.461538461539</v>
      </c>
      <c r="BO35" s="380"/>
      <c r="BP35" s="380"/>
      <c r="BQ35" s="2087"/>
      <c r="BR35" s="359"/>
      <c r="BS35" s="359"/>
      <c r="BT35" s="359"/>
      <c r="BU35" s="355"/>
      <c r="BV35" s="355"/>
      <c r="BW35" s="446"/>
      <c r="BX35" s="2392"/>
      <c r="BY35" s="2432"/>
      <c r="BZ35" s="2432"/>
      <c r="CA35" s="2432">
        <f t="shared" ref="CA35:CA37" si="56">SUMIF($AM$10:$BZ$10,$CA$9,AM35:BZ35)</f>
        <v>149999.99999999997</v>
      </c>
      <c r="CB35" s="2377">
        <f t="shared" ref="CB35:CB37" si="57">IF($AB35&lt;&gt;0,CA35/$AB35,"")</f>
        <v>1</v>
      </c>
      <c r="CC35" s="365">
        <f t="shared" ref="CC35:CC37" si="58">IF($AB35&lt;&gt;0,CB35/$AB35,"")</f>
        <v>6.6666666666666683E-6</v>
      </c>
      <c r="CD35" s="366"/>
      <c r="CE35" s="343"/>
      <c r="CF35" s="343"/>
      <c r="CG35" s="340"/>
      <c r="CH35" s="1416"/>
      <c r="CI35" s="1417"/>
      <c r="CJ35" s="1417"/>
      <c r="CK35" s="355"/>
      <c r="CL35" s="329">
        <f t="shared" si="12"/>
        <v>0</v>
      </c>
      <c r="CM35" s="330">
        <f t="shared" ca="1" si="13"/>
        <v>0</v>
      </c>
      <c r="CN35" s="331">
        <f t="shared" ca="1" si="14"/>
        <v>-149999.99999999997</v>
      </c>
      <c r="CO35" s="86"/>
      <c r="CP35" s="86"/>
      <c r="CQ35" s="1641"/>
      <c r="CR35" s="86"/>
      <c r="CS35" s="86"/>
      <c r="CT35" s="86"/>
      <c r="CU35" s="86"/>
      <c r="CV35" s="86"/>
      <c r="CW35" s="86"/>
      <c r="CX35" s="86"/>
      <c r="CY35" s="86"/>
      <c r="CZ35" s="86"/>
      <c r="DA35" s="86"/>
      <c r="DB35" s="1642"/>
      <c r="DC35" s="1642"/>
      <c r="DD35" s="30"/>
      <c r="DE35" s="30"/>
      <c r="DF35" s="30"/>
      <c r="DG35" s="1642"/>
      <c r="DH35" s="1642"/>
      <c r="DI35" s="1642"/>
      <c r="DJ35" s="1642"/>
      <c r="DK35" s="1642"/>
      <c r="DL35" s="1642"/>
      <c r="DM35" s="1642"/>
      <c r="DN35" s="1642"/>
      <c r="DO35" s="1642"/>
      <c r="DP35" s="1642"/>
      <c r="DQ35" s="1642"/>
      <c r="DR35" s="1642"/>
      <c r="DS35" s="1642"/>
      <c r="DT35" s="1642"/>
      <c r="DU35" s="1642"/>
      <c r="DV35" s="1642"/>
      <c r="DW35" s="1642"/>
      <c r="DX35" s="1642"/>
      <c r="DY35" s="1642"/>
      <c r="DZ35" s="1642"/>
      <c r="EA35" s="1642"/>
      <c r="EB35" s="1642"/>
      <c r="EC35" s="1642"/>
      <c r="ED35" s="1642"/>
      <c r="EE35" s="1642"/>
      <c r="EF35" s="1642"/>
      <c r="EG35" s="1642"/>
      <c r="EH35" s="1643"/>
      <c r="EI35" s="1658"/>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30"/>
      <c r="GL35" s="30"/>
      <c r="GM35" s="30"/>
      <c r="GN35" s="30"/>
      <c r="GO35" s="30"/>
      <c r="GP35" s="30"/>
      <c r="GQ35" s="30"/>
      <c r="GR35" s="30"/>
      <c r="GS35" s="30"/>
      <c r="GT35" s="30"/>
      <c r="GU35" s="30"/>
      <c r="GV35" s="30"/>
      <c r="GW35" s="30"/>
      <c r="GX35" s="30"/>
      <c r="GY35" s="30"/>
      <c r="GZ35" s="30"/>
      <c r="HA35" s="30"/>
      <c r="HB35" s="30"/>
      <c r="HC35" s="30"/>
      <c r="HD35" s="30"/>
      <c r="HE35" s="30"/>
      <c r="HF35" s="30"/>
      <c r="HG35" s="30"/>
      <c r="HH35" s="30"/>
      <c r="HI35" s="30"/>
      <c r="HJ35" s="30"/>
      <c r="HK35" s="30"/>
      <c r="HL35" s="30"/>
      <c r="HM35" s="30"/>
      <c r="HN35" s="30"/>
      <c r="HO35" s="30"/>
      <c r="HP35" s="30"/>
      <c r="HQ35" s="30"/>
      <c r="HR35" s="30"/>
      <c r="HS35" s="30"/>
      <c r="HT35" s="30"/>
      <c r="HU35" s="30"/>
      <c r="HV35" s="30"/>
      <c r="HW35" s="30"/>
      <c r="HX35" s="30"/>
      <c r="HY35" s="30"/>
      <c r="HZ35" s="30"/>
      <c r="IA35" s="30"/>
      <c r="IB35" s="30"/>
      <c r="IC35" s="30"/>
      <c r="ID35" s="30"/>
      <c r="IE35" s="30"/>
      <c r="IF35" s="30"/>
      <c r="IG35" s="30"/>
      <c r="IH35" s="30"/>
      <c r="II35" s="30"/>
      <c r="IJ35" s="30"/>
      <c r="IK35" s="30"/>
      <c r="IL35" s="30"/>
      <c r="IM35" s="30"/>
      <c r="IN35" s="30"/>
      <c r="IO35" s="30"/>
      <c r="IP35" s="30"/>
      <c r="IQ35" s="30"/>
      <c r="IR35" s="30"/>
      <c r="IS35" s="30"/>
      <c r="IT35" s="30"/>
      <c r="IU35" s="30"/>
      <c r="IV35" s="30"/>
      <c r="IW35" s="30"/>
      <c r="IX35" s="30"/>
      <c r="IY35" s="30"/>
      <c r="IZ35" s="30"/>
      <c r="JA35" s="30"/>
      <c r="JB35" s="30"/>
      <c r="JC35" s="30"/>
      <c r="JD35" s="30"/>
      <c r="JE35" s="30"/>
      <c r="JF35" s="30"/>
      <c r="JG35" s="30"/>
      <c r="JH35" s="30"/>
      <c r="JI35" s="30"/>
      <c r="JJ35" s="30"/>
      <c r="JK35" s="30"/>
      <c r="JL35" s="30"/>
      <c r="JM35" s="30"/>
      <c r="JN35" s="30"/>
      <c r="JO35" s="30"/>
      <c r="JP35" s="30"/>
      <c r="JQ35" s="30"/>
      <c r="JR35" s="30"/>
      <c r="JS35" s="30"/>
      <c r="JT35" s="30"/>
      <c r="JU35" s="30"/>
      <c r="JV35" s="30"/>
      <c r="JW35" s="30"/>
      <c r="JX35" s="30"/>
      <c r="JY35" s="30"/>
      <c r="JZ35" s="30"/>
      <c r="KA35" s="30"/>
      <c r="KB35" s="30"/>
      <c r="KC35" s="30"/>
      <c r="KD35" s="30"/>
      <c r="KE35" s="30"/>
      <c r="KF35" s="30"/>
      <c r="KG35" s="30"/>
      <c r="KH35" s="30"/>
      <c r="KI35" s="30"/>
      <c r="KJ35" s="30"/>
      <c r="KK35" s="30"/>
      <c r="KL35" s="30"/>
      <c r="KM35" s="30"/>
      <c r="KN35" s="30"/>
      <c r="KO35" s="30"/>
      <c r="KP35" s="1630"/>
    </row>
    <row r="36" spans="1:302" s="97" customFormat="1" ht="13.9" outlineLevel="1">
      <c r="A36" s="2652" t="s">
        <v>780</v>
      </c>
      <c r="B36" s="2579"/>
      <c r="C36" s="2582" t="s">
        <v>586</v>
      </c>
      <c r="D36" s="2582" t="s">
        <v>594</v>
      </c>
      <c r="E36" s="1415"/>
      <c r="F36" s="370"/>
      <c r="G36" s="387"/>
      <c r="H36" s="350" t="s">
        <v>26</v>
      </c>
      <c r="I36" s="2934"/>
      <c r="J36" s="362" t="s">
        <v>26</v>
      </c>
      <c r="K36" s="355"/>
      <c r="L36" s="357"/>
      <c r="M36" s="357"/>
      <c r="N36" s="357"/>
      <c r="O36" s="1510">
        <v>17000000</v>
      </c>
      <c r="P36" s="355"/>
      <c r="Q36" s="355"/>
      <c r="R36" s="355"/>
      <c r="S36" s="1510">
        <f t="shared" si="41"/>
        <v>0</v>
      </c>
      <c r="T36" s="355"/>
      <c r="U36" s="355"/>
      <c r="V36" s="355"/>
      <c r="W36" s="1744">
        <f t="shared" si="42"/>
        <v>17000000</v>
      </c>
      <c r="X36" s="359" t="s">
        <v>26</v>
      </c>
      <c r="Y36" s="357"/>
      <c r="Z36" s="355"/>
      <c r="AA36" s="355"/>
      <c r="AB36" s="1510">
        <f t="shared" si="43"/>
        <v>0</v>
      </c>
      <c r="AC36" s="2578"/>
      <c r="AD36" s="1441"/>
      <c r="AE36" s="357"/>
      <c r="AF36" s="1441"/>
      <c r="AG36" s="357"/>
      <c r="AH36" s="354">
        <f t="shared" si="47"/>
        <v>0</v>
      </c>
      <c r="AI36" s="355">
        <f t="shared" ca="1" si="45"/>
        <v>0</v>
      </c>
      <c r="AJ36" s="356" t="str">
        <f t="shared" si="1"/>
        <v/>
      </c>
      <c r="AK36" s="2185"/>
      <c r="AL36" s="260"/>
      <c r="AM36" s="2256"/>
      <c r="AN36" s="2256"/>
      <c r="AO36" s="359"/>
      <c r="AP36" s="377"/>
      <c r="AQ36" s="359"/>
      <c r="AR36" s="359"/>
      <c r="AS36" s="359"/>
      <c r="AT36" s="360"/>
      <c r="AU36" s="359"/>
      <c r="AV36" s="359"/>
      <c r="AW36" s="359"/>
      <c r="AX36" s="377"/>
      <c r="AY36" s="360"/>
      <c r="AZ36" s="2258"/>
      <c r="BA36" s="359"/>
      <c r="BB36" s="359"/>
      <c r="BC36" s="359"/>
      <c r="BD36" s="359"/>
      <c r="BE36" s="359"/>
      <c r="BF36" s="359"/>
      <c r="BG36" s="359"/>
      <c r="BH36" s="359"/>
      <c r="BI36" s="380"/>
      <c r="BJ36" s="359"/>
      <c r="BK36" s="2122"/>
      <c r="BL36" s="380"/>
      <c r="BM36" s="380"/>
      <c r="BN36" s="380"/>
      <c r="BO36" s="380"/>
      <c r="BP36" s="380"/>
      <c r="BQ36" s="2087"/>
      <c r="BR36" s="359"/>
      <c r="BS36" s="359"/>
      <c r="BT36" s="359"/>
      <c r="BU36" s="355"/>
      <c r="BV36" s="355"/>
      <c r="BW36" s="446"/>
      <c r="BX36" s="2392"/>
      <c r="BY36" s="2432"/>
      <c r="BZ36" s="2432"/>
      <c r="CA36" s="2432">
        <f t="shared" si="56"/>
        <v>0</v>
      </c>
      <c r="CB36" s="2377" t="str">
        <f t="shared" si="57"/>
        <v/>
      </c>
      <c r="CC36" s="365" t="str">
        <f t="shared" si="58"/>
        <v/>
      </c>
      <c r="CD36" s="366"/>
      <c r="CE36" s="343"/>
      <c r="CF36" s="343"/>
      <c r="CG36" s="340"/>
      <c r="CH36" s="1416"/>
      <c r="CI36" s="1417"/>
      <c r="CJ36" s="1417"/>
      <c r="CK36" s="355"/>
      <c r="CL36" s="329">
        <f t="shared" si="12"/>
        <v>17000000</v>
      </c>
      <c r="CM36" s="330">
        <f t="shared" ca="1" si="13"/>
        <v>0</v>
      </c>
      <c r="CN36" s="331">
        <f t="shared" ca="1" si="14"/>
        <v>0</v>
      </c>
      <c r="CO36" s="86"/>
      <c r="CP36" s="86"/>
      <c r="CQ36" s="1641"/>
      <c r="CR36" s="86"/>
      <c r="CS36" s="86"/>
      <c r="CT36" s="86"/>
      <c r="CU36" s="86"/>
      <c r="CV36" s="86"/>
      <c r="CW36" s="86"/>
      <c r="CX36" s="86"/>
      <c r="CY36" s="86"/>
      <c r="CZ36" s="86"/>
      <c r="DA36" s="86"/>
      <c r="DB36" s="1642"/>
      <c r="DC36" s="1642"/>
      <c r="DD36" s="30"/>
      <c r="DE36" s="30"/>
      <c r="DF36" s="30"/>
      <c r="DG36" s="1642"/>
      <c r="DH36" s="1642"/>
      <c r="DI36" s="1642"/>
      <c r="DJ36" s="1642"/>
      <c r="DK36" s="1642"/>
      <c r="DL36" s="1642"/>
      <c r="DM36" s="1642"/>
      <c r="DN36" s="1642"/>
      <c r="DO36" s="1642"/>
      <c r="DP36" s="1642"/>
      <c r="DQ36" s="1642"/>
      <c r="DR36" s="1642"/>
      <c r="DS36" s="1642"/>
      <c r="DT36" s="1642"/>
      <c r="DU36" s="1642"/>
      <c r="DV36" s="1642"/>
      <c r="DW36" s="1642"/>
      <c r="DX36" s="1642"/>
      <c r="DY36" s="1642"/>
      <c r="DZ36" s="1642"/>
      <c r="EA36" s="1642"/>
      <c r="EB36" s="1642"/>
      <c r="EC36" s="1642"/>
      <c r="ED36" s="1642"/>
      <c r="EE36" s="1642"/>
      <c r="EF36" s="1642"/>
      <c r="EG36" s="1642"/>
      <c r="EH36" s="1643"/>
      <c r="EI36" s="1658"/>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0"/>
      <c r="HO36" s="30"/>
      <c r="HP36" s="30"/>
      <c r="HQ36" s="30"/>
      <c r="HR36" s="30"/>
      <c r="HS36" s="30"/>
      <c r="HT36" s="30"/>
      <c r="HU36" s="30"/>
      <c r="HV36" s="30"/>
      <c r="HW36" s="30"/>
      <c r="HX36" s="30"/>
      <c r="HY36" s="30"/>
      <c r="HZ36" s="30"/>
      <c r="IA36" s="30"/>
      <c r="IB36" s="30"/>
      <c r="IC36" s="30"/>
      <c r="ID36" s="30"/>
      <c r="IE36" s="30"/>
      <c r="IF36" s="30"/>
      <c r="IG36" s="30"/>
      <c r="IH36" s="30"/>
      <c r="II36" s="30"/>
      <c r="IJ36" s="30"/>
      <c r="IK36" s="30"/>
      <c r="IL36" s="30"/>
      <c r="IM36" s="30"/>
      <c r="IN36" s="30"/>
      <c r="IO36" s="30"/>
      <c r="IP36" s="30"/>
      <c r="IQ36" s="30"/>
      <c r="IR36" s="30"/>
      <c r="IS36" s="30"/>
      <c r="IT36" s="30"/>
      <c r="IU36" s="30"/>
      <c r="IV36" s="30"/>
      <c r="IW36" s="30"/>
      <c r="IX36" s="30"/>
      <c r="IY36" s="30"/>
      <c r="IZ36" s="30"/>
      <c r="JA36" s="30"/>
      <c r="JB36" s="30"/>
      <c r="JC36" s="30"/>
      <c r="JD36" s="30"/>
      <c r="JE36" s="30"/>
      <c r="JF36" s="30"/>
      <c r="JG36" s="30"/>
      <c r="JH36" s="30"/>
      <c r="JI36" s="30"/>
      <c r="JJ36" s="30"/>
      <c r="JK36" s="30"/>
      <c r="JL36" s="30"/>
      <c r="JM36" s="30"/>
      <c r="JN36" s="30"/>
      <c r="JO36" s="30"/>
      <c r="JP36" s="30"/>
      <c r="JQ36" s="30"/>
      <c r="JR36" s="30"/>
      <c r="JS36" s="30"/>
      <c r="JT36" s="30"/>
      <c r="JU36" s="30"/>
      <c r="JV36" s="30"/>
      <c r="JW36" s="30"/>
      <c r="JX36" s="30"/>
      <c r="JY36" s="30"/>
      <c r="JZ36" s="30"/>
      <c r="KA36" s="30"/>
      <c r="KB36" s="30"/>
      <c r="KC36" s="30"/>
      <c r="KD36" s="30"/>
      <c r="KE36" s="30"/>
      <c r="KF36" s="30"/>
      <c r="KG36" s="30"/>
      <c r="KH36" s="30"/>
      <c r="KI36" s="30"/>
      <c r="KJ36" s="30"/>
      <c r="KK36" s="30"/>
      <c r="KL36" s="30"/>
      <c r="KM36" s="30"/>
      <c r="KN36" s="30"/>
      <c r="KO36" s="30"/>
      <c r="KP36" s="1630"/>
    </row>
    <row r="37" spans="1:302" s="97" customFormat="1" ht="25.25" customHeight="1" outlineLevel="1">
      <c r="A37" s="2651"/>
      <c r="B37" s="1419"/>
      <c r="C37" s="2582" t="s">
        <v>1310</v>
      </c>
      <c r="D37" s="2582" t="s">
        <v>594</v>
      </c>
      <c r="E37" s="1415"/>
      <c r="F37" s="370"/>
      <c r="G37" s="387"/>
      <c r="H37" s="350" t="s">
        <v>26</v>
      </c>
      <c r="I37" s="2935"/>
      <c r="J37" s="362" t="s">
        <v>26</v>
      </c>
      <c r="K37" s="355"/>
      <c r="L37" s="357"/>
      <c r="M37" s="357"/>
      <c r="N37" s="357"/>
      <c r="O37" s="1510"/>
      <c r="P37" s="355"/>
      <c r="Q37" s="355"/>
      <c r="R37" s="355"/>
      <c r="S37" s="1510">
        <f t="shared" si="17"/>
        <v>0</v>
      </c>
      <c r="T37" s="355"/>
      <c r="U37" s="355"/>
      <c r="V37" s="355"/>
      <c r="W37" s="1744">
        <f t="shared" ref="W37:W38" si="59">O37+S37</f>
        <v>0</v>
      </c>
      <c r="X37" s="359" t="s">
        <v>26</v>
      </c>
      <c r="Y37" s="357"/>
      <c r="Z37" s="355"/>
      <c r="AA37" s="355"/>
      <c r="AB37" s="1510">
        <f t="shared" si="43"/>
        <v>17000000</v>
      </c>
      <c r="AC37" s="1441" t="s">
        <v>1235</v>
      </c>
      <c r="AD37" s="1444">
        <v>4502946461</v>
      </c>
      <c r="AE37" s="357" t="s">
        <v>564</v>
      </c>
      <c r="AF37" s="357">
        <v>17000000</v>
      </c>
      <c r="AG37" s="357">
        <v>1</v>
      </c>
      <c r="AH37" s="354">
        <f t="shared" ref="AH37" si="60">AF37*AG37</f>
        <v>17000000</v>
      </c>
      <c r="AI37" s="355">
        <f t="shared" ca="1" si="45"/>
        <v>3847140</v>
      </c>
      <c r="AJ37" s="356">
        <f t="shared" ca="1" si="1"/>
        <v>0.22630235294117648</v>
      </c>
      <c r="AK37" s="2185"/>
      <c r="AL37" s="260"/>
      <c r="AM37" s="2737">
        <v>3499140</v>
      </c>
      <c r="AN37" s="2766">
        <v>348000</v>
      </c>
      <c r="AO37" s="359"/>
      <c r="AP37" s="2743">
        <v>1113600</v>
      </c>
      <c r="AQ37" s="359"/>
      <c r="AR37" s="1505"/>
      <c r="AS37" s="359">
        <v>348000</v>
      </c>
      <c r="AT37" s="360"/>
      <c r="AU37" s="1505"/>
      <c r="AV37" s="359">
        <v>2175000</v>
      </c>
      <c r="AW37" s="1505"/>
      <c r="AX37" s="1505"/>
      <c r="AY37" s="2313">
        <v>1896600</v>
      </c>
      <c r="AZ37" s="2258"/>
      <c r="BA37" s="359"/>
      <c r="BB37" s="359">
        <v>1253400</v>
      </c>
      <c r="BC37" s="359"/>
      <c r="BD37" s="359"/>
      <c r="BE37" s="359">
        <v>2523600</v>
      </c>
      <c r="BF37" s="359"/>
      <c r="BG37" s="359"/>
      <c r="BH37" s="359">
        <v>1215060</v>
      </c>
      <c r="BI37" s="359"/>
      <c r="BJ37" s="359"/>
      <c r="BK37" s="2122">
        <v>1548600</v>
      </c>
      <c r="BL37" s="380"/>
      <c r="BM37" s="380"/>
      <c r="BN37" s="380">
        <v>957000</v>
      </c>
      <c r="BO37" s="380"/>
      <c r="BP37" s="380"/>
      <c r="BQ37" s="2087">
        <v>122000</v>
      </c>
      <c r="BR37" s="359"/>
      <c r="BS37" s="359"/>
      <c r="BT37" s="359"/>
      <c r="BU37" s="355"/>
      <c r="BV37" s="355"/>
      <c r="BW37" s="446"/>
      <c r="BX37" s="2392"/>
      <c r="BY37" s="2432"/>
      <c r="BZ37" s="2432"/>
      <c r="CA37" s="2432">
        <f t="shared" si="56"/>
        <v>13152860</v>
      </c>
      <c r="CB37" s="2377">
        <f t="shared" si="57"/>
        <v>0.77369764705882349</v>
      </c>
      <c r="CC37" s="365">
        <f t="shared" si="58"/>
        <v>4.5511626297577852E-8</v>
      </c>
      <c r="CD37" s="366"/>
      <c r="CE37" s="343"/>
      <c r="CF37" s="343"/>
      <c r="CG37" s="340"/>
      <c r="CH37" s="1416"/>
      <c r="CI37" s="1417"/>
      <c r="CJ37" s="1417"/>
      <c r="CK37" s="355"/>
      <c r="CL37" s="329">
        <f t="shared" si="12"/>
        <v>-13152860</v>
      </c>
      <c r="CM37" s="330">
        <f t="shared" ca="1" si="13"/>
        <v>0</v>
      </c>
      <c r="CN37" s="331">
        <f t="shared" ca="1" si="14"/>
        <v>-11118800</v>
      </c>
      <c r="CO37" s="86"/>
      <c r="CP37" s="86"/>
      <c r="CQ37" s="1641"/>
      <c r="CR37" s="86"/>
      <c r="CS37" s="86"/>
      <c r="CT37" s="86"/>
      <c r="CU37" s="86"/>
      <c r="CV37" s="86"/>
      <c r="CW37" s="86"/>
      <c r="CX37" s="86"/>
      <c r="CY37" s="86"/>
      <c r="CZ37" s="86"/>
      <c r="DA37" s="86"/>
      <c r="DB37" s="1642"/>
      <c r="DC37" s="1642"/>
      <c r="DD37" s="30"/>
      <c r="DE37" s="30"/>
      <c r="DF37" s="30"/>
      <c r="DG37" s="1642"/>
      <c r="DH37" s="1642"/>
      <c r="DI37" s="1642"/>
      <c r="DJ37" s="1642"/>
      <c r="DK37" s="1642"/>
      <c r="DL37" s="1642"/>
      <c r="DM37" s="1642"/>
      <c r="DN37" s="1642"/>
      <c r="DO37" s="1642"/>
      <c r="DP37" s="1642"/>
      <c r="DQ37" s="1642"/>
      <c r="DR37" s="1642"/>
      <c r="DS37" s="1642"/>
      <c r="DT37" s="1642"/>
      <c r="DU37" s="1642"/>
      <c r="DV37" s="1642"/>
      <c r="DW37" s="1642"/>
      <c r="DX37" s="1642"/>
      <c r="DY37" s="1642"/>
      <c r="DZ37" s="1642"/>
      <c r="EA37" s="1642"/>
      <c r="EB37" s="1642"/>
      <c r="EC37" s="1642"/>
      <c r="ED37" s="1642"/>
      <c r="EE37" s="1642"/>
      <c r="EF37" s="1642"/>
      <c r="EG37" s="1642"/>
      <c r="EH37" s="1643"/>
      <c r="EI37" s="1658"/>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30"/>
      <c r="GL37" s="30"/>
      <c r="GM37" s="30"/>
      <c r="GN37" s="30"/>
      <c r="GO37" s="30"/>
      <c r="GP37" s="30"/>
      <c r="GQ37" s="30"/>
      <c r="GR37" s="30"/>
      <c r="GS37" s="30"/>
      <c r="GT37" s="30"/>
      <c r="GU37" s="30"/>
      <c r="GV37" s="30"/>
      <c r="GW37" s="30"/>
      <c r="GX37" s="30"/>
      <c r="GY37" s="30"/>
      <c r="GZ37" s="30"/>
      <c r="HA37" s="30"/>
      <c r="HB37" s="30"/>
      <c r="HC37" s="30"/>
      <c r="HD37" s="30"/>
      <c r="HE37" s="30"/>
      <c r="HF37" s="30"/>
      <c r="HG37" s="30"/>
      <c r="HH37" s="30"/>
      <c r="HI37" s="30"/>
      <c r="HJ37" s="30"/>
      <c r="HK37" s="30"/>
      <c r="HL37" s="30"/>
      <c r="HM37" s="30"/>
      <c r="HN37" s="30"/>
      <c r="HO37" s="30"/>
      <c r="HP37" s="30"/>
      <c r="HQ37" s="30"/>
      <c r="HR37" s="30"/>
      <c r="HS37" s="30"/>
      <c r="HT37" s="30"/>
      <c r="HU37" s="30"/>
      <c r="HV37" s="30"/>
      <c r="HW37" s="30"/>
      <c r="HX37" s="30"/>
      <c r="HY37" s="30"/>
      <c r="HZ37" s="30"/>
      <c r="IA37" s="30"/>
      <c r="IB37" s="30"/>
      <c r="IC37" s="30"/>
      <c r="ID37" s="30"/>
      <c r="IE37" s="30"/>
      <c r="IF37" s="30"/>
      <c r="IG37" s="30"/>
      <c r="IH37" s="30"/>
      <c r="II37" s="30"/>
      <c r="IJ37" s="30"/>
      <c r="IK37" s="30"/>
      <c r="IL37" s="30"/>
      <c r="IM37" s="30"/>
      <c r="IN37" s="30"/>
      <c r="IO37" s="30"/>
      <c r="IP37" s="30"/>
      <c r="IQ37" s="30"/>
      <c r="IR37" s="30"/>
      <c r="IS37" s="30"/>
      <c r="IT37" s="30"/>
      <c r="IU37" s="30"/>
      <c r="IV37" s="30"/>
      <c r="IW37" s="30"/>
      <c r="IX37" s="30"/>
      <c r="IY37" s="30"/>
      <c r="IZ37" s="30"/>
      <c r="JA37" s="30"/>
      <c r="JB37" s="30"/>
      <c r="JC37" s="30"/>
      <c r="JD37" s="30"/>
      <c r="JE37" s="30"/>
      <c r="JF37" s="30"/>
      <c r="JG37" s="30"/>
      <c r="JH37" s="30"/>
      <c r="JI37" s="30"/>
      <c r="JJ37" s="30"/>
      <c r="JK37" s="30"/>
      <c r="JL37" s="30"/>
      <c r="JM37" s="30"/>
      <c r="JN37" s="30"/>
      <c r="JO37" s="30"/>
      <c r="JP37" s="30"/>
      <c r="JQ37" s="30"/>
      <c r="JR37" s="30"/>
      <c r="JS37" s="30"/>
      <c r="JT37" s="30"/>
      <c r="JU37" s="30"/>
      <c r="JV37" s="30"/>
      <c r="JW37" s="30"/>
      <c r="JX37" s="30"/>
      <c r="JY37" s="30"/>
      <c r="JZ37" s="30"/>
      <c r="KA37" s="30"/>
      <c r="KB37" s="30"/>
      <c r="KC37" s="30"/>
      <c r="KD37" s="30"/>
      <c r="KE37" s="30"/>
      <c r="KF37" s="30"/>
      <c r="KG37" s="30"/>
      <c r="KH37" s="30"/>
      <c r="KI37" s="30"/>
      <c r="KJ37" s="30"/>
      <c r="KK37" s="30"/>
      <c r="KL37" s="30"/>
      <c r="KM37" s="30"/>
      <c r="KN37" s="30"/>
      <c r="KO37" s="30"/>
      <c r="KP37" s="1630"/>
    </row>
    <row r="38" spans="1:302" s="97" customFormat="1" ht="28.5" customHeight="1">
      <c r="A38" s="2654">
        <v>2</v>
      </c>
      <c r="B38" s="332"/>
      <c r="C38" s="164" t="s">
        <v>603</v>
      </c>
      <c r="D38" s="164" t="s">
        <v>604</v>
      </c>
      <c r="E38" s="333"/>
      <c r="F38" s="334"/>
      <c r="G38" s="335"/>
      <c r="H38" s="334"/>
      <c r="I38" s="336">
        <f>SUM(I40:I141)</f>
        <v>113409768</v>
      </c>
      <c r="J38" s="336"/>
      <c r="K38" s="336"/>
      <c r="L38" s="336"/>
      <c r="M38" s="336"/>
      <c r="N38" s="336"/>
      <c r="O38" s="336">
        <f>SUM(O39:O142)</f>
        <v>108109767</v>
      </c>
      <c r="P38" s="336">
        <f>SUM(P39:P142)</f>
        <v>0</v>
      </c>
      <c r="Q38" s="336">
        <f>SUM(Q39:Q142)</f>
        <v>0</v>
      </c>
      <c r="R38" s="336">
        <f>SUM(R39:R142)</f>
        <v>0</v>
      </c>
      <c r="S38" s="336">
        <f t="shared" si="17"/>
        <v>0</v>
      </c>
      <c r="T38" s="336"/>
      <c r="U38" s="336"/>
      <c r="V38" s="336"/>
      <c r="W38" s="336">
        <f t="shared" si="59"/>
        <v>108109767</v>
      </c>
      <c r="X38" s="336"/>
      <c r="Y38" s="336">
        <f>SUM(Y39:Y142)</f>
        <v>0</v>
      </c>
      <c r="Z38" s="336">
        <f>SUM(Z39:Z142)</f>
        <v>0</v>
      </c>
      <c r="AA38" s="336">
        <f>SUM(AA39:AA142)</f>
        <v>0</v>
      </c>
      <c r="AB38" s="336">
        <f>SUM(AB39:AB142)</f>
        <v>108109766.99185403</v>
      </c>
      <c r="AC38" s="1440"/>
      <c r="AD38" s="1456"/>
      <c r="AE38" s="336"/>
      <c r="AF38" s="336"/>
      <c r="AG38" s="336"/>
      <c r="AH38" s="336">
        <f>SUM(AH39:AH142)</f>
        <v>44131701.149999999</v>
      </c>
      <c r="AI38" s="336">
        <f ca="1">SUM(AI39:AI142)</f>
        <v>631269.32000000007</v>
      </c>
      <c r="AJ38" s="337"/>
      <c r="AK38" s="2183"/>
      <c r="AL38" s="1331"/>
      <c r="AM38" s="2259">
        <f t="shared" ref="AM38:BZ38" si="61">SUM(AM39:AM142)</f>
        <v>300000</v>
      </c>
      <c r="AN38" s="2259">
        <f t="shared" si="61"/>
        <v>5240.04</v>
      </c>
      <c r="AO38" s="336">
        <f t="shared" si="61"/>
        <v>326029.28000000003</v>
      </c>
      <c r="AP38" s="336">
        <f t="shared" si="61"/>
        <v>305540.92285714281</v>
      </c>
      <c r="AQ38" s="336">
        <f t="shared" si="61"/>
        <v>3123239.7866490814</v>
      </c>
      <c r="AR38" s="336">
        <f t="shared" si="61"/>
        <v>3214288.7553990814</v>
      </c>
      <c r="AS38" s="336">
        <f t="shared" si="61"/>
        <v>3234337.2053990816</v>
      </c>
      <c r="AT38" s="338">
        <f t="shared" si="61"/>
        <v>3728352.3053990817</v>
      </c>
      <c r="AU38" s="336">
        <f t="shared" si="61"/>
        <v>2839919.7725419393</v>
      </c>
      <c r="AV38" s="336">
        <f t="shared" si="61"/>
        <v>4202036.9825419383</v>
      </c>
      <c r="AW38" s="336">
        <f t="shared" si="61"/>
        <v>4307761.8053990817</v>
      </c>
      <c r="AX38" s="336">
        <f t="shared" si="61"/>
        <v>3972831.1769705103</v>
      </c>
      <c r="AY38" s="338">
        <f t="shared" si="61"/>
        <v>4377515.5369705111</v>
      </c>
      <c r="AZ38" s="2308">
        <f t="shared" si="61"/>
        <v>7286665.3064420652</v>
      </c>
      <c r="BA38" s="336">
        <f t="shared" si="61"/>
        <v>7564695.6397420652</v>
      </c>
      <c r="BB38" s="336">
        <f t="shared" si="61"/>
        <v>7334026.4964420665</v>
      </c>
      <c r="BC38" s="336">
        <f t="shared" si="61"/>
        <v>6834960.7064420655</v>
      </c>
      <c r="BD38" s="336">
        <f t="shared" si="61"/>
        <v>6743044.4681420652</v>
      </c>
      <c r="BE38" s="336">
        <f t="shared" si="61"/>
        <v>7665279.3277420653</v>
      </c>
      <c r="BF38" s="336">
        <f t="shared" si="61"/>
        <v>4833339.945242065</v>
      </c>
      <c r="BG38" s="336">
        <f t="shared" si="61"/>
        <v>4250198.5703538302</v>
      </c>
      <c r="BH38" s="336">
        <f t="shared" si="61"/>
        <v>3703717.2786538303</v>
      </c>
      <c r="BI38" s="336">
        <f t="shared" si="61"/>
        <v>3703717.2786538303</v>
      </c>
      <c r="BJ38" s="336">
        <f t="shared" si="61"/>
        <v>3780243.97895383</v>
      </c>
      <c r="BK38" s="2121">
        <f t="shared" si="61"/>
        <v>3006908.3119538305</v>
      </c>
      <c r="BL38" s="339">
        <f t="shared" si="61"/>
        <v>110051.5925925926</v>
      </c>
      <c r="BM38" s="339">
        <f t="shared" si="61"/>
        <v>4872.5925925925922</v>
      </c>
      <c r="BN38" s="339">
        <f t="shared" si="61"/>
        <v>234759.59259259258</v>
      </c>
      <c r="BO38" s="339">
        <f t="shared" si="61"/>
        <v>4872.5925925925922</v>
      </c>
      <c r="BP38" s="339">
        <f t="shared" si="61"/>
        <v>4872.5925925925922</v>
      </c>
      <c r="BQ38" s="2086">
        <f t="shared" si="61"/>
        <v>0</v>
      </c>
      <c r="BR38" s="336">
        <f t="shared" si="61"/>
        <v>0</v>
      </c>
      <c r="BS38" s="336">
        <f t="shared" si="61"/>
        <v>0</v>
      </c>
      <c r="BT38" s="336">
        <f t="shared" si="61"/>
        <v>0</v>
      </c>
      <c r="BU38" s="336">
        <f t="shared" si="61"/>
        <v>0</v>
      </c>
      <c r="BV38" s="336">
        <f t="shared" si="61"/>
        <v>0</v>
      </c>
      <c r="BW38" s="338">
        <f t="shared" si="61"/>
        <v>6793028.1500000004</v>
      </c>
      <c r="BX38" s="2391">
        <f t="shared" si="61"/>
        <v>313419</v>
      </c>
      <c r="BY38" s="2391">
        <f t="shared" si="61"/>
        <v>0</v>
      </c>
      <c r="BZ38" s="2391">
        <f t="shared" si="61"/>
        <v>0</v>
      </c>
      <c r="CA38" s="2431">
        <f>SUMIF($AM$10:$BZ$10,$CA$9,AM38:BZ38)</f>
        <v>107478497.67185405</v>
      </c>
      <c r="CB38" s="2379">
        <f t="shared" si="3"/>
        <v>0.99416084838988195</v>
      </c>
      <c r="CC38" s="365">
        <f t="shared" si="3"/>
        <v>9.1958467403300486E-9</v>
      </c>
      <c r="CD38" s="341"/>
      <c r="CE38" s="342"/>
      <c r="CF38" s="343"/>
      <c r="CG38" s="340"/>
      <c r="CH38" s="344"/>
      <c r="CI38" s="345"/>
      <c r="CJ38" s="345"/>
      <c r="CK38" s="346"/>
      <c r="CL38" s="329">
        <f>O38-CA38</f>
        <v>631269.32814595103</v>
      </c>
      <c r="CM38" s="330">
        <f t="shared" ca="1" si="13"/>
        <v>0</v>
      </c>
      <c r="CN38" s="331">
        <f t="shared" ca="1" si="14"/>
        <v>-74472673.421726584</v>
      </c>
      <c r="CO38" s="86"/>
      <c r="CP38" s="86"/>
      <c r="CQ38" s="1641"/>
      <c r="CR38" s="86"/>
      <c r="CS38" s="86"/>
      <c r="CT38" s="86"/>
      <c r="CU38" s="86"/>
      <c r="CV38" s="86"/>
      <c r="CW38" s="86"/>
      <c r="CX38" s="86"/>
      <c r="CY38" s="86"/>
      <c r="CZ38" s="86"/>
      <c r="DA38" s="86"/>
      <c r="DB38" s="1642"/>
      <c r="DC38" s="1642"/>
      <c r="DD38" s="30"/>
      <c r="DE38" s="30"/>
      <c r="DF38" s="30"/>
      <c r="DG38" s="1642"/>
      <c r="DH38" s="1642"/>
      <c r="DI38" s="1642"/>
      <c r="DJ38" s="1642"/>
      <c r="DK38" s="1642"/>
      <c r="DL38" s="1642"/>
      <c r="DM38" s="1642"/>
      <c r="DN38" s="1642"/>
      <c r="DO38" s="1642"/>
      <c r="DP38" s="1642"/>
      <c r="DQ38" s="1642"/>
      <c r="DR38" s="1642"/>
      <c r="DS38" s="1642"/>
      <c r="DT38" s="1642"/>
      <c r="DU38" s="1642"/>
      <c r="DV38" s="1642"/>
      <c r="DW38" s="1642"/>
      <c r="DX38" s="1642"/>
      <c r="DY38" s="1642"/>
      <c r="DZ38" s="1642"/>
      <c r="EA38" s="1642"/>
      <c r="EB38" s="1642"/>
      <c r="EC38" s="1642"/>
      <c r="ED38" s="1642"/>
      <c r="EE38" s="1642"/>
      <c r="EF38" s="1642"/>
      <c r="EG38" s="1642"/>
      <c r="EH38" s="1643"/>
      <c r="EI38" s="1658"/>
      <c r="EJ38" s="30"/>
      <c r="EK38" s="30"/>
      <c r="EL38" s="30"/>
      <c r="EM38" s="30"/>
      <c r="EN38" s="30"/>
      <c r="EO38" s="30"/>
      <c r="EP38" s="30"/>
      <c r="EQ38" s="30"/>
      <c r="ER38" s="30"/>
      <c r="ES38" s="30"/>
      <c r="ET38" s="30"/>
      <c r="EU38" s="30"/>
      <c r="EV38" s="30"/>
      <c r="EW38" s="30"/>
      <c r="EX38" s="30"/>
      <c r="EY38" s="30"/>
      <c r="EZ38" s="30"/>
      <c r="FA38" s="30"/>
      <c r="FB38" s="30"/>
      <c r="FC38" s="30"/>
      <c r="FD38" s="30"/>
      <c r="FE38" s="30"/>
      <c r="FF38" s="30"/>
      <c r="FG38" s="30"/>
      <c r="FH38" s="30"/>
      <c r="FI38" s="30"/>
      <c r="FJ38" s="30"/>
      <c r="FK38" s="30"/>
      <c r="FL38" s="30"/>
      <c r="FM38" s="30"/>
      <c r="FN38" s="30"/>
      <c r="FO38" s="30"/>
      <c r="FP38" s="30"/>
      <c r="FQ38" s="30"/>
      <c r="FR38" s="30"/>
      <c r="FS38" s="30"/>
      <c r="FT38" s="30"/>
      <c r="FU38" s="30"/>
      <c r="FV38" s="30"/>
      <c r="FW38" s="30"/>
      <c r="FX38" s="30"/>
      <c r="FY38" s="30"/>
      <c r="FZ38" s="30"/>
      <c r="GA38" s="30"/>
      <c r="GB38" s="30"/>
      <c r="GC38" s="30"/>
      <c r="GD38" s="30"/>
      <c r="GE38" s="30"/>
      <c r="GF38" s="30"/>
      <c r="GG38" s="30"/>
      <c r="GH38" s="30"/>
      <c r="GI38" s="30"/>
      <c r="GJ38" s="30"/>
      <c r="GK38" s="30"/>
      <c r="GL38" s="30"/>
      <c r="GM38" s="30"/>
      <c r="GN38" s="30"/>
      <c r="GO38" s="30"/>
      <c r="GP38" s="30"/>
      <c r="GQ38" s="30"/>
      <c r="GR38" s="30"/>
      <c r="GS38" s="30"/>
      <c r="GT38" s="30"/>
      <c r="GU38" s="30"/>
      <c r="GV38" s="30"/>
      <c r="GW38" s="30"/>
      <c r="GX38" s="30"/>
      <c r="GY38" s="30"/>
      <c r="GZ38" s="30"/>
      <c r="HA38" s="30"/>
      <c r="HB38" s="30"/>
      <c r="HC38" s="30"/>
      <c r="HD38" s="30"/>
      <c r="HE38" s="30"/>
      <c r="HF38" s="30"/>
      <c r="HG38" s="30"/>
      <c r="HH38" s="30"/>
      <c r="HI38" s="30"/>
      <c r="HJ38" s="30"/>
      <c r="HK38" s="30"/>
      <c r="HL38" s="30"/>
      <c r="HM38" s="30"/>
      <c r="HN38" s="30"/>
      <c r="HO38" s="30"/>
      <c r="HP38" s="30"/>
      <c r="HQ38" s="30"/>
      <c r="HR38" s="30"/>
      <c r="HS38" s="30"/>
      <c r="HT38" s="30"/>
      <c r="HU38" s="30"/>
      <c r="HV38" s="30"/>
      <c r="HW38" s="30"/>
      <c r="HX38" s="30"/>
      <c r="HY38" s="30"/>
      <c r="HZ38" s="30"/>
      <c r="IA38" s="30"/>
      <c r="IB38" s="30"/>
      <c r="IC38" s="30"/>
      <c r="ID38" s="30"/>
      <c r="IE38" s="30"/>
      <c r="IF38" s="30"/>
      <c r="IG38" s="30"/>
      <c r="IH38" s="30"/>
      <c r="II38" s="30"/>
      <c r="IJ38" s="30"/>
      <c r="IK38" s="30"/>
      <c r="IL38" s="30"/>
      <c r="IM38" s="30"/>
      <c r="IN38" s="30"/>
      <c r="IO38" s="30"/>
      <c r="IP38" s="30"/>
      <c r="IQ38" s="30"/>
      <c r="IR38" s="30"/>
      <c r="IS38" s="30"/>
      <c r="IT38" s="30"/>
      <c r="IU38" s="30"/>
      <c r="IV38" s="30"/>
      <c r="IW38" s="30"/>
      <c r="IX38" s="30"/>
      <c r="IY38" s="30"/>
      <c r="IZ38" s="30"/>
      <c r="JA38" s="30"/>
      <c r="JB38" s="30"/>
      <c r="JC38" s="30"/>
      <c r="JD38" s="30"/>
      <c r="JE38" s="30"/>
      <c r="JF38" s="30"/>
      <c r="JG38" s="30"/>
      <c r="JH38" s="30"/>
      <c r="JI38" s="30"/>
      <c r="JJ38" s="30"/>
      <c r="JK38" s="30"/>
      <c r="JL38" s="30"/>
      <c r="JM38" s="30"/>
      <c r="JN38" s="30"/>
      <c r="JO38" s="30"/>
      <c r="JP38" s="30"/>
      <c r="JQ38" s="30"/>
      <c r="JR38" s="30"/>
      <c r="JS38" s="30"/>
      <c r="JT38" s="30"/>
      <c r="JU38" s="30"/>
      <c r="JV38" s="30"/>
      <c r="JW38" s="30"/>
      <c r="JX38" s="30"/>
      <c r="JY38" s="30"/>
      <c r="JZ38" s="30"/>
      <c r="KA38" s="30"/>
      <c r="KB38" s="30"/>
      <c r="KC38" s="30"/>
      <c r="KD38" s="30"/>
      <c r="KE38" s="30"/>
      <c r="KF38" s="30"/>
      <c r="KG38" s="30"/>
      <c r="KH38" s="30"/>
      <c r="KI38" s="30"/>
      <c r="KJ38" s="30"/>
      <c r="KK38" s="30"/>
      <c r="KL38" s="30"/>
      <c r="KM38" s="30"/>
      <c r="KN38" s="30"/>
      <c r="KO38" s="30"/>
      <c r="KP38" s="1630"/>
    </row>
    <row r="39" spans="1:302" s="97" customFormat="1" ht="25.25" customHeight="1">
      <c r="A39" s="2655" t="s">
        <v>120</v>
      </c>
      <c r="B39" s="2601"/>
      <c r="C39" s="2588" t="s">
        <v>605</v>
      </c>
      <c r="D39" s="2588" t="s">
        <v>606</v>
      </c>
      <c r="E39" s="2586"/>
      <c r="F39" s="2586"/>
      <c r="G39" s="2586"/>
      <c r="H39" s="2586"/>
      <c r="I39" s="2586"/>
      <c r="J39" s="2586" t="s">
        <v>26</v>
      </c>
      <c r="K39" s="2586"/>
      <c r="L39" s="2586"/>
      <c r="M39" s="2586"/>
      <c r="N39" s="2586"/>
      <c r="O39" s="2591">
        <f>4613087-4300000</f>
        <v>313087</v>
      </c>
      <c r="P39" s="2591"/>
      <c r="Q39" s="2591"/>
      <c r="R39" s="2591"/>
      <c r="S39" s="2591">
        <f t="shared" ref="S39" si="62">R39*Q39</f>
        <v>0</v>
      </c>
      <c r="T39" s="2591"/>
      <c r="U39" s="2591"/>
      <c r="V39" s="2591"/>
      <c r="W39" s="2591">
        <f>O39+S39</f>
        <v>313087</v>
      </c>
      <c r="X39" s="2591" t="s">
        <v>26</v>
      </c>
      <c r="Y39" s="2591"/>
      <c r="Z39" s="2591"/>
      <c r="AA39" s="2591"/>
      <c r="AB39" s="2624"/>
      <c r="AC39" s="2586"/>
      <c r="AD39" s="2586"/>
      <c r="AE39" s="2586"/>
      <c r="AF39" s="2586"/>
      <c r="AG39" s="2591">
        <v>1</v>
      </c>
      <c r="AH39" s="2586"/>
      <c r="AI39" s="2586"/>
      <c r="AJ39" s="2586" t="str">
        <f t="shared" si="1"/>
        <v/>
      </c>
      <c r="AK39" s="2586"/>
      <c r="AL39" s="2592"/>
      <c r="AM39" s="2593"/>
      <c r="AN39" s="2593"/>
      <c r="AO39" s="2586"/>
      <c r="AP39" s="2586"/>
      <c r="AQ39" s="2624"/>
      <c r="AR39" s="2624"/>
      <c r="AS39" s="2624"/>
      <c r="AT39" s="2624"/>
      <c r="AU39" s="2624"/>
      <c r="AV39" s="2624"/>
      <c r="AW39" s="2624"/>
      <c r="AX39" s="2586"/>
      <c r="AY39" s="2586"/>
      <c r="AZ39" s="2586"/>
      <c r="BA39" s="2586"/>
      <c r="BB39" s="2586"/>
      <c r="BC39" s="2586"/>
      <c r="BD39" s="2586"/>
      <c r="BE39" s="2586"/>
      <c r="BF39" s="2586"/>
      <c r="BG39" s="2586"/>
      <c r="BH39" s="2586"/>
      <c r="BI39" s="2586"/>
      <c r="BJ39" s="2586"/>
      <c r="BK39" s="2586"/>
      <c r="BL39" s="2586"/>
      <c r="BM39" s="2586"/>
      <c r="BN39" s="2586"/>
      <c r="BO39" s="2586"/>
      <c r="BP39" s="2586"/>
      <c r="BQ39" s="2586"/>
      <c r="BR39" s="2586"/>
      <c r="BS39" s="2586"/>
      <c r="BT39" s="2586"/>
      <c r="BU39" s="2586"/>
      <c r="BV39" s="2586"/>
      <c r="BW39" s="2586"/>
      <c r="BX39" s="2586"/>
      <c r="BY39" s="2586"/>
      <c r="BZ39" s="2586"/>
      <c r="CA39" s="2591">
        <f>SUMIF($AM$10:$BZ$10,$CA$9,AM39:BZ39)</f>
        <v>0</v>
      </c>
      <c r="CB39" s="2586" t="str">
        <f t="shared" ref="CB39:CB40" si="63">IF($AB39&lt;&gt;0,CA39/$AB39,"")</f>
        <v/>
      </c>
      <c r="CC39" s="365" t="str">
        <f t="shared" si="3"/>
        <v/>
      </c>
      <c r="CD39" s="341"/>
      <c r="CE39" s="342"/>
      <c r="CF39" s="343"/>
      <c r="CG39" s="340"/>
      <c r="CH39" s="344"/>
      <c r="CI39" s="345"/>
      <c r="CJ39" s="345"/>
      <c r="CK39" s="346"/>
      <c r="CL39" s="329">
        <f t="shared" si="12"/>
        <v>313087</v>
      </c>
      <c r="CM39" s="330">
        <f t="shared" si="13"/>
        <v>0</v>
      </c>
      <c r="CN39" s="331">
        <f t="shared" si="14"/>
        <v>0</v>
      </c>
      <c r="CO39" s="86"/>
      <c r="CP39" s="86"/>
      <c r="CQ39" s="1641"/>
      <c r="CR39" s="86"/>
      <c r="CS39" s="86"/>
      <c r="CT39" s="86"/>
      <c r="CU39" s="86"/>
      <c r="CV39" s="86"/>
      <c r="CW39" s="86"/>
      <c r="CX39" s="86"/>
      <c r="CY39" s="86"/>
      <c r="CZ39" s="86"/>
      <c r="DA39" s="86"/>
      <c r="DB39" s="1642"/>
      <c r="DC39" s="1642"/>
      <c r="DD39" s="30"/>
      <c r="DE39" s="30"/>
      <c r="DF39" s="30"/>
      <c r="DG39" s="1642"/>
      <c r="DH39" s="1642"/>
      <c r="DI39" s="1642"/>
      <c r="DJ39" s="1642"/>
      <c r="DK39" s="1642"/>
      <c r="DL39" s="1642"/>
      <c r="DM39" s="1642"/>
      <c r="DN39" s="1642"/>
      <c r="DO39" s="1642"/>
      <c r="DP39" s="1642"/>
      <c r="DQ39" s="1642"/>
      <c r="DR39" s="1642"/>
      <c r="DS39" s="1642"/>
      <c r="DT39" s="1642"/>
      <c r="DU39" s="1642"/>
      <c r="DV39" s="1642"/>
      <c r="DW39" s="1642"/>
      <c r="DX39" s="1642"/>
      <c r="DY39" s="1642"/>
      <c r="DZ39" s="1642"/>
      <c r="EA39" s="1642"/>
      <c r="EB39" s="1642"/>
      <c r="EC39" s="1642"/>
      <c r="ED39" s="1642"/>
      <c r="EE39" s="1642"/>
      <c r="EF39" s="1642"/>
      <c r="EG39" s="1642"/>
      <c r="EH39" s="1643"/>
      <c r="EI39" s="1658"/>
      <c r="EJ39" s="30"/>
      <c r="EK39" s="30"/>
      <c r="EL39" s="30"/>
      <c r="EM39" s="30"/>
      <c r="EN39" s="30"/>
      <c r="EO39" s="30"/>
      <c r="EP39" s="30"/>
      <c r="EQ39" s="30"/>
      <c r="ER39" s="30"/>
      <c r="ES39" s="30"/>
      <c r="ET39" s="30"/>
      <c r="EU39" s="30"/>
      <c r="EV39" s="30"/>
      <c r="EW39" s="30"/>
      <c r="EX39" s="30"/>
      <c r="EY39" s="30"/>
      <c r="EZ39" s="30"/>
      <c r="FA39" s="30"/>
      <c r="FB39" s="30"/>
      <c r="FC39" s="30"/>
      <c r="FD39" s="30"/>
      <c r="FE39" s="30"/>
      <c r="FF39" s="30"/>
      <c r="FG39" s="30"/>
      <c r="FH39" s="30"/>
      <c r="FI39" s="30"/>
      <c r="FJ39" s="30"/>
      <c r="FK39" s="30"/>
      <c r="FL39" s="30"/>
      <c r="FM39" s="30"/>
      <c r="FN39" s="30"/>
      <c r="FO39" s="30"/>
      <c r="FP39" s="30"/>
      <c r="FQ39" s="30"/>
      <c r="FR39" s="30"/>
      <c r="FS39" s="30"/>
      <c r="FT39" s="30"/>
      <c r="FU39" s="30"/>
      <c r="FV39" s="30"/>
      <c r="FW39" s="30"/>
      <c r="FX39" s="30"/>
      <c r="FY39" s="30"/>
      <c r="FZ39" s="30"/>
      <c r="GA39" s="30"/>
      <c r="GB39" s="30"/>
      <c r="GC39" s="30"/>
      <c r="GD39" s="30"/>
      <c r="GE39" s="30"/>
      <c r="GF39" s="30"/>
      <c r="GG39" s="30"/>
      <c r="GH39" s="30"/>
      <c r="GI39" s="30"/>
      <c r="GJ39" s="30"/>
      <c r="GK39" s="30"/>
      <c r="GL39" s="30"/>
      <c r="GM39" s="30"/>
      <c r="GN39" s="30"/>
      <c r="GO39" s="30"/>
      <c r="GP39" s="30"/>
      <c r="GQ39" s="30"/>
      <c r="GR39" s="30"/>
      <c r="GS39" s="30"/>
      <c r="GT39" s="30"/>
      <c r="GU39" s="30"/>
      <c r="GV39" s="30"/>
      <c r="GW39" s="30"/>
      <c r="GX39" s="30"/>
      <c r="GY39" s="30"/>
      <c r="GZ39" s="30"/>
      <c r="HA39" s="30"/>
      <c r="HB39" s="30"/>
      <c r="HC39" s="30"/>
      <c r="HD39" s="30"/>
      <c r="HE39" s="30"/>
      <c r="HF39" s="30"/>
      <c r="HG39" s="30"/>
      <c r="HH39" s="30"/>
      <c r="HI39" s="30"/>
      <c r="HJ39" s="30"/>
      <c r="HK39" s="30"/>
      <c r="HL39" s="30"/>
      <c r="HM39" s="30"/>
      <c r="HN39" s="30"/>
      <c r="HO39" s="30"/>
      <c r="HP39" s="30"/>
      <c r="HQ39" s="30"/>
      <c r="HR39" s="30"/>
      <c r="HS39" s="30"/>
      <c r="HT39" s="30"/>
      <c r="HU39" s="30"/>
      <c r="HV39" s="30"/>
      <c r="HW39" s="30"/>
      <c r="HX39" s="30"/>
      <c r="HY39" s="30"/>
      <c r="HZ39" s="30"/>
      <c r="IA39" s="30"/>
      <c r="IB39" s="30"/>
      <c r="IC39" s="30"/>
      <c r="ID39" s="30"/>
      <c r="IE39" s="30"/>
      <c r="IF39" s="30"/>
      <c r="IG39" s="30"/>
      <c r="IH39" s="30"/>
      <c r="II39" s="30"/>
      <c r="IJ39" s="30"/>
      <c r="IK39" s="30"/>
      <c r="IL39" s="30"/>
      <c r="IM39" s="30"/>
      <c r="IN39" s="30"/>
      <c r="IO39" s="30"/>
      <c r="IP39" s="30"/>
      <c r="IQ39" s="30"/>
      <c r="IR39" s="30"/>
      <c r="IS39" s="30"/>
      <c r="IT39" s="30"/>
      <c r="IU39" s="30"/>
      <c r="IV39" s="30"/>
      <c r="IW39" s="30"/>
      <c r="IX39" s="30"/>
      <c r="IY39" s="30"/>
      <c r="IZ39" s="30"/>
      <c r="JA39" s="30"/>
      <c r="JB39" s="30"/>
      <c r="JC39" s="30"/>
      <c r="JD39" s="30"/>
      <c r="JE39" s="30"/>
      <c r="JF39" s="30"/>
      <c r="JG39" s="30"/>
      <c r="JH39" s="30"/>
      <c r="JI39" s="30"/>
      <c r="JJ39" s="30"/>
      <c r="JK39" s="30"/>
      <c r="JL39" s="30"/>
      <c r="JM39" s="30"/>
      <c r="JN39" s="30"/>
      <c r="JO39" s="30"/>
      <c r="JP39" s="30"/>
      <c r="JQ39" s="30"/>
      <c r="JR39" s="30"/>
      <c r="JS39" s="30"/>
      <c r="JT39" s="30"/>
      <c r="JU39" s="30"/>
      <c r="JV39" s="30"/>
      <c r="JW39" s="30"/>
      <c r="JX39" s="30"/>
      <c r="JY39" s="30"/>
      <c r="JZ39" s="30"/>
      <c r="KA39" s="30"/>
      <c r="KB39" s="30"/>
      <c r="KC39" s="30"/>
      <c r="KD39" s="30"/>
      <c r="KE39" s="30"/>
      <c r="KF39" s="30"/>
      <c r="KG39" s="30"/>
      <c r="KH39" s="30"/>
      <c r="KI39" s="30"/>
      <c r="KJ39" s="30"/>
      <c r="KK39" s="30"/>
      <c r="KL39" s="30"/>
      <c r="KM39" s="30"/>
      <c r="KN39" s="30"/>
      <c r="KO39" s="30"/>
      <c r="KP39" s="1630"/>
    </row>
    <row r="40" spans="1:302" s="97" customFormat="1" ht="24" customHeight="1" outlineLevel="1">
      <c r="A40" s="2656" t="s">
        <v>751</v>
      </c>
      <c r="B40" s="1689"/>
      <c r="C40" s="261" t="s">
        <v>1346</v>
      </c>
      <c r="D40" s="1689"/>
      <c r="E40" s="261"/>
      <c r="F40" s="347"/>
      <c r="G40" s="348"/>
      <c r="H40" s="350" t="s">
        <v>26</v>
      </c>
      <c r="I40" s="2936">
        <v>102439619</v>
      </c>
      <c r="J40" s="362" t="s">
        <v>26</v>
      </c>
      <c r="K40" s="1745"/>
      <c r="L40" s="383"/>
      <c r="M40" s="383"/>
      <c r="N40" s="383"/>
      <c r="O40" s="1510"/>
      <c r="P40" s="358"/>
      <c r="Q40" s="358"/>
      <c r="R40" s="358"/>
      <c r="S40" s="1510">
        <f t="shared" ref="S40:S41" si="64">R40*Q40</f>
        <v>0</v>
      </c>
      <c r="T40" s="389"/>
      <c r="U40" s="1746"/>
      <c r="V40" s="1746"/>
      <c r="W40" s="1744">
        <f t="shared" ref="W40:W41" si="65">O40+S40</f>
        <v>0</v>
      </c>
      <c r="X40" s="359" t="s">
        <v>26</v>
      </c>
      <c r="Y40" s="389"/>
      <c r="Z40" s="1746"/>
      <c r="AA40" s="1746"/>
      <c r="AB40" s="2722">
        <f>SUM(AM40:BZ40)</f>
        <v>229887</v>
      </c>
      <c r="AC40" s="1680"/>
      <c r="AD40" s="1683"/>
      <c r="AE40" s="357"/>
      <c r="AF40" s="1686"/>
      <c r="AG40" s="1686"/>
      <c r="AH40" s="354">
        <f t="shared" ref="AH40:AH42" si="66">AF40*AG40</f>
        <v>0</v>
      </c>
      <c r="AI40" s="355">
        <f t="shared" ref="AI40:AI42" ca="1" si="67">SUMIF($AM$10:$BZ$10,$AI$9,AM40:BT40)</f>
        <v>0</v>
      </c>
      <c r="AJ40" s="356">
        <f t="shared" ca="1" si="1"/>
        <v>0</v>
      </c>
      <c r="AK40" s="2185"/>
      <c r="AL40" s="260"/>
      <c r="AM40" s="2256"/>
      <c r="AN40" s="2258"/>
      <c r="AO40" s="359"/>
      <c r="AP40" s="359"/>
      <c r="AQ40" s="359"/>
      <c r="AR40" s="359"/>
      <c r="AS40" s="359"/>
      <c r="AT40" s="360"/>
      <c r="AU40" s="2004"/>
      <c r="AV40" s="2004"/>
      <c r="AW40" s="2005"/>
      <c r="AX40" s="2005"/>
      <c r="AY40" s="2006"/>
      <c r="AZ40" s="2261"/>
      <c r="BA40" s="362"/>
      <c r="BB40" s="362"/>
      <c r="BC40" s="362"/>
      <c r="BD40" s="362"/>
      <c r="BE40" s="362"/>
      <c r="BF40" s="362"/>
      <c r="BG40" s="362"/>
      <c r="BH40" s="362"/>
      <c r="BI40" s="414"/>
      <c r="BJ40" s="362"/>
      <c r="BK40" s="2123"/>
      <c r="BL40" s="414"/>
      <c r="BM40" s="414"/>
      <c r="BN40" s="414">
        <f>313087-83200</f>
        <v>229887</v>
      </c>
      <c r="BO40" s="414"/>
      <c r="BP40" s="414"/>
      <c r="BQ40" s="2399"/>
      <c r="BR40" s="362"/>
      <c r="BS40" s="362"/>
      <c r="BT40" s="362"/>
      <c r="BU40" s="364"/>
      <c r="BV40" s="364"/>
      <c r="BW40" s="2366"/>
      <c r="BX40" s="2463"/>
      <c r="BY40" s="2543"/>
      <c r="BZ40" s="2543"/>
      <c r="CA40" s="2591">
        <f t="shared" ref="CA40" si="68">SUMIF($AM$10:$BZ$10,$CA$9,AM40:BZ40)</f>
        <v>229887</v>
      </c>
      <c r="CB40" s="2377">
        <f t="shared" si="63"/>
        <v>1</v>
      </c>
      <c r="CC40" s="365">
        <f t="shared" si="3"/>
        <v>4.349963242810598E-6</v>
      </c>
      <c r="CD40" s="366"/>
      <c r="CE40" s="343"/>
      <c r="CF40" s="343"/>
      <c r="CG40" s="340"/>
      <c r="CH40" s="367"/>
      <c r="CI40" s="368"/>
      <c r="CJ40" s="368"/>
      <c r="CK40" s="369"/>
      <c r="CL40" s="329">
        <f t="shared" si="12"/>
        <v>-229887</v>
      </c>
      <c r="CM40" s="330">
        <f t="shared" ca="1" si="13"/>
        <v>0</v>
      </c>
      <c r="CN40" s="331">
        <f t="shared" ca="1" si="14"/>
        <v>-229887</v>
      </c>
      <c r="CO40" s="86"/>
      <c r="CP40" s="86"/>
      <c r="CQ40" s="1641"/>
      <c r="CR40" s="86"/>
      <c r="CS40" s="86"/>
      <c r="CT40" s="86"/>
      <c r="CU40" s="86"/>
      <c r="CV40" s="86"/>
      <c r="CW40" s="86"/>
      <c r="CX40" s="86"/>
      <c r="CY40" s="86"/>
      <c r="CZ40" s="86"/>
      <c r="DA40" s="86"/>
      <c r="DB40" s="1642"/>
      <c r="DC40" s="1642"/>
      <c r="DD40" s="30"/>
      <c r="DE40" s="30"/>
      <c r="DF40" s="30"/>
      <c r="DG40" s="1642"/>
      <c r="DH40" s="1642"/>
      <c r="DI40" s="1642"/>
      <c r="DJ40" s="1642"/>
      <c r="DK40" s="1642"/>
      <c r="DL40" s="1642"/>
      <c r="DM40" s="1642"/>
      <c r="DN40" s="1642"/>
      <c r="DO40" s="1642"/>
      <c r="DP40" s="1642"/>
      <c r="DQ40" s="1642"/>
      <c r="DR40" s="1642"/>
      <c r="DS40" s="1642"/>
      <c r="DT40" s="1642"/>
      <c r="DU40" s="1642"/>
      <c r="DV40" s="1642"/>
      <c r="DW40" s="1642"/>
      <c r="DX40" s="1642"/>
      <c r="DY40" s="1642"/>
      <c r="DZ40" s="1642"/>
      <c r="EA40" s="1642"/>
      <c r="EB40" s="1642"/>
      <c r="EC40" s="1642"/>
      <c r="ED40" s="1642"/>
      <c r="EE40" s="1642"/>
      <c r="EF40" s="1642"/>
      <c r="EG40" s="1642"/>
      <c r="EH40" s="1643"/>
      <c r="EI40" s="1658"/>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0"/>
      <c r="HO40" s="30"/>
      <c r="HP40" s="30"/>
      <c r="HQ40" s="30"/>
      <c r="HR40" s="30"/>
      <c r="HS40" s="30"/>
      <c r="HT40" s="30"/>
      <c r="HU40" s="30"/>
      <c r="HV40" s="30"/>
      <c r="HW40" s="30"/>
      <c r="HX40" s="30"/>
      <c r="HY40" s="30"/>
      <c r="HZ40" s="30"/>
      <c r="IA40" s="30"/>
      <c r="IB40" s="30"/>
      <c r="IC40" s="30"/>
      <c r="ID40" s="30"/>
      <c r="IE40" s="30"/>
      <c r="IF40" s="30"/>
      <c r="IG40" s="30"/>
      <c r="IH40" s="30"/>
      <c r="II40" s="30"/>
      <c r="IJ40" s="30"/>
      <c r="IK40" s="30"/>
      <c r="IL40" s="30"/>
      <c r="IM40" s="30"/>
      <c r="IN40" s="30"/>
      <c r="IO40" s="30"/>
      <c r="IP40" s="30"/>
      <c r="IQ40" s="30"/>
      <c r="IR40" s="30"/>
      <c r="IS40" s="30"/>
      <c r="IT40" s="30"/>
      <c r="IU40" s="30"/>
      <c r="IV40" s="30"/>
      <c r="IW40" s="30"/>
      <c r="IX40" s="30"/>
      <c r="IY40" s="30"/>
      <c r="IZ40" s="30"/>
      <c r="JA40" s="30"/>
      <c r="JB40" s="30"/>
      <c r="JC40" s="30"/>
      <c r="JD40" s="30"/>
      <c r="JE40" s="30"/>
      <c r="JF40" s="30"/>
      <c r="JG40" s="30"/>
      <c r="JH40" s="30"/>
      <c r="JI40" s="30"/>
      <c r="JJ40" s="30"/>
      <c r="JK40" s="30"/>
      <c r="JL40" s="30"/>
      <c r="JM40" s="30"/>
      <c r="JN40" s="30"/>
      <c r="JO40" s="30"/>
      <c r="JP40" s="30"/>
      <c r="JQ40" s="30"/>
      <c r="JR40" s="30"/>
      <c r="JS40" s="30"/>
      <c r="JT40" s="30"/>
      <c r="JU40" s="30"/>
      <c r="JV40" s="30"/>
      <c r="JW40" s="30"/>
      <c r="JX40" s="30"/>
      <c r="JY40" s="30"/>
      <c r="JZ40" s="30"/>
      <c r="KA40" s="30"/>
      <c r="KB40" s="30"/>
      <c r="KC40" s="30"/>
      <c r="KD40" s="30"/>
      <c r="KE40" s="30"/>
      <c r="KF40" s="30"/>
      <c r="KG40" s="30"/>
      <c r="KH40" s="30"/>
      <c r="KI40" s="30"/>
      <c r="KJ40" s="30"/>
      <c r="KK40" s="30"/>
      <c r="KL40" s="30"/>
      <c r="KM40" s="30"/>
      <c r="KN40" s="30"/>
      <c r="KO40" s="30"/>
      <c r="KP40" s="1630"/>
    </row>
    <row r="41" spans="1:302" s="2888" customFormat="1" ht="24" customHeight="1" outlineLevel="1">
      <c r="A41" s="2847" t="s">
        <v>752</v>
      </c>
      <c r="B41" s="2848"/>
      <c r="C41" s="2849" t="s">
        <v>1342</v>
      </c>
      <c r="D41" s="2848" t="s">
        <v>1345</v>
      </c>
      <c r="E41" s="2849"/>
      <c r="F41" s="2850"/>
      <c r="G41" s="2851"/>
      <c r="H41" s="2852" t="s">
        <v>26</v>
      </c>
      <c r="I41" s="2936"/>
      <c r="J41" s="384" t="s">
        <v>26</v>
      </c>
      <c r="K41" s="2771"/>
      <c r="L41" s="2853"/>
      <c r="M41" s="2853"/>
      <c r="N41" s="2853"/>
      <c r="O41" s="2585"/>
      <c r="P41" s="2854"/>
      <c r="Q41" s="2854"/>
      <c r="R41" s="2854"/>
      <c r="S41" s="2585">
        <f t="shared" si="64"/>
        <v>0</v>
      </c>
      <c r="T41" s="2855"/>
      <c r="U41" s="2856"/>
      <c r="V41" s="2856"/>
      <c r="W41" s="2857">
        <f t="shared" si="65"/>
        <v>0</v>
      </c>
      <c r="X41" s="379" t="s">
        <v>26</v>
      </c>
      <c r="Y41" s="2855"/>
      <c r="Z41" s="2856"/>
      <c r="AA41" s="2856"/>
      <c r="AB41" s="2722">
        <f t="shared" ref="AB41:AB42" si="69">SUM(AM41:BZ41)</f>
        <v>0</v>
      </c>
      <c r="AC41" s="2858" t="s">
        <v>741</v>
      </c>
      <c r="AD41" s="2858"/>
      <c r="AE41" s="2627" t="s">
        <v>564</v>
      </c>
      <c r="AF41" s="2859">
        <v>3176000</v>
      </c>
      <c r="AG41" s="2859">
        <v>1</v>
      </c>
      <c r="AH41" s="2860">
        <f t="shared" si="66"/>
        <v>3176000</v>
      </c>
      <c r="AI41" s="2722">
        <f t="shared" ca="1" si="67"/>
        <v>0</v>
      </c>
      <c r="AJ41" s="2861"/>
      <c r="AK41" s="2862"/>
      <c r="AL41" s="2863"/>
      <c r="AM41" s="2864"/>
      <c r="AN41" s="2522"/>
      <c r="AO41" s="379"/>
      <c r="AP41" s="2627"/>
      <c r="AQ41" s="2627"/>
      <c r="AR41" s="2627"/>
      <c r="AS41" s="2627"/>
      <c r="AT41" s="2627"/>
      <c r="AU41" s="2865"/>
      <c r="AV41" s="2865"/>
      <c r="AW41" s="2866"/>
      <c r="AX41" s="2866"/>
      <c r="AY41" s="2867"/>
      <c r="AZ41" s="2868"/>
      <c r="BA41" s="384"/>
      <c r="BB41" s="384"/>
      <c r="BC41" s="384"/>
      <c r="BD41" s="384"/>
      <c r="BE41" s="384"/>
      <c r="BF41" s="384"/>
      <c r="BG41" s="384"/>
      <c r="BH41" s="384"/>
      <c r="BI41" s="2869"/>
      <c r="BJ41" s="384"/>
      <c r="BK41" s="2870"/>
      <c r="BL41" s="2869"/>
      <c r="BM41" s="2869"/>
      <c r="BN41" s="2869"/>
      <c r="BO41" s="2869"/>
      <c r="BP41" s="2869"/>
      <c r="BQ41" s="2871"/>
      <c r="BR41" s="384"/>
      <c r="BS41" s="384"/>
      <c r="BT41" s="384"/>
      <c r="BU41" s="2872"/>
      <c r="BV41" s="2872"/>
      <c r="BW41" s="2873"/>
      <c r="BX41" s="2874"/>
      <c r="BY41" s="2875"/>
      <c r="BZ41" s="2875"/>
      <c r="CA41" s="2624">
        <f t="shared" ref="CA41" si="70">SUMIF($AM$10:$BZ$10,$CA$9,AM41:BZ41)</f>
        <v>0</v>
      </c>
      <c r="CB41" s="2876" t="str">
        <f t="shared" ref="CB41" si="71">IF($AB41&lt;&gt;0,CA41/$AB41,"")</f>
        <v/>
      </c>
      <c r="CC41" s="2877" t="str">
        <f t="shared" ref="CC41" si="72">IF($AB41&lt;&gt;0,CB41/$AB41,"")</f>
        <v/>
      </c>
      <c r="CD41" s="2878"/>
      <c r="CE41" s="2879"/>
      <c r="CF41" s="2879"/>
      <c r="CG41" s="2880"/>
      <c r="CH41" s="2881"/>
      <c r="CI41" s="2882"/>
      <c r="CJ41" s="2882"/>
      <c r="CK41" s="2879"/>
      <c r="CL41" s="2883">
        <f t="shared" si="12"/>
        <v>0</v>
      </c>
      <c r="CM41" s="330">
        <f t="shared" ca="1" si="13"/>
        <v>0</v>
      </c>
      <c r="CN41" s="331"/>
      <c r="CO41" s="86"/>
      <c r="CP41" s="86"/>
      <c r="CQ41" s="86"/>
      <c r="CR41" s="86"/>
      <c r="CS41" s="86"/>
      <c r="CT41" s="86"/>
      <c r="CU41" s="86"/>
      <c r="CV41" s="86"/>
      <c r="CW41" s="86"/>
      <c r="CX41" s="86"/>
      <c r="CY41" s="86"/>
      <c r="CZ41" s="86"/>
      <c r="DA41" s="86"/>
      <c r="DB41" s="2884"/>
      <c r="DC41" s="2884"/>
      <c r="DD41" s="2885"/>
      <c r="DE41" s="2885"/>
      <c r="DF41" s="2885"/>
      <c r="DG41" s="2884"/>
      <c r="DH41" s="2884"/>
      <c r="DI41" s="2884"/>
      <c r="DJ41" s="2884"/>
      <c r="DK41" s="2884"/>
      <c r="DL41" s="2884"/>
      <c r="DM41" s="2884"/>
      <c r="DN41" s="2884"/>
      <c r="DO41" s="2884"/>
      <c r="DP41" s="2884"/>
      <c r="DQ41" s="2884"/>
      <c r="DR41" s="2884"/>
      <c r="DS41" s="2884"/>
      <c r="DT41" s="2884"/>
      <c r="DU41" s="2884"/>
      <c r="DV41" s="2884"/>
      <c r="DW41" s="2884"/>
      <c r="DX41" s="2884"/>
      <c r="DY41" s="2884"/>
      <c r="DZ41" s="2884"/>
      <c r="EA41" s="2884"/>
      <c r="EB41" s="2884"/>
      <c r="EC41" s="2884"/>
      <c r="ED41" s="2884"/>
      <c r="EE41" s="2884"/>
      <c r="EF41" s="2884"/>
      <c r="EG41" s="2884"/>
      <c r="EH41" s="2886"/>
      <c r="EI41" s="1669"/>
      <c r="EJ41" s="2885"/>
      <c r="EK41" s="2885"/>
      <c r="EL41" s="2885"/>
      <c r="EM41" s="2885"/>
      <c r="EN41" s="2885"/>
      <c r="EO41" s="2885"/>
      <c r="EP41" s="2885"/>
      <c r="EQ41" s="2885"/>
      <c r="ER41" s="2885"/>
      <c r="ES41" s="2885"/>
      <c r="ET41" s="2885"/>
      <c r="EU41" s="2885"/>
      <c r="EV41" s="2885"/>
      <c r="EW41" s="2885"/>
      <c r="EX41" s="2885"/>
      <c r="EY41" s="2885"/>
      <c r="EZ41" s="2885"/>
      <c r="FA41" s="2885"/>
      <c r="FB41" s="2885"/>
      <c r="FC41" s="2885"/>
      <c r="FD41" s="2885"/>
      <c r="FE41" s="2885"/>
      <c r="FF41" s="2885"/>
      <c r="FG41" s="2885"/>
      <c r="FH41" s="2885"/>
      <c r="FI41" s="2885"/>
      <c r="FJ41" s="2885"/>
      <c r="FK41" s="2885"/>
      <c r="FL41" s="2885"/>
      <c r="FM41" s="2885"/>
      <c r="FN41" s="2885"/>
      <c r="FO41" s="2885"/>
      <c r="FP41" s="2885"/>
      <c r="FQ41" s="2885"/>
      <c r="FR41" s="2885"/>
      <c r="FS41" s="2885"/>
      <c r="FT41" s="2885"/>
      <c r="FU41" s="2885"/>
      <c r="FV41" s="2885"/>
      <c r="FW41" s="2885"/>
      <c r="FX41" s="2885"/>
      <c r="FY41" s="2885"/>
      <c r="FZ41" s="2885"/>
      <c r="GA41" s="2885"/>
      <c r="GB41" s="2885"/>
      <c r="GC41" s="2885"/>
      <c r="GD41" s="2885"/>
      <c r="GE41" s="2885"/>
      <c r="GF41" s="2885"/>
      <c r="GG41" s="2885"/>
      <c r="GH41" s="2885"/>
      <c r="GI41" s="2885"/>
      <c r="GJ41" s="2885"/>
      <c r="GK41" s="2885"/>
      <c r="GL41" s="2885"/>
      <c r="GM41" s="2885"/>
      <c r="GN41" s="2885"/>
      <c r="GO41" s="2885"/>
      <c r="GP41" s="2885"/>
      <c r="GQ41" s="2885"/>
      <c r="GR41" s="2885"/>
      <c r="GS41" s="2885"/>
      <c r="GT41" s="2885"/>
      <c r="GU41" s="2885"/>
      <c r="GV41" s="2885"/>
      <c r="GW41" s="2885"/>
      <c r="GX41" s="2885"/>
      <c r="GY41" s="2885"/>
      <c r="GZ41" s="2885"/>
      <c r="HA41" s="2885"/>
      <c r="HB41" s="2885"/>
      <c r="HC41" s="2885"/>
      <c r="HD41" s="2885"/>
      <c r="HE41" s="2885"/>
      <c r="HF41" s="2885"/>
      <c r="HG41" s="2885"/>
      <c r="HH41" s="2885"/>
      <c r="HI41" s="2885"/>
      <c r="HJ41" s="2885"/>
      <c r="HK41" s="2885"/>
      <c r="HL41" s="2885"/>
      <c r="HM41" s="2885"/>
      <c r="HN41" s="2885"/>
      <c r="HO41" s="2885"/>
      <c r="HP41" s="2885"/>
      <c r="HQ41" s="2885"/>
      <c r="HR41" s="2885"/>
      <c r="HS41" s="2885"/>
      <c r="HT41" s="2885"/>
      <c r="HU41" s="2885"/>
      <c r="HV41" s="2885"/>
      <c r="HW41" s="2885"/>
      <c r="HX41" s="2885"/>
      <c r="HY41" s="2885"/>
      <c r="HZ41" s="2885"/>
      <c r="IA41" s="2885"/>
      <c r="IB41" s="2885"/>
      <c r="IC41" s="2885"/>
      <c r="ID41" s="2885"/>
      <c r="IE41" s="2885"/>
      <c r="IF41" s="2885"/>
      <c r="IG41" s="2885"/>
      <c r="IH41" s="2885"/>
      <c r="II41" s="2885"/>
      <c r="IJ41" s="2885"/>
      <c r="IK41" s="2885"/>
      <c r="IL41" s="2885"/>
      <c r="IM41" s="2885"/>
      <c r="IN41" s="2885"/>
      <c r="IO41" s="2885"/>
      <c r="IP41" s="2885"/>
      <c r="IQ41" s="2885"/>
      <c r="IR41" s="2885"/>
      <c r="IS41" s="2885"/>
      <c r="IT41" s="2885"/>
      <c r="IU41" s="2885"/>
      <c r="IV41" s="2885"/>
      <c r="IW41" s="2885"/>
      <c r="IX41" s="2885"/>
      <c r="IY41" s="2885"/>
      <c r="IZ41" s="2885"/>
      <c r="JA41" s="2885"/>
      <c r="JB41" s="2885"/>
      <c r="JC41" s="2885"/>
      <c r="JD41" s="2885"/>
      <c r="JE41" s="2885"/>
      <c r="JF41" s="2885"/>
      <c r="JG41" s="2885"/>
      <c r="JH41" s="2885"/>
      <c r="JI41" s="2885"/>
      <c r="JJ41" s="2885"/>
      <c r="JK41" s="2885"/>
      <c r="JL41" s="2885"/>
      <c r="JM41" s="2885"/>
      <c r="JN41" s="2885"/>
      <c r="JO41" s="2885"/>
      <c r="JP41" s="2885"/>
      <c r="JQ41" s="2885"/>
      <c r="JR41" s="2885"/>
      <c r="JS41" s="2885"/>
      <c r="JT41" s="2885"/>
      <c r="JU41" s="2885"/>
      <c r="JV41" s="2885"/>
      <c r="JW41" s="2885"/>
      <c r="JX41" s="2885"/>
      <c r="JY41" s="2885"/>
      <c r="JZ41" s="2885"/>
      <c r="KA41" s="2885"/>
      <c r="KB41" s="2885"/>
      <c r="KC41" s="2885"/>
      <c r="KD41" s="2885"/>
      <c r="KE41" s="2885"/>
      <c r="KF41" s="2885"/>
      <c r="KG41" s="2885"/>
      <c r="KH41" s="2885"/>
      <c r="KI41" s="2885"/>
      <c r="KJ41" s="2885"/>
      <c r="KK41" s="2885"/>
      <c r="KL41" s="2885"/>
      <c r="KM41" s="2885"/>
      <c r="KN41" s="2885"/>
      <c r="KO41" s="2885"/>
      <c r="KP41" s="2887"/>
    </row>
    <row r="42" spans="1:302" s="2888" customFormat="1" ht="24" customHeight="1" outlineLevel="1">
      <c r="A42" s="2847" t="s">
        <v>1347</v>
      </c>
      <c r="B42" s="2848"/>
      <c r="C42" s="2849" t="s">
        <v>1344</v>
      </c>
      <c r="D42" s="2848" t="s">
        <v>1343</v>
      </c>
      <c r="E42" s="2849"/>
      <c r="F42" s="2850"/>
      <c r="G42" s="2851"/>
      <c r="H42" s="2852" t="s">
        <v>26</v>
      </c>
      <c r="I42" s="2936"/>
      <c r="J42" s="384" t="s">
        <v>26</v>
      </c>
      <c r="K42" s="2771"/>
      <c r="L42" s="2853"/>
      <c r="M42" s="2853"/>
      <c r="N42" s="2853"/>
      <c r="O42" s="2585"/>
      <c r="P42" s="2854"/>
      <c r="Q42" s="2854"/>
      <c r="R42" s="2854"/>
      <c r="S42" s="2585">
        <f t="shared" ref="S42:S43" si="73">R42*Q42</f>
        <v>0</v>
      </c>
      <c r="T42" s="2855"/>
      <c r="U42" s="2856"/>
      <c r="V42" s="2856"/>
      <c r="W42" s="2857">
        <f t="shared" ref="W42:W43" si="74">O42+S42</f>
        <v>0</v>
      </c>
      <c r="X42" s="379" t="s">
        <v>26</v>
      </c>
      <c r="Y42" s="2855"/>
      <c r="Z42" s="2856"/>
      <c r="AA42" s="2856"/>
      <c r="AB42" s="2722">
        <f t="shared" si="69"/>
        <v>0</v>
      </c>
      <c r="AC42" s="2858" t="s">
        <v>741</v>
      </c>
      <c r="AD42" s="2858"/>
      <c r="AE42" s="2889" t="s">
        <v>564</v>
      </c>
      <c r="AF42" s="2859">
        <v>1124000</v>
      </c>
      <c r="AG42" s="2859">
        <v>1</v>
      </c>
      <c r="AH42" s="2860">
        <f t="shared" si="66"/>
        <v>1124000</v>
      </c>
      <c r="AI42" s="2722">
        <f t="shared" ca="1" si="67"/>
        <v>0</v>
      </c>
      <c r="AJ42" s="2861" t="str">
        <f t="shared" si="1"/>
        <v/>
      </c>
      <c r="AK42" s="2862"/>
      <c r="AL42" s="2863"/>
      <c r="AM42" s="2864"/>
      <c r="AN42" s="2890"/>
      <c r="AO42" s="379"/>
      <c r="AP42" s="2627"/>
      <c r="AQ42" s="2627"/>
      <c r="AR42" s="2627"/>
      <c r="AS42" s="2627"/>
      <c r="AT42" s="2627"/>
      <c r="AU42" s="2865"/>
      <c r="AV42" s="2865"/>
      <c r="AW42" s="2866"/>
      <c r="AX42" s="2866"/>
      <c r="AY42" s="2867"/>
      <c r="AZ42" s="2868"/>
      <c r="BA42" s="384"/>
      <c r="BB42" s="384"/>
      <c r="BC42" s="384"/>
      <c r="BD42" s="384"/>
      <c r="BE42" s="384"/>
      <c r="BF42" s="384"/>
      <c r="BG42" s="384"/>
      <c r="BH42" s="384"/>
      <c r="BI42" s="2869"/>
      <c r="BJ42" s="384"/>
      <c r="BK42" s="2870"/>
      <c r="BL42" s="2869"/>
      <c r="BM42" s="2869"/>
      <c r="BN42" s="2869"/>
      <c r="BO42" s="2869"/>
      <c r="BP42" s="2869"/>
      <c r="BQ42" s="2871"/>
      <c r="BR42" s="384"/>
      <c r="BS42" s="384"/>
      <c r="BT42" s="384"/>
      <c r="BU42" s="2872"/>
      <c r="BV42" s="2872"/>
      <c r="BW42" s="2873"/>
      <c r="BX42" s="2874"/>
      <c r="BY42" s="2875"/>
      <c r="BZ42" s="2875"/>
      <c r="CA42" s="2624">
        <f t="shared" ref="CA42:CA48" si="75">SUMIF($AM$10:$BZ$10,$CA$9,AM42:BZ42)</f>
        <v>0</v>
      </c>
      <c r="CB42" s="2876" t="str">
        <f t="shared" ref="CB42:CB48" si="76">IF($AB42&lt;&gt;0,CA42/$AB42,"")</f>
        <v/>
      </c>
      <c r="CC42" s="2877" t="str">
        <f t="shared" ref="CC42:CC48" si="77">IF($AB42&lt;&gt;0,CB42/$AB42,"")</f>
        <v/>
      </c>
      <c r="CD42" s="2878"/>
      <c r="CE42" s="2879"/>
      <c r="CF42" s="2879"/>
      <c r="CG42" s="2880"/>
      <c r="CH42" s="2881"/>
      <c r="CI42" s="2882"/>
      <c r="CJ42" s="2882"/>
      <c r="CK42" s="2879"/>
      <c r="CL42" s="2883">
        <f t="shared" si="12"/>
        <v>0</v>
      </c>
      <c r="CM42" s="330">
        <f t="shared" ca="1" si="13"/>
        <v>0</v>
      </c>
      <c r="CN42" s="331">
        <f t="shared" ca="1" si="14"/>
        <v>0</v>
      </c>
      <c r="CO42" s="86"/>
      <c r="CP42" s="86"/>
      <c r="CQ42" s="86"/>
      <c r="CR42" s="86"/>
      <c r="CS42" s="86"/>
      <c r="CT42" s="86"/>
      <c r="CU42" s="86"/>
      <c r="CV42" s="86"/>
      <c r="CW42" s="86"/>
      <c r="CX42" s="86"/>
      <c r="CY42" s="86"/>
      <c r="CZ42" s="86"/>
      <c r="DA42" s="86"/>
      <c r="DB42" s="2884"/>
      <c r="DC42" s="2884"/>
      <c r="DD42" s="2885"/>
      <c r="DE42" s="2885"/>
      <c r="DF42" s="2885"/>
      <c r="DG42" s="2884"/>
      <c r="DH42" s="2884"/>
      <c r="DI42" s="2884"/>
      <c r="DJ42" s="2884"/>
      <c r="DK42" s="2884"/>
      <c r="DL42" s="2884"/>
      <c r="DM42" s="2884"/>
      <c r="DN42" s="2884"/>
      <c r="DO42" s="2884"/>
      <c r="DP42" s="2884"/>
      <c r="DQ42" s="2884"/>
      <c r="DR42" s="2884"/>
      <c r="DS42" s="2884"/>
      <c r="DT42" s="2884"/>
      <c r="DU42" s="2884"/>
      <c r="DV42" s="2884"/>
      <c r="DW42" s="2884"/>
      <c r="DX42" s="2884"/>
      <c r="DY42" s="2884"/>
      <c r="DZ42" s="2884"/>
      <c r="EA42" s="2884"/>
      <c r="EB42" s="2884"/>
      <c r="EC42" s="2884"/>
      <c r="ED42" s="2884"/>
      <c r="EE42" s="2884"/>
      <c r="EF42" s="2884"/>
      <c r="EG42" s="2884"/>
      <c r="EH42" s="2886"/>
      <c r="EI42" s="1669"/>
      <c r="EJ42" s="2885"/>
      <c r="EK42" s="2885"/>
      <c r="EL42" s="2885"/>
      <c r="EM42" s="2885"/>
      <c r="EN42" s="2885"/>
      <c r="EO42" s="2885"/>
      <c r="EP42" s="2885"/>
      <c r="EQ42" s="2885"/>
      <c r="ER42" s="2885"/>
      <c r="ES42" s="2885"/>
      <c r="ET42" s="2885"/>
      <c r="EU42" s="2885"/>
      <c r="EV42" s="2885"/>
      <c r="EW42" s="2885"/>
      <c r="EX42" s="2885"/>
      <c r="EY42" s="2885"/>
      <c r="EZ42" s="2885"/>
      <c r="FA42" s="2885"/>
      <c r="FB42" s="2885"/>
      <c r="FC42" s="2885"/>
      <c r="FD42" s="2885"/>
      <c r="FE42" s="2885"/>
      <c r="FF42" s="2885"/>
      <c r="FG42" s="2885"/>
      <c r="FH42" s="2885"/>
      <c r="FI42" s="2885"/>
      <c r="FJ42" s="2885"/>
      <c r="FK42" s="2885"/>
      <c r="FL42" s="2885"/>
      <c r="FM42" s="2885"/>
      <c r="FN42" s="2885"/>
      <c r="FO42" s="2885"/>
      <c r="FP42" s="2885"/>
      <c r="FQ42" s="2885"/>
      <c r="FR42" s="2885"/>
      <c r="FS42" s="2885"/>
      <c r="FT42" s="2885"/>
      <c r="FU42" s="2885"/>
      <c r="FV42" s="2885"/>
      <c r="FW42" s="2885"/>
      <c r="FX42" s="2885"/>
      <c r="FY42" s="2885"/>
      <c r="FZ42" s="2885"/>
      <c r="GA42" s="2885"/>
      <c r="GB42" s="2885"/>
      <c r="GC42" s="2885"/>
      <c r="GD42" s="2885"/>
      <c r="GE42" s="2885"/>
      <c r="GF42" s="2885"/>
      <c r="GG42" s="2885"/>
      <c r="GH42" s="2885"/>
      <c r="GI42" s="2885"/>
      <c r="GJ42" s="2885"/>
      <c r="GK42" s="2885"/>
      <c r="GL42" s="2885"/>
      <c r="GM42" s="2885"/>
      <c r="GN42" s="2885"/>
      <c r="GO42" s="2885"/>
      <c r="GP42" s="2885"/>
      <c r="GQ42" s="2885"/>
      <c r="GR42" s="2885"/>
      <c r="GS42" s="2885"/>
      <c r="GT42" s="2885"/>
      <c r="GU42" s="2885"/>
      <c r="GV42" s="2885"/>
      <c r="GW42" s="2885"/>
      <c r="GX42" s="2885"/>
      <c r="GY42" s="2885"/>
      <c r="GZ42" s="2885"/>
      <c r="HA42" s="2885"/>
      <c r="HB42" s="2885"/>
      <c r="HC42" s="2885"/>
      <c r="HD42" s="2885"/>
      <c r="HE42" s="2885"/>
      <c r="HF42" s="2885"/>
      <c r="HG42" s="2885"/>
      <c r="HH42" s="2885"/>
      <c r="HI42" s="2885"/>
      <c r="HJ42" s="2885"/>
      <c r="HK42" s="2885"/>
      <c r="HL42" s="2885"/>
      <c r="HM42" s="2885"/>
      <c r="HN42" s="2885"/>
      <c r="HO42" s="2885"/>
      <c r="HP42" s="2885"/>
      <c r="HQ42" s="2885"/>
      <c r="HR42" s="2885"/>
      <c r="HS42" s="2885"/>
      <c r="HT42" s="2885"/>
      <c r="HU42" s="2885"/>
      <c r="HV42" s="2885"/>
      <c r="HW42" s="2885"/>
      <c r="HX42" s="2885"/>
      <c r="HY42" s="2885"/>
      <c r="HZ42" s="2885"/>
      <c r="IA42" s="2885"/>
      <c r="IB42" s="2885"/>
      <c r="IC42" s="2885"/>
      <c r="ID42" s="2885"/>
      <c r="IE42" s="2885"/>
      <c r="IF42" s="2885"/>
      <c r="IG42" s="2885"/>
      <c r="IH42" s="2885"/>
      <c r="II42" s="2885"/>
      <c r="IJ42" s="2885"/>
      <c r="IK42" s="2885"/>
      <c r="IL42" s="2885"/>
      <c r="IM42" s="2885"/>
      <c r="IN42" s="2885"/>
      <c r="IO42" s="2885"/>
      <c r="IP42" s="2885"/>
      <c r="IQ42" s="2885"/>
      <c r="IR42" s="2885"/>
      <c r="IS42" s="2885"/>
      <c r="IT42" s="2885"/>
      <c r="IU42" s="2885"/>
      <c r="IV42" s="2885"/>
      <c r="IW42" s="2885"/>
      <c r="IX42" s="2885"/>
      <c r="IY42" s="2885"/>
      <c r="IZ42" s="2885"/>
      <c r="JA42" s="2885"/>
      <c r="JB42" s="2885"/>
      <c r="JC42" s="2885"/>
      <c r="JD42" s="2885"/>
      <c r="JE42" s="2885"/>
      <c r="JF42" s="2885"/>
      <c r="JG42" s="2885"/>
      <c r="JH42" s="2885"/>
      <c r="JI42" s="2885"/>
      <c r="JJ42" s="2885"/>
      <c r="JK42" s="2885"/>
      <c r="JL42" s="2885"/>
      <c r="JM42" s="2885"/>
      <c r="JN42" s="2885"/>
      <c r="JO42" s="2885"/>
      <c r="JP42" s="2885"/>
      <c r="JQ42" s="2885"/>
      <c r="JR42" s="2885"/>
      <c r="JS42" s="2885"/>
      <c r="JT42" s="2885"/>
      <c r="JU42" s="2885"/>
      <c r="JV42" s="2885"/>
      <c r="JW42" s="2885"/>
      <c r="JX42" s="2885"/>
      <c r="JY42" s="2885"/>
      <c r="JZ42" s="2885"/>
      <c r="KA42" s="2885"/>
      <c r="KB42" s="2885"/>
      <c r="KC42" s="2885"/>
      <c r="KD42" s="2885"/>
      <c r="KE42" s="2885"/>
      <c r="KF42" s="2885"/>
      <c r="KG42" s="2885"/>
      <c r="KH42" s="2885"/>
      <c r="KI42" s="2885"/>
      <c r="KJ42" s="2885"/>
      <c r="KK42" s="2885"/>
      <c r="KL42" s="2885"/>
      <c r="KM42" s="2885"/>
      <c r="KN42" s="2885"/>
      <c r="KO42" s="2885"/>
      <c r="KP42" s="2887"/>
    </row>
    <row r="43" spans="1:302" s="97" customFormat="1" ht="24" customHeight="1" outlineLevel="1">
      <c r="A43" s="2656" t="s">
        <v>1407</v>
      </c>
      <c r="B43" s="1689"/>
      <c r="C43" s="261" t="s">
        <v>1408</v>
      </c>
      <c r="D43" s="1689"/>
      <c r="E43" s="261"/>
      <c r="F43" s="347"/>
      <c r="G43" s="348"/>
      <c r="H43" s="350" t="s">
        <v>26</v>
      </c>
      <c r="I43" s="2936"/>
      <c r="J43" s="362" t="s">
        <v>26</v>
      </c>
      <c r="K43" s="1745"/>
      <c r="L43" s="383"/>
      <c r="M43" s="383"/>
      <c r="N43" s="383"/>
      <c r="O43" s="1510"/>
      <c r="P43" s="358"/>
      <c r="Q43" s="358"/>
      <c r="R43" s="358"/>
      <c r="S43" s="1510">
        <f t="shared" si="73"/>
        <v>0</v>
      </c>
      <c r="T43" s="389"/>
      <c r="U43" s="1746"/>
      <c r="V43" s="1746"/>
      <c r="W43" s="1744">
        <f t="shared" si="74"/>
        <v>0</v>
      </c>
      <c r="X43" s="359" t="s">
        <v>26</v>
      </c>
      <c r="Y43" s="389"/>
      <c r="Z43" s="1746"/>
      <c r="AA43" s="1746"/>
      <c r="AB43" s="1510">
        <f>SUM(AM43:BZ43)</f>
        <v>83200</v>
      </c>
      <c r="AC43" s="2843" t="s">
        <v>1409</v>
      </c>
      <c r="AD43" s="1683"/>
      <c r="AE43" s="1684" t="s">
        <v>564</v>
      </c>
      <c r="AF43" s="1685">
        <v>83200</v>
      </c>
      <c r="AG43" s="1685">
        <v>1</v>
      </c>
      <c r="AH43" s="354">
        <f t="shared" ref="AH43" si="78">AF43*AG43</f>
        <v>83200</v>
      </c>
      <c r="AI43" s="355">
        <f t="shared" ref="AI43" ca="1" si="79">SUMIF($AM$10:$BZ$10,$AI$9,AM43:BT43)</f>
        <v>0</v>
      </c>
      <c r="AJ43" s="356">
        <f t="shared" ref="AJ43" ca="1" si="80">IF($AB43&lt;&gt;0,AI43/$AB43,"")</f>
        <v>0</v>
      </c>
      <c r="AK43" s="2185"/>
      <c r="AL43" s="258"/>
      <c r="AM43" s="2256"/>
      <c r="AN43" s="2260"/>
      <c r="AO43" s="359"/>
      <c r="AP43" s="2892">
        <v>52979.199999999997</v>
      </c>
      <c r="AQ43" s="2840">
        <v>30220.799999999999</v>
      </c>
      <c r="AR43" s="2840"/>
      <c r="AS43" s="2840"/>
      <c r="AT43" s="2840"/>
      <c r="AU43" s="2004"/>
      <c r="AV43" s="2004"/>
      <c r="AW43" s="2005"/>
      <c r="AX43" s="2005"/>
      <c r="AY43" s="2006"/>
      <c r="AZ43" s="414"/>
      <c r="BA43" s="362"/>
      <c r="BB43" s="362"/>
      <c r="BC43" s="362"/>
      <c r="BD43" s="362"/>
      <c r="BE43" s="362"/>
      <c r="BF43" s="362"/>
      <c r="BG43" s="362"/>
      <c r="BH43" s="362"/>
      <c r="BI43" s="414"/>
      <c r="BJ43" s="362"/>
      <c r="BK43" s="385"/>
      <c r="BL43" s="414"/>
      <c r="BM43" s="414"/>
      <c r="BN43" s="414"/>
      <c r="BO43" s="414"/>
      <c r="BP43" s="414"/>
      <c r="BQ43" s="2399"/>
      <c r="BR43" s="362"/>
      <c r="BS43" s="362"/>
      <c r="BT43" s="362"/>
      <c r="BU43" s="364"/>
      <c r="BV43" s="364"/>
      <c r="BW43" s="2366"/>
      <c r="BX43" s="2842"/>
      <c r="BY43" s="2842"/>
      <c r="BZ43" s="2842"/>
      <c r="CA43" s="2591">
        <f t="shared" si="75"/>
        <v>83200</v>
      </c>
      <c r="CB43" s="2377">
        <f t="shared" si="76"/>
        <v>1</v>
      </c>
      <c r="CC43" s="365">
        <f t="shared" si="77"/>
        <v>1.2019230769230769E-5</v>
      </c>
      <c r="CD43" s="366"/>
      <c r="CE43" s="343"/>
      <c r="CF43" s="343"/>
      <c r="CG43" s="340"/>
      <c r="CH43" s="367"/>
      <c r="CI43" s="368"/>
      <c r="CJ43" s="368"/>
      <c r="CK43" s="369"/>
      <c r="CL43" s="329">
        <f t="shared" si="12"/>
        <v>-83200</v>
      </c>
      <c r="CM43" s="330">
        <f t="shared" ca="1" si="13"/>
        <v>0</v>
      </c>
      <c r="CN43" s="331"/>
      <c r="CO43" s="86"/>
      <c r="CP43" s="86"/>
      <c r="CQ43" s="1641"/>
      <c r="CR43" s="86"/>
      <c r="CS43" s="86"/>
      <c r="CT43" s="86"/>
      <c r="CU43" s="86"/>
      <c r="CV43" s="86"/>
      <c r="CW43" s="86"/>
      <c r="CX43" s="86"/>
      <c r="CY43" s="86"/>
      <c r="CZ43" s="86"/>
      <c r="DA43" s="86"/>
      <c r="DB43" s="1642"/>
      <c r="DC43" s="1642"/>
      <c r="DD43" s="30"/>
      <c r="DE43" s="30"/>
      <c r="DF43" s="30"/>
      <c r="DG43" s="1642"/>
      <c r="DH43" s="1642"/>
      <c r="DI43" s="1642"/>
      <c r="DJ43" s="1642"/>
      <c r="DK43" s="1642"/>
      <c r="DL43" s="1642"/>
      <c r="DM43" s="1642"/>
      <c r="DN43" s="1642"/>
      <c r="DO43" s="1642"/>
      <c r="DP43" s="1642"/>
      <c r="DQ43" s="1642"/>
      <c r="DR43" s="1642"/>
      <c r="DS43" s="1642"/>
      <c r="DT43" s="1642"/>
      <c r="DU43" s="1642"/>
      <c r="DV43" s="1642"/>
      <c r="DW43" s="1642"/>
      <c r="DX43" s="1642"/>
      <c r="DY43" s="1642"/>
      <c r="DZ43" s="1642"/>
      <c r="EA43" s="1642"/>
      <c r="EB43" s="1642"/>
      <c r="EC43" s="1642"/>
      <c r="ED43" s="1642"/>
      <c r="EE43" s="1642"/>
      <c r="EF43" s="1642"/>
      <c r="EG43" s="1642"/>
      <c r="EH43" s="1643"/>
      <c r="EI43" s="1658"/>
      <c r="EJ43" s="30"/>
      <c r="EK43" s="30"/>
      <c r="EL43" s="30"/>
      <c r="EM43" s="30"/>
      <c r="EN43" s="30"/>
      <c r="EO43" s="30"/>
      <c r="EP43" s="30"/>
      <c r="EQ43" s="30"/>
      <c r="ER43" s="30"/>
      <c r="ES43" s="30"/>
      <c r="ET43" s="30"/>
      <c r="EU43" s="30"/>
      <c r="EV43" s="30"/>
      <c r="EW43" s="30"/>
      <c r="EX43" s="30"/>
      <c r="EY43" s="30"/>
      <c r="EZ43" s="30"/>
      <c r="FA43" s="30"/>
      <c r="FB43" s="30"/>
      <c r="FC43" s="30"/>
      <c r="FD43" s="30"/>
      <c r="FE43" s="30"/>
      <c r="FF43" s="30"/>
      <c r="FG43" s="30"/>
      <c r="FH43" s="30"/>
      <c r="FI43" s="30"/>
      <c r="FJ43" s="30"/>
      <c r="FK43" s="30"/>
      <c r="FL43" s="30"/>
      <c r="FM43" s="30"/>
      <c r="FN43" s="30"/>
      <c r="FO43" s="30"/>
      <c r="FP43" s="30"/>
      <c r="FQ43" s="30"/>
      <c r="FR43" s="30"/>
      <c r="FS43" s="30"/>
      <c r="FT43" s="30"/>
      <c r="FU43" s="30"/>
      <c r="FV43" s="30"/>
      <c r="FW43" s="30"/>
      <c r="FX43" s="30"/>
      <c r="FY43" s="30"/>
      <c r="FZ43" s="30"/>
      <c r="GA43" s="30"/>
      <c r="GB43" s="30"/>
      <c r="GC43" s="30"/>
      <c r="GD43" s="30"/>
      <c r="GE43" s="30"/>
      <c r="GF43" s="30"/>
      <c r="GG43" s="30"/>
      <c r="GH43" s="30"/>
      <c r="GI43" s="30"/>
      <c r="GJ43" s="30"/>
      <c r="GK43" s="30"/>
      <c r="GL43" s="30"/>
      <c r="GM43" s="30"/>
      <c r="GN43" s="30"/>
      <c r="GO43" s="30"/>
      <c r="GP43" s="30"/>
      <c r="GQ43" s="30"/>
      <c r="GR43" s="30"/>
      <c r="GS43" s="30"/>
      <c r="GT43" s="30"/>
      <c r="GU43" s="30"/>
      <c r="GV43" s="30"/>
      <c r="GW43" s="30"/>
      <c r="GX43" s="30"/>
      <c r="GY43" s="30"/>
      <c r="GZ43" s="30"/>
      <c r="HA43" s="30"/>
      <c r="HB43" s="30"/>
      <c r="HC43" s="30"/>
      <c r="HD43" s="30"/>
      <c r="HE43" s="30"/>
      <c r="HF43" s="30"/>
      <c r="HG43" s="30"/>
      <c r="HH43" s="30"/>
      <c r="HI43" s="30"/>
      <c r="HJ43" s="30"/>
      <c r="HK43" s="30"/>
      <c r="HL43" s="30"/>
      <c r="HM43" s="30"/>
      <c r="HN43" s="30"/>
      <c r="HO43" s="30"/>
      <c r="HP43" s="30"/>
      <c r="HQ43" s="30"/>
      <c r="HR43" s="30"/>
      <c r="HS43" s="30"/>
      <c r="HT43" s="30"/>
      <c r="HU43" s="30"/>
      <c r="HV43" s="30"/>
      <c r="HW43" s="30"/>
      <c r="HX43" s="30"/>
      <c r="HY43" s="30"/>
      <c r="HZ43" s="30"/>
      <c r="IA43" s="30"/>
      <c r="IB43" s="30"/>
      <c r="IC43" s="30"/>
      <c r="ID43" s="30"/>
      <c r="IE43" s="30"/>
      <c r="IF43" s="30"/>
      <c r="IG43" s="30"/>
      <c r="IH43" s="30"/>
      <c r="II43" s="30"/>
      <c r="IJ43" s="30"/>
      <c r="IK43" s="30"/>
      <c r="IL43" s="30"/>
      <c r="IM43" s="30"/>
      <c r="IN43" s="30"/>
      <c r="IO43" s="30"/>
      <c r="IP43" s="30"/>
      <c r="IQ43" s="30"/>
      <c r="IR43" s="30"/>
      <c r="IS43" s="30"/>
      <c r="IT43" s="30"/>
      <c r="IU43" s="30"/>
      <c r="IV43" s="30"/>
      <c r="IW43" s="30"/>
      <c r="IX43" s="30"/>
      <c r="IY43" s="30"/>
      <c r="IZ43" s="30"/>
      <c r="JA43" s="30"/>
      <c r="JB43" s="30"/>
      <c r="JC43" s="30"/>
      <c r="JD43" s="30"/>
      <c r="JE43" s="30"/>
      <c r="JF43" s="30"/>
      <c r="JG43" s="30"/>
      <c r="JH43" s="30"/>
      <c r="JI43" s="30"/>
      <c r="JJ43" s="30"/>
      <c r="JK43" s="30"/>
      <c r="JL43" s="30"/>
      <c r="JM43" s="30"/>
      <c r="JN43" s="30"/>
      <c r="JO43" s="30"/>
      <c r="JP43" s="30"/>
      <c r="JQ43" s="30"/>
      <c r="JR43" s="30"/>
      <c r="JS43" s="30"/>
      <c r="JT43" s="30"/>
      <c r="JU43" s="30"/>
      <c r="JV43" s="30"/>
      <c r="JW43" s="30"/>
      <c r="JX43" s="30"/>
      <c r="JY43" s="30"/>
      <c r="JZ43" s="30"/>
      <c r="KA43" s="30"/>
      <c r="KB43" s="30"/>
      <c r="KC43" s="30"/>
      <c r="KD43" s="30"/>
      <c r="KE43" s="30"/>
      <c r="KF43" s="30"/>
      <c r="KG43" s="30"/>
      <c r="KH43" s="30"/>
      <c r="KI43" s="30"/>
      <c r="KJ43" s="30"/>
      <c r="KK43" s="30"/>
      <c r="KL43" s="30"/>
      <c r="KM43" s="30"/>
      <c r="KN43" s="30"/>
      <c r="KO43" s="30"/>
      <c r="KP43" s="1630"/>
    </row>
    <row r="44" spans="1:302" s="97" customFormat="1" ht="25.25" customHeight="1">
      <c r="A44" s="2657" t="s">
        <v>121</v>
      </c>
      <c r="B44" s="2602"/>
      <c r="C44" s="2588" t="s">
        <v>607</v>
      </c>
      <c r="D44" s="2588" t="s">
        <v>608</v>
      </c>
      <c r="E44" s="2586"/>
      <c r="F44" s="2586"/>
      <c r="G44" s="2586"/>
      <c r="H44" s="2586" t="s">
        <v>26</v>
      </c>
      <c r="I44" s="2936"/>
      <c r="J44" s="2586" t="s">
        <v>26</v>
      </c>
      <c r="K44" s="2586"/>
      <c r="L44" s="2586"/>
      <c r="M44" s="2586"/>
      <c r="N44" s="2586"/>
      <c r="O44" s="2591"/>
      <c r="P44" s="2591"/>
      <c r="Q44" s="2591"/>
      <c r="R44" s="2591"/>
      <c r="S44" s="2591">
        <f t="shared" ref="S44:S52" si="81">R44*Q44</f>
        <v>0</v>
      </c>
      <c r="T44" s="2591"/>
      <c r="U44" s="2591"/>
      <c r="V44" s="2591"/>
      <c r="W44" s="2591">
        <f t="shared" ref="W44:W52" si="82">O44+S44</f>
        <v>0</v>
      </c>
      <c r="X44" s="2591" t="s">
        <v>26</v>
      </c>
      <c r="Y44" s="2591"/>
      <c r="Z44" s="2591"/>
      <c r="AA44" s="2591"/>
      <c r="AB44" s="2591">
        <f>SUM(AM44:BZ44)</f>
        <v>0</v>
      </c>
      <c r="AC44" s="2586"/>
      <c r="AD44" s="2586"/>
      <c r="AE44" s="2586"/>
      <c r="AF44" s="2586"/>
      <c r="AG44" s="2586"/>
      <c r="AH44" s="2586">
        <f t="shared" ref="AH44:AH103" si="83">AF44*AG44</f>
        <v>0</v>
      </c>
      <c r="AI44" s="2586">
        <f t="shared" ref="AI44:AI53" si="84">SUMIF($AN$10:$BZ$10,$AI$9,AN44:BZ44)</f>
        <v>0</v>
      </c>
      <c r="AJ44" s="2586" t="str">
        <f t="shared" si="1"/>
        <v/>
      </c>
      <c r="AK44" s="2586"/>
      <c r="AL44" s="2592"/>
      <c r="AM44" s="2594"/>
      <c r="AN44" s="2594"/>
      <c r="AO44" s="2586"/>
      <c r="AP44" s="2586"/>
      <c r="AQ44" s="2586"/>
      <c r="AR44" s="2586"/>
      <c r="AS44" s="2586"/>
      <c r="AT44" s="2586"/>
      <c r="AU44" s="2586"/>
      <c r="AV44" s="2586"/>
      <c r="AW44" s="2586"/>
      <c r="AX44" s="2586"/>
      <c r="AY44" s="2586"/>
      <c r="AZ44" s="2586"/>
      <c r="BA44" s="2586"/>
      <c r="BB44" s="2586"/>
      <c r="BC44" s="2586"/>
      <c r="BD44" s="2586"/>
      <c r="BE44" s="2586"/>
      <c r="BF44" s="2586"/>
      <c r="BG44" s="2586"/>
      <c r="BH44" s="2586"/>
      <c r="BI44" s="2586"/>
      <c r="BJ44" s="2586"/>
      <c r="BK44" s="2586"/>
      <c r="BL44" s="2586"/>
      <c r="BM44" s="2586"/>
      <c r="BN44" s="2586"/>
      <c r="BO44" s="2586"/>
      <c r="BP44" s="2586"/>
      <c r="BQ44" s="2586"/>
      <c r="BR44" s="2586"/>
      <c r="BS44" s="2586"/>
      <c r="BT44" s="2586"/>
      <c r="BU44" s="2586"/>
      <c r="BV44" s="2586"/>
      <c r="BW44" s="2586"/>
      <c r="BX44" s="2586"/>
      <c r="BY44" s="2586"/>
      <c r="BZ44" s="2586"/>
      <c r="CA44" s="2591">
        <f t="shared" si="75"/>
        <v>0</v>
      </c>
      <c r="CB44" s="2377" t="str">
        <f t="shared" si="76"/>
        <v/>
      </c>
      <c r="CC44" s="365" t="str">
        <f t="shared" si="77"/>
        <v/>
      </c>
      <c r="CD44" s="366"/>
      <c r="CE44" s="343"/>
      <c r="CF44" s="343"/>
      <c r="CG44" s="340"/>
      <c r="CH44" s="367"/>
      <c r="CI44" s="368"/>
      <c r="CJ44" s="368"/>
      <c r="CK44" s="369"/>
      <c r="CL44" s="329">
        <f t="shared" si="12"/>
        <v>0</v>
      </c>
      <c r="CM44" s="330">
        <f t="shared" si="13"/>
        <v>0</v>
      </c>
      <c r="CN44" s="331">
        <f t="shared" si="14"/>
        <v>0</v>
      </c>
      <c r="CO44" s="86"/>
      <c r="CP44" s="86"/>
      <c r="CQ44" s="1641"/>
      <c r="CR44" s="86"/>
      <c r="CS44" s="86"/>
      <c r="CT44" s="86"/>
      <c r="CU44" s="86"/>
      <c r="CV44" s="86"/>
      <c r="CW44" s="86"/>
      <c r="CX44" s="86"/>
      <c r="CY44" s="86"/>
      <c r="CZ44" s="86"/>
      <c r="DA44" s="86"/>
      <c r="DB44" s="1642"/>
      <c r="DC44" s="1642"/>
      <c r="DD44" s="30"/>
      <c r="DE44" s="30"/>
      <c r="DF44" s="30"/>
      <c r="DG44" s="1642"/>
      <c r="DH44" s="1642"/>
      <c r="DI44" s="1642"/>
      <c r="DJ44" s="1642"/>
      <c r="DK44" s="1642"/>
      <c r="DL44" s="1642"/>
      <c r="DM44" s="1642"/>
      <c r="DN44" s="1642"/>
      <c r="DO44" s="1642"/>
      <c r="DP44" s="1642"/>
      <c r="DQ44" s="1642"/>
      <c r="DR44" s="1642"/>
      <c r="DS44" s="1642"/>
      <c r="DT44" s="1642"/>
      <c r="DU44" s="1642"/>
      <c r="DV44" s="1642"/>
      <c r="DW44" s="1642"/>
      <c r="DX44" s="1642"/>
      <c r="DY44" s="1642"/>
      <c r="DZ44" s="1642"/>
      <c r="EA44" s="1642"/>
      <c r="EB44" s="1642"/>
      <c r="EC44" s="1642"/>
      <c r="ED44" s="1642"/>
      <c r="EE44" s="1642"/>
      <c r="EF44" s="1642"/>
      <c r="EG44" s="1642"/>
      <c r="EH44" s="1643"/>
      <c r="EI44" s="1658"/>
      <c r="EJ44" s="30"/>
      <c r="EK44" s="30"/>
      <c r="EL44" s="30"/>
      <c r="EM44" s="30"/>
      <c r="EN44" s="30"/>
      <c r="EO44" s="30"/>
      <c r="EP44" s="30"/>
      <c r="EQ44" s="30"/>
      <c r="ER44" s="30"/>
      <c r="ES44" s="30"/>
      <c r="ET44" s="30"/>
      <c r="EU44" s="30"/>
      <c r="EV44" s="30"/>
      <c r="EW44" s="30"/>
      <c r="EX44" s="30"/>
      <c r="EY44" s="30"/>
      <c r="EZ44" s="30"/>
      <c r="FA44" s="30"/>
      <c r="FB44" s="30"/>
      <c r="FC44" s="30"/>
      <c r="FD44" s="30"/>
      <c r="FE44" s="30"/>
      <c r="FF44" s="30"/>
      <c r="FG44" s="30"/>
      <c r="FH44" s="30"/>
      <c r="FI44" s="30"/>
      <c r="FJ44" s="30"/>
      <c r="FK44" s="30"/>
      <c r="FL44" s="30"/>
      <c r="FM44" s="30"/>
      <c r="FN44" s="30"/>
      <c r="FO44" s="30"/>
      <c r="FP44" s="30"/>
      <c r="FQ44" s="30"/>
      <c r="FR44" s="30"/>
      <c r="FS44" s="30"/>
      <c r="FT44" s="30"/>
      <c r="FU44" s="30"/>
      <c r="FV44" s="30"/>
      <c r="FW44" s="30"/>
      <c r="FX44" s="30"/>
      <c r="FY44" s="30"/>
      <c r="FZ44" s="30"/>
      <c r="GA44" s="30"/>
      <c r="GB44" s="30"/>
      <c r="GC44" s="30"/>
      <c r="GD44" s="30"/>
      <c r="GE44" s="30"/>
      <c r="GF44" s="30"/>
      <c r="GG44" s="30"/>
      <c r="GH44" s="30"/>
      <c r="GI44" s="30"/>
      <c r="GJ44" s="30"/>
      <c r="GK44" s="30"/>
      <c r="GL44" s="30"/>
      <c r="GM44" s="30"/>
      <c r="GN44" s="30"/>
      <c r="GO44" s="30"/>
      <c r="GP44" s="30"/>
      <c r="GQ44" s="30"/>
      <c r="GR44" s="30"/>
      <c r="GS44" s="30"/>
      <c r="GT44" s="30"/>
      <c r="GU44" s="30"/>
      <c r="GV44" s="30"/>
      <c r="GW44" s="30"/>
      <c r="GX44" s="30"/>
      <c r="GY44" s="30"/>
      <c r="GZ44" s="30"/>
      <c r="HA44" s="30"/>
      <c r="HB44" s="30"/>
      <c r="HC44" s="30"/>
      <c r="HD44" s="30"/>
      <c r="HE44" s="30"/>
      <c r="HF44" s="30"/>
      <c r="HG44" s="30"/>
      <c r="HH44" s="30"/>
      <c r="HI44" s="30"/>
      <c r="HJ44" s="30"/>
      <c r="HK44" s="30"/>
      <c r="HL44" s="30"/>
      <c r="HM44" s="30"/>
      <c r="HN44" s="30"/>
      <c r="HO44" s="30"/>
      <c r="HP44" s="30"/>
      <c r="HQ44" s="30"/>
      <c r="HR44" s="30"/>
      <c r="HS44" s="30"/>
      <c r="HT44" s="30"/>
      <c r="HU44" s="30"/>
      <c r="HV44" s="30"/>
      <c r="HW44" s="30"/>
      <c r="HX44" s="30"/>
      <c r="HY44" s="30"/>
      <c r="HZ44" s="30"/>
      <c r="IA44" s="30"/>
      <c r="IB44" s="30"/>
      <c r="IC44" s="30"/>
      <c r="ID44" s="30"/>
      <c r="IE44" s="30"/>
      <c r="IF44" s="30"/>
      <c r="IG44" s="30"/>
      <c r="IH44" s="30"/>
      <c r="II44" s="30"/>
      <c r="IJ44" s="30"/>
      <c r="IK44" s="30"/>
      <c r="IL44" s="30"/>
      <c r="IM44" s="30"/>
      <c r="IN44" s="30"/>
      <c r="IO44" s="30"/>
      <c r="IP44" s="30"/>
      <c r="IQ44" s="30"/>
      <c r="IR44" s="30"/>
      <c r="IS44" s="30"/>
      <c r="IT44" s="30"/>
      <c r="IU44" s="30"/>
      <c r="IV44" s="30"/>
      <c r="IW44" s="30"/>
      <c r="IX44" s="30"/>
      <c r="IY44" s="30"/>
      <c r="IZ44" s="30"/>
      <c r="JA44" s="30"/>
      <c r="JB44" s="30"/>
      <c r="JC44" s="30"/>
      <c r="JD44" s="30"/>
      <c r="JE44" s="30"/>
      <c r="JF44" s="30"/>
      <c r="JG44" s="30"/>
      <c r="JH44" s="30"/>
      <c r="JI44" s="30"/>
      <c r="JJ44" s="30"/>
      <c r="JK44" s="30"/>
      <c r="JL44" s="30"/>
      <c r="JM44" s="30"/>
      <c r="JN44" s="30"/>
      <c r="JO44" s="30"/>
      <c r="JP44" s="30"/>
      <c r="JQ44" s="30"/>
      <c r="JR44" s="30"/>
      <c r="JS44" s="30"/>
      <c r="JT44" s="30"/>
      <c r="JU44" s="30"/>
      <c r="JV44" s="30"/>
      <c r="JW44" s="30"/>
      <c r="JX44" s="30"/>
      <c r="JY44" s="30"/>
      <c r="JZ44" s="30"/>
      <c r="KA44" s="30"/>
      <c r="KB44" s="30"/>
      <c r="KC44" s="30"/>
      <c r="KD44" s="30"/>
      <c r="KE44" s="30"/>
      <c r="KF44" s="30"/>
      <c r="KG44" s="30"/>
      <c r="KH44" s="30"/>
      <c r="KI44" s="30"/>
      <c r="KJ44" s="30"/>
      <c r="KK44" s="30"/>
      <c r="KL44" s="30"/>
      <c r="KM44" s="30"/>
      <c r="KN44" s="30"/>
      <c r="KO44" s="30"/>
      <c r="KP44" s="1630"/>
    </row>
    <row r="45" spans="1:302" s="97" customFormat="1" ht="19.5" customHeight="1" outlineLevel="1">
      <c r="A45" s="2656" t="s">
        <v>556</v>
      </c>
      <c r="B45" s="1689"/>
      <c r="C45" s="261" t="s">
        <v>1430</v>
      </c>
      <c r="D45" s="1689" t="s">
        <v>609</v>
      </c>
      <c r="E45" s="261"/>
      <c r="F45" s="370"/>
      <c r="G45" s="371"/>
      <c r="H45" s="350" t="s">
        <v>26</v>
      </c>
      <c r="I45" s="2936"/>
      <c r="J45" s="362" t="s">
        <v>26</v>
      </c>
      <c r="K45" s="355"/>
      <c r="L45" s="358"/>
      <c r="M45" s="358"/>
      <c r="N45" s="358"/>
      <c r="O45" s="1510">
        <v>176673</v>
      </c>
      <c r="P45" s="358"/>
      <c r="Q45" s="358"/>
      <c r="R45" s="358"/>
      <c r="S45" s="1510">
        <f t="shared" si="81"/>
        <v>0</v>
      </c>
      <c r="T45" s="389"/>
      <c r="U45" s="1746"/>
      <c r="V45" s="1746"/>
      <c r="W45" s="1744">
        <f t="shared" si="82"/>
        <v>176673</v>
      </c>
      <c r="X45" s="359" t="s">
        <v>26</v>
      </c>
      <c r="Y45" s="389"/>
      <c r="Z45" s="1746"/>
      <c r="AA45" s="1746"/>
      <c r="AB45" s="2897">
        <f t="shared" ref="AB45:AB47" si="85">SUM(AM45:BZ45)</f>
        <v>176673</v>
      </c>
      <c r="AC45" s="2896" t="s">
        <v>740</v>
      </c>
      <c r="AD45" s="1681">
        <v>4502939064</v>
      </c>
      <c r="AE45" s="1687"/>
      <c r="AF45" s="354">
        <v>176673</v>
      </c>
      <c r="AG45" s="354">
        <v>1</v>
      </c>
      <c r="AH45" s="354">
        <f t="shared" si="83"/>
        <v>176673</v>
      </c>
      <c r="AI45" s="355">
        <f>SUMIF($AM$10:$BZ$10,$AI$9,AM45:BZ45)</f>
        <v>76893.78</v>
      </c>
      <c r="AJ45" s="356">
        <f t="shared" si="1"/>
        <v>0.43523220865667078</v>
      </c>
      <c r="AK45" s="2185"/>
      <c r="AL45" s="260"/>
      <c r="AM45" s="2738">
        <v>25432.25</v>
      </c>
      <c r="AN45" s="2257"/>
      <c r="AO45" s="2739">
        <f>88336.5-25432.25-24907.22+13464.5</f>
        <v>51461.53</v>
      </c>
      <c r="AP45" s="2825">
        <v>99779.22</v>
      </c>
      <c r="AQ45" s="359"/>
      <c r="AR45" s="359"/>
      <c r="AS45" s="359"/>
      <c r="AT45" s="360"/>
      <c r="AU45" s="359"/>
      <c r="AV45" s="359"/>
      <c r="AW45" s="377"/>
      <c r="AX45" s="377"/>
      <c r="AY45" s="360"/>
      <c r="AZ45" s="2258"/>
      <c r="BA45" s="359"/>
      <c r="BB45" s="359"/>
      <c r="BC45" s="377"/>
      <c r="BD45" s="359"/>
      <c r="BE45" s="359"/>
      <c r="BF45" s="359"/>
      <c r="BG45" s="359"/>
      <c r="BH45" s="359"/>
      <c r="BI45" s="380"/>
      <c r="BJ45" s="359"/>
      <c r="BK45" s="2122"/>
      <c r="BL45" s="380"/>
      <c r="BM45" s="380"/>
      <c r="BN45" s="380"/>
      <c r="BO45" s="380"/>
      <c r="BP45" s="380"/>
      <c r="BQ45" s="2087"/>
      <c r="BR45" s="359"/>
      <c r="BS45" s="359"/>
      <c r="BT45" s="359"/>
      <c r="BU45" s="364"/>
      <c r="BV45" s="364"/>
      <c r="BW45" s="2366"/>
      <c r="BX45" s="2463"/>
      <c r="BY45" s="2543"/>
      <c r="BZ45" s="2543"/>
      <c r="CA45" s="2591">
        <f t="shared" si="75"/>
        <v>99779.22</v>
      </c>
      <c r="CB45" s="2377">
        <f t="shared" si="76"/>
        <v>0.56476779134332922</v>
      </c>
      <c r="CC45" s="365">
        <f t="shared" si="77"/>
        <v>3.1966842208109288E-6</v>
      </c>
      <c r="CD45" s="366"/>
      <c r="CE45" s="343"/>
      <c r="CF45" s="343"/>
      <c r="CG45" s="340"/>
      <c r="CH45" s="367"/>
      <c r="CI45" s="368"/>
      <c r="CJ45" s="368"/>
      <c r="CK45" s="369"/>
      <c r="CL45" s="329">
        <f t="shared" si="12"/>
        <v>76893.78</v>
      </c>
      <c r="CM45" s="330">
        <f t="shared" si="13"/>
        <v>0</v>
      </c>
      <c r="CN45" s="331">
        <f t="shared" si="14"/>
        <v>-25432.25</v>
      </c>
      <c r="CO45" s="86"/>
      <c r="CP45" s="86"/>
      <c r="CQ45" s="1641"/>
      <c r="CR45" s="86"/>
      <c r="CS45" s="86"/>
      <c r="CT45" s="86"/>
      <c r="CU45" s="86"/>
      <c r="CV45" s="86"/>
      <c r="CW45" s="86"/>
      <c r="CX45" s="86"/>
      <c r="CY45" s="86"/>
      <c r="CZ45" s="86"/>
      <c r="DA45" s="86"/>
      <c r="DB45" s="1642"/>
      <c r="DC45" s="1642"/>
      <c r="DD45" s="30"/>
      <c r="DE45" s="30"/>
      <c r="DF45" s="30"/>
      <c r="DG45" s="1642"/>
      <c r="DH45" s="1642"/>
      <c r="DI45" s="1642"/>
      <c r="DJ45" s="1642"/>
      <c r="DK45" s="1642"/>
      <c r="DL45" s="1642"/>
      <c r="DM45" s="1642"/>
      <c r="DN45" s="1642"/>
      <c r="DO45" s="1642"/>
      <c r="DP45" s="1642"/>
      <c r="DQ45" s="1642"/>
      <c r="DR45" s="1642"/>
      <c r="DS45" s="1642"/>
      <c r="DT45" s="1642"/>
      <c r="DU45" s="1642"/>
      <c r="DV45" s="1642"/>
      <c r="DW45" s="1642"/>
      <c r="DX45" s="1642"/>
      <c r="DY45" s="1642"/>
      <c r="DZ45" s="1642"/>
      <c r="EA45" s="1642"/>
      <c r="EB45" s="1642"/>
      <c r="EC45" s="1642"/>
      <c r="ED45" s="1642"/>
      <c r="EE45" s="1642"/>
      <c r="EF45" s="1642"/>
      <c r="EG45" s="1642"/>
      <c r="EH45" s="1643"/>
      <c r="EI45" s="1658"/>
      <c r="EJ45" s="30"/>
      <c r="EK45" s="30"/>
      <c r="EL45" s="30"/>
      <c r="EM45" s="30"/>
      <c r="EN45" s="30"/>
      <c r="EO45" s="30"/>
      <c r="EP45" s="30"/>
      <c r="EQ45" s="30"/>
      <c r="ER45" s="30"/>
      <c r="ES45" s="30"/>
      <c r="ET45" s="30"/>
      <c r="EU45" s="30"/>
      <c r="EV45" s="30"/>
      <c r="EW45" s="30"/>
      <c r="EX45" s="30"/>
      <c r="EY45" s="30"/>
      <c r="EZ45" s="30"/>
      <c r="FA45" s="30"/>
      <c r="FB45" s="30"/>
      <c r="FC45" s="30"/>
      <c r="FD45" s="30"/>
      <c r="FE45" s="30"/>
      <c r="FF45" s="30"/>
      <c r="FG45" s="30"/>
      <c r="FH45" s="30"/>
      <c r="FI45" s="30"/>
      <c r="FJ45" s="30"/>
      <c r="FK45" s="30"/>
      <c r="FL45" s="30"/>
      <c r="FM45" s="30"/>
      <c r="FN45" s="30"/>
      <c r="FO45" s="30"/>
      <c r="FP45" s="30"/>
      <c r="FQ45" s="30"/>
      <c r="FR45" s="30"/>
      <c r="FS45" s="30"/>
      <c r="FT45" s="30"/>
      <c r="FU45" s="30"/>
      <c r="FV45" s="30"/>
      <c r="FW45" s="30"/>
      <c r="FX45" s="30"/>
      <c r="FY45" s="30"/>
      <c r="FZ45" s="30"/>
      <c r="GA45" s="30"/>
      <c r="GB45" s="30"/>
      <c r="GC45" s="30"/>
      <c r="GD45" s="30"/>
      <c r="GE45" s="30"/>
      <c r="GF45" s="30"/>
      <c r="GG45" s="30"/>
      <c r="GH45" s="30"/>
      <c r="GI45" s="30"/>
      <c r="GJ45" s="30"/>
      <c r="GK45" s="30"/>
      <c r="GL45" s="30"/>
      <c r="GM45" s="30"/>
      <c r="GN45" s="30"/>
      <c r="GO45" s="30"/>
      <c r="GP45" s="30"/>
      <c r="GQ45" s="30"/>
      <c r="GR45" s="30"/>
      <c r="GS45" s="30"/>
      <c r="GT45" s="30"/>
      <c r="GU45" s="30"/>
      <c r="GV45" s="30"/>
      <c r="GW45" s="30"/>
      <c r="GX45" s="30"/>
      <c r="GY45" s="30"/>
      <c r="GZ45" s="30"/>
      <c r="HA45" s="30"/>
      <c r="HB45" s="30"/>
      <c r="HC45" s="30"/>
      <c r="HD45" s="30"/>
      <c r="HE45" s="30"/>
      <c r="HF45" s="30"/>
      <c r="HG45" s="30"/>
      <c r="HH45" s="30"/>
      <c r="HI45" s="30"/>
      <c r="HJ45" s="30"/>
      <c r="HK45" s="30"/>
      <c r="HL45" s="30"/>
      <c r="HM45" s="30"/>
      <c r="HN45" s="30"/>
      <c r="HO45" s="30"/>
      <c r="HP45" s="30"/>
      <c r="HQ45" s="30"/>
      <c r="HR45" s="30"/>
      <c r="HS45" s="30"/>
      <c r="HT45" s="30"/>
      <c r="HU45" s="30"/>
      <c r="HV45" s="30"/>
      <c r="HW45" s="30"/>
      <c r="HX45" s="30"/>
      <c r="HY45" s="30"/>
      <c r="HZ45" s="30"/>
      <c r="IA45" s="30"/>
      <c r="IB45" s="30"/>
      <c r="IC45" s="30"/>
      <c r="ID45" s="30"/>
      <c r="IE45" s="30"/>
      <c r="IF45" s="30"/>
      <c r="IG45" s="30"/>
      <c r="IH45" s="30"/>
      <c r="II45" s="30"/>
      <c r="IJ45" s="30"/>
      <c r="IK45" s="30"/>
      <c r="IL45" s="30"/>
      <c r="IM45" s="30"/>
      <c r="IN45" s="30"/>
      <c r="IO45" s="30"/>
      <c r="IP45" s="30"/>
      <c r="IQ45" s="30"/>
      <c r="IR45" s="30"/>
      <c r="IS45" s="30"/>
      <c r="IT45" s="30"/>
      <c r="IU45" s="30"/>
      <c r="IV45" s="30"/>
      <c r="IW45" s="30"/>
      <c r="IX45" s="30"/>
      <c r="IY45" s="30"/>
      <c r="IZ45" s="30"/>
      <c r="JA45" s="30"/>
      <c r="JB45" s="30"/>
      <c r="JC45" s="30"/>
      <c r="JD45" s="30"/>
      <c r="JE45" s="30"/>
      <c r="JF45" s="30"/>
      <c r="JG45" s="30"/>
      <c r="JH45" s="30"/>
      <c r="JI45" s="30"/>
      <c r="JJ45" s="30"/>
      <c r="JK45" s="30"/>
      <c r="JL45" s="30"/>
      <c r="JM45" s="30"/>
      <c r="JN45" s="30"/>
      <c r="JO45" s="30"/>
      <c r="JP45" s="30"/>
      <c r="JQ45" s="30"/>
      <c r="JR45" s="30"/>
      <c r="JS45" s="30"/>
      <c r="JT45" s="30"/>
      <c r="JU45" s="30"/>
      <c r="JV45" s="30"/>
      <c r="JW45" s="30"/>
      <c r="JX45" s="30"/>
      <c r="JY45" s="30"/>
      <c r="JZ45" s="30"/>
      <c r="KA45" s="30"/>
      <c r="KB45" s="30"/>
      <c r="KC45" s="30"/>
      <c r="KD45" s="30"/>
      <c r="KE45" s="30"/>
      <c r="KF45" s="30"/>
      <c r="KG45" s="30"/>
      <c r="KH45" s="30"/>
      <c r="KI45" s="30"/>
      <c r="KJ45" s="30"/>
      <c r="KK45" s="30"/>
      <c r="KL45" s="30"/>
      <c r="KM45" s="30"/>
      <c r="KN45" s="30"/>
      <c r="KO45" s="30"/>
      <c r="KP45" s="1630"/>
    </row>
    <row r="46" spans="1:302" s="97" customFormat="1" ht="18.75" customHeight="1" outlineLevel="1">
      <c r="A46" s="2656" t="s">
        <v>753</v>
      </c>
      <c r="B46" s="1689"/>
      <c r="C46" s="261" t="s">
        <v>1429</v>
      </c>
      <c r="D46" s="1689" t="s">
        <v>608</v>
      </c>
      <c r="E46" s="261"/>
      <c r="F46" s="370"/>
      <c r="G46" s="371"/>
      <c r="H46" s="350" t="s">
        <v>26</v>
      </c>
      <c r="I46" s="2936"/>
      <c r="J46" s="362" t="s">
        <v>26</v>
      </c>
      <c r="K46" s="355"/>
      <c r="L46" s="358"/>
      <c r="M46" s="358"/>
      <c r="N46" s="358"/>
      <c r="O46" s="1510">
        <v>2196542</v>
      </c>
      <c r="P46" s="358"/>
      <c r="Q46" s="358"/>
      <c r="R46" s="358"/>
      <c r="S46" s="1510">
        <f t="shared" si="81"/>
        <v>0</v>
      </c>
      <c r="T46" s="389"/>
      <c r="U46" s="1746"/>
      <c r="V46" s="1746"/>
      <c r="W46" s="1744">
        <f t="shared" si="82"/>
        <v>2196542</v>
      </c>
      <c r="X46" s="359" t="s">
        <v>26</v>
      </c>
      <c r="Y46" s="389"/>
      <c r="Z46" s="1746"/>
      <c r="AA46" s="1746"/>
      <c r="AB46" s="2897">
        <f t="shared" si="85"/>
        <v>2196542</v>
      </c>
      <c r="AC46" s="2896" t="s">
        <v>740</v>
      </c>
      <c r="AD46" s="1681">
        <v>4502939064</v>
      </c>
      <c r="AE46" s="1687"/>
      <c r="AF46" s="354">
        <v>2196542</v>
      </c>
      <c r="AG46" s="354">
        <v>1</v>
      </c>
      <c r="AH46" s="354">
        <f t="shared" si="83"/>
        <v>2196542</v>
      </c>
      <c r="AI46" s="355">
        <f>SUMIF($AM$10:$BZ$10,$AI$9,AM46:BZ46)</f>
        <v>554375.54</v>
      </c>
      <c r="AJ46" s="356">
        <f t="shared" si="1"/>
        <v>0.25238558607119738</v>
      </c>
      <c r="AK46" s="2185"/>
      <c r="AL46" s="260"/>
      <c r="AM46" s="2739">
        <v>274567.75</v>
      </c>
      <c r="AN46" s="2776">
        <v>5240.04</v>
      </c>
      <c r="AO46" s="2824">
        <f>274567.75</f>
        <v>274567.75</v>
      </c>
      <c r="AP46" s="2824">
        <v>90268.36</v>
      </c>
      <c r="AQ46" s="359"/>
      <c r="AR46" s="359"/>
      <c r="AS46" s="359"/>
      <c r="AT46" s="360"/>
      <c r="AU46" s="359"/>
      <c r="AV46" s="359"/>
      <c r="AW46" s="377"/>
      <c r="AX46" s="377">
        <f>269327.71-50000-90268.36</f>
        <v>129059.35000000002</v>
      </c>
      <c r="AY46" s="360">
        <f>269327.71-139432.25</f>
        <v>129895.46000000002</v>
      </c>
      <c r="AZ46" s="2258">
        <v>274567.75</v>
      </c>
      <c r="BA46" s="359">
        <v>274567.75</v>
      </c>
      <c r="BB46" s="359">
        <v>274567.75</v>
      </c>
      <c r="BC46" s="377">
        <v>274567.75</v>
      </c>
      <c r="BD46" s="359">
        <f>264000-69327.71</f>
        <v>194672.28999999998</v>
      </c>
      <c r="BE46" s="359"/>
      <c r="BF46" s="359"/>
      <c r="BG46" s="359"/>
      <c r="BH46" s="359"/>
      <c r="BI46" s="380"/>
      <c r="BJ46" s="359"/>
      <c r="BK46" s="2122"/>
      <c r="BL46" s="380"/>
      <c r="BM46" s="380"/>
      <c r="BN46" s="380"/>
      <c r="BO46" s="380"/>
      <c r="BP46" s="380"/>
      <c r="BQ46" s="2087"/>
      <c r="BR46" s="359"/>
      <c r="BS46" s="359"/>
      <c r="BT46" s="359"/>
      <c r="BU46" s="364"/>
      <c r="BV46" s="364"/>
      <c r="BW46" s="2366"/>
      <c r="BX46" s="2463"/>
      <c r="BY46" s="2543"/>
      <c r="BZ46" s="2543"/>
      <c r="CA46" s="2591">
        <f t="shared" si="75"/>
        <v>1642166.46</v>
      </c>
      <c r="CB46" s="2377">
        <f t="shared" si="76"/>
        <v>0.74761441392880257</v>
      </c>
      <c r="CC46" s="365">
        <f t="shared" si="77"/>
        <v>3.4035971719584809E-7</v>
      </c>
      <c r="CD46" s="366"/>
      <c r="CE46" s="343"/>
      <c r="CF46" s="343"/>
      <c r="CG46" s="340"/>
      <c r="CH46" s="367"/>
      <c r="CI46" s="368"/>
      <c r="CJ46" s="368"/>
      <c r="CK46" s="369"/>
      <c r="CL46" s="329">
        <f t="shared" si="12"/>
        <v>554375.54</v>
      </c>
      <c r="CM46" s="330">
        <f t="shared" si="13"/>
        <v>0</v>
      </c>
      <c r="CN46" s="331">
        <f t="shared" si="14"/>
        <v>-1567511.04</v>
      </c>
      <c r="CO46" s="86"/>
      <c r="CP46" s="86"/>
      <c r="CQ46" s="1641"/>
      <c r="CR46" s="86"/>
      <c r="CS46" s="86"/>
      <c r="CT46" s="86"/>
      <c r="CU46" s="86"/>
      <c r="CV46" s="86"/>
      <c r="CW46" s="86"/>
      <c r="CX46" s="86"/>
      <c r="CY46" s="86"/>
      <c r="CZ46" s="86"/>
      <c r="DA46" s="86"/>
      <c r="DB46" s="1642"/>
      <c r="DC46" s="1642"/>
      <c r="DD46" s="30"/>
      <c r="DE46" s="30"/>
      <c r="DF46" s="30"/>
      <c r="DG46" s="1642"/>
      <c r="DH46" s="1642"/>
      <c r="DI46" s="1642"/>
      <c r="DJ46" s="1642"/>
      <c r="DK46" s="1642"/>
      <c r="DL46" s="1642"/>
      <c r="DM46" s="1642"/>
      <c r="DN46" s="1642"/>
      <c r="DO46" s="1642"/>
      <c r="DP46" s="1642"/>
      <c r="DQ46" s="1642"/>
      <c r="DR46" s="1642"/>
      <c r="DS46" s="1642"/>
      <c r="DT46" s="1642"/>
      <c r="DU46" s="1642"/>
      <c r="DV46" s="1642"/>
      <c r="DW46" s="1642"/>
      <c r="DX46" s="1642"/>
      <c r="DY46" s="1642"/>
      <c r="DZ46" s="1642"/>
      <c r="EA46" s="1642"/>
      <c r="EB46" s="1642"/>
      <c r="EC46" s="1642"/>
      <c r="ED46" s="1642"/>
      <c r="EE46" s="1642"/>
      <c r="EF46" s="1642"/>
      <c r="EG46" s="1642"/>
      <c r="EH46" s="1643"/>
      <c r="EI46" s="1658"/>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0"/>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0"/>
      <c r="HO46" s="30"/>
      <c r="HP46" s="30"/>
      <c r="HQ46" s="30"/>
      <c r="HR46" s="30"/>
      <c r="HS46" s="30"/>
      <c r="HT46" s="30"/>
      <c r="HU46" s="30"/>
      <c r="HV46" s="30"/>
      <c r="HW46" s="30"/>
      <c r="HX46" s="30"/>
      <c r="HY46" s="30"/>
      <c r="HZ46" s="30"/>
      <c r="IA46" s="30"/>
      <c r="IB46" s="30"/>
      <c r="IC46" s="30"/>
      <c r="ID46" s="30"/>
      <c r="IE46" s="30"/>
      <c r="IF46" s="30"/>
      <c r="IG46" s="30"/>
      <c r="IH46" s="30"/>
      <c r="II46" s="30"/>
      <c r="IJ46" s="30"/>
      <c r="IK46" s="30"/>
      <c r="IL46" s="30"/>
      <c r="IM46" s="30"/>
      <c r="IN46" s="30"/>
      <c r="IO46" s="30"/>
      <c r="IP46" s="30"/>
      <c r="IQ46" s="30"/>
      <c r="IR46" s="30"/>
      <c r="IS46" s="30"/>
      <c r="IT46" s="30"/>
      <c r="IU46" s="30"/>
      <c r="IV46" s="30"/>
      <c r="IW46" s="30"/>
      <c r="IX46" s="30"/>
      <c r="IY46" s="30"/>
      <c r="IZ46" s="30"/>
      <c r="JA46" s="30"/>
      <c r="JB46" s="30"/>
      <c r="JC46" s="30"/>
      <c r="JD46" s="30"/>
      <c r="JE46" s="30"/>
      <c r="JF46" s="30"/>
      <c r="JG46" s="30"/>
      <c r="JH46" s="30"/>
      <c r="JI46" s="30"/>
      <c r="JJ46" s="30"/>
      <c r="JK46" s="30"/>
      <c r="JL46" s="30"/>
      <c r="JM46" s="30"/>
      <c r="JN46" s="30"/>
      <c r="JO46" s="30"/>
      <c r="JP46" s="30"/>
      <c r="JQ46" s="30"/>
      <c r="JR46" s="30"/>
      <c r="JS46" s="30"/>
      <c r="JT46" s="30"/>
      <c r="JU46" s="30"/>
      <c r="JV46" s="30"/>
      <c r="JW46" s="30"/>
      <c r="JX46" s="30"/>
      <c r="JY46" s="30"/>
      <c r="JZ46" s="30"/>
      <c r="KA46" s="30"/>
      <c r="KB46" s="30"/>
      <c r="KC46" s="30"/>
      <c r="KD46" s="30"/>
      <c r="KE46" s="30"/>
      <c r="KF46" s="30"/>
      <c r="KG46" s="30"/>
      <c r="KH46" s="30"/>
      <c r="KI46" s="30"/>
      <c r="KJ46" s="30"/>
      <c r="KK46" s="30"/>
      <c r="KL46" s="30"/>
      <c r="KM46" s="30"/>
      <c r="KN46" s="30"/>
      <c r="KO46" s="30"/>
      <c r="KP46" s="1630"/>
    </row>
    <row r="47" spans="1:302" s="97" customFormat="1" ht="18.75" customHeight="1" outlineLevel="1">
      <c r="A47" s="2656" t="s">
        <v>754</v>
      </c>
      <c r="B47" s="1689"/>
      <c r="C47" s="252" t="s">
        <v>1428</v>
      </c>
      <c r="D47" s="1689" t="s">
        <v>610</v>
      </c>
      <c r="E47" s="252"/>
      <c r="F47" s="370"/>
      <c r="G47" s="371"/>
      <c r="H47" s="350" t="s">
        <v>26</v>
      </c>
      <c r="I47" s="2936"/>
      <c r="J47" s="362" t="s">
        <v>26</v>
      </c>
      <c r="K47" s="355"/>
      <c r="L47" s="358"/>
      <c r="M47" s="358"/>
      <c r="N47" s="358"/>
      <c r="O47" s="1510">
        <v>313419</v>
      </c>
      <c r="P47" s="358"/>
      <c r="Q47" s="358"/>
      <c r="R47" s="358"/>
      <c r="S47" s="1510">
        <f t="shared" si="81"/>
        <v>0</v>
      </c>
      <c r="T47" s="389"/>
      <c r="U47" s="1746"/>
      <c r="V47" s="1746"/>
      <c r="W47" s="1744">
        <f t="shared" si="82"/>
        <v>313419</v>
      </c>
      <c r="X47" s="359" t="s">
        <v>26</v>
      </c>
      <c r="Y47" s="389"/>
      <c r="Z47" s="1746"/>
      <c r="AA47" s="1746"/>
      <c r="AB47" s="2722">
        <f t="shared" si="85"/>
        <v>313419</v>
      </c>
      <c r="AC47" s="1680"/>
      <c r="AD47" s="1681"/>
      <c r="AE47" s="1687"/>
      <c r="AF47" s="354"/>
      <c r="AG47" s="354">
        <v>1</v>
      </c>
      <c r="AH47" s="354">
        <f t="shared" si="83"/>
        <v>0</v>
      </c>
      <c r="AI47" s="355">
        <f>SUMIF($AM$10:$BZ$10,$AI$9,AM47:BZ47)</f>
        <v>0</v>
      </c>
      <c r="AJ47" s="356">
        <f t="shared" si="1"/>
        <v>0</v>
      </c>
      <c r="AK47" s="2185"/>
      <c r="AL47" s="260"/>
      <c r="AM47" s="2258"/>
      <c r="AN47" s="2258"/>
      <c r="AO47" s="359"/>
      <c r="AP47" s="1505"/>
      <c r="AQ47" s="1505"/>
      <c r="AR47" s="1505"/>
      <c r="AS47" s="359"/>
      <c r="AT47" s="1987"/>
      <c r="AU47" s="359"/>
      <c r="AV47" s="359"/>
      <c r="AW47" s="359"/>
      <c r="AX47" s="377"/>
      <c r="AY47" s="390"/>
      <c r="AZ47" s="2258"/>
      <c r="BA47" s="359"/>
      <c r="BB47" s="359"/>
      <c r="BC47" s="359"/>
      <c r="BD47" s="359"/>
      <c r="BE47" s="359"/>
      <c r="BF47" s="359"/>
      <c r="BG47" s="359"/>
      <c r="BH47" s="359"/>
      <c r="BI47" s="380"/>
      <c r="BJ47" s="359"/>
      <c r="BK47" s="2122"/>
      <c r="BL47" s="380"/>
      <c r="BM47" s="380"/>
      <c r="BN47" s="380"/>
      <c r="BO47" s="380"/>
      <c r="BP47" s="380"/>
      <c r="BQ47" s="2087"/>
      <c r="BR47" s="359"/>
      <c r="BS47" s="359"/>
      <c r="BT47" s="359"/>
      <c r="BU47" s="364"/>
      <c r="BV47" s="364"/>
      <c r="BW47" s="2366"/>
      <c r="BX47" s="2463">
        <v>313419</v>
      </c>
      <c r="BY47" s="2543"/>
      <c r="BZ47" s="2543"/>
      <c r="CA47" s="2591">
        <f t="shared" si="75"/>
        <v>313419</v>
      </c>
      <c r="CB47" s="2377">
        <f t="shared" si="76"/>
        <v>1</v>
      </c>
      <c r="CC47" s="365">
        <f t="shared" si="77"/>
        <v>3.1906170334280945E-6</v>
      </c>
      <c r="CD47" s="366"/>
      <c r="CE47" s="343"/>
      <c r="CF47" s="343"/>
      <c r="CG47" s="340"/>
      <c r="CH47" s="367"/>
      <c r="CI47" s="368"/>
      <c r="CJ47" s="368"/>
      <c r="CK47" s="369"/>
      <c r="CL47" s="329">
        <f t="shared" si="12"/>
        <v>0</v>
      </c>
      <c r="CM47" s="330">
        <f t="shared" si="13"/>
        <v>0</v>
      </c>
      <c r="CN47" s="331">
        <f t="shared" si="14"/>
        <v>-313419</v>
      </c>
      <c r="CO47" s="86"/>
      <c r="CP47" s="86"/>
      <c r="CQ47" s="1641"/>
      <c r="CR47" s="86"/>
      <c r="CS47" s="86"/>
      <c r="CT47" s="86"/>
      <c r="CU47" s="86"/>
      <c r="CV47" s="86"/>
      <c r="CW47" s="86"/>
      <c r="CX47" s="86"/>
      <c r="CY47" s="86"/>
      <c r="CZ47" s="86"/>
      <c r="DA47" s="86"/>
      <c r="DB47" s="1642"/>
      <c r="DC47" s="1642"/>
      <c r="DD47" s="30"/>
      <c r="DE47" s="30"/>
      <c r="DF47" s="30"/>
      <c r="DG47" s="1642"/>
      <c r="DH47" s="1642"/>
      <c r="DI47" s="1642"/>
      <c r="DJ47" s="1642"/>
      <c r="DK47" s="1642"/>
      <c r="DL47" s="1642"/>
      <c r="DM47" s="1642"/>
      <c r="DN47" s="1642"/>
      <c r="DO47" s="1642"/>
      <c r="DP47" s="1642"/>
      <c r="DQ47" s="1642"/>
      <c r="DR47" s="1642"/>
      <c r="DS47" s="1642"/>
      <c r="DT47" s="1642"/>
      <c r="DU47" s="1642"/>
      <c r="DV47" s="1642"/>
      <c r="DW47" s="1642"/>
      <c r="DX47" s="1642"/>
      <c r="DY47" s="1642"/>
      <c r="DZ47" s="1642"/>
      <c r="EA47" s="1642"/>
      <c r="EB47" s="1642"/>
      <c r="EC47" s="1642"/>
      <c r="ED47" s="1642"/>
      <c r="EE47" s="1642"/>
      <c r="EF47" s="1642"/>
      <c r="EG47" s="1642"/>
      <c r="EH47" s="1643"/>
      <c r="EI47" s="1658"/>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0"/>
      <c r="GJ47" s="30"/>
      <c r="GK47" s="30"/>
      <c r="GL47" s="30"/>
      <c r="GM47" s="30"/>
      <c r="GN47" s="30"/>
      <c r="GO47" s="30"/>
      <c r="GP47" s="30"/>
      <c r="GQ47" s="30"/>
      <c r="GR47" s="30"/>
      <c r="GS47" s="30"/>
      <c r="GT47" s="30"/>
      <c r="GU47" s="30"/>
      <c r="GV47" s="30"/>
      <c r="GW47" s="30"/>
      <c r="GX47" s="30"/>
      <c r="GY47" s="30"/>
      <c r="GZ47" s="30"/>
      <c r="HA47" s="30"/>
      <c r="HB47" s="30"/>
      <c r="HC47" s="30"/>
      <c r="HD47" s="30"/>
      <c r="HE47" s="30"/>
      <c r="HF47" s="30"/>
      <c r="HG47" s="30"/>
      <c r="HH47" s="30"/>
      <c r="HI47" s="30"/>
      <c r="HJ47" s="30"/>
      <c r="HK47" s="30"/>
      <c r="HL47" s="30"/>
      <c r="HM47" s="30"/>
      <c r="HN47" s="30"/>
      <c r="HO47" s="30"/>
      <c r="HP47" s="30"/>
      <c r="HQ47" s="30"/>
      <c r="HR47" s="30"/>
      <c r="HS47" s="30"/>
      <c r="HT47" s="30"/>
      <c r="HU47" s="30"/>
      <c r="HV47" s="30"/>
      <c r="HW47" s="30"/>
      <c r="HX47" s="30"/>
      <c r="HY47" s="30"/>
      <c r="HZ47" s="30"/>
      <c r="IA47" s="30"/>
      <c r="IB47" s="30"/>
      <c r="IC47" s="30"/>
      <c r="ID47" s="30"/>
      <c r="IE47" s="30"/>
      <c r="IF47" s="30"/>
      <c r="IG47" s="30"/>
      <c r="IH47" s="30"/>
      <c r="II47" s="30"/>
      <c r="IJ47" s="30"/>
      <c r="IK47" s="30"/>
      <c r="IL47" s="30"/>
      <c r="IM47" s="30"/>
      <c r="IN47" s="30"/>
      <c r="IO47" s="30"/>
      <c r="IP47" s="30"/>
      <c r="IQ47" s="30"/>
      <c r="IR47" s="30"/>
      <c r="IS47" s="30"/>
      <c r="IT47" s="30"/>
      <c r="IU47" s="30"/>
      <c r="IV47" s="30"/>
      <c r="IW47" s="30"/>
      <c r="IX47" s="30"/>
      <c r="IY47" s="30"/>
      <c r="IZ47" s="30"/>
      <c r="JA47" s="30"/>
      <c r="JB47" s="30"/>
      <c r="JC47" s="30"/>
      <c r="JD47" s="30"/>
      <c r="JE47" s="30"/>
      <c r="JF47" s="30"/>
      <c r="JG47" s="30"/>
      <c r="JH47" s="30"/>
      <c r="JI47" s="30"/>
      <c r="JJ47" s="30"/>
      <c r="JK47" s="30"/>
      <c r="JL47" s="30"/>
      <c r="JM47" s="30"/>
      <c r="JN47" s="30"/>
      <c r="JO47" s="30"/>
      <c r="JP47" s="30"/>
      <c r="JQ47" s="30"/>
      <c r="JR47" s="30"/>
      <c r="JS47" s="30"/>
      <c r="JT47" s="30"/>
      <c r="JU47" s="30"/>
      <c r="JV47" s="30"/>
      <c r="JW47" s="30"/>
      <c r="JX47" s="30"/>
      <c r="JY47" s="30"/>
      <c r="JZ47" s="30"/>
      <c r="KA47" s="30"/>
      <c r="KB47" s="30"/>
      <c r="KC47" s="30"/>
      <c r="KD47" s="30"/>
      <c r="KE47" s="30"/>
      <c r="KF47" s="30"/>
      <c r="KG47" s="30"/>
      <c r="KH47" s="30"/>
      <c r="KI47" s="30"/>
      <c r="KJ47" s="30"/>
      <c r="KK47" s="30"/>
      <c r="KL47" s="30"/>
      <c r="KM47" s="30"/>
      <c r="KN47" s="30"/>
      <c r="KO47" s="30"/>
      <c r="KP47" s="1630"/>
    </row>
    <row r="48" spans="1:302" s="97" customFormat="1" ht="25.25" customHeight="1">
      <c r="A48" s="2657" t="s">
        <v>124</v>
      </c>
      <c r="B48" s="2602"/>
      <c r="C48" s="2588" t="s">
        <v>611</v>
      </c>
      <c r="D48" s="2588" t="s">
        <v>612</v>
      </c>
      <c r="E48" s="2586"/>
      <c r="F48" s="2586"/>
      <c r="G48" s="2586"/>
      <c r="H48" s="2586" t="s">
        <v>26</v>
      </c>
      <c r="I48" s="2936"/>
      <c r="J48" s="2586" t="s">
        <v>26</v>
      </c>
      <c r="K48" s="2586"/>
      <c r="L48" s="2586"/>
      <c r="M48" s="2586"/>
      <c r="N48" s="2586"/>
      <c r="O48" s="2591">
        <v>437599</v>
      </c>
      <c r="P48" s="2591"/>
      <c r="Q48" s="2591"/>
      <c r="R48" s="2591"/>
      <c r="S48" s="2591">
        <f t="shared" si="81"/>
        <v>0</v>
      </c>
      <c r="T48" s="2591"/>
      <c r="U48" s="2591"/>
      <c r="V48" s="2591"/>
      <c r="W48" s="2591">
        <f t="shared" si="82"/>
        <v>437599</v>
      </c>
      <c r="X48" s="2591" t="s">
        <v>26</v>
      </c>
      <c r="Y48" s="2591"/>
      <c r="Z48" s="2591"/>
      <c r="AA48" s="2591"/>
      <c r="AB48" s="2591">
        <f>SUM(AM48:BZ48)</f>
        <v>437598.99714285712</v>
      </c>
      <c r="AC48" s="2586"/>
      <c r="AD48" s="2586"/>
      <c r="AE48" s="2586"/>
      <c r="AF48" s="2586"/>
      <c r="AG48" s="2586"/>
      <c r="AH48" s="2586">
        <f t="shared" si="83"/>
        <v>0</v>
      </c>
      <c r="AI48" s="2586">
        <f t="shared" si="84"/>
        <v>0</v>
      </c>
      <c r="AJ48" s="2586">
        <f t="shared" si="1"/>
        <v>0</v>
      </c>
      <c r="AK48" s="2586"/>
      <c r="AL48" s="2592"/>
      <c r="AM48" s="2594"/>
      <c r="AN48" s="2593"/>
      <c r="AO48" s="2591"/>
      <c r="AP48" s="2591">
        <v>62514.142857142855</v>
      </c>
      <c r="AQ48" s="2591">
        <v>62514.142857142855</v>
      </c>
      <c r="AR48" s="2591">
        <v>62514.142857142855</v>
      </c>
      <c r="AS48" s="2591">
        <v>62514.142857142855</v>
      </c>
      <c r="AT48" s="2591">
        <v>62514.142857142855</v>
      </c>
      <c r="AU48" s="2586">
        <v>62514.14</v>
      </c>
      <c r="AV48" s="2586"/>
      <c r="AW48" s="2586">
        <v>62514.142857142855</v>
      </c>
      <c r="AX48" s="2586"/>
      <c r="AY48" s="2586"/>
      <c r="AZ48" s="2586"/>
      <c r="BA48" s="2586"/>
      <c r="BB48" s="2586"/>
      <c r="BC48" s="2586"/>
      <c r="BD48" s="2586"/>
      <c r="BE48" s="2586"/>
      <c r="BF48" s="2586"/>
      <c r="BG48" s="2586"/>
      <c r="BH48" s="2586"/>
      <c r="BI48" s="2586"/>
      <c r="BJ48" s="2586"/>
      <c r="BK48" s="2586"/>
      <c r="BL48" s="2586"/>
      <c r="BM48" s="2586"/>
      <c r="BN48" s="2586"/>
      <c r="BO48" s="2586"/>
      <c r="BP48" s="2586"/>
      <c r="BQ48" s="2586"/>
      <c r="BR48" s="2586"/>
      <c r="BS48" s="2586"/>
      <c r="BT48" s="2586"/>
      <c r="BU48" s="2586"/>
      <c r="BV48" s="2586"/>
      <c r="BW48" s="2586"/>
      <c r="BX48" s="2586"/>
      <c r="BY48" s="2586"/>
      <c r="BZ48" s="2586"/>
      <c r="CA48" s="2591">
        <f t="shared" si="75"/>
        <v>437598.99714285712</v>
      </c>
      <c r="CB48" s="2377">
        <f t="shared" si="76"/>
        <v>1</v>
      </c>
      <c r="CC48" s="365">
        <f t="shared" si="77"/>
        <v>2.2851971931588848E-6</v>
      </c>
      <c r="CD48" s="366"/>
      <c r="CE48" s="343"/>
      <c r="CF48" s="343"/>
      <c r="CG48" s="340"/>
      <c r="CH48" s="367"/>
      <c r="CI48" s="368"/>
      <c r="CJ48" s="368"/>
      <c r="CK48" s="369"/>
      <c r="CL48" s="329">
        <f t="shared" si="12"/>
        <v>2.8571428847499192E-3</v>
      </c>
      <c r="CM48" s="330">
        <f t="shared" si="13"/>
        <v>0</v>
      </c>
      <c r="CN48" s="331">
        <f t="shared" si="14"/>
        <v>0</v>
      </c>
      <c r="CO48" s="86"/>
      <c r="CP48" s="86"/>
      <c r="CQ48" s="1641"/>
      <c r="CR48" s="86"/>
      <c r="CS48" s="86"/>
      <c r="CT48" s="86"/>
      <c r="CU48" s="86"/>
      <c r="CV48" s="86"/>
      <c r="CW48" s="86"/>
      <c r="CX48" s="86"/>
      <c r="CY48" s="86"/>
      <c r="CZ48" s="86"/>
      <c r="DA48" s="86"/>
      <c r="DB48" s="1642"/>
      <c r="DC48" s="1642"/>
      <c r="DD48" s="30"/>
      <c r="DE48" s="30"/>
      <c r="DF48" s="30"/>
      <c r="DG48" s="1642"/>
      <c r="DH48" s="1642"/>
      <c r="DI48" s="1642"/>
      <c r="DJ48" s="1642"/>
      <c r="DK48" s="1642"/>
      <c r="DL48" s="1642"/>
      <c r="DM48" s="1642"/>
      <c r="DN48" s="1642"/>
      <c r="DO48" s="1642"/>
      <c r="DP48" s="1642"/>
      <c r="DQ48" s="1642"/>
      <c r="DR48" s="1642"/>
      <c r="DS48" s="1642"/>
      <c r="DT48" s="1642"/>
      <c r="DU48" s="1642"/>
      <c r="DV48" s="1642"/>
      <c r="DW48" s="1642"/>
      <c r="DX48" s="1642"/>
      <c r="DY48" s="1642"/>
      <c r="DZ48" s="1642"/>
      <c r="EA48" s="1642"/>
      <c r="EB48" s="1642"/>
      <c r="EC48" s="1642"/>
      <c r="ED48" s="1642"/>
      <c r="EE48" s="1642"/>
      <c r="EF48" s="1642"/>
      <c r="EG48" s="1642"/>
      <c r="EH48" s="1643"/>
      <c r="EI48" s="1658"/>
      <c r="EJ48" s="30"/>
      <c r="EK48" s="30"/>
      <c r="EL48" s="30"/>
      <c r="EM48" s="30"/>
      <c r="EN48" s="30"/>
      <c r="EO48" s="30"/>
      <c r="EP48" s="30"/>
      <c r="EQ48" s="30"/>
      <c r="ER48" s="30"/>
      <c r="ES48" s="30"/>
      <c r="ET48" s="30"/>
      <c r="EU48" s="30"/>
      <c r="EV48" s="30"/>
      <c r="EW48" s="30"/>
      <c r="EX48" s="30"/>
      <c r="EY48" s="30"/>
      <c r="EZ48" s="30"/>
      <c r="FA48" s="30"/>
      <c r="FB48" s="30"/>
      <c r="FC48" s="30"/>
      <c r="FD48" s="30"/>
      <c r="FE48" s="30"/>
      <c r="FF48" s="30"/>
      <c r="FG48" s="30"/>
      <c r="FH48" s="30"/>
      <c r="FI48" s="30"/>
      <c r="FJ48" s="30"/>
      <c r="FK48" s="30"/>
      <c r="FL48" s="30"/>
      <c r="FM48" s="30"/>
      <c r="FN48" s="30"/>
      <c r="FO48" s="30"/>
      <c r="FP48" s="30"/>
      <c r="FQ48" s="30"/>
      <c r="FR48" s="30"/>
      <c r="FS48" s="30"/>
      <c r="FT48" s="30"/>
      <c r="FU48" s="30"/>
      <c r="FV48" s="30"/>
      <c r="FW48" s="30"/>
      <c r="FX48" s="30"/>
      <c r="FY48" s="30"/>
      <c r="FZ48" s="30"/>
      <c r="GA48" s="30"/>
      <c r="GB48" s="30"/>
      <c r="GC48" s="30"/>
      <c r="GD48" s="30"/>
      <c r="GE48" s="30"/>
      <c r="GF48" s="30"/>
      <c r="GG48" s="30"/>
      <c r="GH48" s="30"/>
      <c r="GI48" s="30"/>
      <c r="GJ48" s="30"/>
      <c r="GK48" s="30"/>
      <c r="GL48" s="30"/>
      <c r="GM48" s="30"/>
      <c r="GN48" s="30"/>
      <c r="GO48" s="30"/>
      <c r="GP48" s="30"/>
      <c r="GQ48" s="30"/>
      <c r="GR48" s="30"/>
      <c r="GS48" s="30"/>
      <c r="GT48" s="30"/>
      <c r="GU48" s="30"/>
      <c r="GV48" s="30"/>
      <c r="GW48" s="30"/>
      <c r="GX48" s="30"/>
      <c r="GY48" s="30"/>
      <c r="GZ48" s="30"/>
      <c r="HA48" s="30"/>
      <c r="HB48" s="30"/>
      <c r="HC48" s="30"/>
      <c r="HD48" s="30"/>
      <c r="HE48" s="30"/>
      <c r="HF48" s="30"/>
      <c r="HG48" s="30"/>
      <c r="HH48" s="30"/>
      <c r="HI48" s="30"/>
      <c r="HJ48" s="30"/>
      <c r="HK48" s="30"/>
      <c r="HL48" s="30"/>
      <c r="HM48" s="30"/>
      <c r="HN48" s="30"/>
      <c r="HO48" s="30"/>
      <c r="HP48" s="30"/>
      <c r="HQ48" s="30"/>
      <c r="HR48" s="30"/>
      <c r="HS48" s="30"/>
      <c r="HT48" s="30"/>
      <c r="HU48" s="30"/>
      <c r="HV48" s="30"/>
      <c r="HW48" s="30"/>
      <c r="HX48" s="30"/>
      <c r="HY48" s="30"/>
      <c r="HZ48" s="30"/>
      <c r="IA48" s="30"/>
      <c r="IB48" s="30"/>
      <c r="IC48" s="30"/>
      <c r="ID48" s="30"/>
      <c r="IE48" s="30"/>
      <c r="IF48" s="30"/>
      <c r="IG48" s="30"/>
      <c r="IH48" s="30"/>
      <c r="II48" s="30"/>
      <c r="IJ48" s="30"/>
      <c r="IK48" s="30"/>
      <c r="IL48" s="30"/>
      <c r="IM48" s="30"/>
      <c r="IN48" s="30"/>
      <c r="IO48" s="30"/>
      <c r="IP48" s="30"/>
      <c r="IQ48" s="30"/>
      <c r="IR48" s="30"/>
      <c r="IS48" s="30"/>
      <c r="IT48" s="30"/>
      <c r="IU48" s="30"/>
      <c r="IV48" s="30"/>
      <c r="IW48" s="30"/>
      <c r="IX48" s="30"/>
      <c r="IY48" s="30"/>
      <c r="IZ48" s="30"/>
      <c r="JA48" s="30"/>
      <c r="JB48" s="30"/>
      <c r="JC48" s="30"/>
      <c r="JD48" s="30"/>
      <c r="JE48" s="30"/>
      <c r="JF48" s="30"/>
      <c r="JG48" s="30"/>
      <c r="JH48" s="30"/>
      <c r="JI48" s="30"/>
      <c r="JJ48" s="30"/>
      <c r="JK48" s="30"/>
      <c r="JL48" s="30"/>
      <c r="JM48" s="30"/>
      <c r="JN48" s="30"/>
      <c r="JO48" s="30"/>
      <c r="JP48" s="30"/>
      <c r="JQ48" s="30"/>
      <c r="JR48" s="30"/>
      <c r="JS48" s="30"/>
      <c r="JT48" s="30"/>
      <c r="JU48" s="30"/>
      <c r="JV48" s="30"/>
      <c r="JW48" s="30"/>
      <c r="JX48" s="30"/>
      <c r="JY48" s="30"/>
      <c r="JZ48" s="30"/>
      <c r="KA48" s="30"/>
      <c r="KB48" s="30"/>
      <c r="KC48" s="30"/>
      <c r="KD48" s="30"/>
      <c r="KE48" s="30"/>
      <c r="KF48" s="30"/>
      <c r="KG48" s="30"/>
      <c r="KH48" s="30"/>
      <c r="KI48" s="30"/>
      <c r="KJ48" s="30"/>
      <c r="KK48" s="30"/>
      <c r="KL48" s="30"/>
      <c r="KM48" s="30"/>
      <c r="KN48" s="30"/>
      <c r="KO48" s="30"/>
      <c r="KP48" s="1630"/>
    </row>
    <row r="49" spans="1:302" s="97" customFormat="1" ht="22.5" customHeight="1" outlineLevel="1">
      <c r="A49" s="1994" t="s">
        <v>755</v>
      </c>
      <c r="B49" s="1690"/>
      <c r="C49" s="255"/>
      <c r="D49" s="1690"/>
      <c r="E49" s="261"/>
      <c r="F49" s="370"/>
      <c r="G49" s="371"/>
      <c r="H49" s="350" t="s">
        <v>26</v>
      </c>
      <c r="I49" s="2936"/>
      <c r="J49" s="362" t="s">
        <v>26</v>
      </c>
      <c r="K49" s="355"/>
      <c r="L49" s="358"/>
      <c r="M49" s="358"/>
      <c r="N49" s="358"/>
      <c r="O49" s="1510"/>
      <c r="P49" s="358"/>
      <c r="Q49" s="358"/>
      <c r="R49" s="358"/>
      <c r="S49" s="1510">
        <f t="shared" si="81"/>
        <v>0</v>
      </c>
      <c r="T49" s="389"/>
      <c r="U49" s="1746"/>
      <c r="V49" s="1746"/>
      <c r="W49" s="1744">
        <f t="shared" si="82"/>
        <v>0</v>
      </c>
      <c r="X49" s="359" t="s">
        <v>26</v>
      </c>
      <c r="Y49" s="389"/>
      <c r="Z49" s="1746"/>
      <c r="AA49" s="1746"/>
      <c r="AB49" s="1510">
        <f>SUM(AM49:BZ49)</f>
        <v>0</v>
      </c>
      <c r="AC49" s="1444"/>
      <c r="AD49" s="1681"/>
      <c r="AE49" s="1687"/>
      <c r="AF49" s="354"/>
      <c r="AG49" s="354"/>
      <c r="AH49" s="354">
        <f t="shared" si="83"/>
        <v>0</v>
      </c>
      <c r="AI49" s="355">
        <f ca="1">SUMIF($AM$10:$BZ$10,$AI$9,AM49:BT49)</f>
        <v>0</v>
      </c>
      <c r="AJ49" s="356" t="str">
        <f t="shared" si="1"/>
        <v/>
      </c>
      <c r="AK49" s="2185"/>
      <c r="AL49" s="260"/>
      <c r="AM49" s="2258"/>
      <c r="AN49" s="2258"/>
      <c r="AO49" s="1505"/>
      <c r="AP49" s="1505"/>
      <c r="AQ49" s="1505"/>
      <c r="AR49" s="1505"/>
      <c r="AS49" s="1505"/>
      <c r="AT49" s="360"/>
      <c r="AU49" s="377"/>
      <c r="AV49" s="377"/>
      <c r="AW49" s="359"/>
      <c r="AX49" s="377"/>
      <c r="AY49" s="1985"/>
      <c r="AZ49" s="2258"/>
      <c r="BA49" s="359"/>
      <c r="BB49" s="359"/>
      <c r="BC49" s="359"/>
      <c r="BD49" s="359"/>
      <c r="BE49" s="359"/>
      <c r="BF49" s="359"/>
      <c r="BG49" s="359"/>
      <c r="BH49" s="359"/>
      <c r="BI49" s="380"/>
      <c r="BJ49" s="359"/>
      <c r="BK49" s="2122"/>
      <c r="BL49" s="380"/>
      <c r="BM49" s="380"/>
      <c r="BN49" s="380"/>
      <c r="BO49" s="380"/>
      <c r="BP49" s="380"/>
      <c r="BQ49" s="2087"/>
      <c r="BR49" s="359"/>
      <c r="BS49" s="359"/>
      <c r="BT49" s="359"/>
      <c r="BU49" s="364"/>
      <c r="BV49" s="364"/>
      <c r="BW49" s="2366"/>
      <c r="BX49" s="2463"/>
      <c r="BY49" s="2543"/>
      <c r="BZ49" s="2543"/>
      <c r="CA49" s="2591">
        <f t="shared" ref="CA49:CA57" si="86">SUMIF($AM$10:$BZ$10,$CA$9,AM49:BZ49)</f>
        <v>0</v>
      </c>
      <c r="CB49" s="2377" t="str">
        <f t="shared" ref="CB49:CB57" si="87">IF($AB49&lt;&gt;0,CA49/$AB49,"")</f>
        <v/>
      </c>
      <c r="CC49" s="365" t="str">
        <f t="shared" ref="CC49:CC57" si="88">IF($AB49&lt;&gt;0,CB49/$AB49,"")</f>
        <v/>
      </c>
      <c r="CD49" s="366"/>
      <c r="CE49" s="343"/>
      <c r="CF49" s="343"/>
      <c r="CG49" s="340"/>
      <c r="CH49" s="367"/>
      <c r="CI49" s="368"/>
      <c r="CJ49" s="368"/>
      <c r="CK49" s="369"/>
      <c r="CL49" s="329">
        <f t="shared" si="12"/>
        <v>0</v>
      </c>
      <c r="CM49" s="330">
        <f t="shared" ca="1" si="13"/>
        <v>0</v>
      </c>
      <c r="CN49" s="331">
        <f t="shared" ca="1" si="14"/>
        <v>0</v>
      </c>
      <c r="CO49" s="86"/>
      <c r="CP49" s="86"/>
      <c r="CQ49" s="1641"/>
      <c r="CR49" s="86"/>
      <c r="CS49" s="86"/>
      <c r="CT49" s="86"/>
      <c r="CU49" s="86"/>
      <c r="CV49" s="86"/>
      <c r="CW49" s="86"/>
      <c r="CX49" s="86"/>
      <c r="CY49" s="86"/>
      <c r="CZ49" s="86"/>
      <c r="DA49" s="86"/>
      <c r="DB49" s="1642"/>
      <c r="DC49" s="1642"/>
      <c r="DD49" s="30"/>
      <c r="DE49" s="30"/>
      <c r="DF49" s="30"/>
      <c r="DG49" s="1642"/>
      <c r="DH49" s="1642"/>
      <c r="DI49" s="1642"/>
      <c r="DJ49" s="1642"/>
      <c r="DK49" s="1642"/>
      <c r="DL49" s="1642"/>
      <c r="DM49" s="1642"/>
      <c r="DN49" s="1642"/>
      <c r="DO49" s="1642"/>
      <c r="DP49" s="1642"/>
      <c r="DQ49" s="1642"/>
      <c r="DR49" s="1642"/>
      <c r="DS49" s="1642"/>
      <c r="DT49" s="1642"/>
      <c r="DU49" s="1642"/>
      <c r="DV49" s="1642"/>
      <c r="DW49" s="1642"/>
      <c r="DX49" s="1642"/>
      <c r="DY49" s="1642"/>
      <c r="DZ49" s="1642"/>
      <c r="EA49" s="1642"/>
      <c r="EB49" s="1642"/>
      <c r="EC49" s="1642"/>
      <c r="ED49" s="1642"/>
      <c r="EE49" s="1642"/>
      <c r="EF49" s="1642"/>
      <c r="EG49" s="1642"/>
      <c r="EH49" s="1643"/>
      <c r="EI49" s="1658"/>
      <c r="EJ49" s="30"/>
      <c r="EK49" s="30"/>
      <c r="EL49" s="30"/>
      <c r="EM49" s="30"/>
      <c r="EN49" s="30"/>
      <c r="EO49" s="30"/>
      <c r="EP49" s="30"/>
      <c r="EQ49" s="30"/>
      <c r="ER49" s="30"/>
      <c r="ES49" s="30"/>
      <c r="ET49" s="30"/>
      <c r="EU49" s="30"/>
      <c r="EV49" s="30"/>
      <c r="EW49" s="30"/>
      <c r="EX49" s="30"/>
      <c r="EY49" s="30"/>
      <c r="EZ49" s="30"/>
      <c r="FA49" s="30"/>
      <c r="FB49" s="30"/>
      <c r="FC49" s="30"/>
      <c r="FD49" s="30"/>
      <c r="FE49" s="30"/>
      <c r="FF49" s="30"/>
      <c r="FG49" s="30"/>
      <c r="FH49" s="30"/>
      <c r="FI49" s="30"/>
      <c r="FJ49" s="30"/>
      <c r="FK49" s="30"/>
      <c r="FL49" s="30"/>
      <c r="FM49" s="30"/>
      <c r="FN49" s="30"/>
      <c r="FO49" s="30"/>
      <c r="FP49" s="30"/>
      <c r="FQ49" s="30"/>
      <c r="FR49" s="30"/>
      <c r="FS49" s="30"/>
      <c r="FT49" s="30"/>
      <c r="FU49" s="30"/>
      <c r="FV49" s="30"/>
      <c r="FW49" s="30"/>
      <c r="FX49" s="30"/>
      <c r="FY49" s="30"/>
      <c r="FZ49" s="30"/>
      <c r="GA49" s="30"/>
      <c r="GB49" s="30"/>
      <c r="GC49" s="30"/>
      <c r="GD49" s="30"/>
      <c r="GE49" s="30"/>
      <c r="GF49" s="30"/>
      <c r="GG49" s="30"/>
      <c r="GH49" s="30"/>
      <c r="GI49" s="30"/>
      <c r="GJ49" s="30"/>
      <c r="GK49" s="30"/>
      <c r="GL49" s="30"/>
      <c r="GM49" s="30"/>
      <c r="GN49" s="30"/>
      <c r="GO49" s="30"/>
      <c r="GP49" s="30"/>
      <c r="GQ49" s="30"/>
      <c r="GR49" s="30"/>
      <c r="GS49" s="30"/>
      <c r="GT49" s="30"/>
      <c r="GU49" s="30"/>
      <c r="GV49" s="30"/>
      <c r="GW49" s="30"/>
      <c r="GX49" s="30"/>
      <c r="GY49" s="30"/>
      <c r="GZ49" s="30"/>
      <c r="HA49" s="30"/>
      <c r="HB49" s="30"/>
      <c r="HC49" s="30"/>
      <c r="HD49" s="30"/>
      <c r="HE49" s="30"/>
      <c r="HF49" s="30"/>
      <c r="HG49" s="30"/>
      <c r="HH49" s="30"/>
      <c r="HI49" s="30"/>
      <c r="HJ49" s="30"/>
      <c r="HK49" s="30"/>
      <c r="HL49" s="30"/>
      <c r="HM49" s="30"/>
      <c r="HN49" s="30"/>
      <c r="HO49" s="30"/>
      <c r="HP49" s="30"/>
      <c r="HQ49" s="30"/>
      <c r="HR49" s="30"/>
      <c r="HS49" s="30"/>
      <c r="HT49" s="30"/>
      <c r="HU49" s="30"/>
      <c r="HV49" s="30"/>
      <c r="HW49" s="30"/>
      <c r="HX49" s="30"/>
      <c r="HY49" s="30"/>
      <c r="HZ49" s="30"/>
      <c r="IA49" s="30"/>
      <c r="IB49" s="30"/>
      <c r="IC49" s="30"/>
      <c r="ID49" s="30"/>
      <c r="IE49" s="30"/>
      <c r="IF49" s="30"/>
      <c r="IG49" s="30"/>
      <c r="IH49" s="30"/>
      <c r="II49" s="30"/>
      <c r="IJ49" s="30"/>
      <c r="IK49" s="30"/>
      <c r="IL49" s="30"/>
      <c r="IM49" s="30"/>
      <c r="IN49" s="30"/>
      <c r="IO49" s="30"/>
      <c r="IP49" s="30"/>
      <c r="IQ49" s="30"/>
      <c r="IR49" s="30"/>
      <c r="IS49" s="30"/>
      <c r="IT49" s="30"/>
      <c r="IU49" s="30"/>
      <c r="IV49" s="30"/>
      <c r="IW49" s="30"/>
      <c r="IX49" s="30"/>
      <c r="IY49" s="30"/>
      <c r="IZ49" s="30"/>
      <c r="JA49" s="30"/>
      <c r="JB49" s="30"/>
      <c r="JC49" s="30"/>
      <c r="JD49" s="30"/>
      <c r="JE49" s="30"/>
      <c r="JF49" s="30"/>
      <c r="JG49" s="30"/>
      <c r="JH49" s="30"/>
      <c r="JI49" s="30"/>
      <c r="JJ49" s="30"/>
      <c r="JK49" s="30"/>
      <c r="JL49" s="30"/>
      <c r="JM49" s="30"/>
      <c r="JN49" s="30"/>
      <c r="JO49" s="30"/>
      <c r="JP49" s="30"/>
      <c r="JQ49" s="30"/>
      <c r="JR49" s="30"/>
      <c r="JS49" s="30"/>
      <c r="JT49" s="30"/>
      <c r="JU49" s="30"/>
      <c r="JV49" s="30"/>
      <c r="JW49" s="30"/>
      <c r="JX49" s="30"/>
      <c r="JY49" s="30"/>
      <c r="JZ49" s="30"/>
      <c r="KA49" s="30"/>
      <c r="KB49" s="30"/>
      <c r="KC49" s="30"/>
      <c r="KD49" s="30"/>
      <c r="KE49" s="30"/>
      <c r="KF49" s="30"/>
      <c r="KG49" s="30"/>
      <c r="KH49" s="30"/>
      <c r="KI49" s="30"/>
      <c r="KJ49" s="30"/>
      <c r="KK49" s="30"/>
      <c r="KL49" s="30"/>
      <c r="KM49" s="30"/>
      <c r="KN49" s="30"/>
      <c r="KO49" s="30"/>
      <c r="KP49" s="1630"/>
    </row>
    <row r="50" spans="1:302" s="97" customFormat="1" ht="25.25" customHeight="1">
      <c r="A50" s="2657" t="s">
        <v>125</v>
      </c>
      <c r="B50" s="2602"/>
      <c r="C50" s="2588" t="s">
        <v>613</v>
      </c>
      <c r="D50" s="2588" t="s">
        <v>324</v>
      </c>
      <c r="E50" s="2586"/>
      <c r="F50" s="2586"/>
      <c r="G50" s="2586"/>
      <c r="H50" s="2586" t="s">
        <v>26</v>
      </c>
      <c r="I50" s="2936"/>
      <c r="J50" s="2586" t="s">
        <v>26</v>
      </c>
      <c r="K50" s="2586"/>
      <c r="L50" s="2586"/>
      <c r="M50" s="2586"/>
      <c r="N50" s="2586"/>
      <c r="O50" s="2591">
        <v>1138973</v>
      </c>
      <c r="P50" s="2591"/>
      <c r="Q50" s="2591"/>
      <c r="R50" s="2591"/>
      <c r="S50" s="2591">
        <f t="shared" si="81"/>
        <v>0</v>
      </c>
      <c r="T50" s="2591"/>
      <c r="U50" s="2591"/>
      <c r="V50" s="2591"/>
      <c r="W50" s="2591">
        <f t="shared" si="82"/>
        <v>1138973</v>
      </c>
      <c r="X50" s="2591" t="s">
        <v>26</v>
      </c>
      <c r="Y50" s="2591"/>
      <c r="Z50" s="2591"/>
      <c r="AA50" s="2591"/>
      <c r="AB50" s="2591">
        <f>SUM(AM50:BZ50)</f>
        <v>403973</v>
      </c>
      <c r="AC50" s="2586"/>
      <c r="AD50" s="2586"/>
      <c r="AE50" s="2586"/>
      <c r="AF50" s="2586"/>
      <c r="AG50" s="2586"/>
      <c r="AH50" s="2625">
        <f t="shared" si="83"/>
        <v>0</v>
      </c>
      <c r="AI50" s="2586">
        <f t="shared" si="84"/>
        <v>0</v>
      </c>
      <c r="AJ50" s="2586">
        <f t="shared" si="1"/>
        <v>0</v>
      </c>
      <c r="AK50" s="2586"/>
      <c r="AL50" s="2586"/>
      <c r="AM50" s="2586"/>
      <c r="AN50" s="2586"/>
      <c r="AO50" s="2586"/>
      <c r="AP50" s="2586"/>
      <c r="AQ50" s="2591"/>
      <c r="AR50" s="2591"/>
      <c r="AS50" s="2591"/>
      <c r="AT50" s="2591"/>
      <c r="AU50" s="2591"/>
      <c r="AV50" s="2591"/>
      <c r="AW50" s="2591"/>
      <c r="AX50" s="2591"/>
      <c r="AY50" s="2586"/>
      <c r="AZ50" s="2586"/>
      <c r="BA50" s="2586"/>
      <c r="BB50" s="2586"/>
      <c r="BC50" s="2586"/>
      <c r="BD50" s="2586"/>
      <c r="BE50" s="2586"/>
      <c r="BF50" s="2586"/>
      <c r="BG50" s="2586"/>
      <c r="BH50" s="2586"/>
      <c r="BI50" s="2586"/>
      <c r="BJ50" s="2586"/>
      <c r="BK50" s="2586"/>
      <c r="BL50" s="2586"/>
      <c r="BM50" s="2586"/>
      <c r="BN50" s="2586"/>
      <c r="BO50" s="2586"/>
      <c r="BP50" s="2586"/>
      <c r="BQ50" s="2586"/>
      <c r="BR50" s="2586"/>
      <c r="BS50" s="2586"/>
      <c r="BT50" s="2586"/>
      <c r="BU50" s="2586"/>
      <c r="BV50" s="2586"/>
      <c r="BW50" s="2586">
        <v>403973</v>
      </c>
      <c r="BX50" s="2591"/>
      <c r="BY50" s="2586"/>
      <c r="BZ50" s="2586"/>
      <c r="CA50" s="2591">
        <f t="shared" si="86"/>
        <v>403973</v>
      </c>
      <c r="CB50" s="2377">
        <f t="shared" si="87"/>
        <v>1</v>
      </c>
      <c r="CC50" s="365">
        <f t="shared" si="88"/>
        <v>2.4754129607671798E-6</v>
      </c>
      <c r="CD50" s="341">
        <f t="shared" ref="CD50" si="89">IF($AB50&lt;&gt;0,CC50/$AB50,"")</f>
        <v>6.127669326334136E-12</v>
      </c>
      <c r="CE50" s="342">
        <f t="shared" ref="CE50" si="90">IF($AB50&lt;&gt;0,CD50/$AB50,"")</f>
        <v>1.5168512069703014E-17</v>
      </c>
      <c r="CF50" s="343">
        <f t="shared" ref="CF50" si="91">IF($AB50&lt;&gt;0,CE50/$AB50,"")</f>
        <v>3.7548331372896242E-23</v>
      </c>
      <c r="CG50" s="340"/>
      <c r="CH50" s="344"/>
      <c r="CI50" s="345"/>
      <c r="CJ50" s="345"/>
      <c r="CK50" s="346"/>
      <c r="CL50" s="329">
        <f t="shared" si="12"/>
        <v>735000</v>
      </c>
      <c r="CM50" s="330">
        <f t="shared" si="13"/>
        <v>0</v>
      </c>
      <c r="CN50" s="331">
        <f t="shared" si="14"/>
        <v>-403973</v>
      </c>
      <c r="CO50" s="86"/>
      <c r="CP50" s="86"/>
      <c r="CQ50" s="1641"/>
      <c r="CR50" s="86"/>
      <c r="CS50" s="86"/>
      <c r="CT50" s="86"/>
      <c r="CU50" s="86"/>
      <c r="CV50" s="86"/>
      <c r="CW50" s="86"/>
      <c r="CX50" s="86"/>
      <c r="CY50" s="86"/>
      <c r="CZ50" s="86"/>
      <c r="DA50" s="86"/>
      <c r="DB50" s="1642"/>
      <c r="DC50" s="1642"/>
      <c r="DD50" s="30"/>
      <c r="DE50" s="30"/>
      <c r="DF50" s="30"/>
      <c r="DG50" s="1642"/>
      <c r="DH50" s="1642"/>
      <c r="DI50" s="1642"/>
      <c r="DJ50" s="1642"/>
      <c r="DK50" s="1642"/>
      <c r="DL50" s="1642"/>
      <c r="DM50" s="1642"/>
      <c r="DN50" s="1642"/>
      <c r="DO50" s="1642"/>
      <c r="DP50" s="1642"/>
      <c r="DQ50" s="1642"/>
      <c r="DR50" s="1642"/>
      <c r="DS50" s="1642"/>
      <c r="DT50" s="1642"/>
      <c r="DU50" s="1642"/>
      <c r="DV50" s="1642"/>
      <c r="DW50" s="1642"/>
      <c r="DX50" s="1642"/>
      <c r="DY50" s="1642"/>
      <c r="DZ50" s="1642"/>
      <c r="EA50" s="1642"/>
      <c r="EB50" s="1642"/>
      <c r="EC50" s="1642"/>
      <c r="ED50" s="1642"/>
      <c r="EE50" s="1642"/>
      <c r="EF50" s="1642"/>
      <c r="EG50" s="1642"/>
      <c r="EH50" s="1643"/>
      <c r="EI50" s="1658"/>
      <c r="EJ50" s="30"/>
      <c r="EK50" s="30"/>
      <c r="EL50" s="30"/>
      <c r="EM50" s="30"/>
      <c r="EN50" s="30"/>
      <c r="EO50" s="30"/>
      <c r="EP50" s="30"/>
      <c r="EQ50" s="30"/>
      <c r="ER50" s="30"/>
      <c r="ES50" s="30"/>
      <c r="ET50" s="30"/>
      <c r="EU50" s="30"/>
      <c r="EV50" s="30"/>
      <c r="EW50" s="30"/>
      <c r="EX50" s="30"/>
      <c r="EY50" s="30"/>
      <c r="EZ50" s="30"/>
      <c r="FA50" s="30"/>
      <c r="FB50" s="30"/>
      <c r="FC50" s="30"/>
      <c r="FD50" s="30"/>
      <c r="FE50" s="30"/>
      <c r="FF50" s="30"/>
      <c r="FG50" s="30"/>
      <c r="FH50" s="30"/>
      <c r="FI50" s="30"/>
      <c r="FJ50" s="30"/>
      <c r="FK50" s="30"/>
      <c r="FL50" s="30"/>
      <c r="FM50" s="30"/>
      <c r="FN50" s="30"/>
      <c r="FO50" s="30"/>
      <c r="FP50" s="30"/>
      <c r="FQ50" s="30"/>
      <c r="FR50" s="30"/>
      <c r="FS50" s="30"/>
      <c r="FT50" s="30"/>
      <c r="FU50" s="30"/>
      <c r="FV50" s="30"/>
      <c r="FW50" s="30"/>
      <c r="FX50" s="30"/>
      <c r="FY50" s="30"/>
      <c r="FZ50" s="30"/>
      <c r="GA50" s="30"/>
      <c r="GB50" s="30"/>
      <c r="GC50" s="30"/>
      <c r="GD50" s="30"/>
      <c r="GE50" s="30"/>
      <c r="GF50" s="30"/>
      <c r="GG50" s="30"/>
      <c r="GH50" s="30"/>
      <c r="GI50" s="30"/>
      <c r="GJ50" s="30"/>
      <c r="GK50" s="30"/>
      <c r="GL50" s="30"/>
      <c r="GM50" s="30"/>
      <c r="GN50" s="30"/>
      <c r="GO50" s="30"/>
      <c r="GP50" s="30"/>
      <c r="GQ50" s="30"/>
      <c r="GR50" s="30"/>
      <c r="GS50" s="30"/>
      <c r="GT50" s="30"/>
      <c r="GU50" s="30"/>
      <c r="GV50" s="30"/>
      <c r="GW50" s="30"/>
      <c r="GX50" s="30"/>
      <c r="GY50" s="30"/>
      <c r="GZ50" s="30"/>
      <c r="HA50" s="30"/>
      <c r="HB50" s="30"/>
      <c r="HC50" s="30"/>
      <c r="HD50" s="30"/>
      <c r="HE50" s="30"/>
      <c r="HF50" s="30"/>
      <c r="HG50" s="30"/>
      <c r="HH50" s="30"/>
      <c r="HI50" s="30"/>
      <c r="HJ50" s="30"/>
      <c r="HK50" s="30"/>
      <c r="HL50" s="30"/>
      <c r="HM50" s="30"/>
      <c r="HN50" s="30"/>
      <c r="HO50" s="30"/>
      <c r="HP50" s="30"/>
      <c r="HQ50" s="30"/>
      <c r="HR50" s="30"/>
      <c r="HS50" s="30"/>
      <c r="HT50" s="30"/>
      <c r="HU50" s="30"/>
      <c r="HV50" s="30"/>
      <c r="HW50" s="30"/>
      <c r="HX50" s="30"/>
      <c r="HY50" s="30"/>
      <c r="HZ50" s="30"/>
      <c r="IA50" s="30"/>
      <c r="IB50" s="30"/>
      <c r="IC50" s="30"/>
      <c r="ID50" s="30"/>
      <c r="IE50" s="30"/>
      <c r="IF50" s="30"/>
      <c r="IG50" s="30"/>
      <c r="IH50" s="30"/>
      <c r="II50" s="30"/>
      <c r="IJ50" s="30"/>
      <c r="IK50" s="30"/>
      <c r="IL50" s="30"/>
      <c r="IM50" s="30"/>
      <c r="IN50" s="30"/>
      <c r="IO50" s="30"/>
      <c r="IP50" s="30"/>
      <c r="IQ50" s="30"/>
      <c r="IR50" s="30"/>
      <c r="IS50" s="30"/>
      <c r="IT50" s="30"/>
      <c r="IU50" s="30"/>
      <c r="IV50" s="30"/>
      <c r="IW50" s="30"/>
      <c r="IX50" s="30"/>
      <c r="IY50" s="30"/>
      <c r="IZ50" s="30"/>
      <c r="JA50" s="30"/>
      <c r="JB50" s="30"/>
      <c r="JC50" s="30"/>
      <c r="JD50" s="30"/>
      <c r="JE50" s="30"/>
      <c r="JF50" s="30"/>
      <c r="JG50" s="30"/>
      <c r="JH50" s="30"/>
      <c r="JI50" s="30"/>
      <c r="JJ50" s="30"/>
      <c r="JK50" s="30"/>
      <c r="JL50" s="30"/>
      <c r="JM50" s="30"/>
      <c r="JN50" s="30"/>
      <c r="JO50" s="30"/>
      <c r="JP50" s="30"/>
      <c r="JQ50" s="30"/>
      <c r="JR50" s="30"/>
      <c r="JS50" s="30"/>
      <c r="JT50" s="30"/>
      <c r="JU50" s="30"/>
      <c r="JV50" s="30"/>
      <c r="JW50" s="30"/>
      <c r="JX50" s="30"/>
      <c r="JY50" s="30"/>
      <c r="JZ50" s="30"/>
      <c r="KA50" s="30"/>
      <c r="KB50" s="30"/>
      <c r="KC50" s="30"/>
      <c r="KD50" s="30"/>
      <c r="KE50" s="30"/>
      <c r="KF50" s="30"/>
      <c r="KG50" s="30"/>
      <c r="KH50" s="30"/>
      <c r="KI50" s="30"/>
      <c r="KJ50" s="30"/>
      <c r="KK50" s="30"/>
      <c r="KL50" s="30"/>
      <c r="KM50" s="30"/>
      <c r="KN50" s="30"/>
      <c r="KO50" s="30"/>
      <c r="KP50" s="1630"/>
    </row>
    <row r="51" spans="1:302" s="97" customFormat="1" ht="17.25" customHeight="1" outlineLevel="1">
      <c r="A51" s="2656" t="s">
        <v>756</v>
      </c>
      <c r="B51" s="1689"/>
      <c r="C51" s="261"/>
      <c r="D51" s="1689"/>
      <c r="E51" s="261"/>
      <c r="F51" s="370"/>
      <c r="G51" s="371"/>
      <c r="H51" s="350" t="s">
        <v>26</v>
      </c>
      <c r="I51" s="2936"/>
      <c r="J51" s="362" t="s">
        <v>26</v>
      </c>
      <c r="K51" s="355"/>
      <c r="L51" s="358"/>
      <c r="M51" s="358"/>
      <c r="N51" s="358"/>
      <c r="O51" s="1510"/>
      <c r="P51" s="358"/>
      <c r="Q51" s="358"/>
      <c r="R51" s="358"/>
      <c r="S51" s="1510">
        <f t="shared" si="81"/>
        <v>0</v>
      </c>
      <c r="T51" s="389"/>
      <c r="U51" s="1746"/>
      <c r="V51" s="1746"/>
      <c r="W51" s="1744">
        <f t="shared" si="82"/>
        <v>0</v>
      </c>
      <c r="X51" s="359" t="s">
        <v>26</v>
      </c>
      <c r="Y51" s="389"/>
      <c r="Z51" s="1746"/>
      <c r="AA51" s="1746"/>
      <c r="AB51" s="2585">
        <f>SUM(AM51:BZ51)</f>
        <v>1953.85</v>
      </c>
      <c r="AC51" s="2069"/>
      <c r="AD51" s="1443"/>
      <c r="AE51" s="1687"/>
      <c r="AF51" s="354"/>
      <c r="AG51" s="354"/>
      <c r="AH51" s="354"/>
      <c r="AI51" s="355"/>
      <c r="AJ51" s="356"/>
      <c r="AK51" s="2185"/>
      <c r="AL51" s="260"/>
      <c r="AM51" s="2258"/>
      <c r="AN51" s="2258"/>
      <c r="AO51" s="359"/>
      <c r="AP51" s="360"/>
      <c r="AQ51" s="359"/>
      <c r="AR51" s="377"/>
      <c r="AS51" s="377"/>
      <c r="AT51" s="360"/>
      <c r="AU51" s="359"/>
      <c r="AV51" s="359"/>
      <c r="AW51" s="1505"/>
      <c r="AX51" s="359"/>
      <c r="AY51" s="1985"/>
      <c r="AZ51" s="2273"/>
      <c r="BA51" s="497"/>
      <c r="BB51" s="1334"/>
      <c r="BC51" s="359"/>
      <c r="BD51" s="359"/>
      <c r="BE51" s="359"/>
      <c r="BF51" s="359"/>
      <c r="BG51" s="359"/>
      <c r="BH51" s="359"/>
      <c r="BI51" s="380"/>
      <c r="BJ51" s="359"/>
      <c r="BK51" s="2122"/>
      <c r="BL51" s="380"/>
      <c r="BM51" s="380"/>
      <c r="BN51" s="380"/>
      <c r="BO51" s="380"/>
      <c r="BP51" s="380"/>
      <c r="BQ51" s="2087"/>
      <c r="BR51" s="359"/>
      <c r="BS51" s="359"/>
      <c r="BT51" s="359"/>
      <c r="BU51" s="364"/>
      <c r="BV51" s="364"/>
      <c r="BW51" s="2463">
        <f>1953.85</f>
        <v>1953.85</v>
      </c>
      <c r="BX51" s="2463"/>
      <c r="BY51" s="2543"/>
      <c r="BZ51" s="2543"/>
      <c r="CA51" s="2591">
        <f t="shared" si="86"/>
        <v>1953.85</v>
      </c>
      <c r="CB51" s="2377">
        <f t="shared" si="87"/>
        <v>1</v>
      </c>
      <c r="CC51" s="365">
        <f t="shared" si="88"/>
        <v>5.1181001612201553E-4</v>
      </c>
      <c r="CD51" s="366"/>
      <c r="CE51" s="343"/>
      <c r="CF51" s="343"/>
      <c r="CG51" s="340"/>
      <c r="CH51" s="367"/>
      <c r="CI51" s="368"/>
      <c r="CJ51" s="368"/>
      <c r="CK51" s="369"/>
      <c r="CL51" s="329">
        <f t="shared" si="12"/>
        <v>-1953.85</v>
      </c>
      <c r="CM51" s="330">
        <f t="shared" si="13"/>
        <v>0</v>
      </c>
      <c r="CN51" s="331"/>
      <c r="CO51" s="86"/>
      <c r="CP51" s="86"/>
      <c r="CQ51" s="1641"/>
      <c r="CR51" s="86"/>
      <c r="CS51" s="86"/>
      <c r="CT51" s="86"/>
      <c r="CU51" s="86"/>
      <c r="CV51" s="86"/>
      <c r="CW51" s="86"/>
      <c r="CX51" s="86"/>
      <c r="CY51" s="86"/>
      <c r="CZ51" s="86"/>
      <c r="DA51" s="86"/>
      <c r="DB51" s="1642"/>
      <c r="DC51" s="1642"/>
      <c r="DD51" s="30"/>
      <c r="DE51" s="30"/>
      <c r="DF51" s="30"/>
      <c r="DG51" s="1642"/>
      <c r="DH51" s="1642"/>
      <c r="DI51" s="1642"/>
      <c r="DJ51" s="1642"/>
      <c r="DK51" s="1642"/>
      <c r="DL51" s="1642"/>
      <c r="DM51" s="1642"/>
      <c r="DN51" s="1642"/>
      <c r="DO51" s="1642"/>
      <c r="DP51" s="1642"/>
      <c r="DQ51" s="1642"/>
      <c r="DR51" s="1642"/>
      <c r="DS51" s="1642"/>
      <c r="DT51" s="1642"/>
      <c r="DU51" s="1642"/>
      <c r="DV51" s="1642"/>
      <c r="DW51" s="1642"/>
      <c r="DX51" s="1642"/>
      <c r="DY51" s="1642"/>
      <c r="DZ51" s="1642"/>
      <c r="EA51" s="1642"/>
      <c r="EB51" s="1642"/>
      <c r="EC51" s="1642"/>
      <c r="ED51" s="1642"/>
      <c r="EE51" s="1642"/>
      <c r="EF51" s="1642"/>
      <c r="EG51" s="1642"/>
      <c r="EH51" s="1643"/>
      <c r="EI51" s="1658"/>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0"/>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0"/>
      <c r="HO51" s="30"/>
      <c r="HP51" s="30"/>
      <c r="HQ51" s="30"/>
      <c r="HR51" s="30"/>
      <c r="HS51" s="30"/>
      <c r="HT51" s="30"/>
      <c r="HU51" s="30"/>
      <c r="HV51" s="30"/>
      <c r="HW51" s="30"/>
      <c r="HX51" s="30"/>
      <c r="HY51" s="30"/>
      <c r="HZ51" s="30"/>
      <c r="IA51" s="30"/>
      <c r="IB51" s="30"/>
      <c r="IC51" s="30"/>
      <c r="ID51" s="30"/>
      <c r="IE51" s="30"/>
      <c r="IF51" s="30"/>
      <c r="IG51" s="30"/>
      <c r="IH51" s="30"/>
      <c r="II51" s="30"/>
      <c r="IJ51" s="30"/>
      <c r="IK51" s="30"/>
      <c r="IL51" s="30"/>
      <c r="IM51" s="30"/>
      <c r="IN51" s="30"/>
      <c r="IO51" s="30"/>
      <c r="IP51" s="30"/>
      <c r="IQ51" s="30"/>
      <c r="IR51" s="30"/>
      <c r="IS51" s="30"/>
      <c r="IT51" s="30"/>
      <c r="IU51" s="30"/>
      <c r="IV51" s="30"/>
      <c r="IW51" s="30"/>
      <c r="IX51" s="30"/>
      <c r="IY51" s="30"/>
      <c r="IZ51" s="30"/>
      <c r="JA51" s="30"/>
      <c r="JB51" s="30"/>
      <c r="JC51" s="30"/>
      <c r="JD51" s="30"/>
      <c r="JE51" s="30"/>
      <c r="JF51" s="30"/>
      <c r="JG51" s="30"/>
      <c r="JH51" s="30"/>
      <c r="JI51" s="30"/>
      <c r="JJ51" s="30"/>
      <c r="JK51" s="30"/>
      <c r="JL51" s="30"/>
      <c r="JM51" s="30"/>
      <c r="JN51" s="30"/>
      <c r="JO51" s="30"/>
      <c r="JP51" s="30"/>
      <c r="JQ51" s="30"/>
      <c r="JR51" s="30"/>
      <c r="JS51" s="30"/>
      <c r="JT51" s="30"/>
      <c r="JU51" s="30"/>
      <c r="JV51" s="30"/>
      <c r="JW51" s="30"/>
      <c r="JX51" s="30"/>
      <c r="JY51" s="30"/>
      <c r="JZ51" s="30"/>
      <c r="KA51" s="30"/>
      <c r="KB51" s="30"/>
      <c r="KC51" s="30"/>
      <c r="KD51" s="30"/>
      <c r="KE51" s="30"/>
      <c r="KF51" s="30"/>
      <c r="KG51" s="30"/>
      <c r="KH51" s="30"/>
      <c r="KI51" s="30"/>
      <c r="KJ51" s="30"/>
      <c r="KK51" s="30"/>
      <c r="KL51" s="30"/>
      <c r="KM51" s="30"/>
      <c r="KN51" s="30"/>
      <c r="KO51" s="30"/>
      <c r="KP51" s="1630"/>
    </row>
    <row r="52" spans="1:302" s="97" customFormat="1" ht="17.25" customHeight="1" outlineLevel="1">
      <c r="A52" s="2656" t="s">
        <v>756</v>
      </c>
      <c r="B52" s="1689"/>
      <c r="C52" s="2008" t="s">
        <v>1391</v>
      </c>
      <c r="D52" s="1689"/>
      <c r="E52" s="261"/>
      <c r="F52" s="370"/>
      <c r="G52" s="371"/>
      <c r="H52" s="350" t="s">
        <v>26</v>
      </c>
      <c r="I52" s="2936"/>
      <c r="J52" s="362" t="s">
        <v>26</v>
      </c>
      <c r="K52" s="355"/>
      <c r="L52" s="358"/>
      <c r="M52" s="358"/>
      <c r="N52" s="358"/>
      <c r="O52" s="1510"/>
      <c r="P52" s="358"/>
      <c r="Q52" s="358"/>
      <c r="R52" s="358"/>
      <c r="S52" s="1510">
        <f t="shared" si="81"/>
        <v>0</v>
      </c>
      <c r="T52" s="389"/>
      <c r="U52" s="1746"/>
      <c r="V52" s="1746"/>
      <c r="W52" s="1744">
        <f t="shared" si="82"/>
        <v>0</v>
      </c>
      <c r="X52" s="359" t="s">
        <v>26</v>
      </c>
      <c r="Y52" s="389"/>
      <c r="Z52" s="1746"/>
      <c r="AA52" s="1746"/>
      <c r="AB52" s="1510">
        <f>SUM(AM52:BZ52)</f>
        <v>733046.15000000014</v>
      </c>
      <c r="AC52" s="2069" t="s">
        <v>1389</v>
      </c>
      <c r="AD52" s="1443"/>
      <c r="AE52" s="1687" t="s">
        <v>1247</v>
      </c>
      <c r="AF52" s="354">
        <v>733046.15</v>
      </c>
      <c r="AG52" s="354">
        <v>1</v>
      </c>
      <c r="AH52" s="354">
        <f t="shared" si="83"/>
        <v>733046.15</v>
      </c>
      <c r="AI52" s="355">
        <f ca="1">SUMIF($AM$10:$BZ$10,$AI$9,AM52:BT52)</f>
        <v>0</v>
      </c>
      <c r="AJ52" s="356">
        <v>0</v>
      </c>
      <c r="AK52" s="2185"/>
      <c r="AL52" s="260" t="s">
        <v>493</v>
      </c>
      <c r="AM52" s="2258"/>
      <c r="AN52" s="2258"/>
      <c r="AO52" s="359"/>
      <c r="AP52" s="360"/>
      <c r="AQ52" s="359"/>
      <c r="AR52" s="377">
        <v>91630.768750000003</v>
      </c>
      <c r="AS52" s="377">
        <v>91630.768750000003</v>
      </c>
      <c r="AT52" s="360">
        <v>91630.768750000003</v>
      </c>
      <c r="AU52" s="359">
        <v>91630.768750000003</v>
      </c>
      <c r="AV52" s="359">
        <v>91630.768750000003</v>
      </c>
      <c r="AW52" s="1505">
        <v>91630.768750000003</v>
      </c>
      <c r="AX52" s="359">
        <v>91630.768750000003</v>
      </c>
      <c r="AY52" s="1985">
        <v>91630.768750000003</v>
      </c>
      <c r="AZ52" s="2273"/>
      <c r="BA52" s="497"/>
      <c r="BB52" s="1334"/>
      <c r="BC52" s="359"/>
      <c r="BD52" s="359"/>
      <c r="BE52" s="359"/>
      <c r="BF52" s="359"/>
      <c r="BG52" s="359"/>
      <c r="BH52" s="359"/>
      <c r="BI52" s="380"/>
      <c r="BJ52" s="359"/>
      <c r="BK52" s="2122"/>
      <c r="BL52" s="380"/>
      <c r="BM52" s="380"/>
      <c r="BN52" s="380"/>
      <c r="BO52" s="380"/>
      <c r="BP52" s="380"/>
      <c r="BQ52" s="2087"/>
      <c r="BR52" s="359"/>
      <c r="BS52" s="359"/>
      <c r="BT52" s="359"/>
      <c r="BU52" s="364"/>
      <c r="BV52" s="364"/>
      <c r="BW52" s="2366"/>
      <c r="BX52" s="2463"/>
      <c r="BY52" s="2543"/>
      <c r="BZ52" s="2543"/>
      <c r="CA52" s="2591">
        <f t="shared" si="86"/>
        <v>733046.15000000014</v>
      </c>
      <c r="CB52" s="2377">
        <f t="shared" si="87"/>
        <v>1</v>
      </c>
      <c r="CC52" s="365">
        <f t="shared" si="88"/>
        <v>1.3641705914422985E-6</v>
      </c>
      <c r="CD52" s="366"/>
      <c r="CE52" s="343"/>
      <c r="CF52" s="343"/>
      <c r="CG52" s="340"/>
      <c r="CH52" s="367"/>
      <c r="CI52" s="368"/>
      <c r="CJ52" s="368"/>
      <c r="CK52" s="369"/>
      <c r="CL52" s="329">
        <f t="shared" si="12"/>
        <v>-733046.15000000014</v>
      </c>
      <c r="CM52" s="330">
        <f t="shared" ca="1" si="13"/>
        <v>0</v>
      </c>
      <c r="CN52" s="331">
        <f t="shared" ca="1" si="14"/>
        <v>0</v>
      </c>
      <c r="CO52" s="86"/>
      <c r="CP52" s="86"/>
      <c r="CQ52" s="1641"/>
      <c r="CR52" s="86"/>
      <c r="CS52" s="86"/>
      <c r="CT52" s="86"/>
      <c r="CU52" s="86"/>
      <c r="CV52" s="86"/>
      <c r="CW52" s="86"/>
      <c r="CX52" s="86"/>
      <c r="CY52" s="86"/>
      <c r="CZ52" s="86"/>
      <c r="DA52" s="86"/>
      <c r="DB52" s="1642"/>
      <c r="DC52" s="1642"/>
      <c r="DD52" s="30"/>
      <c r="DE52" s="30"/>
      <c r="DF52" s="30"/>
      <c r="DG52" s="1642"/>
      <c r="DH52" s="1642"/>
      <c r="DI52" s="1642"/>
      <c r="DJ52" s="1642"/>
      <c r="DK52" s="1642"/>
      <c r="DL52" s="1642"/>
      <c r="DM52" s="1642"/>
      <c r="DN52" s="1642"/>
      <c r="DO52" s="1642"/>
      <c r="DP52" s="1642"/>
      <c r="DQ52" s="1642"/>
      <c r="DR52" s="1642"/>
      <c r="DS52" s="1642"/>
      <c r="DT52" s="1642"/>
      <c r="DU52" s="1642"/>
      <c r="DV52" s="1642"/>
      <c r="DW52" s="1642"/>
      <c r="DX52" s="1642"/>
      <c r="DY52" s="1642"/>
      <c r="DZ52" s="1642"/>
      <c r="EA52" s="1642"/>
      <c r="EB52" s="1642"/>
      <c r="EC52" s="1642"/>
      <c r="ED52" s="1642"/>
      <c r="EE52" s="1642"/>
      <c r="EF52" s="1642"/>
      <c r="EG52" s="1642"/>
      <c r="EH52" s="1643"/>
      <c r="EI52" s="1658"/>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0"/>
      <c r="HO52" s="30"/>
      <c r="HP52" s="30"/>
      <c r="HQ52" s="30"/>
      <c r="HR52" s="30"/>
      <c r="HS52" s="30"/>
      <c r="HT52" s="30"/>
      <c r="HU52" s="30"/>
      <c r="HV52" s="30"/>
      <c r="HW52" s="30"/>
      <c r="HX52" s="30"/>
      <c r="HY52" s="30"/>
      <c r="HZ52" s="30"/>
      <c r="IA52" s="30"/>
      <c r="IB52" s="30"/>
      <c r="IC52" s="30"/>
      <c r="ID52" s="30"/>
      <c r="IE52" s="30"/>
      <c r="IF52" s="30"/>
      <c r="IG52" s="30"/>
      <c r="IH52" s="30"/>
      <c r="II52" s="30"/>
      <c r="IJ52" s="30"/>
      <c r="IK52" s="30"/>
      <c r="IL52" s="30"/>
      <c r="IM52" s="30"/>
      <c r="IN52" s="30"/>
      <c r="IO52" s="30"/>
      <c r="IP52" s="30"/>
      <c r="IQ52" s="30"/>
      <c r="IR52" s="30"/>
      <c r="IS52" s="30"/>
      <c r="IT52" s="30"/>
      <c r="IU52" s="30"/>
      <c r="IV52" s="30"/>
      <c r="IW52" s="30"/>
      <c r="IX52" s="30"/>
      <c r="IY52" s="30"/>
      <c r="IZ52" s="30"/>
      <c r="JA52" s="30"/>
      <c r="JB52" s="30"/>
      <c r="JC52" s="30"/>
      <c r="JD52" s="30"/>
      <c r="JE52" s="30"/>
      <c r="JF52" s="30"/>
      <c r="JG52" s="30"/>
      <c r="JH52" s="30"/>
      <c r="JI52" s="30"/>
      <c r="JJ52" s="30"/>
      <c r="JK52" s="30"/>
      <c r="JL52" s="30"/>
      <c r="JM52" s="30"/>
      <c r="JN52" s="30"/>
      <c r="JO52" s="30"/>
      <c r="JP52" s="30"/>
      <c r="JQ52" s="30"/>
      <c r="JR52" s="30"/>
      <c r="JS52" s="30"/>
      <c r="JT52" s="30"/>
      <c r="JU52" s="30"/>
      <c r="JV52" s="30"/>
      <c r="JW52" s="30"/>
      <c r="JX52" s="30"/>
      <c r="JY52" s="30"/>
      <c r="JZ52" s="30"/>
      <c r="KA52" s="30"/>
      <c r="KB52" s="30"/>
      <c r="KC52" s="30"/>
      <c r="KD52" s="30"/>
      <c r="KE52" s="30"/>
      <c r="KF52" s="30"/>
      <c r="KG52" s="30"/>
      <c r="KH52" s="30"/>
      <c r="KI52" s="30"/>
      <c r="KJ52" s="30"/>
      <c r="KK52" s="30"/>
      <c r="KL52" s="30"/>
      <c r="KM52" s="30"/>
      <c r="KN52" s="30"/>
      <c r="KO52" s="30"/>
      <c r="KP52" s="1630"/>
    </row>
    <row r="53" spans="1:302" s="97" customFormat="1" ht="25.25" customHeight="1">
      <c r="A53" s="2657" t="s">
        <v>194</v>
      </c>
      <c r="B53" s="2602"/>
      <c r="C53" s="2588" t="s">
        <v>614</v>
      </c>
      <c r="D53" s="2588" t="s">
        <v>615</v>
      </c>
      <c r="E53" s="2586"/>
      <c r="F53" s="2586"/>
      <c r="G53" s="2586"/>
      <c r="H53" s="2586" t="s">
        <v>26</v>
      </c>
      <c r="I53" s="2936"/>
      <c r="J53" s="2586" t="s">
        <v>26</v>
      </c>
      <c r="K53" s="2586"/>
      <c r="L53" s="2586"/>
      <c r="M53" s="2586"/>
      <c r="N53" s="2586"/>
      <c r="O53" s="2591"/>
      <c r="P53" s="2591"/>
      <c r="Q53" s="2591"/>
      <c r="R53" s="2591"/>
      <c r="S53" s="2591"/>
      <c r="T53" s="2591"/>
      <c r="U53" s="2591"/>
      <c r="V53" s="2591"/>
      <c r="W53" s="2591"/>
      <c r="X53" s="2591" t="s">
        <v>26</v>
      </c>
      <c r="Y53" s="2591"/>
      <c r="Z53" s="2591"/>
      <c r="AA53" s="2591"/>
      <c r="AB53" s="2591"/>
      <c r="AC53" s="2586"/>
      <c r="AD53" s="2586"/>
      <c r="AE53" s="2586"/>
      <c r="AF53" s="2586"/>
      <c r="AG53" s="2586"/>
      <c r="AH53" s="2586">
        <f t="shared" si="83"/>
        <v>0</v>
      </c>
      <c r="AI53" s="2586">
        <f t="shared" si="84"/>
        <v>0</v>
      </c>
      <c r="AJ53" s="2586" t="str">
        <f t="shared" si="1"/>
        <v/>
      </c>
      <c r="AK53" s="2586"/>
      <c r="AL53" s="2586"/>
      <c r="AM53" s="2586"/>
      <c r="AN53" s="2586"/>
      <c r="AO53" s="2586"/>
      <c r="AP53" s="2586"/>
      <c r="AQ53" s="2586"/>
      <c r="AR53" s="2586"/>
      <c r="AS53" s="2586"/>
      <c r="AT53" s="2586"/>
      <c r="AU53" s="2586"/>
      <c r="AV53" s="2586"/>
      <c r="AW53" s="2586"/>
      <c r="AX53" s="2586"/>
      <c r="AY53" s="2586"/>
      <c r="AZ53" s="2586"/>
      <c r="BA53" s="2586"/>
      <c r="BB53" s="2586"/>
      <c r="BC53" s="2586"/>
      <c r="BD53" s="2586"/>
      <c r="BE53" s="2586"/>
      <c r="BF53" s="2586"/>
      <c r="BG53" s="2586"/>
      <c r="BH53" s="2586"/>
      <c r="BI53" s="2586"/>
      <c r="BJ53" s="2586"/>
      <c r="BK53" s="2586"/>
      <c r="BL53" s="2586"/>
      <c r="BM53" s="2586"/>
      <c r="BN53" s="2586"/>
      <c r="BO53" s="2586"/>
      <c r="BP53" s="2586"/>
      <c r="BQ53" s="2586"/>
      <c r="BR53" s="2586"/>
      <c r="BS53" s="2586"/>
      <c r="BT53" s="2586"/>
      <c r="BU53" s="2586"/>
      <c r="BV53" s="2586"/>
      <c r="BW53" s="2586"/>
      <c r="BX53" s="2586"/>
      <c r="BY53" s="2586"/>
      <c r="BZ53" s="2586"/>
      <c r="CA53" s="2591">
        <f t="shared" si="86"/>
        <v>0</v>
      </c>
      <c r="CB53" s="2377" t="str">
        <f t="shared" si="87"/>
        <v/>
      </c>
      <c r="CC53" s="365" t="str">
        <f t="shared" si="88"/>
        <v/>
      </c>
      <c r="CD53" s="341"/>
      <c r="CE53" s="342"/>
      <c r="CF53" s="343"/>
      <c r="CG53" s="340"/>
      <c r="CH53" s="344"/>
      <c r="CI53" s="345"/>
      <c r="CJ53" s="345"/>
      <c r="CK53" s="346"/>
      <c r="CL53" s="329">
        <f t="shared" si="12"/>
        <v>0</v>
      </c>
      <c r="CM53" s="330">
        <f t="shared" si="13"/>
        <v>0</v>
      </c>
      <c r="CN53" s="331">
        <f t="shared" si="14"/>
        <v>0</v>
      </c>
      <c r="CO53" s="86"/>
      <c r="CP53" s="86"/>
      <c r="CQ53" s="1641"/>
      <c r="CR53" s="86"/>
      <c r="CS53" s="86"/>
      <c r="CT53" s="86"/>
      <c r="CU53" s="86"/>
      <c r="CV53" s="86"/>
      <c r="CW53" s="86"/>
      <c r="CX53" s="86"/>
      <c r="CY53" s="86"/>
      <c r="CZ53" s="86"/>
      <c r="DA53" s="86"/>
      <c r="DB53" s="1642"/>
      <c r="DC53" s="1642"/>
      <c r="DD53" s="30"/>
      <c r="DE53" s="30"/>
      <c r="DF53" s="30"/>
      <c r="DG53" s="1642"/>
      <c r="DH53" s="1642"/>
      <c r="DI53" s="1642"/>
      <c r="DJ53" s="1642"/>
      <c r="DK53" s="1642"/>
      <c r="DL53" s="1642"/>
      <c r="DM53" s="1642"/>
      <c r="DN53" s="1642"/>
      <c r="DO53" s="1642"/>
      <c r="DP53" s="1642"/>
      <c r="DQ53" s="1642"/>
      <c r="DR53" s="1642"/>
      <c r="DS53" s="1642"/>
      <c r="DT53" s="1642"/>
      <c r="DU53" s="1642"/>
      <c r="DV53" s="1642"/>
      <c r="DW53" s="1642"/>
      <c r="DX53" s="1642"/>
      <c r="DY53" s="1642"/>
      <c r="DZ53" s="1642"/>
      <c r="EA53" s="1642"/>
      <c r="EB53" s="1642"/>
      <c r="EC53" s="1642"/>
      <c r="ED53" s="1642"/>
      <c r="EE53" s="1642"/>
      <c r="EF53" s="1642"/>
      <c r="EG53" s="1642"/>
      <c r="EH53" s="1643"/>
      <c r="EI53" s="1658"/>
      <c r="EJ53" s="30"/>
      <c r="EK53" s="30"/>
      <c r="EL53" s="30"/>
      <c r="EM53" s="30"/>
      <c r="EN53" s="30"/>
      <c r="EO53" s="30"/>
      <c r="EP53" s="30"/>
      <c r="EQ53" s="30"/>
      <c r="ER53" s="30"/>
      <c r="ES53" s="30"/>
      <c r="ET53" s="30"/>
      <c r="EU53" s="30"/>
      <c r="EV53" s="30"/>
      <c r="EW53" s="30"/>
      <c r="EX53" s="30"/>
      <c r="EY53" s="30"/>
      <c r="EZ53" s="30"/>
      <c r="FA53" s="30"/>
      <c r="FB53" s="30"/>
      <c r="FC53" s="30"/>
      <c r="FD53" s="30"/>
      <c r="FE53" s="30"/>
      <c r="FF53" s="30"/>
      <c r="FG53" s="30"/>
      <c r="FH53" s="30"/>
      <c r="FI53" s="30"/>
      <c r="FJ53" s="30"/>
      <c r="FK53" s="30"/>
      <c r="FL53" s="30"/>
      <c r="FM53" s="30"/>
      <c r="FN53" s="30"/>
      <c r="FO53" s="30"/>
      <c r="FP53" s="30"/>
      <c r="FQ53" s="30"/>
      <c r="FR53" s="30"/>
      <c r="FS53" s="30"/>
      <c r="FT53" s="30"/>
      <c r="FU53" s="30"/>
      <c r="FV53" s="30"/>
      <c r="FW53" s="30"/>
      <c r="FX53" s="30"/>
      <c r="FY53" s="30"/>
      <c r="FZ53" s="30"/>
      <c r="GA53" s="30"/>
      <c r="GB53" s="30"/>
      <c r="GC53" s="30"/>
      <c r="GD53" s="30"/>
      <c r="GE53" s="30"/>
      <c r="GF53" s="30"/>
      <c r="GG53" s="30"/>
      <c r="GH53" s="30"/>
      <c r="GI53" s="30"/>
      <c r="GJ53" s="30"/>
      <c r="GK53" s="30"/>
      <c r="GL53" s="30"/>
      <c r="GM53" s="30"/>
      <c r="GN53" s="30"/>
      <c r="GO53" s="30"/>
      <c r="GP53" s="30"/>
      <c r="GQ53" s="30"/>
      <c r="GR53" s="30"/>
      <c r="GS53" s="30"/>
      <c r="GT53" s="30"/>
      <c r="GU53" s="30"/>
      <c r="GV53" s="30"/>
      <c r="GW53" s="30"/>
      <c r="GX53" s="30"/>
      <c r="GY53" s="30"/>
      <c r="GZ53" s="30"/>
      <c r="HA53" s="30"/>
      <c r="HB53" s="30"/>
      <c r="HC53" s="30"/>
      <c r="HD53" s="30"/>
      <c r="HE53" s="30"/>
      <c r="HF53" s="30"/>
      <c r="HG53" s="30"/>
      <c r="HH53" s="30"/>
      <c r="HI53" s="30"/>
      <c r="HJ53" s="30"/>
      <c r="HK53" s="30"/>
      <c r="HL53" s="30"/>
      <c r="HM53" s="30"/>
      <c r="HN53" s="30"/>
      <c r="HO53" s="30"/>
      <c r="HP53" s="30"/>
      <c r="HQ53" s="30"/>
      <c r="HR53" s="30"/>
      <c r="HS53" s="30"/>
      <c r="HT53" s="30"/>
      <c r="HU53" s="30"/>
      <c r="HV53" s="30"/>
      <c r="HW53" s="30"/>
      <c r="HX53" s="30"/>
      <c r="HY53" s="30"/>
      <c r="HZ53" s="30"/>
      <c r="IA53" s="30"/>
      <c r="IB53" s="30"/>
      <c r="IC53" s="30"/>
      <c r="ID53" s="30"/>
      <c r="IE53" s="30"/>
      <c r="IF53" s="30"/>
      <c r="IG53" s="30"/>
      <c r="IH53" s="30"/>
      <c r="II53" s="30"/>
      <c r="IJ53" s="30"/>
      <c r="IK53" s="30"/>
      <c r="IL53" s="30"/>
      <c r="IM53" s="30"/>
      <c r="IN53" s="30"/>
      <c r="IO53" s="30"/>
      <c r="IP53" s="30"/>
      <c r="IQ53" s="30"/>
      <c r="IR53" s="30"/>
      <c r="IS53" s="30"/>
      <c r="IT53" s="30"/>
      <c r="IU53" s="30"/>
      <c r="IV53" s="30"/>
      <c r="IW53" s="30"/>
      <c r="IX53" s="30"/>
      <c r="IY53" s="30"/>
      <c r="IZ53" s="30"/>
      <c r="JA53" s="30"/>
      <c r="JB53" s="30"/>
      <c r="JC53" s="30"/>
      <c r="JD53" s="30"/>
      <c r="JE53" s="30"/>
      <c r="JF53" s="30"/>
      <c r="JG53" s="30"/>
      <c r="JH53" s="30"/>
      <c r="JI53" s="30"/>
      <c r="JJ53" s="30"/>
      <c r="JK53" s="30"/>
      <c r="JL53" s="30"/>
      <c r="JM53" s="30"/>
      <c r="JN53" s="30"/>
      <c r="JO53" s="30"/>
      <c r="JP53" s="30"/>
      <c r="JQ53" s="30"/>
      <c r="JR53" s="30"/>
      <c r="JS53" s="30"/>
      <c r="JT53" s="30"/>
      <c r="JU53" s="30"/>
      <c r="JV53" s="30"/>
      <c r="JW53" s="30"/>
      <c r="JX53" s="30"/>
      <c r="JY53" s="30"/>
      <c r="JZ53" s="30"/>
      <c r="KA53" s="30"/>
      <c r="KB53" s="30"/>
      <c r="KC53" s="30"/>
      <c r="KD53" s="30"/>
      <c r="KE53" s="30"/>
      <c r="KF53" s="30"/>
      <c r="KG53" s="30"/>
      <c r="KH53" s="30"/>
      <c r="KI53" s="30"/>
      <c r="KJ53" s="30"/>
      <c r="KK53" s="30"/>
      <c r="KL53" s="30"/>
      <c r="KM53" s="30"/>
      <c r="KN53" s="30"/>
      <c r="KO53" s="30"/>
      <c r="KP53" s="1630"/>
    </row>
    <row r="54" spans="1:302" s="97" customFormat="1" ht="20.25" customHeight="1" outlineLevel="1">
      <c r="A54" s="1994" t="s">
        <v>757</v>
      </c>
      <c r="B54" s="1994"/>
      <c r="C54" s="2589" t="s">
        <v>616</v>
      </c>
      <c r="D54" s="2589" t="s">
        <v>617</v>
      </c>
      <c r="E54" s="261"/>
      <c r="F54" s="370"/>
      <c r="G54" s="371"/>
      <c r="H54" s="350" t="s">
        <v>26</v>
      </c>
      <c r="I54" s="2936"/>
      <c r="J54" s="362" t="s">
        <v>26</v>
      </c>
      <c r="K54" s="355"/>
      <c r="L54" s="358"/>
      <c r="M54" s="358"/>
      <c r="N54" s="358"/>
      <c r="O54" s="2595">
        <v>16024473</v>
      </c>
      <c r="P54" s="2596"/>
      <c r="Q54" s="2596"/>
      <c r="R54" s="2596"/>
      <c r="S54" s="2595">
        <f>R54*Q54</f>
        <v>0</v>
      </c>
      <c r="T54" s="2597"/>
      <c r="U54" s="2597"/>
      <c r="V54" s="2597"/>
      <c r="W54" s="2595">
        <f t="shared" ref="W54:W135" si="92">O54+S54</f>
        <v>16024473</v>
      </c>
      <c r="X54" s="2595" t="s">
        <v>26</v>
      </c>
      <c r="Y54" s="2597"/>
      <c r="Z54" s="2597"/>
      <c r="AA54" s="2597"/>
      <c r="AB54" s="2818">
        <f>SUM(AM54:BZ54)</f>
        <v>5117413.3000000007</v>
      </c>
      <c r="AC54" s="1444"/>
      <c r="AD54" s="1443"/>
      <c r="AE54" s="1687"/>
      <c r="AF54" s="354"/>
      <c r="AG54" s="354"/>
      <c r="AH54" s="354">
        <f t="shared" ref="AH54:AH61" si="93">AF54*AG54</f>
        <v>0</v>
      </c>
      <c r="AI54" s="355">
        <f t="shared" ref="AI54:AI130" ca="1" si="94">SUMIF($AM$10:$BZ$10,$AI$9,AM54:BT54)</f>
        <v>0</v>
      </c>
      <c r="AJ54" s="356">
        <f t="shared" ca="1" si="1"/>
        <v>0</v>
      </c>
      <c r="AK54" s="2185"/>
      <c r="AL54" s="260"/>
      <c r="AM54" s="2258"/>
      <c r="AN54" s="2258"/>
      <c r="AO54" s="359"/>
      <c r="AP54" s="2626"/>
      <c r="AQ54" s="2627"/>
      <c r="AR54" s="2628"/>
      <c r="AS54" s="2628"/>
      <c r="AT54" s="2628"/>
      <c r="AU54" s="2628"/>
      <c r="AV54" s="2628"/>
      <c r="AW54" s="359"/>
      <c r="AX54" s="359"/>
      <c r="AY54" s="359"/>
      <c r="AZ54" s="2273"/>
      <c r="BA54" s="359"/>
      <c r="BB54" s="377"/>
      <c r="BC54" s="359"/>
      <c r="BD54" s="359"/>
      <c r="BE54" s="359"/>
      <c r="BF54" s="359"/>
      <c r="BG54" s="359"/>
      <c r="BH54" s="359"/>
      <c r="BI54" s="380"/>
      <c r="BJ54" s="359"/>
      <c r="BK54" s="2122"/>
      <c r="BL54" s="380"/>
      <c r="BM54" s="380"/>
      <c r="BN54" s="380"/>
      <c r="BO54" s="380"/>
      <c r="BP54" s="380"/>
      <c r="BQ54" s="2087"/>
      <c r="BR54" s="359"/>
      <c r="BS54" s="359"/>
      <c r="BT54" s="359"/>
      <c r="BU54" s="364"/>
      <c r="BV54" s="364"/>
      <c r="BW54" s="2543">
        <f>10617413.3-5500000</f>
        <v>5117413.3000000007</v>
      </c>
      <c r="BX54" s="2543"/>
      <c r="BY54" s="2543"/>
      <c r="BZ54" s="2543"/>
      <c r="CA54" s="2591">
        <f t="shared" si="86"/>
        <v>5117413.3000000007</v>
      </c>
      <c r="CB54" s="2377">
        <f t="shared" si="87"/>
        <v>1</v>
      </c>
      <c r="CC54" s="365">
        <f t="shared" si="88"/>
        <v>1.9541122465132918E-7</v>
      </c>
      <c r="CD54" s="366"/>
      <c r="CE54" s="343"/>
      <c r="CF54" s="343"/>
      <c r="CG54" s="340"/>
      <c r="CH54" s="367"/>
      <c r="CI54" s="368"/>
      <c r="CJ54" s="368"/>
      <c r="CK54" s="369"/>
      <c r="CL54" s="329">
        <f t="shared" si="12"/>
        <v>10907059.699999999</v>
      </c>
      <c r="CM54" s="330">
        <f t="shared" ca="1" si="13"/>
        <v>0</v>
      </c>
      <c r="CN54" s="331">
        <f t="shared" ca="1" si="14"/>
        <v>-5117413.3000000007</v>
      </c>
      <c r="CO54" s="86"/>
      <c r="CP54" s="86"/>
      <c r="CQ54" s="1641"/>
      <c r="CR54" s="86"/>
      <c r="CS54" s="86"/>
      <c r="CT54" s="86"/>
      <c r="CU54" s="86"/>
      <c r="CV54" s="86"/>
      <c r="CW54" s="86"/>
      <c r="CX54" s="86"/>
      <c r="CY54" s="86"/>
      <c r="CZ54" s="86"/>
      <c r="DA54" s="86"/>
      <c r="DB54" s="1642"/>
      <c r="DC54" s="1642"/>
      <c r="DD54" s="30"/>
      <c r="DE54" s="30"/>
      <c r="DF54" s="30"/>
      <c r="DG54" s="1642"/>
      <c r="DH54" s="1642"/>
      <c r="DI54" s="1642"/>
      <c r="DJ54" s="1642"/>
      <c r="DK54" s="1642"/>
      <c r="DL54" s="1642"/>
      <c r="DM54" s="1642"/>
      <c r="DN54" s="1642"/>
      <c r="DO54" s="1642"/>
      <c r="DP54" s="1642"/>
      <c r="DQ54" s="1642"/>
      <c r="DR54" s="1642"/>
      <c r="DS54" s="1642"/>
      <c r="DT54" s="1642"/>
      <c r="DU54" s="1642"/>
      <c r="DV54" s="1642"/>
      <c r="DW54" s="1642"/>
      <c r="DX54" s="1642"/>
      <c r="DY54" s="1642"/>
      <c r="DZ54" s="1642"/>
      <c r="EA54" s="1642"/>
      <c r="EB54" s="1642"/>
      <c r="EC54" s="1642"/>
      <c r="ED54" s="1642"/>
      <c r="EE54" s="1642"/>
      <c r="EF54" s="1642"/>
      <c r="EG54" s="1642"/>
      <c r="EH54" s="1643"/>
      <c r="EI54" s="1658"/>
      <c r="EJ54" s="30"/>
      <c r="EK54" s="30"/>
      <c r="EL54" s="30"/>
      <c r="EM54" s="30"/>
      <c r="EN54" s="30"/>
      <c r="EO54" s="30"/>
      <c r="EP54" s="30"/>
      <c r="EQ54" s="30"/>
      <c r="ER54" s="30"/>
      <c r="ES54" s="30"/>
      <c r="ET54" s="30"/>
      <c r="EU54" s="30"/>
      <c r="EV54" s="30"/>
      <c r="EW54" s="30"/>
      <c r="EX54" s="30"/>
      <c r="EY54" s="30"/>
      <c r="EZ54" s="30"/>
      <c r="FA54" s="30"/>
      <c r="FB54" s="30"/>
      <c r="FC54" s="30"/>
      <c r="FD54" s="30"/>
      <c r="FE54" s="30"/>
      <c r="FF54" s="30"/>
      <c r="FG54" s="30"/>
      <c r="FH54" s="30"/>
      <c r="FI54" s="30"/>
      <c r="FJ54" s="30"/>
      <c r="FK54" s="30"/>
      <c r="FL54" s="30"/>
      <c r="FM54" s="30"/>
      <c r="FN54" s="30"/>
      <c r="FO54" s="30"/>
      <c r="FP54" s="30"/>
      <c r="FQ54" s="30"/>
      <c r="FR54" s="30"/>
      <c r="FS54" s="30"/>
      <c r="FT54" s="30"/>
      <c r="FU54" s="30"/>
      <c r="FV54" s="30"/>
      <c r="FW54" s="30"/>
      <c r="FX54" s="30"/>
      <c r="FY54" s="30"/>
      <c r="FZ54" s="30"/>
      <c r="GA54" s="30"/>
      <c r="GB54" s="30"/>
      <c r="GC54" s="30"/>
      <c r="GD54" s="30"/>
      <c r="GE54" s="30"/>
      <c r="GF54" s="30"/>
      <c r="GG54" s="30"/>
      <c r="GH54" s="30"/>
      <c r="GI54" s="30"/>
      <c r="GJ54" s="30"/>
      <c r="GK54" s="30"/>
      <c r="GL54" s="30"/>
      <c r="GM54" s="30"/>
      <c r="GN54" s="30"/>
      <c r="GO54" s="30"/>
      <c r="GP54" s="30"/>
      <c r="GQ54" s="30"/>
      <c r="GR54" s="30"/>
      <c r="GS54" s="30"/>
      <c r="GT54" s="30"/>
      <c r="GU54" s="30"/>
      <c r="GV54" s="30"/>
      <c r="GW54" s="30"/>
      <c r="GX54" s="30"/>
      <c r="GY54" s="30"/>
      <c r="GZ54" s="30"/>
      <c r="HA54" s="30"/>
      <c r="HB54" s="30"/>
      <c r="HC54" s="30"/>
      <c r="HD54" s="30"/>
      <c r="HE54" s="30"/>
      <c r="HF54" s="30"/>
      <c r="HG54" s="30"/>
      <c r="HH54" s="30"/>
      <c r="HI54" s="30"/>
      <c r="HJ54" s="30"/>
      <c r="HK54" s="30"/>
      <c r="HL54" s="30"/>
      <c r="HM54" s="30"/>
      <c r="HN54" s="30"/>
      <c r="HO54" s="30"/>
      <c r="HP54" s="30"/>
      <c r="HQ54" s="30"/>
      <c r="HR54" s="30"/>
      <c r="HS54" s="30"/>
      <c r="HT54" s="30"/>
      <c r="HU54" s="30"/>
      <c r="HV54" s="30"/>
      <c r="HW54" s="30"/>
      <c r="HX54" s="30"/>
      <c r="HY54" s="30"/>
      <c r="HZ54" s="30"/>
      <c r="IA54" s="30"/>
      <c r="IB54" s="30"/>
      <c r="IC54" s="30"/>
      <c r="ID54" s="30"/>
      <c r="IE54" s="30"/>
      <c r="IF54" s="30"/>
      <c r="IG54" s="30"/>
      <c r="IH54" s="30"/>
      <c r="II54" s="30"/>
      <c r="IJ54" s="30"/>
      <c r="IK54" s="30"/>
      <c r="IL54" s="30"/>
      <c r="IM54" s="30"/>
      <c r="IN54" s="30"/>
      <c r="IO54" s="30"/>
      <c r="IP54" s="30"/>
      <c r="IQ54" s="30"/>
      <c r="IR54" s="30"/>
      <c r="IS54" s="30"/>
      <c r="IT54" s="30"/>
      <c r="IU54" s="30"/>
      <c r="IV54" s="30"/>
      <c r="IW54" s="30"/>
      <c r="IX54" s="30"/>
      <c r="IY54" s="30"/>
      <c r="IZ54" s="30"/>
      <c r="JA54" s="30"/>
      <c r="JB54" s="30"/>
      <c r="JC54" s="30"/>
      <c r="JD54" s="30"/>
      <c r="JE54" s="30"/>
      <c r="JF54" s="30"/>
      <c r="JG54" s="30"/>
      <c r="JH54" s="30"/>
      <c r="JI54" s="30"/>
      <c r="JJ54" s="30"/>
      <c r="JK54" s="30"/>
      <c r="JL54" s="30"/>
      <c r="JM54" s="30"/>
      <c r="JN54" s="30"/>
      <c r="JO54" s="30"/>
      <c r="JP54" s="30"/>
      <c r="JQ54" s="30"/>
      <c r="JR54" s="30"/>
      <c r="JS54" s="30"/>
      <c r="JT54" s="30"/>
      <c r="JU54" s="30"/>
      <c r="JV54" s="30"/>
      <c r="JW54" s="30"/>
      <c r="JX54" s="30"/>
      <c r="JY54" s="30"/>
      <c r="JZ54" s="30"/>
      <c r="KA54" s="30"/>
      <c r="KB54" s="30"/>
      <c r="KC54" s="30"/>
      <c r="KD54" s="30"/>
      <c r="KE54" s="30"/>
      <c r="KF54" s="30"/>
      <c r="KG54" s="30"/>
      <c r="KH54" s="30"/>
      <c r="KI54" s="30"/>
      <c r="KJ54" s="30"/>
      <c r="KK54" s="30"/>
      <c r="KL54" s="30"/>
      <c r="KM54" s="30"/>
      <c r="KN54" s="30"/>
      <c r="KO54" s="30"/>
      <c r="KP54" s="1630"/>
    </row>
    <row r="55" spans="1:302" s="97" customFormat="1" ht="20.25" customHeight="1" outlineLevel="1">
      <c r="A55" s="1994" t="s">
        <v>758</v>
      </c>
      <c r="B55" s="1994"/>
      <c r="C55" s="2008" t="s">
        <v>492</v>
      </c>
      <c r="D55" s="1994" t="s">
        <v>618</v>
      </c>
      <c r="E55" s="261"/>
      <c r="F55" s="370"/>
      <c r="G55" s="371"/>
      <c r="H55" s="350" t="s">
        <v>26</v>
      </c>
      <c r="I55" s="2936"/>
      <c r="J55" s="362" t="s">
        <v>26</v>
      </c>
      <c r="K55" s="355"/>
      <c r="L55" s="358"/>
      <c r="M55" s="358"/>
      <c r="N55" s="358"/>
      <c r="O55" s="1510"/>
      <c r="P55" s="358"/>
      <c r="Q55" s="358"/>
      <c r="R55" s="358"/>
      <c r="S55" s="1510">
        <f t="shared" ref="S55" si="95">R55*Q55</f>
        <v>0</v>
      </c>
      <c r="T55" s="389"/>
      <c r="U55" s="1746"/>
      <c r="V55" s="1746"/>
      <c r="W55" s="1744">
        <f t="shared" ref="W55" si="96">O55+S55</f>
        <v>0</v>
      </c>
      <c r="X55" s="359" t="s">
        <v>26</v>
      </c>
      <c r="Y55" s="389"/>
      <c r="Z55" s="1746"/>
      <c r="AA55" s="1509"/>
      <c r="AB55" s="2722">
        <f t="shared" ref="AB55:AB131" si="97">SUM(AM55:BZ55)</f>
        <v>33680.699999999997</v>
      </c>
      <c r="AC55" s="1444"/>
      <c r="AD55" s="1443"/>
      <c r="AE55" s="1687"/>
      <c r="AF55" s="354"/>
      <c r="AG55" s="354"/>
      <c r="AH55" s="354">
        <f t="shared" ref="AH55" si="98">AF55*AG55</f>
        <v>0</v>
      </c>
      <c r="AI55" s="355">
        <f t="shared" ca="1" si="94"/>
        <v>0</v>
      </c>
      <c r="AJ55" s="356">
        <f t="shared" ca="1" si="1"/>
        <v>0</v>
      </c>
      <c r="AK55" s="2185"/>
      <c r="AL55" s="260"/>
      <c r="AM55" s="2258"/>
      <c r="AN55" s="2258"/>
      <c r="AO55" s="359"/>
      <c r="AP55" s="2629"/>
      <c r="AQ55" s="357"/>
      <c r="AR55" s="375"/>
      <c r="AS55" s="2628">
        <f>33680.85-0.15</f>
        <v>33680.699999999997</v>
      </c>
      <c r="AT55" s="2629"/>
      <c r="AU55" s="1505"/>
      <c r="AV55" s="1505"/>
      <c r="AW55" s="359"/>
      <c r="AX55" s="359"/>
      <c r="AY55" s="1985"/>
      <c r="AZ55" s="2273"/>
      <c r="BA55" s="497"/>
      <c r="BB55" s="377"/>
      <c r="BC55" s="359"/>
      <c r="BD55" s="359"/>
      <c r="BE55" s="359"/>
      <c r="BF55" s="359"/>
      <c r="BG55" s="359"/>
      <c r="BH55" s="359"/>
      <c r="BI55" s="380"/>
      <c r="BJ55" s="359"/>
      <c r="BK55" s="2122"/>
      <c r="BL55" s="380"/>
      <c r="BM55" s="380"/>
      <c r="BN55" s="380"/>
      <c r="BO55" s="380"/>
      <c r="BP55" s="380"/>
      <c r="BQ55" s="2087"/>
      <c r="BR55" s="359"/>
      <c r="BS55" s="359"/>
      <c r="BT55" s="359"/>
      <c r="BU55" s="364"/>
      <c r="BV55" s="364"/>
      <c r="BW55" s="2366"/>
      <c r="BX55" s="2463"/>
      <c r="BY55" s="2543"/>
      <c r="BZ55" s="2543"/>
      <c r="CA55" s="2591">
        <f t="shared" si="86"/>
        <v>33680.699999999997</v>
      </c>
      <c r="CB55" s="2377">
        <f t="shared" si="87"/>
        <v>1</v>
      </c>
      <c r="CC55" s="365">
        <f t="shared" si="88"/>
        <v>2.9690594316626439E-5</v>
      </c>
      <c r="CD55" s="366"/>
      <c r="CE55" s="343"/>
      <c r="CF55" s="343"/>
      <c r="CG55" s="340"/>
      <c r="CH55" s="367"/>
      <c r="CI55" s="368"/>
      <c r="CJ55" s="368"/>
      <c r="CK55" s="369"/>
      <c r="CL55" s="329">
        <f t="shared" si="12"/>
        <v>-33680.699999999997</v>
      </c>
      <c r="CM55" s="330">
        <f t="shared" ca="1" si="13"/>
        <v>0</v>
      </c>
      <c r="CN55" s="331">
        <f t="shared" ca="1" si="14"/>
        <v>0</v>
      </c>
      <c r="CO55" s="86"/>
      <c r="CP55" s="86"/>
      <c r="CQ55" s="1641"/>
      <c r="CR55" s="86"/>
      <c r="CS55" s="86"/>
      <c r="CT55" s="86"/>
      <c r="CU55" s="86"/>
      <c r="CV55" s="86"/>
      <c r="CW55" s="86"/>
      <c r="CX55" s="86"/>
      <c r="CY55" s="86"/>
      <c r="CZ55" s="86"/>
      <c r="DA55" s="86"/>
      <c r="DB55" s="1642"/>
      <c r="DC55" s="1642"/>
      <c r="DD55" s="30"/>
      <c r="DE55" s="30"/>
      <c r="DF55" s="30"/>
      <c r="DG55" s="1642"/>
      <c r="DH55" s="1642"/>
      <c r="DI55" s="1642"/>
      <c r="DJ55" s="1642"/>
      <c r="DK55" s="1642"/>
      <c r="DL55" s="1642"/>
      <c r="DM55" s="1642"/>
      <c r="DN55" s="1642"/>
      <c r="DO55" s="1642"/>
      <c r="DP55" s="1642"/>
      <c r="DQ55" s="1642"/>
      <c r="DR55" s="1642"/>
      <c r="DS55" s="1642"/>
      <c r="DT55" s="1642"/>
      <c r="DU55" s="1642"/>
      <c r="DV55" s="1642"/>
      <c r="DW55" s="1642"/>
      <c r="DX55" s="1642"/>
      <c r="DY55" s="1642"/>
      <c r="DZ55" s="1642"/>
      <c r="EA55" s="1642"/>
      <c r="EB55" s="1642"/>
      <c r="EC55" s="1642"/>
      <c r="ED55" s="1642"/>
      <c r="EE55" s="1642"/>
      <c r="EF55" s="1642"/>
      <c r="EG55" s="1642"/>
      <c r="EH55" s="1643"/>
      <c r="EI55" s="1658"/>
      <c r="EJ55" s="30"/>
      <c r="EK55" s="30"/>
      <c r="EL55" s="30"/>
      <c r="EM55" s="30"/>
      <c r="EN55" s="30"/>
      <c r="EO55" s="30"/>
      <c r="EP55" s="30"/>
      <c r="EQ55" s="30"/>
      <c r="ER55" s="30"/>
      <c r="ES55" s="30"/>
      <c r="ET55" s="30"/>
      <c r="EU55" s="30"/>
      <c r="EV55" s="30"/>
      <c r="EW55" s="30"/>
      <c r="EX55" s="30"/>
      <c r="EY55" s="30"/>
      <c r="EZ55" s="30"/>
      <c r="FA55" s="30"/>
      <c r="FB55" s="30"/>
      <c r="FC55" s="30"/>
      <c r="FD55" s="30"/>
      <c r="FE55" s="30"/>
      <c r="FF55" s="30"/>
      <c r="FG55" s="30"/>
      <c r="FH55" s="30"/>
      <c r="FI55" s="30"/>
      <c r="FJ55" s="30"/>
      <c r="FK55" s="30"/>
      <c r="FL55" s="30"/>
      <c r="FM55" s="30"/>
      <c r="FN55" s="30"/>
      <c r="FO55" s="30"/>
      <c r="FP55" s="30"/>
      <c r="FQ55" s="30"/>
      <c r="FR55" s="30"/>
      <c r="FS55" s="30"/>
      <c r="FT55" s="30"/>
      <c r="FU55" s="30"/>
      <c r="FV55" s="30"/>
      <c r="FW55" s="30"/>
      <c r="FX55" s="30"/>
      <c r="FY55" s="30"/>
      <c r="FZ55" s="30"/>
      <c r="GA55" s="30"/>
      <c r="GB55" s="30"/>
      <c r="GC55" s="30"/>
      <c r="GD55" s="30"/>
      <c r="GE55" s="30"/>
      <c r="GF55" s="30"/>
      <c r="GG55" s="30"/>
      <c r="GH55" s="30"/>
      <c r="GI55" s="30"/>
      <c r="GJ55" s="30"/>
      <c r="GK55" s="30"/>
      <c r="GL55" s="30"/>
      <c r="GM55" s="30"/>
      <c r="GN55" s="30"/>
      <c r="GO55" s="30"/>
      <c r="GP55" s="30"/>
      <c r="GQ55" s="30"/>
      <c r="GR55" s="30"/>
      <c r="GS55" s="30"/>
      <c r="GT55" s="30"/>
      <c r="GU55" s="30"/>
      <c r="GV55" s="30"/>
      <c r="GW55" s="30"/>
      <c r="GX55" s="30"/>
      <c r="GY55" s="30"/>
      <c r="GZ55" s="30"/>
      <c r="HA55" s="30"/>
      <c r="HB55" s="30"/>
      <c r="HC55" s="30"/>
      <c r="HD55" s="30"/>
      <c r="HE55" s="30"/>
      <c r="HF55" s="30"/>
      <c r="HG55" s="30"/>
      <c r="HH55" s="30"/>
      <c r="HI55" s="30"/>
      <c r="HJ55" s="30"/>
      <c r="HK55" s="30"/>
      <c r="HL55" s="30"/>
      <c r="HM55" s="30"/>
      <c r="HN55" s="30"/>
      <c r="HO55" s="30"/>
      <c r="HP55" s="30"/>
      <c r="HQ55" s="30"/>
      <c r="HR55" s="30"/>
      <c r="HS55" s="30"/>
      <c r="HT55" s="30"/>
      <c r="HU55" s="30"/>
      <c r="HV55" s="30"/>
      <c r="HW55" s="30"/>
      <c r="HX55" s="30"/>
      <c r="HY55" s="30"/>
      <c r="HZ55" s="30"/>
      <c r="IA55" s="30"/>
      <c r="IB55" s="30"/>
      <c r="IC55" s="30"/>
      <c r="ID55" s="30"/>
      <c r="IE55" s="30"/>
      <c r="IF55" s="30"/>
      <c r="IG55" s="30"/>
      <c r="IH55" s="30"/>
      <c r="II55" s="30"/>
      <c r="IJ55" s="30"/>
      <c r="IK55" s="30"/>
      <c r="IL55" s="30"/>
      <c r="IM55" s="30"/>
      <c r="IN55" s="30"/>
      <c r="IO55" s="30"/>
      <c r="IP55" s="30"/>
      <c r="IQ55" s="30"/>
      <c r="IR55" s="30"/>
      <c r="IS55" s="30"/>
      <c r="IT55" s="30"/>
      <c r="IU55" s="30"/>
      <c r="IV55" s="30"/>
      <c r="IW55" s="30"/>
      <c r="IX55" s="30"/>
      <c r="IY55" s="30"/>
      <c r="IZ55" s="30"/>
      <c r="JA55" s="30"/>
      <c r="JB55" s="30"/>
      <c r="JC55" s="30"/>
      <c r="JD55" s="30"/>
      <c r="JE55" s="30"/>
      <c r="JF55" s="30"/>
      <c r="JG55" s="30"/>
      <c r="JH55" s="30"/>
      <c r="JI55" s="30"/>
      <c r="JJ55" s="30"/>
      <c r="JK55" s="30"/>
      <c r="JL55" s="30"/>
      <c r="JM55" s="30"/>
      <c r="JN55" s="30"/>
      <c r="JO55" s="30"/>
      <c r="JP55" s="30"/>
      <c r="JQ55" s="30"/>
      <c r="JR55" s="30"/>
      <c r="JS55" s="30"/>
      <c r="JT55" s="30"/>
      <c r="JU55" s="30"/>
      <c r="JV55" s="30"/>
      <c r="JW55" s="30"/>
      <c r="JX55" s="30"/>
      <c r="JY55" s="30"/>
      <c r="JZ55" s="30"/>
      <c r="KA55" s="30"/>
      <c r="KB55" s="30"/>
      <c r="KC55" s="30"/>
      <c r="KD55" s="30"/>
      <c r="KE55" s="30"/>
      <c r="KF55" s="30"/>
      <c r="KG55" s="30"/>
      <c r="KH55" s="30"/>
      <c r="KI55" s="30"/>
      <c r="KJ55" s="30"/>
      <c r="KK55" s="30"/>
      <c r="KL55" s="30"/>
      <c r="KM55" s="30"/>
      <c r="KN55" s="30"/>
      <c r="KO55" s="30"/>
      <c r="KP55" s="1630"/>
    </row>
    <row r="56" spans="1:302" s="97" customFormat="1" ht="20.25" customHeight="1" outlineLevel="1">
      <c r="A56" s="1994" t="s">
        <v>819</v>
      </c>
      <c r="B56" s="1994"/>
      <c r="C56" s="2008" t="s">
        <v>1309</v>
      </c>
      <c r="D56" s="1994" t="s">
        <v>618</v>
      </c>
      <c r="E56" s="261"/>
      <c r="F56" s="370"/>
      <c r="G56" s="371"/>
      <c r="H56" s="350" t="s">
        <v>26</v>
      </c>
      <c r="I56" s="2936"/>
      <c r="J56" s="362" t="s">
        <v>26</v>
      </c>
      <c r="K56" s="355"/>
      <c r="L56" s="358"/>
      <c r="M56" s="358"/>
      <c r="N56" s="358"/>
      <c r="O56" s="1510"/>
      <c r="P56" s="358"/>
      <c r="Q56" s="358"/>
      <c r="R56" s="358"/>
      <c r="S56" s="1510">
        <f t="shared" ref="S56:S135" si="99">R56*Q56</f>
        <v>0</v>
      </c>
      <c r="T56" s="389"/>
      <c r="U56" s="1746"/>
      <c r="V56" s="1746"/>
      <c r="W56" s="1744">
        <f t="shared" si="92"/>
        <v>0</v>
      </c>
      <c r="X56" s="359" t="s">
        <v>26</v>
      </c>
      <c r="Y56" s="389"/>
      <c r="Z56" s="1746"/>
      <c r="AA56" s="1509"/>
      <c r="AB56" s="1510">
        <f t="shared" si="97"/>
        <v>1821319.0000000002</v>
      </c>
      <c r="AC56" s="1444" t="s">
        <v>739</v>
      </c>
      <c r="AD56" s="1443">
        <v>4502938804</v>
      </c>
      <c r="AE56" s="1687" t="s">
        <v>564</v>
      </c>
      <c r="AF56" s="354">
        <v>1821319</v>
      </c>
      <c r="AG56" s="354">
        <v>1</v>
      </c>
      <c r="AH56" s="354">
        <f t="shared" si="93"/>
        <v>1821319</v>
      </c>
      <c r="AI56" s="355">
        <f t="shared" ca="1" si="94"/>
        <v>0</v>
      </c>
      <c r="AJ56" s="356">
        <f t="shared" ca="1" si="1"/>
        <v>0</v>
      </c>
      <c r="AK56" s="2185"/>
      <c r="AL56" s="260"/>
      <c r="AM56" s="2258"/>
      <c r="AN56" s="2258"/>
      <c r="AO56" s="359"/>
      <c r="AP56" s="360"/>
      <c r="AQ56" s="360">
        <v>260188.42857142858</v>
      </c>
      <c r="AR56" s="360">
        <v>260188.42857142858</v>
      </c>
      <c r="AS56" s="360">
        <v>260188.42857142858</v>
      </c>
      <c r="AT56" s="360">
        <v>260188.42857142858</v>
      </c>
      <c r="AU56" s="360">
        <v>260188.42857142858</v>
      </c>
      <c r="AV56" s="360">
        <v>260188.42857142858</v>
      </c>
      <c r="AW56" s="359">
        <v>260188.42857142858</v>
      </c>
      <c r="AX56" s="359"/>
      <c r="AY56" s="2312"/>
      <c r="AZ56" s="2273"/>
      <c r="BA56" s="497"/>
      <c r="BB56" s="377"/>
      <c r="BC56" s="359"/>
      <c r="BD56" s="359"/>
      <c r="BE56" s="359"/>
      <c r="BF56" s="359"/>
      <c r="BG56" s="359"/>
      <c r="BH56" s="359"/>
      <c r="BI56" s="380"/>
      <c r="BJ56" s="359"/>
      <c r="BK56" s="2122"/>
      <c r="BL56" s="380"/>
      <c r="BM56" s="380"/>
      <c r="BN56" s="380"/>
      <c r="BO56" s="380"/>
      <c r="BP56" s="380"/>
      <c r="BQ56" s="2087"/>
      <c r="BR56" s="359"/>
      <c r="BS56" s="359"/>
      <c r="BT56" s="359"/>
      <c r="BU56" s="364"/>
      <c r="BV56" s="364"/>
      <c r="BW56" s="2366"/>
      <c r="BX56" s="2463"/>
      <c r="BY56" s="2543"/>
      <c r="BZ56" s="2543"/>
      <c r="CA56" s="2591">
        <f t="shared" si="86"/>
        <v>1821319.0000000002</v>
      </c>
      <c r="CB56" s="2377">
        <f t="shared" si="87"/>
        <v>1</v>
      </c>
      <c r="CC56" s="365">
        <f t="shared" si="88"/>
        <v>5.4905263712726871E-7</v>
      </c>
      <c r="CD56" s="366"/>
      <c r="CE56" s="343"/>
      <c r="CF56" s="343"/>
      <c r="CG56" s="340"/>
      <c r="CH56" s="367"/>
      <c r="CI56" s="368"/>
      <c r="CJ56" s="368"/>
      <c r="CK56" s="369"/>
      <c r="CL56" s="329">
        <f t="shared" si="12"/>
        <v>-1821319.0000000002</v>
      </c>
      <c r="CM56" s="330">
        <f t="shared" ca="1" si="13"/>
        <v>0</v>
      </c>
      <c r="CN56" s="331">
        <f t="shared" ca="1" si="14"/>
        <v>0</v>
      </c>
      <c r="CO56" s="86"/>
      <c r="CP56" s="86"/>
      <c r="CQ56" s="1641"/>
      <c r="CR56" s="86"/>
      <c r="CS56" s="86"/>
      <c r="CT56" s="86"/>
      <c r="CU56" s="86"/>
      <c r="CV56" s="86"/>
      <c r="CW56" s="86"/>
      <c r="CX56" s="86"/>
      <c r="CY56" s="86"/>
      <c r="CZ56" s="86"/>
      <c r="DA56" s="86"/>
      <c r="DB56" s="1642"/>
      <c r="DC56" s="1642"/>
      <c r="DD56" s="30"/>
      <c r="DE56" s="30"/>
      <c r="DF56" s="30"/>
      <c r="DG56" s="1642"/>
      <c r="DH56" s="1642"/>
      <c r="DI56" s="1642"/>
      <c r="DJ56" s="1642"/>
      <c r="DK56" s="1642"/>
      <c r="DL56" s="1642"/>
      <c r="DM56" s="1642"/>
      <c r="DN56" s="1642"/>
      <c r="DO56" s="1642"/>
      <c r="DP56" s="1642"/>
      <c r="DQ56" s="1642"/>
      <c r="DR56" s="1642"/>
      <c r="DS56" s="1642"/>
      <c r="DT56" s="1642"/>
      <c r="DU56" s="1642"/>
      <c r="DV56" s="1642"/>
      <c r="DW56" s="1642"/>
      <c r="DX56" s="1642"/>
      <c r="DY56" s="1642"/>
      <c r="DZ56" s="1642"/>
      <c r="EA56" s="1642"/>
      <c r="EB56" s="1642"/>
      <c r="EC56" s="1642"/>
      <c r="ED56" s="1642"/>
      <c r="EE56" s="1642"/>
      <c r="EF56" s="1642"/>
      <c r="EG56" s="1642"/>
      <c r="EH56" s="1643"/>
      <c r="EI56" s="1658"/>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0"/>
      <c r="HS56" s="30"/>
      <c r="HT56" s="30"/>
      <c r="HU56" s="30"/>
      <c r="HV56" s="30"/>
      <c r="HW56" s="30"/>
      <c r="HX56" s="30"/>
      <c r="HY56" s="30"/>
      <c r="HZ56" s="30"/>
      <c r="IA56" s="30"/>
      <c r="IB56" s="30"/>
      <c r="IC56" s="30"/>
      <c r="ID56" s="30"/>
      <c r="IE56" s="30"/>
      <c r="IF56" s="30"/>
      <c r="IG56" s="30"/>
      <c r="IH56" s="30"/>
      <c r="II56" s="30"/>
      <c r="IJ56" s="30"/>
      <c r="IK56" s="30"/>
      <c r="IL56" s="30"/>
      <c r="IM56" s="30"/>
      <c r="IN56" s="30"/>
      <c r="IO56" s="30"/>
      <c r="IP56" s="30"/>
      <c r="IQ56" s="30"/>
      <c r="IR56" s="30"/>
      <c r="IS56" s="30"/>
      <c r="IT56" s="30"/>
      <c r="IU56" s="30"/>
      <c r="IV56" s="30"/>
      <c r="IW56" s="30"/>
      <c r="IX56" s="30"/>
      <c r="IY56" s="30"/>
      <c r="IZ56" s="30"/>
      <c r="JA56" s="30"/>
      <c r="JB56" s="30"/>
      <c r="JC56" s="30"/>
      <c r="JD56" s="30"/>
      <c r="JE56" s="30"/>
      <c r="JF56" s="30"/>
      <c r="JG56" s="30"/>
      <c r="JH56" s="30"/>
      <c r="JI56" s="30"/>
      <c r="JJ56" s="30"/>
      <c r="JK56" s="30"/>
      <c r="JL56" s="30"/>
      <c r="JM56" s="30"/>
      <c r="JN56" s="30"/>
      <c r="JO56" s="30"/>
      <c r="JP56" s="30"/>
      <c r="JQ56" s="30"/>
      <c r="JR56" s="30"/>
      <c r="JS56" s="30"/>
      <c r="JT56" s="30"/>
      <c r="JU56" s="30"/>
      <c r="JV56" s="30"/>
      <c r="JW56" s="30"/>
      <c r="JX56" s="30"/>
      <c r="JY56" s="30"/>
      <c r="JZ56" s="30"/>
      <c r="KA56" s="30"/>
      <c r="KB56" s="30"/>
      <c r="KC56" s="30"/>
      <c r="KD56" s="30"/>
      <c r="KE56" s="30"/>
      <c r="KF56" s="30"/>
      <c r="KG56" s="30"/>
      <c r="KH56" s="30"/>
      <c r="KI56" s="30"/>
      <c r="KJ56" s="30"/>
      <c r="KK56" s="30"/>
      <c r="KL56" s="30"/>
      <c r="KM56" s="30"/>
      <c r="KN56" s="30"/>
      <c r="KO56" s="30"/>
      <c r="KP56" s="1630"/>
    </row>
    <row r="57" spans="1:302" s="97" customFormat="1" ht="20.25" customHeight="1" outlineLevel="1">
      <c r="A57" s="1994" t="s">
        <v>1315</v>
      </c>
      <c r="B57" s="1994"/>
      <c r="C57" s="2008" t="s">
        <v>1316</v>
      </c>
      <c r="D57" s="1994"/>
      <c r="E57" s="261"/>
      <c r="F57" s="370"/>
      <c r="G57" s="371"/>
      <c r="H57" s="350" t="s">
        <v>26</v>
      </c>
      <c r="I57" s="2936"/>
      <c r="J57" s="362" t="s">
        <v>26</v>
      </c>
      <c r="K57" s="355"/>
      <c r="L57" s="358"/>
      <c r="M57" s="358"/>
      <c r="N57" s="358"/>
      <c r="O57" s="1510"/>
      <c r="P57" s="358"/>
      <c r="Q57" s="358"/>
      <c r="R57" s="358"/>
      <c r="S57" s="1510">
        <f t="shared" si="99"/>
        <v>0</v>
      </c>
      <c r="T57" s="389"/>
      <c r="U57" s="1746"/>
      <c r="V57" s="1746"/>
      <c r="W57" s="1744">
        <f t="shared" si="92"/>
        <v>0</v>
      </c>
      <c r="X57" s="359" t="s">
        <v>26</v>
      </c>
      <c r="Y57" s="389"/>
      <c r="Z57" s="1746"/>
      <c r="AA57" s="1509"/>
      <c r="AB57" s="2722">
        <f t="shared" si="97"/>
        <v>500</v>
      </c>
      <c r="AC57" s="1444"/>
      <c r="AD57" s="1443"/>
      <c r="AE57" s="1687"/>
      <c r="AF57" s="354"/>
      <c r="AG57" s="354"/>
      <c r="AH57" s="354">
        <f t="shared" si="93"/>
        <v>0</v>
      </c>
      <c r="AI57" s="355">
        <f t="shared" ref="AI57:AI58" ca="1" si="100">SUMIF($AM$10:$BZ$10,$AI$9,AM57:BT57)</f>
        <v>0</v>
      </c>
      <c r="AJ57" s="356">
        <f t="shared" ref="AJ57:AJ58" ca="1" si="101">IF($AB57&lt;&gt;0,AI57/$AB57,"")</f>
        <v>0</v>
      </c>
      <c r="AK57" s="2185"/>
      <c r="AL57" s="260"/>
      <c r="AM57" s="2258"/>
      <c r="AN57" s="2258"/>
      <c r="AO57" s="359"/>
      <c r="AP57" s="360"/>
      <c r="AQ57" s="360"/>
      <c r="AR57" s="360"/>
      <c r="AS57" s="360"/>
      <c r="AT57" s="360"/>
      <c r="AU57" s="360">
        <v>500</v>
      </c>
      <c r="AV57" s="360"/>
      <c r="AW57" s="359"/>
      <c r="AX57" s="359"/>
      <c r="AY57" s="2312"/>
      <c r="AZ57" s="2273"/>
      <c r="BA57" s="497"/>
      <c r="BB57" s="377"/>
      <c r="BC57" s="359"/>
      <c r="BD57" s="359"/>
      <c r="BE57" s="359"/>
      <c r="BF57" s="359"/>
      <c r="BG57" s="359"/>
      <c r="BH57" s="359"/>
      <c r="BI57" s="380"/>
      <c r="BJ57" s="359"/>
      <c r="BK57" s="2122"/>
      <c r="BL57" s="380"/>
      <c r="BM57" s="380"/>
      <c r="BN57" s="380"/>
      <c r="BO57" s="380"/>
      <c r="BP57" s="380"/>
      <c r="BQ57" s="2087"/>
      <c r="BR57" s="359"/>
      <c r="BS57" s="359"/>
      <c r="BT57" s="359"/>
      <c r="BU57" s="364"/>
      <c r="BV57" s="364"/>
      <c r="BW57" s="2366"/>
      <c r="BX57" s="2463"/>
      <c r="BY57" s="2543"/>
      <c r="BZ57" s="2543"/>
      <c r="CA57" s="2591">
        <f t="shared" si="86"/>
        <v>500</v>
      </c>
      <c r="CB57" s="2377">
        <f t="shared" si="87"/>
        <v>1</v>
      </c>
      <c r="CC57" s="365">
        <f t="shared" si="88"/>
        <v>2E-3</v>
      </c>
      <c r="CD57" s="366"/>
      <c r="CE57" s="343"/>
      <c r="CF57" s="343"/>
      <c r="CG57" s="340"/>
      <c r="CH57" s="367"/>
      <c r="CI57" s="368"/>
      <c r="CJ57" s="368"/>
      <c r="CK57" s="369"/>
      <c r="CL57" s="329">
        <f t="shared" si="12"/>
        <v>-500</v>
      </c>
      <c r="CM57" s="330">
        <f t="shared" ca="1" si="13"/>
        <v>0</v>
      </c>
      <c r="CN57" s="331"/>
      <c r="CO57" s="86"/>
      <c r="CP57" s="86"/>
      <c r="CQ57" s="1641"/>
      <c r="CR57" s="86"/>
      <c r="CS57" s="86"/>
      <c r="CT57" s="86"/>
      <c r="CU57" s="86"/>
      <c r="CV57" s="86"/>
      <c r="CW57" s="86"/>
      <c r="CX57" s="86"/>
      <c r="CY57" s="86"/>
      <c r="CZ57" s="86"/>
      <c r="DA57" s="86"/>
      <c r="DB57" s="1642"/>
      <c r="DC57" s="1642"/>
      <c r="DD57" s="30"/>
      <c r="DE57" s="30"/>
      <c r="DF57" s="30"/>
      <c r="DG57" s="1642"/>
      <c r="DH57" s="1642"/>
      <c r="DI57" s="1642"/>
      <c r="DJ57" s="1642"/>
      <c r="DK57" s="1642"/>
      <c r="DL57" s="1642"/>
      <c r="DM57" s="1642"/>
      <c r="DN57" s="1642"/>
      <c r="DO57" s="1642"/>
      <c r="DP57" s="1642"/>
      <c r="DQ57" s="1642"/>
      <c r="DR57" s="1642"/>
      <c r="DS57" s="1642"/>
      <c r="DT57" s="1642"/>
      <c r="DU57" s="1642"/>
      <c r="DV57" s="1642"/>
      <c r="DW57" s="1642"/>
      <c r="DX57" s="1642"/>
      <c r="DY57" s="1642"/>
      <c r="DZ57" s="1642"/>
      <c r="EA57" s="1642"/>
      <c r="EB57" s="1642"/>
      <c r="EC57" s="1642"/>
      <c r="ED57" s="1642"/>
      <c r="EE57" s="1642"/>
      <c r="EF57" s="1642"/>
      <c r="EG57" s="1642"/>
      <c r="EH57" s="1643"/>
      <c r="EI57" s="1658"/>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0"/>
      <c r="HS57" s="30"/>
      <c r="HT57" s="30"/>
      <c r="HU57" s="30"/>
      <c r="HV57" s="30"/>
      <c r="HW57" s="30"/>
      <c r="HX57" s="30"/>
      <c r="HY57" s="30"/>
      <c r="HZ57" s="30"/>
      <c r="IA57" s="30"/>
      <c r="IB57" s="30"/>
      <c r="IC57" s="30"/>
      <c r="ID57" s="30"/>
      <c r="IE57" s="30"/>
      <c r="IF57" s="30"/>
      <c r="IG57" s="30"/>
      <c r="IH57" s="30"/>
      <c r="II57" s="30"/>
      <c r="IJ57" s="30"/>
      <c r="IK57" s="30"/>
      <c r="IL57" s="30"/>
      <c r="IM57" s="30"/>
      <c r="IN57" s="30"/>
      <c r="IO57" s="30"/>
      <c r="IP57" s="30"/>
      <c r="IQ57" s="30"/>
      <c r="IR57" s="30"/>
      <c r="IS57" s="30"/>
      <c r="IT57" s="30"/>
      <c r="IU57" s="30"/>
      <c r="IV57" s="30"/>
      <c r="IW57" s="30"/>
      <c r="IX57" s="30"/>
      <c r="IY57" s="30"/>
      <c r="IZ57" s="30"/>
      <c r="JA57" s="30"/>
      <c r="JB57" s="30"/>
      <c r="JC57" s="30"/>
      <c r="JD57" s="30"/>
      <c r="JE57" s="30"/>
      <c r="JF57" s="30"/>
      <c r="JG57" s="30"/>
      <c r="JH57" s="30"/>
      <c r="JI57" s="30"/>
      <c r="JJ57" s="30"/>
      <c r="JK57" s="30"/>
      <c r="JL57" s="30"/>
      <c r="JM57" s="30"/>
      <c r="JN57" s="30"/>
      <c r="JO57" s="30"/>
      <c r="JP57" s="30"/>
      <c r="JQ57" s="30"/>
      <c r="JR57" s="30"/>
      <c r="JS57" s="30"/>
      <c r="JT57" s="30"/>
      <c r="JU57" s="30"/>
      <c r="JV57" s="30"/>
      <c r="JW57" s="30"/>
      <c r="JX57" s="30"/>
      <c r="JY57" s="30"/>
      <c r="JZ57" s="30"/>
      <c r="KA57" s="30"/>
      <c r="KB57" s="30"/>
      <c r="KC57" s="30"/>
      <c r="KD57" s="30"/>
      <c r="KE57" s="30"/>
      <c r="KF57" s="30"/>
      <c r="KG57" s="30"/>
      <c r="KH57" s="30"/>
      <c r="KI57" s="30"/>
      <c r="KJ57" s="30"/>
      <c r="KK57" s="30"/>
      <c r="KL57" s="30"/>
      <c r="KM57" s="30"/>
      <c r="KN57" s="30"/>
      <c r="KO57" s="30"/>
      <c r="KP57" s="1630"/>
    </row>
    <row r="58" spans="1:302" s="97" customFormat="1" ht="20.25" customHeight="1" outlineLevel="1">
      <c r="A58" s="1994" t="s">
        <v>1315</v>
      </c>
      <c r="B58" s="1994"/>
      <c r="C58" s="2008" t="s">
        <v>1316</v>
      </c>
      <c r="D58" s="1994"/>
      <c r="E58" s="261"/>
      <c r="F58" s="370"/>
      <c r="G58" s="371"/>
      <c r="H58" s="350" t="s">
        <v>26</v>
      </c>
      <c r="I58" s="2936"/>
      <c r="J58" s="362" t="s">
        <v>26</v>
      </c>
      <c r="K58" s="355"/>
      <c r="L58" s="358"/>
      <c r="M58" s="358"/>
      <c r="N58" s="358"/>
      <c r="O58" s="1510"/>
      <c r="P58" s="358"/>
      <c r="Q58" s="358"/>
      <c r="R58" s="358"/>
      <c r="S58" s="1510">
        <f t="shared" si="99"/>
        <v>0</v>
      </c>
      <c r="T58" s="389"/>
      <c r="U58" s="1746"/>
      <c r="V58" s="1746"/>
      <c r="W58" s="1744">
        <f t="shared" si="92"/>
        <v>0</v>
      </c>
      <c r="X58" s="359" t="s">
        <v>26</v>
      </c>
      <c r="Y58" s="389"/>
      <c r="Z58" s="1746"/>
      <c r="AA58" s="1509"/>
      <c r="AB58" s="2760">
        <f t="shared" si="97"/>
        <v>131559.99740740747</v>
      </c>
      <c r="AC58" s="1444" t="s">
        <v>1336</v>
      </c>
      <c r="AD58" s="1443">
        <v>4502968920</v>
      </c>
      <c r="AE58" s="1687" t="s">
        <v>1247</v>
      </c>
      <c r="AF58" s="354">
        <v>131560</v>
      </c>
      <c r="AG58" s="354">
        <v>1</v>
      </c>
      <c r="AH58" s="354">
        <f t="shared" si="93"/>
        <v>131560</v>
      </c>
      <c r="AI58" s="355">
        <f t="shared" ca="1" si="100"/>
        <v>0</v>
      </c>
      <c r="AJ58" s="356">
        <f t="shared" ca="1" si="101"/>
        <v>0</v>
      </c>
      <c r="AK58" s="2185"/>
      <c r="AL58" s="260"/>
      <c r="AM58" s="2258"/>
      <c r="AN58" s="2258"/>
      <c r="AO58" s="359"/>
      <c r="AP58" s="2838"/>
      <c r="AQ58" s="360">
        <v>4872.5925925925922</v>
      </c>
      <c r="AR58" s="360">
        <v>4872.5925925925922</v>
      </c>
      <c r="AS58" s="360">
        <v>4872.5925925925922</v>
      </c>
      <c r="AT58" s="360">
        <v>4872.5925925925922</v>
      </c>
      <c r="AU58" s="360">
        <v>4872.5925925925922</v>
      </c>
      <c r="AV58" s="360">
        <v>4872.5925925925922</v>
      </c>
      <c r="AW58" s="359">
        <v>4872.5925925925922</v>
      </c>
      <c r="AX58" s="359">
        <v>4872.5925925925922</v>
      </c>
      <c r="AY58" s="2312">
        <v>4872.5925925925922</v>
      </c>
      <c r="AZ58" s="2273">
        <v>4872.5925925925922</v>
      </c>
      <c r="BA58" s="497">
        <v>4872.5925925925922</v>
      </c>
      <c r="BB58" s="377">
        <f>4872.59259259259+4872.59</f>
        <v>9745.1825925925914</v>
      </c>
      <c r="BC58" s="359">
        <v>4872.5925925925922</v>
      </c>
      <c r="BD58" s="359">
        <v>4872.5925925925922</v>
      </c>
      <c r="BE58" s="359">
        <v>4872.5925925925922</v>
      </c>
      <c r="BF58" s="359">
        <v>4872.5925925925922</v>
      </c>
      <c r="BG58" s="359">
        <v>4872.5925925925922</v>
      </c>
      <c r="BH58" s="359">
        <v>4872.5925925925922</v>
      </c>
      <c r="BI58" s="380">
        <v>4872.5925925925922</v>
      </c>
      <c r="BJ58" s="359">
        <v>4872.5925925925922</v>
      </c>
      <c r="BK58" s="2122">
        <v>4872.5925925925922</v>
      </c>
      <c r="BL58" s="380">
        <v>4872.5925925925922</v>
      </c>
      <c r="BM58" s="380">
        <v>4872.5925925925922</v>
      </c>
      <c r="BN58" s="380">
        <v>4872.5925925925922</v>
      </c>
      <c r="BO58" s="380">
        <v>4872.5925925925922</v>
      </c>
      <c r="BP58" s="380">
        <v>4872.5925925925922</v>
      </c>
      <c r="BQ58" s="2087"/>
      <c r="BR58" s="359"/>
      <c r="BS58" s="359"/>
      <c r="BT58" s="359"/>
      <c r="BU58" s="364"/>
      <c r="BV58" s="364"/>
      <c r="BW58" s="2366"/>
      <c r="BX58" s="2463"/>
      <c r="BY58" s="2543"/>
      <c r="BZ58" s="2543"/>
      <c r="CA58" s="2591">
        <f t="shared" ref="CA58:CA60" si="102">SUMIF($AM$10:$BZ$10,$CA$9,AM58:BZ58)</f>
        <v>131559.99740740747</v>
      </c>
      <c r="CB58" s="2377">
        <f t="shared" ref="CB58:CB60" si="103">IF($AB58&lt;&gt;0,CA58/$AB58,"")</f>
        <v>1</v>
      </c>
      <c r="CC58" s="365">
        <f t="shared" ref="CC58:CC60" si="104">IF($AB58&lt;&gt;0,CB58/$AB58,"")</f>
        <v>7.6010947074075807E-6</v>
      </c>
      <c r="CD58" s="366"/>
      <c r="CE58" s="343"/>
      <c r="CF58" s="343"/>
      <c r="CG58" s="340"/>
      <c r="CH58" s="367"/>
      <c r="CI58" s="368"/>
      <c r="CJ58" s="368"/>
      <c r="CK58" s="369"/>
      <c r="CL58" s="329">
        <f t="shared" si="12"/>
        <v>-131559.99740740747</v>
      </c>
      <c r="CM58" s="330">
        <f t="shared" ca="1" si="13"/>
        <v>0</v>
      </c>
      <c r="CN58" s="331"/>
      <c r="CO58" s="86"/>
      <c r="CP58" s="86"/>
      <c r="CQ58" s="1641"/>
      <c r="CR58" s="86"/>
      <c r="CS58" s="86"/>
      <c r="CT58" s="86"/>
      <c r="CU58" s="86"/>
      <c r="CV58" s="86"/>
      <c r="CW58" s="86"/>
      <c r="CX58" s="86"/>
      <c r="CY58" s="86"/>
      <c r="CZ58" s="86"/>
      <c r="DA58" s="86"/>
      <c r="DB58" s="1642"/>
      <c r="DC58" s="1642"/>
      <c r="DD58" s="30"/>
      <c r="DE58" s="30"/>
      <c r="DF58" s="30"/>
      <c r="DG58" s="1642"/>
      <c r="DH58" s="1642"/>
      <c r="DI58" s="1642"/>
      <c r="DJ58" s="1642"/>
      <c r="DK58" s="1642"/>
      <c r="DL58" s="1642"/>
      <c r="DM58" s="1642"/>
      <c r="DN58" s="1642"/>
      <c r="DO58" s="1642"/>
      <c r="DP58" s="1642"/>
      <c r="DQ58" s="1642"/>
      <c r="DR58" s="1642"/>
      <c r="DS58" s="1642"/>
      <c r="DT58" s="1642"/>
      <c r="DU58" s="1642"/>
      <c r="DV58" s="1642"/>
      <c r="DW58" s="1642"/>
      <c r="DX58" s="1642"/>
      <c r="DY58" s="1642"/>
      <c r="DZ58" s="1642"/>
      <c r="EA58" s="1642"/>
      <c r="EB58" s="1642"/>
      <c r="EC58" s="1642"/>
      <c r="ED58" s="1642"/>
      <c r="EE58" s="1642"/>
      <c r="EF58" s="1642"/>
      <c r="EG58" s="1642"/>
      <c r="EH58" s="1643"/>
      <c r="EI58" s="1658"/>
      <c r="EJ58" s="30"/>
      <c r="EK58" s="30"/>
      <c r="EL58" s="30"/>
      <c r="EM58" s="30"/>
      <c r="EN58" s="30"/>
      <c r="EO58" s="30"/>
      <c r="EP58" s="30"/>
      <c r="EQ58" s="30"/>
      <c r="ER58" s="30"/>
      <c r="ES58" s="30"/>
      <c r="ET58" s="30"/>
      <c r="EU58" s="30"/>
      <c r="EV58" s="30"/>
      <c r="EW58" s="30"/>
      <c r="EX58" s="30"/>
      <c r="EY58" s="30"/>
      <c r="EZ58" s="30"/>
      <c r="FA58" s="30"/>
      <c r="FB58" s="30"/>
      <c r="FC58" s="30"/>
      <c r="FD58" s="30"/>
      <c r="FE58" s="30"/>
      <c r="FF58" s="30"/>
      <c r="FG58" s="30"/>
      <c r="FH58" s="30"/>
      <c r="FI58" s="30"/>
      <c r="FJ58" s="30"/>
      <c r="FK58" s="30"/>
      <c r="FL58" s="30"/>
      <c r="FM58" s="30"/>
      <c r="FN58" s="30"/>
      <c r="FO58" s="30"/>
      <c r="FP58" s="30"/>
      <c r="FQ58" s="30"/>
      <c r="FR58" s="30"/>
      <c r="FS58" s="30"/>
      <c r="FT58" s="30"/>
      <c r="FU58" s="30"/>
      <c r="FV58" s="30"/>
      <c r="FW58" s="30"/>
      <c r="FX58" s="30"/>
      <c r="FY58" s="30"/>
      <c r="FZ58" s="30"/>
      <c r="GA58" s="30"/>
      <c r="GB58" s="30"/>
      <c r="GC58" s="30"/>
      <c r="GD58" s="30"/>
      <c r="GE58" s="30"/>
      <c r="GF58" s="30"/>
      <c r="GG58" s="30"/>
      <c r="GH58" s="30"/>
      <c r="GI58" s="30"/>
      <c r="GJ58" s="30"/>
      <c r="GK58" s="30"/>
      <c r="GL58" s="30"/>
      <c r="GM58" s="30"/>
      <c r="GN58" s="30"/>
      <c r="GO58" s="30"/>
      <c r="GP58" s="30"/>
      <c r="GQ58" s="30"/>
      <c r="GR58" s="30"/>
      <c r="GS58" s="30"/>
      <c r="GT58" s="30"/>
      <c r="GU58" s="30"/>
      <c r="GV58" s="30"/>
      <c r="GW58" s="30"/>
      <c r="GX58" s="30"/>
      <c r="GY58" s="30"/>
      <c r="GZ58" s="30"/>
      <c r="HA58" s="30"/>
      <c r="HB58" s="30"/>
      <c r="HC58" s="30"/>
      <c r="HD58" s="30"/>
      <c r="HE58" s="30"/>
      <c r="HF58" s="30"/>
      <c r="HG58" s="30"/>
      <c r="HH58" s="30"/>
      <c r="HI58" s="30"/>
      <c r="HJ58" s="30"/>
      <c r="HK58" s="30"/>
      <c r="HL58" s="30"/>
      <c r="HM58" s="30"/>
      <c r="HN58" s="30"/>
      <c r="HO58" s="30"/>
      <c r="HP58" s="30"/>
      <c r="HQ58" s="30"/>
      <c r="HR58" s="30"/>
      <c r="HS58" s="30"/>
      <c r="HT58" s="30"/>
      <c r="HU58" s="30"/>
      <c r="HV58" s="30"/>
      <c r="HW58" s="30"/>
      <c r="HX58" s="30"/>
      <c r="HY58" s="30"/>
      <c r="HZ58" s="30"/>
      <c r="IA58" s="30"/>
      <c r="IB58" s="30"/>
      <c r="IC58" s="30"/>
      <c r="ID58" s="30"/>
      <c r="IE58" s="30"/>
      <c r="IF58" s="30"/>
      <c r="IG58" s="30"/>
      <c r="IH58" s="30"/>
      <c r="II58" s="30"/>
      <c r="IJ58" s="30"/>
      <c r="IK58" s="30"/>
      <c r="IL58" s="30"/>
      <c r="IM58" s="30"/>
      <c r="IN58" s="30"/>
      <c r="IO58" s="30"/>
      <c r="IP58" s="30"/>
      <c r="IQ58" s="30"/>
      <c r="IR58" s="30"/>
      <c r="IS58" s="30"/>
      <c r="IT58" s="30"/>
      <c r="IU58" s="30"/>
      <c r="IV58" s="30"/>
      <c r="IW58" s="30"/>
      <c r="IX58" s="30"/>
      <c r="IY58" s="30"/>
      <c r="IZ58" s="30"/>
      <c r="JA58" s="30"/>
      <c r="JB58" s="30"/>
      <c r="JC58" s="30"/>
      <c r="JD58" s="30"/>
      <c r="JE58" s="30"/>
      <c r="JF58" s="30"/>
      <c r="JG58" s="30"/>
      <c r="JH58" s="30"/>
      <c r="JI58" s="30"/>
      <c r="JJ58" s="30"/>
      <c r="JK58" s="30"/>
      <c r="JL58" s="30"/>
      <c r="JM58" s="30"/>
      <c r="JN58" s="30"/>
      <c r="JO58" s="30"/>
      <c r="JP58" s="30"/>
      <c r="JQ58" s="30"/>
      <c r="JR58" s="30"/>
      <c r="JS58" s="30"/>
      <c r="JT58" s="30"/>
      <c r="JU58" s="30"/>
      <c r="JV58" s="30"/>
      <c r="JW58" s="30"/>
      <c r="JX58" s="30"/>
      <c r="JY58" s="30"/>
      <c r="JZ58" s="30"/>
      <c r="KA58" s="30"/>
      <c r="KB58" s="30"/>
      <c r="KC58" s="30"/>
      <c r="KD58" s="30"/>
      <c r="KE58" s="30"/>
      <c r="KF58" s="30"/>
      <c r="KG58" s="30"/>
      <c r="KH58" s="30"/>
      <c r="KI58" s="30"/>
      <c r="KJ58" s="30"/>
      <c r="KK58" s="30"/>
      <c r="KL58" s="30"/>
      <c r="KM58" s="30"/>
      <c r="KN58" s="30"/>
      <c r="KO58" s="30"/>
      <c r="KP58" s="1630"/>
    </row>
    <row r="59" spans="1:302" s="97" customFormat="1" ht="20.25" customHeight="1" outlineLevel="1">
      <c r="A59" s="1994" t="s">
        <v>1392</v>
      </c>
      <c r="B59" s="1994"/>
      <c r="C59" s="2008" t="s">
        <v>1393</v>
      </c>
      <c r="D59" s="1994"/>
      <c r="E59" s="261"/>
      <c r="F59" s="370"/>
      <c r="G59" s="371"/>
      <c r="H59" s="350" t="s">
        <v>26</v>
      </c>
      <c r="I59" s="2936"/>
      <c r="J59" s="362" t="s">
        <v>26</v>
      </c>
      <c r="K59" s="355"/>
      <c r="L59" s="358"/>
      <c r="M59" s="358"/>
      <c r="N59" s="358"/>
      <c r="O59" s="1510"/>
      <c r="P59" s="358"/>
      <c r="Q59" s="358"/>
      <c r="R59" s="358"/>
      <c r="S59" s="1510">
        <f t="shared" si="99"/>
        <v>0</v>
      </c>
      <c r="T59" s="389"/>
      <c r="U59" s="1746"/>
      <c r="V59" s="1746"/>
      <c r="W59" s="1744">
        <f t="shared" si="92"/>
        <v>0</v>
      </c>
      <c r="X59" s="359" t="s">
        <v>26</v>
      </c>
      <c r="Y59" s="389"/>
      <c r="Z59" s="1746"/>
      <c r="AA59" s="1509"/>
      <c r="AB59" s="2722">
        <f t="shared" si="97"/>
        <v>223042</v>
      </c>
      <c r="AC59" s="1444"/>
      <c r="AD59" s="1443"/>
      <c r="AE59" s="1687"/>
      <c r="AF59" s="354"/>
      <c r="AG59" s="354"/>
      <c r="AH59" s="354">
        <f t="shared" si="93"/>
        <v>0</v>
      </c>
      <c r="AI59" s="355">
        <f t="shared" ref="AI59:AI61" ca="1" si="105">SUMIF($AM$10:$BZ$10,$AI$9,AM59:BT59)</f>
        <v>0</v>
      </c>
      <c r="AJ59" s="356">
        <f t="shared" ref="AJ59:AJ61" ca="1" si="106">IF($AB59&lt;&gt;0,AI59/$AB59,"")</f>
        <v>0</v>
      </c>
      <c r="AK59" s="2185"/>
      <c r="AL59" s="260"/>
      <c r="AM59" s="2258"/>
      <c r="AN59" s="2258"/>
      <c r="AO59" s="359"/>
      <c r="AP59" s="360"/>
      <c r="AQ59" s="360"/>
      <c r="AR59" s="360"/>
      <c r="AS59" s="360"/>
      <c r="AT59" s="360"/>
      <c r="AU59" s="360"/>
      <c r="AV59" s="360"/>
      <c r="AW59" s="359"/>
      <c r="AX59" s="359"/>
      <c r="AY59" s="2312"/>
      <c r="AZ59" s="2273"/>
      <c r="BA59" s="497"/>
      <c r="BB59" s="377"/>
      <c r="BC59" s="359"/>
      <c r="BD59" s="359"/>
      <c r="BE59" s="359"/>
      <c r="BF59" s="359"/>
      <c r="BG59" s="359"/>
      <c r="BH59" s="359"/>
      <c r="BI59" s="380"/>
      <c r="BJ59" s="359"/>
      <c r="BK59" s="2122"/>
      <c r="BL59" s="380"/>
      <c r="BM59" s="380"/>
      <c r="BN59" s="380"/>
      <c r="BO59" s="380"/>
      <c r="BP59" s="380"/>
      <c r="BQ59" s="2087"/>
      <c r="BR59" s="359"/>
      <c r="BS59" s="359"/>
      <c r="BT59" s="359"/>
      <c r="BU59" s="364"/>
      <c r="BV59" s="364"/>
      <c r="BW59" s="2463">
        <v>223042</v>
      </c>
      <c r="BX59" s="2463"/>
      <c r="BY59" s="2543"/>
      <c r="BZ59" s="2543"/>
      <c r="CA59" s="2591">
        <f t="shared" si="102"/>
        <v>223042</v>
      </c>
      <c r="CB59" s="2377">
        <f t="shared" si="103"/>
        <v>1</v>
      </c>
      <c r="CC59" s="365">
        <f t="shared" si="104"/>
        <v>4.4834605141632521E-6</v>
      </c>
      <c r="CD59" s="366"/>
      <c r="CE59" s="343"/>
      <c r="CF59" s="343"/>
      <c r="CG59" s="340"/>
      <c r="CH59" s="367"/>
      <c r="CI59" s="368"/>
      <c r="CJ59" s="368"/>
      <c r="CK59" s="369"/>
      <c r="CL59" s="329">
        <f t="shared" si="12"/>
        <v>-223042</v>
      </c>
      <c r="CM59" s="330">
        <f t="shared" ca="1" si="13"/>
        <v>0</v>
      </c>
      <c r="CN59" s="331"/>
      <c r="CO59" s="86"/>
      <c r="CP59" s="86"/>
      <c r="CQ59" s="1641"/>
      <c r="CR59" s="86"/>
      <c r="CS59" s="86"/>
      <c r="CT59" s="86"/>
      <c r="CU59" s="86"/>
      <c r="CV59" s="86"/>
      <c r="CW59" s="86"/>
      <c r="CX59" s="86"/>
      <c r="CY59" s="86"/>
      <c r="CZ59" s="86"/>
      <c r="DA59" s="86"/>
      <c r="DB59" s="1642"/>
      <c r="DC59" s="1642"/>
      <c r="DD59" s="30"/>
      <c r="DE59" s="30"/>
      <c r="DF59" s="30"/>
      <c r="DG59" s="1642"/>
      <c r="DH59" s="1642"/>
      <c r="DI59" s="1642"/>
      <c r="DJ59" s="1642"/>
      <c r="DK59" s="1642"/>
      <c r="DL59" s="1642"/>
      <c r="DM59" s="1642"/>
      <c r="DN59" s="1642"/>
      <c r="DO59" s="1642"/>
      <c r="DP59" s="1642"/>
      <c r="DQ59" s="1642"/>
      <c r="DR59" s="1642"/>
      <c r="DS59" s="1642"/>
      <c r="DT59" s="1642"/>
      <c r="DU59" s="1642"/>
      <c r="DV59" s="1642"/>
      <c r="DW59" s="1642"/>
      <c r="DX59" s="1642"/>
      <c r="DY59" s="1642"/>
      <c r="DZ59" s="1642"/>
      <c r="EA59" s="1642"/>
      <c r="EB59" s="1642"/>
      <c r="EC59" s="1642"/>
      <c r="ED59" s="1642"/>
      <c r="EE59" s="1642"/>
      <c r="EF59" s="1642"/>
      <c r="EG59" s="1642"/>
      <c r="EH59" s="1643"/>
      <c r="EI59" s="1658"/>
      <c r="EJ59" s="30"/>
      <c r="EK59" s="30"/>
      <c r="EL59" s="30"/>
      <c r="EM59" s="30"/>
      <c r="EN59" s="30"/>
      <c r="EO59" s="30"/>
      <c r="EP59" s="30"/>
      <c r="EQ59" s="30"/>
      <c r="ER59" s="30"/>
      <c r="ES59" s="30"/>
      <c r="ET59" s="30"/>
      <c r="EU59" s="30"/>
      <c r="EV59" s="30"/>
      <c r="EW59" s="30"/>
      <c r="EX59" s="30"/>
      <c r="EY59" s="30"/>
      <c r="EZ59" s="30"/>
      <c r="FA59" s="30"/>
      <c r="FB59" s="30"/>
      <c r="FC59" s="30"/>
      <c r="FD59" s="30"/>
      <c r="FE59" s="30"/>
      <c r="FF59" s="30"/>
      <c r="FG59" s="30"/>
      <c r="FH59" s="30"/>
      <c r="FI59" s="30"/>
      <c r="FJ59" s="30"/>
      <c r="FK59" s="30"/>
      <c r="FL59" s="30"/>
      <c r="FM59" s="30"/>
      <c r="FN59" s="30"/>
      <c r="FO59" s="30"/>
      <c r="FP59" s="30"/>
      <c r="FQ59" s="30"/>
      <c r="FR59" s="30"/>
      <c r="FS59" s="30"/>
      <c r="FT59" s="30"/>
      <c r="FU59" s="30"/>
      <c r="FV59" s="30"/>
      <c r="FW59" s="30"/>
      <c r="FX59" s="30"/>
      <c r="FY59" s="30"/>
      <c r="FZ59" s="30"/>
      <c r="GA59" s="30"/>
      <c r="GB59" s="30"/>
      <c r="GC59" s="30"/>
      <c r="GD59" s="30"/>
      <c r="GE59" s="30"/>
      <c r="GF59" s="30"/>
      <c r="GG59" s="30"/>
      <c r="GH59" s="30"/>
      <c r="GI59" s="30"/>
      <c r="GJ59" s="30"/>
      <c r="GK59" s="30"/>
      <c r="GL59" s="30"/>
      <c r="GM59" s="30"/>
      <c r="GN59" s="30"/>
      <c r="GO59" s="30"/>
      <c r="GP59" s="30"/>
      <c r="GQ59" s="30"/>
      <c r="GR59" s="30"/>
      <c r="GS59" s="30"/>
      <c r="GT59" s="30"/>
      <c r="GU59" s="30"/>
      <c r="GV59" s="30"/>
      <c r="GW59" s="30"/>
      <c r="GX59" s="30"/>
      <c r="GY59" s="30"/>
      <c r="GZ59" s="30"/>
      <c r="HA59" s="30"/>
      <c r="HB59" s="30"/>
      <c r="HC59" s="30"/>
      <c r="HD59" s="30"/>
      <c r="HE59" s="30"/>
      <c r="HF59" s="30"/>
      <c r="HG59" s="30"/>
      <c r="HH59" s="30"/>
      <c r="HI59" s="30"/>
      <c r="HJ59" s="30"/>
      <c r="HK59" s="30"/>
      <c r="HL59" s="30"/>
      <c r="HM59" s="30"/>
      <c r="HN59" s="30"/>
      <c r="HO59" s="30"/>
      <c r="HP59" s="30"/>
      <c r="HQ59" s="30"/>
      <c r="HR59" s="30"/>
      <c r="HS59" s="30"/>
      <c r="HT59" s="30"/>
      <c r="HU59" s="30"/>
      <c r="HV59" s="30"/>
      <c r="HW59" s="30"/>
      <c r="HX59" s="30"/>
      <c r="HY59" s="30"/>
      <c r="HZ59" s="30"/>
      <c r="IA59" s="30"/>
      <c r="IB59" s="30"/>
      <c r="IC59" s="30"/>
      <c r="ID59" s="30"/>
      <c r="IE59" s="30"/>
      <c r="IF59" s="30"/>
      <c r="IG59" s="30"/>
      <c r="IH59" s="30"/>
      <c r="II59" s="30"/>
      <c r="IJ59" s="30"/>
      <c r="IK59" s="30"/>
      <c r="IL59" s="30"/>
      <c r="IM59" s="30"/>
      <c r="IN59" s="30"/>
      <c r="IO59" s="30"/>
      <c r="IP59" s="30"/>
      <c r="IQ59" s="30"/>
      <c r="IR59" s="30"/>
      <c r="IS59" s="30"/>
      <c r="IT59" s="30"/>
      <c r="IU59" s="30"/>
      <c r="IV59" s="30"/>
      <c r="IW59" s="30"/>
      <c r="IX59" s="30"/>
      <c r="IY59" s="30"/>
      <c r="IZ59" s="30"/>
      <c r="JA59" s="30"/>
      <c r="JB59" s="30"/>
      <c r="JC59" s="30"/>
      <c r="JD59" s="30"/>
      <c r="JE59" s="30"/>
      <c r="JF59" s="30"/>
      <c r="JG59" s="30"/>
      <c r="JH59" s="30"/>
      <c r="JI59" s="30"/>
      <c r="JJ59" s="30"/>
      <c r="JK59" s="30"/>
      <c r="JL59" s="30"/>
      <c r="JM59" s="30"/>
      <c r="JN59" s="30"/>
      <c r="JO59" s="30"/>
      <c r="JP59" s="30"/>
      <c r="JQ59" s="30"/>
      <c r="JR59" s="30"/>
      <c r="JS59" s="30"/>
      <c r="JT59" s="30"/>
      <c r="JU59" s="30"/>
      <c r="JV59" s="30"/>
      <c r="JW59" s="30"/>
      <c r="JX59" s="30"/>
      <c r="JY59" s="30"/>
      <c r="JZ59" s="30"/>
      <c r="KA59" s="30"/>
      <c r="KB59" s="30"/>
      <c r="KC59" s="30"/>
      <c r="KD59" s="30"/>
      <c r="KE59" s="30"/>
      <c r="KF59" s="30"/>
      <c r="KG59" s="30"/>
      <c r="KH59" s="30"/>
      <c r="KI59" s="30"/>
      <c r="KJ59" s="30"/>
      <c r="KK59" s="30"/>
      <c r="KL59" s="30"/>
      <c r="KM59" s="30"/>
      <c r="KN59" s="30"/>
      <c r="KO59" s="30"/>
      <c r="KP59" s="1630"/>
    </row>
    <row r="60" spans="1:302" s="97" customFormat="1" ht="20.25" customHeight="1" outlineLevel="1">
      <c r="A60" s="1994" t="s">
        <v>1392</v>
      </c>
      <c r="B60" s="1994"/>
      <c r="D60" s="1994"/>
      <c r="E60" s="261"/>
      <c r="F60" s="370"/>
      <c r="G60" s="371"/>
      <c r="H60" s="350" t="s">
        <v>26</v>
      </c>
      <c r="I60" s="2936"/>
      <c r="J60" s="362" t="s">
        <v>26</v>
      </c>
      <c r="K60" s="355"/>
      <c r="L60" s="358"/>
      <c r="M60" s="358"/>
      <c r="N60" s="358"/>
      <c r="O60" s="1510"/>
      <c r="P60" s="358"/>
      <c r="Q60" s="358"/>
      <c r="R60" s="358"/>
      <c r="S60" s="1510">
        <f t="shared" si="99"/>
        <v>0</v>
      </c>
      <c r="T60" s="389"/>
      <c r="U60" s="1746"/>
      <c r="V60" s="1746"/>
      <c r="W60" s="1744">
        <f t="shared" si="92"/>
        <v>0</v>
      </c>
      <c r="X60" s="359" t="s">
        <v>26</v>
      </c>
      <c r="Y60" s="389"/>
      <c r="Z60" s="1746"/>
      <c r="AA60" s="1509"/>
      <c r="AB60" s="1510">
        <f t="shared" si="97"/>
        <v>5276957.9999999991</v>
      </c>
      <c r="AC60" s="1444" t="s">
        <v>1389</v>
      </c>
      <c r="AD60" s="1443"/>
      <c r="AE60" s="1687" t="s">
        <v>564</v>
      </c>
      <c r="AF60" s="354">
        <v>5276958</v>
      </c>
      <c r="AG60" s="354">
        <v>1</v>
      </c>
      <c r="AH60" s="354">
        <f t="shared" si="93"/>
        <v>5276958</v>
      </c>
      <c r="AI60" s="355">
        <f t="shared" ca="1" si="105"/>
        <v>0</v>
      </c>
      <c r="AJ60" s="356">
        <v>0</v>
      </c>
      <c r="AK60" s="2185"/>
      <c r="AL60" s="260"/>
      <c r="AM60" s="2258"/>
      <c r="AN60" s="2258"/>
      <c r="AO60" s="359"/>
      <c r="AP60" s="360"/>
      <c r="AQ60" s="360"/>
      <c r="AR60" s="360"/>
      <c r="AS60" s="360"/>
      <c r="AT60" s="360">
        <f>AF60/10</f>
        <v>527695.80000000005</v>
      </c>
      <c r="AU60" s="360">
        <v>527695.80000000005</v>
      </c>
      <c r="AV60" s="360">
        <v>527695.80000000005</v>
      </c>
      <c r="AW60" s="359">
        <v>527695.80000000005</v>
      </c>
      <c r="AX60" s="359">
        <v>527695.80000000005</v>
      </c>
      <c r="AY60" s="2312">
        <v>527695.80000000005</v>
      </c>
      <c r="AZ60" s="2273">
        <v>527695.80000000005</v>
      </c>
      <c r="BA60" s="497">
        <v>527695.80000000005</v>
      </c>
      <c r="BB60" s="377">
        <v>527695.80000000005</v>
      </c>
      <c r="BC60" s="359">
        <v>527695.80000000005</v>
      </c>
      <c r="BD60" s="359"/>
      <c r="BE60" s="359"/>
      <c r="BF60" s="359"/>
      <c r="BG60" s="359"/>
      <c r="BH60" s="359"/>
      <c r="BI60" s="380"/>
      <c r="BJ60" s="359"/>
      <c r="BK60" s="2122"/>
      <c r="BL60" s="380"/>
      <c r="BM60" s="380"/>
      <c r="BN60" s="380"/>
      <c r="BO60" s="380"/>
      <c r="BP60" s="380"/>
      <c r="BQ60" s="2087"/>
      <c r="BR60" s="359"/>
      <c r="BS60" s="359"/>
      <c r="BT60" s="359"/>
      <c r="BU60" s="364"/>
      <c r="BV60" s="364"/>
      <c r="BW60" s="2366"/>
      <c r="BX60" s="2463"/>
      <c r="BY60" s="2543"/>
      <c r="BZ60" s="2543"/>
      <c r="CA60" s="2591">
        <f t="shared" si="102"/>
        <v>5276957.9999999991</v>
      </c>
      <c r="CB60" s="2377">
        <f t="shared" si="103"/>
        <v>1</v>
      </c>
      <c r="CC60" s="365">
        <f t="shared" si="104"/>
        <v>1.8950311903183619E-7</v>
      </c>
      <c r="CD60" s="366"/>
      <c r="CE60" s="343"/>
      <c r="CF60" s="343"/>
      <c r="CG60" s="340"/>
      <c r="CH60" s="367"/>
      <c r="CI60" s="368"/>
      <c r="CJ60" s="368"/>
      <c r="CK60" s="369"/>
      <c r="CL60" s="329">
        <f t="shared" si="12"/>
        <v>-5276957.9999999991</v>
      </c>
      <c r="CM60" s="330">
        <f t="shared" ca="1" si="13"/>
        <v>0</v>
      </c>
      <c r="CN60" s="331"/>
      <c r="CO60" s="86"/>
      <c r="CP60" s="86"/>
      <c r="CQ60" s="1641"/>
      <c r="CR60" s="86"/>
      <c r="CS60" s="86"/>
      <c r="CT60" s="86"/>
      <c r="CU60" s="86"/>
      <c r="CV60" s="86"/>
      <c r="CW60" s="86"/>
      <c r="CX60" s="86"/>
      <c r="CY60" s="86"/>
      <c r="CZ60" s="86"/>
      <c r="DA60" s="86"/>
      <c r="DB60" s="1642"/>
      <c r="DC60" s="1642"/>
      <c r="DD60" s="30"/>
      <c r="DE60" s="30"/>
      <c r="DF60" s="30"/>
      <c r="DG60" s="1642"/>
      <c r="DH60" s="1642"/>
      <c r="DI60" s="1642"/>
      <c r="DJ60" s="1642"/>
      <c r="DK60" s="1642"/>
      <c r="DL60" s="1642"/>
      <c r="DM60" s="1642"/>
      <c r="DN60" s="1642"/>
      <c r="DO60" s="1642"/>
      <c r="DP60" s="1642"/>
      <c r="DQ60" s="1642"/>
      <c r="DR60" s="1642"/>
      <c r="DS60" s="1642"/>
      <c r="DT60" s="1642"/>
      <c r="DU60" s="1642"/>
      <c r="DV60" s="1642"/>
      <c r="DW60" s="1642"/>
      <c r="DX60" s="1642"/>
      <c r="DY60" s="1642"/>
      <c r="DZ60" s="1642"/>
      <c r="EA60" s="1642"/>
      <c r="EB60" s="1642"/>
      <c r="EC60" s="1642"/>
      <c r="ED60" s="1642"/>
      <c r="EE60" s="1642"/>
      <c r="EF60" s="1642"/>
      <c r="EG60" s="1642"/>
      <c r="EH60" s="1643"/>
      <c r="EI60" s="1658"/>
      <c r="EJ60" s="30"/>
      <c r="EK60" s="30"/>
      <c r="EL60" s="30"/>
      <c r="EM60" s="30"/>
      <c r="EN60" s="30"/>
      <c r="EO60" s="30"/>
      <c r="EP60" s="30"/>
      <c r="EQ60" s="30"/>
      <c r="ER60" s="30"/>
      <c r="ES60" s="30"/>
      <c r="ET60" s="30"/>
      <c r="EU60" s="30"/>
      <c r="EV60" s="30"/>
      <c r="EW60" s="30"/>
      <c r="EX60" s="30"/>
      <c r="EY60" s="30"/>
      <c r="EZ60" s="30"/>
      <c r="FA60" s="30"/>
      <c r="FB60" s="30"/>
      <c r="FC60" s="30"/>
      <c r="FD60" s="30"/>
      <c r="FE60" s="30"/>
      <c r="FF60" s="30"/>
      <c r="FG60" s="30"/>
      <c r="FH60" s="30"/>
      <c r="FI60" s="30"/>
      <c r="FJ60" s="30"/>
      <c r="FK60" s="30"/>
      <c r="FL60" s="30"/>
      <c r="FM60" s="30"/>
      <c r="FN60" s="30"/>
      <c r="FO60" s="30"/>
      <c r="FP60" s="30"/>
      <c r="FQ60" s="30"/>
      <c r="FR60" s="30"/>
      <c r="FS60" s="30"/>
      <c r="FT60" s="30"/>
      <c r="FU60" s="30"/>
      <c r="FV60" s="30"/>
      <c r="FW60" s="30"/>
      <c r="FX60" s="30"/>
      <c r="FY60" s="30"/>
      <c r="FZ60" s="30"/>
      <c r="GA60" s="30"/>
      <c r="GB60" s="30"/>
      <c r="GC60" s="30"/>
      <c r="GD60" s="30"/>
      <c r="GE60" s="30"/>
      <c r="GF60" s="30"/>
      <c r="GG60" s="30"/>
      <c r="GH60" s="30"/>
      <c r="GI60" s="30"/>
      <c r="GJ60" s="30"/>
      <c r="GK60" s="30"/>
      <c r="GL60" s="30"/>
      <c r="GM60" s="30"/>
      <c r="GN60" s="30"/>
      <c r="GO60" s="30"/>
      <c r="GP60" s="30"/>
      <c r="GQ60" s="30"/>
      <c r="GR60" s="30"/>
      <c r="GS60" s="30"/>
      <c r="GT60" s="30"/>
      <c r="GU60" s="30"/>
      <c r="GV60" s="30"/>
      <c r="GW60" s="30"/>
      <c r="GX60" s="30"/>
      <c r="GY60" s="30"/>
      <c r="GZ60" s="30"/>
      <c r="HA60" s="30"/>
      <c r="HB60" s="30"/>
      <c r="HC60" s="30"/>
      <c r="HD60" s="30"/>
      <c r="HE60" s="30"/>
      <c r="HF60" s="30"/>
      <c r="HG60" s="30"/>
      <c r="HH60" s="30"/>
      <c r="HI60" s="30"/>
      <c r="HJ60" s="30"/>
      <c r="HK60" s="30"/>
      <c r="HL60" s="30"/>
      <c r="HM60" s="30"/>
      <c r="HN60" s="30"/>
      <c r="HO60" s="30"/>
      <c r="HP60" s="30"/>
      <c r="HQ60" s="30"/>
      <c r="HR60" s="30"/>
      <c r="HS60" s="30"/>
      <c r="HT60" s="30"/>
      <c r="HU60" s="30"/>
      <c r="HV60" s="30"/>
      <c r="HW60" s="30"/>
      <c r="HX60" s="30"/>
      <c r="HY60" s="30"/>
      <c r="HZ60" s="30"/>
      <c r="IA60" s="30"/>
      <c r="IB60" s="30"/>
      <c r="IC60" s="30"/>
      <c r="ID60" s="30"/>
      <c r="IE60" s="30"/>
      <c r="IF60" s="30"/>
      <c r="IG60" s="30"/>
      <c r="IH60" s="30"/>
      <c r="II60" s="30"/>
      <c r="IJ60" s="30"/>
      <c r="IK60" s="30"/>
      <c r="IL60" s="30"/>
      <c r="IM60" s="30"/>
      <c r="IN60" s="30"/>
      <c r="IO60" s="30"/>
      <c r="IP60" s="30"/>
      <c r="IQ60" s="30"/>
      <c r="IR60" s="30"/>
      <c r="IS60" s="30"/>
      <c r="IT60" s="30"/>
      <c r="IU60" s="30"/>
      <c r="IV60" s="30"/>
      <c r="IW60" s="30"/>
      <c r="IX60" s="30"/>
      <c r="IY60" s="30"/>
      <c r="IZ60" s="30"/>
      <c r="JA60" s="30"/>
      <c r="JB60" s="30"/>
      <c r="JC60" s="30"/>
      <c r="JD60" s="30"/>
      <c r="JE60" s="30"/>
      <c r="JF60" s="30"/>
      <c r="JG60" s="30"/>
      <c r="JH60" s="30"/>
      <c r="JI60" s="30"/>
      <c r="JJ60" s="30"/>
      <c r="JK60" s="30"/>
      <c r="JL60" s="30"/>
      <c r="JM60" s="30"/>
      <c r="JN60" s="30"/>
      <c r="JO60" s="30"/>
      <c r="JP60" s="30"/>
      <c r="JQ60" s="30"/>
      <c r="JR60" s="30"/>
      <c r="JS60" s="30"/>
      <c r="JT60" s="30"/>
      <c r="JU60" s="30"/>
      <c r="JV60" s="30"/>
      <c r="JW60" s="30"/>
      <c r="JX60" s="30"/>
      <c r="JY60" s="30"/>
      <c r="JZ60" s="30"/>
      <c r="KA60" s="30"/>
      <c r="KB60" s="30"/>
      <c r="KC60" s="30"/>
      <c r="KD60" s="30"/>
      <c r="KE60" s="30"/>
      <c r="KF60" s="30"/>
      <c r="KG60" s="30"/>
      <c r="KH60" s="30"/>
      <c r="KI60" s="30"/>
      <c r="KJ60" s="30"/>
      <c r="KK60" s="30"/>
      <c r="KL60" s="30"/>
      <c r="KM60" s="30"/>
      <c r="KN60" s="30"/>
      <c r="KO60" s="30"/>
      <c r="KP60" s="1630"/>
    </row>
    <row r="61" spans="1:302" s="97" customFormat="1" ht="20.25" customHeight="1" outlineLevel="1">
      <c r="A61" s="1994" t="s">
        <v>759</v>
      </c>
      <c r="B61" s="1994"/>
      <c r="C61" s="2008" t="s">
        <v>1435</v>
      </c>
      <c r="D61" s="1994" t="s">
        <v>619</v>
      </c>
      <c r="E61" s="261"/>
      <c r="F61" s="370"/>
      <c r="G61" s="371"/>
      <c r="H61" s="350" t="s">
        <v>26</v>
      </c>
      <c r="I61" s="2936"/>
      <c r="J61" s="362" t="s">
        <v>26</v>
      </c>
      <c r="K61" s="355"/>
      <c r="L61" s="358"/>
      <c r="M61" s="358"/>
      <c r="N61" s="358"/>
      <c r="O61" s="1510"/>
      <c r="P61" s="358"/>
      <c r="Q61" s="358"/>
      <c r="R61" s="358"/>
      <c r="S61" s="1510">
        <f t="shared" si="99"/>
        <v>0</v>
      </c>
      <c r="T61" s="389"/>
      <c r="U61" s="1746"/>
      <c r="V61" s="1746"/>
      <c r="W61" s="1744">
        <f t="shared" si="92"/>
        <v>0</v>
      </c>
      <c r="X61" s="359" t="s">
        <v>26</v>
      </c>
      <c r="Y61" s="389"/>
      <c r="Z61" s="1746"/>
      <c r="AA61" s="1509"/>
      <c r="AB61" s="2766">
        <f>SUM(AM61:BZ61)</f>
        <v>3419999.9994117632</v>
      </c>
      <c r="AC61" s="1444" t="s">
        <v>1421</v>
      </c>
      <c r="AD61" s="1460">
        <v>4502986603</v>
      </c>
      <c r="AE61" s="1687" t="s">
        <v>1247</v>
      </c>
      <c r="AF61" s="354">
        <v>3420000</v>
      </c>
      <c r="AG61" s="354">
        <v>1</v>
      </c>
      <c r="AH61" s="354">
        <f t="shared" si="93"/>
        <v>3420000</v>
      </c>
      <c r="AI61" s="355">
        <f t="shared" ca="1" si="105"/>
        <v>0</v>
      </c>
      <c r="AJ61" s="356">
        <f t="shared" ca="1" si="106"/>
        <v>0</v>
      </c>
      <c r="AK61" s="2185"/>
      <c r="AL61" s="260"/>
      <c r="AM61" s="2258"/>
      <c r="AN61" s="2258"/>
      <c r="AO61" s="359"/>
      <c r="AP61" s="360"/>
      <c r="AQ61" s="359">
        <v>201176.4705882353</v>
      </c>
      <c r="AR61" s="377">
        <v>201176.4705882353</v>
      </c>
      <c r="AS61" s="377">
        <v>201176.4705882353</v>
      </c>
      <c r="AT61" s="377">
        <v>201176.4705882353</v>
      </c>
      <c r="AU61" s="377">
        <f>201176.470588235+101176.47</f>
        <v>302352.94058823504</v>
      </c>
      <c r="AV61" s="377">
        <f>201176.470588235+100000</f>
        <v>301176.47058823501</v>
      </c>
      <c r="AW61" s="377">
        <v>201176.4705882353</v>
      </c>
      <c r="AX61" s="359">
        <v>201176.4705882353</v>
      </c>
      <c r="AY61" s="1985">
        <v>201176.4705882353</v>
      </c>
      <c r="AZ61" s="2273">
        <v>201176.4705882353</v>
      </c>
      <c r="BA61" s="497">
        <v>201176.4705882353</v>
      </c>
      <c r="BB61" s="377">
        <v>201176.4705882353</v>
      </c>
      <c r="BC61" s="359">
        <v>201176.4705882353</v>
      </c>
      <c r="BD61" s="359">
        <v>201176.4705882353</v>
      </c>
      <c r="BE61" s="359">
        <v>201176.4705882353</v>
      </c>
      <c r="BF61" s="359">
        <v>201176.4705882353</v>
      </c>
      <c r="BG61" s="359"/>
      <c r="BH61" s="359"/>
      <c r="BI61" s="380"/>
      <c r="BJ61" s="359"/>
      <c r="BK61" s="2122"/>
      <c r="BL61" s="380"/>
      <c r="BM61" s="380"/>
      <c r="BN61" s="380"/>
      <c r="BO61" s="380"/>
      <c r="BP61" s="380"/>
      <c r="BQ61" s="2087"/>
      <c r="BR61" s="359"/>
      <c r="BS61" s="359"/>
      <c r="BT61" s="359"/>
      <c r="BU61" s="364"/>
      <c r="BV61" s="364"/>
      <c r="BW61" s="2366"/>
      <c r="BX61" s="2463"/>
      <c r="BY61" s="2543"/>
      <c r="BZ61" s="2543"/>
      <c r="CA61" s="2591">
        <f t="shared" ref="CA61:CA68" si="107">SUMIF($AM$10:$BZ$10,$CA$9,AM61:BZ61)</f>
        <v>3419999.9994117632</v>
      </c>
      <c r="CB61" s="2377">
        <f t="shared" ref="CB61:CB68" si="108">IF($AB61&lt;&gt;0,CA61/$AB61,"")</f>
        <v>1</v>
      </c>
      <c r="CC61" s="365">
        <f t="shared" ref="CC61:CC68" si="109">IF($AB61&lt;&gt;0,CB61/$AB61,"")</f>
        <v>2.923976608690056E-7</v>
      </c>
      <c r="CD61" s="366"/>
      <c r="CE61" s="343"/>
      <c r="CF61" s="343"/>
      <c r="CG61" s="340"/>
      <c r="CH61" s="367"/>
      <c r="CI61" s="368"/>
      <c r="CJ61" s="368"/>
      <c r="CK61" s="369"/>
      <c r="CL61" s="329">
        <f t="shared" si="12"/>
        <v>-3419999.9994117632</v>
      </c>
      <c r="CM61" s="330">
        <f t="shared" ca="1" si="13"/>
        <v>0</v>
      </c>
      <c r="CN61" s="331">
        <f t="shared" ca="1" si="14"/>
        <v>-1408235.2941176463</v>
      </c>
      <c r="CO61" s="86"/>
      <c r="CP61" s="86"/>
      <c r="CQ61" s="1641"/>
      <c r="CR61" s="86"/>
      <c r="CS61" s="86"/>
      <c r="CT61" s="86"/>
      <c r="CU61" s="86"/>
      <c r="CV61" s="86"/>
      <c r="CW61" s="86"/>
      <c r="CX61" s="86"/>
      <c r="CY61" s="86"/>
      <c r="CZ61" s="86"/>
      <c r="DA61" s="86"/>
      <c r="DB61" s="1642"/>
      <c r="DC61" s="1642"/>
      <c r="DD61" s="30"/>
      <c r="DE61" s="30"/>
      <c r="DF61" s="30"/>
      <c r="DG61" s="1642"/>
      <c r="DH61" s="1642"/>
      <c r="DI61" s="1642"/>
      <c r="DJ61" s="1642"/>
      <c r="DK61" s="1642"/>
      <c r="DL61" s="1642"/>
      <c r="DM61" s="1642"/>
      <c r="DN61" s="1642"/>
      <c r="DO61" s="1642"/>
      <c r="DP61" s="1642"/>
      <c r="DQ61" s="1642"/>
      <c r="DR61" s="1642"/>
      <c r="DS61" s="1642"/>
      <c r="DT61" s="1642"/>
      <c r="DU61" s="1642"/>
      <c r="DV61" s="1642"/>
      <c r="DW61" s="1642"/>
      <c r="DX61" s="1642"/>
      <c r="DY61" s="1642"/>
      <c r="DZ61" s="1642"/>
      <c r="EA61" s="1642"/>
      <c r="EB61" s="1642"/>
      <c r="EC61" s="1642"/>
      <c r="ED61" s="1642"/>
      <c r="EE61" s="1642"/>
      <c r="EF61" s="1642"/>
      <c r="EG61" s="1642"/>
      <c r="EH61" s="1643"/>
      <c r="EI61" s="1658"/>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0"/>
      <c r="HS61" s="30"/>
      <c r="HT61" s="30"/>
      <c r="HU61" s="30"/>
      <c r="HV61" s="30"/>
      <c r="HW61" s="30"/>
      <c r="HX61" s="30"/>
      <c r="HY61" s="30"/>
      <c r="HZ61" s="30"/>
      <c r="IA61" s="30"/>
      <c r="IB61" s="30"/>
      <c r="IC61" s="30"/>
      <c r="ID61" s="30"/>
      <c r="IE61" s="30"/>
      <c r="IF61" s="30"/>
      <c r="IG61" s="30"/>
      <c r="IH61" s="30"/>
      <c r="II61" s="30"/>
      <c r="IJ61" s="30"/>
      <c r="IK61" s="30"/>
      <c r="IL61" s="30"/>
      <c r="IM61" s="30"/>
      <c r="IN61" s="30"/>
      <c r="IO61" s="30"/>
      <c r="IP61" s="30"/>
      <c r="IQ61" s="30"/>
      <c r="IR61" s="30"/>
      <c r="IS61" s="30"/>
      <c r="IT61" s="30"/>
      <c r="IU61" s="30"/>
      <c r="IV61" s="30"/>
      <c r="IW61" s="30"/>
      <c r="IX61" s="30"/>
      <c r="IY61" s="30"/>
      <c r="IZ61" s="30"/>
      <c r="JA61" s="30"/>
      <c r="JB61" s="30"/>
      <c r="JC61" s="30"/>
      <c r="JD61" s="30"/>
      <c r="JE61" s="30"/>
      <c r="JF61" s="30"/>
      <c r="JG61" s="30"/>
      <c r="JH61" s="30"/>
      <c r="JI61" s="30"/>
      <c r="JJ61" s="30"/>
      <c r="JK61" s="30"/>
      <c r="JL61" s="30"/>
      <c r="JM61" s="30"/>
      <c r="JN61" s="30"/>
      <c r="JO61" s="30"/>
      <c r="JP61" s="30"/>
      <c r="JQ61" s="30"/>
      <c r="JR61" s="30"/>
      <c r="JS61" s="30"/>
      <c r="JT61" s="30"/>
      <c r="JU61" s="30"/>
      <c r="JV61" s="30"/>
      <c r="JW61" s="30"/>
      <c r="JX61" s="30"/>
      <c r="JY61" s="30"/>
      <c r="JZ61" s="30"/>
      <c r="KA61" s="30"/>
      <c r="KB61" s="30"/>
      <c r="KC61" s="30"/>
      <c r="KD61" s="30"/>
      <c r="KE61" s="30"/>
      <c r="KF61" s="30"/>
      <c r="KG61" s="30"/>
      <c r="KH61" s="30"/>
      <c r="KI61" s="30"/>
      <c r="KJ61" s="30"/>
      <c r="KK61" s="30"/>
      <c r="KL61" s="30"/>
      <c r="KM61" s="30"/>
      <c r="KN61" s="30"/>
      <c r="KO61" s="30"/>
      <c r="KP61" s="1630"/>
    </row>
    <row r="62" spans="1:302" s="97" customFormat="1" ht="25.5" outlineLevel="1">
      <c r="A62" s="1994" t="s">
        <v>760</v>
      </c>
      <c r="B62" s="1690"/>
      <c r="C62" s="2008" t="s">
        <v>620</v>
      </c>
      <c r="D62" s="2067" t="s">
        <v>621</v>
      </c>
      <c r="E62" s="261"/>
      <c r="F62" s="370"/>
      <c r="G62" s="371"/>
      <c r="H62" s="350" t="s">
        <v>26</v>
      </c>
      <c r="I62" s="2936"/>
      <c r="J62" s="362" t="s">
        <v>26</v>
      </c>
      <c r="K62" s="355"/>
      <c r="L62" s="358"/>
      <c r="M62" s="358"/>
      <c r="N62" s="358"/>
      <c r="O62" s="1510"/>
      <c r="P62" s="358"/>
      <c r="Q62" s="358"/>
      <c r="R62" s="358"/>
      <c r="S62" s="1510">
        <f t="shared" si="99"/>
        <v>0</v>
      </c>
      <c r="T62" s="389"/>
      <c r="U62" s="1746"/>
      <c r="V62" s="1746"/>
      <c r="W62" s="1744">
        <f t="shared" si="92"/>
        <v>0</v>
      </c>
      <c r="X62" s="359" t="s">
        <v>26</v>
      </c>
      <c r="Y62" s="389"/>
      <c r="Z62" s="1746"/>
      <c r="AA62" s="1509"/>
      <c r="AB62" s="1510">
        <f t="shared" si="97"/>
        <v>0</v>
      </c>
      <c r="AC62" s="1444"/>
      <c r="AD62" s="1444"/>
      <c r="AE62" s="1687"/>
      <c r="AF62" s="354"/>
      <c r="AG62" s="354"/>
      <c r="AH62" s="354">
        <f t="shared" ref="AH62:AH64" si="110">AF62*AG62</f>
        <v>0</v>
      </c>
      <c r="AI62" s="355">
        <f t="shared" ca="1" si="94"/>
        <v>0</v>
      </c>
      <c r="AJ62" s="356" t="str">
        <f t="shared" si="1"/>
        <v/>
      </c>
      <c r="AK62" s="2185"/>
      <c r="AL62" s="260"/>
      <c r="AM62" s="2258"/>
      <c r="AN62" s="2258"/>
      <c r="AO62" s="359"/>
      <c r="AP62" s="360"/>
      <c r="AQ62" s="359"/>
      <c r="AR62" s="377"/>
      <c r="AS62" s="377"/>
      <c r="AT62" s="360"/>
      <c r="AU62" s="1505"/>
      <c r="AV62" s="1505"/>
      <c r="AW62" s="359"/>
      <c r="AX62" s="359"/>
      <c r="AY62" s="360"/>
      <c r="AZ62" s="2273"/>
      <c r="BA62" s="497"/>
      <c r="BB62" s="377"/>
      <c r="BC62" s="359"/>
      <c r="BD62" s="359"/>
      <c r="BE62" s="359"/>
      <c r="BF62" s="359"/>
      <c r="BG62" s="359"/>
      <c r="BH62" s="359"/>
      <c r="BI62" s="380"/>
      <c r="BJ62" s="359"/>
      <c r="BK62" s="2122"/>
      <c r="BL62" s="380"/>
      <c r="BM62" s="380"/>
      <c r="BN62" s="380"/>
      <c r="BO62" s="380"/>
      <c r="BP62" s="380"/>
      <c r="BQ62" s="2087"/>
      <c r="BR62" s="359"/>
      <c r="BS62" s="359"/>
      <c r="BT62" s="359"/>
      <c r="BU62" s="364"/>
      <c r="BV62" s="364"/>
      <c r="BW62" s="2366"/>
      <c r="BX62" s="2463"/>
      <c r="BY62" s="2543"/>
      <c r="BZ62" s="2543"/>
      <c r="CA62" s="2591">
        <f t="shared" si="107"/>
        <v>0</v>
      </c>
      <c r="CB62" s="2377" t="str">
        <f t="shared" si="108"/>
        <v/>
      </c>
      <c r="CC62" s="365" t="str">
        <f t="shared" si="109"/>
        <v/>
      </c>
      <c r="CD62" s="366"/>
      <c r="CE62" s="343"/>
      <c r="CF62" s="343"/>
      <c r="CG62" s="340"/>
      <c r="CH62" s="367"/>
      <c r="CI62" s="368"/>
      <c r="CJ62" s="368"/>
      <c r="CK62" s="369"/>
      <c r="CL62" s="329">
        <f t="shared" si="12"/>
        <v>0</v>
      </c>
      <c r="CM62" s="330">
        <f t="shared" ca="1" si="13"/>
        <v>0</v>
      </c>
      <c r="CN62" s="331">
        <f t="shared" ca="1" si="14"/>
        <v>0</v>
      </c>
      <c r="CO62" s="86"/>
      <c r="CP62" s="86"/>
      <c r="CQ62" s="1641"/>
      <c r="CR62" s="86"/>
      <c r="CS62" s="86"/>
      <c r="CT62" s="86"/>
      <c r="CU62" s="86"/>
      <c r="CV62" s="86"/>
      <c r="CW62" s="86"/>
      <c r="CX62" s="86"/>
      <c r="CY62" s="86"/>
      <c r="CZ62" s="86"/>
      <c r="DA62" s="86"/>
      <c r="DB62" s="1642"/>
      <c r="DC62" s="1642"/>
      <c r="DD62" s="30"/>
      <c r="DE62" s="30"/>
      <c r="DF62" s="30"/>
      <c r="DG62" s="1642"/>
      <c r="DH62" s="1642"/>
      <c r="DI62" s="1642"/>
      <c r="DJ62" s="1642"/>
      <c r="DK62" s="1642"/>
      <c r="DL62" s="1642"/>
      <c r="DM62" s="1642"/>
      <c r="DN62" s="1642"/>
      <c r="DO62" s="1642"/>
      <c r="DP62" s="1642"/>
      <c r="DQ62" s="1642"/>
      <c r="DR62" s="1642"/>
      <c r="DS62" s="1642"/>
      <c r="DT62" s="1642"/>
      <c r="DU62" s="1642"/>
      <c r="DV62" s="1642"/>
      <c r="DW62" s="1642"/>
      <c r="DX62" s="1642"/>
      <c r="DY62" s="1642"/>
      <c r="DZ62" s="1642"/>
      <c r="EA62" s="1642"/>
      <c r="EB62" s="1642"/>
      <c r="EC62" s="1642"/>
      <c r="ED62" s="1642"/>
      <c r="EE62" s="1642"/>
      <c r="EF62" s="1642"/>
      <c r="EG62" s="1642"/>
      <c r="EH62" s="1643"/>
      <c r="EI62" s="1658"/>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0"/>
      <c r="HS62" s="30"/>
      <c r="HT62" s="30"/>
      <c r="HU62" s="30"/>
      <c r="HV62" s="30"/>
      <c r="HW62" s="30"/>
      <c r="HX62" s="30"/>
      <c r="HY62" s="30"/>
      <c r="HZ62" s="30"/>
      <c r="IA62" s="30"/>
      <c r="IB62" s="30"/>
      <c r="IC62" s="30"/>
      <c r="ID62" s="30"/>
      <c r="IE62" s="30"/>
      <c r="IF62" s="30"/>
      <c r="IG62" s="30"/>
      <c r="IH62" s="30"/>
      <c r="II62" s="30"/>
      <c r="IJ62" s="30"/>
      <c r="IK62" s="30"/>
      <c r="IL62" s="30"/>
      <c r="IM62" s="30"/>
      <c r="IN62" s="30"/>
      <c r="IO62" s="30"/>
      <c r="IP62" s="30"/>
      <c r="IQ62" s="30"/>
      <c r="IR62" s="30"/>
      <c r="IS62" s="30"/>
      <c r="IT62" s="30"/>
      <c r="IU62" s="30"/>
      <c r="IV62" s="30"/>
      <c r="IW62" s="30"/>
      <c r="IX62" s="30"/>
      <c r="IY62" s="30"/>
      <c r="IZ62" s="30"/>
      <c r="JA62" s="30"/>
      <c r="JB62" s="30"/>
      <c r="JC62" s="30"/>
      <c r="JD62" s="30"/>
      <c r="JE62" s="30"/>
      <c r="JF62" s="30"/>
      <c r="JG62" s="30"/>
      <c r="JH62" s="30"/>
      <c r="JI62" s="30"/>
      <c r="JJ62" s="30"/>
      <c r="JK62" s="30"/>
      <c r="JL62" s="30"/>
      <c r="JM62" s="30"/>
      <c r="JN62" s="30"/>
      <c r="JO62" s="30"/>
      <c r="JP62" s="30"/>
      <c r="JQ62" s="30"/>
      <c r="JR62" s="30"/>
      <c r="JS62" s="30"/>
      <c r="JT62" s="30"/>
      <c r="JU62" s="30"/>
      <c r="JV62" s="30"/>
      <c r="JW62" s="30"/>
      <c r="JX62" s="30"/>
      <c r="JY62" s="30"/>
      <c r="JZ62" s="30"/>
      <c r="KA62" s="30"/>
      <c r="KB62" s="30"/>
      <c r="KC62" s="30"/>
      <c r="KD62" s="30"/>
      <c r="KE62" s="30"/>
      <c r="KF62" s="30"/>
      <c r="KG62" s="30"/>
      <c r="KH62" s="30"/>
      <c r="KI62" s="30"/>
      <c r="KJ62" s="30"/>
      <c r="KK62" s="30"/>
      <c r="KL62" s="30"/>
      <c r="KM62" s="30"/>
      <c r="KN62" s="30"/>
      <c r="KO62" s="30"/>
      <c r="KP62" s="1630"/>
    </row>
    <row r="63" spans="1:302" s="97" customFormat="1" ht="27.75" outlineLevel="1">
      <c r="A63" s="1994" t="s">
        <v>750</v>
      </c>
      <c r="B63" s="1994"/>
      <c r="C63" s="2589" t="s">
        <v>622</v>
      </c>
      <c r="D63" s="2589" t="s">
        <v>623</v>
      </c>
      <c r="E63" s="261"/>
      <c r="F63" s="370"/>
      <c r="G63" s="371"/>
      <c r="H63" s="350" t="s">
        <v>26</v>
      </c>
      <c r="I63" s="2936"/>
      <c r="J63" s="362" t="s">
        <v>26</v>
      </c>
      <c r="K63" s="355"/>
      <c r="L63" s="358"/>
      <c r="M63" s="358"/>
      <c r="N63" s="358"/>
      <c r="O63" s="2595"/>
      <c r="P63" s="2596"/>
      <c r="Q63" s="2596"/>
      <c r="R63" s="2596"/>
      <c r="S63" s="2595">
        <f t="shared" si="99"/>
        <v>0</v>
      </c>
      <c r="T63" s="2597"/>
      <c r="U63" s="2597"/>
      <c r="V63" s="2597"/>
      <c r="W63" s="2595">
        <f t="shared" si="92"/>
        <v>0</v>
      </c>
      <c r="X63" s="2595" t="s">
        <v>26</v>
      </c>
      <c r="Y63" s="2597"/>
      <c r="Z63" s="2597"/>
      <c r="AA63" s="2597"/>
      <c r="AB63" s="2595">
        <f t="shared" si="97"/>
        <v>0</v>
      </c>
      <c r="AC63" s="1444"/>
      <c r="AD63" s="1444"/>
      <c r="AE63" s="1687"/>
      <c r="AF63" s="354"/>
      <c r="AG63" s="354"/>
      <c r="AH63" s="354">
        <f t="shared" si="110"/>
        <v>0</v>
      </c>
      <c r="AI63" s="355">
        <f t="shared" ca="1" si="94"/>
        <v>0</v>
      </c>
      <c r="AJ63" s="356" t="str">
        <f t="shared" si="1"/>
        <v/>
      </c>
      <c r="AK63" s="2185"/>
      <c r="AL63" s="260"/>
      <c r="AM63" s="2258"/>
      <c r="AN63" s="2258"/>
      <c r="AO63" s="359"/>
      <c r="AP63" s="360"/>
      <c r="AQ63" s="359"/>
      <c r="AR63" s="377"/>
      <c r="AS63" s="377"/>
      <c r="AT63" s="360"/>
      <c r="AU63" s="1505"/>
      <c r="AV63" s="1505"/>
      <c r="AW63" s="359"/>
      <c r="AX63" s="359"/>
      <c r="AY63" s="360"/>
      <c r="AZ63" s="2273"/>
      <c r="BA63" s="497"/>
      <c r="BB63" s="377"/>
      <c r="BC63" s="359"/>
      <c r="BD63" s="359"/>
      <c r="BE63" s="359"/>
      <c r="BF63" s="359"/>
      <c r="BG63" s="359"/>
      <c r="BH63" s="359"/>
      <c r="BI63" s="380"/>
      <c r="BJ63" s="359"/>
      <c r="BK63" s="2122"/>
      <c r="BL63" s="380"/>
      <c r="BM63" s="380"/>
      <c r="BN63" s="380"/>
      <c r="BO63" s="380"/>
      <c r="BP63" s="380"/>
      <c r="BQ63" s="2087"/>
      <c r="BR63" s="359"/>
      <c r="BS63" s="359"/>
      <c r="BT63" s="359"/>
      <c r="BU63" s="364"/>
      <c r="BV63" s="364"/>
      <c r="BW63" s="2366"/>
      <c r="BX63" s="2463"/>
      <c r="BY63" s="2543"/>
      <c r="BZ63" s="2543"/>
      <c r="CA63" s="2591">
        <f t="shared" si="107"/>
        <v>0</v>
      </c>
      <c r="CB63" s="2377" t="str">
        <f t="shared" si="108"/>
        <v/>
      </c>
      <c r="CC63" s="365" t="str">
        <f t="shared" si="109"/>
        <v/>
      </c>
      <c r="CD63" s="366"/>
      <c r="CE63" s="343"/>
      <c r="CF63" s="343"/>
      <c r="CG63" s="340"/>
      <c r="CH63" s="367"/>
      <c r="CI63" s="368"/>
      <c r="CJ63" s="368"/>
      <c r="CK63" s="369"/>
      <c r="CL63" s="329">
        <f t="shared" si="12"/>
        <v>0</v>
      </c>
      <c r="CM63" s="330">
        <f t="shared" ca="1" si="13"/>
        <v>0</v>
      </c>
      <c r="CN63" s="331">
        <f t="shared" ca="1" si="14"/>
        <v>0</v>
      </c>
      <c r="CO63" s="86"/>
      <c r="CP63" s="86"/>
      <c r="CQ63" s="1641"/>
      <c r="CR63" s="86"/>
      <c r="CS63" s="86"/>
      <c r="CT63" s="86"/>
      <c r="CU63" s="86"/>
      <c r="CV63" s="86"/>
      <c r="CW63" s="86"/>
      <c r="CX63" s="86"/>
      <c r="CY63" s="86"/>
      <c r="CZ63" s="86"/>
      <c r="DA63" s="86"/>
      <c r="DB63" s="1642"/>
      <c r="DC63" s="1642"/>
      <c r="DD63" s="30"/>
      <c r="DE63" s="30"/>
      <c r="DF63" s="30"/>
      <c r="DG63" s="1642"/>
      <c r="DH63" s="1642"/>
      <c r="DI63" s="1642"/>
      <c r="DJ63" s="1642"/>
      <c r="DK63" s="1642"/>
      <c r="DL63" s="1642"/>
      <c r="DM63" s="1642"/>
      <c r="DN63" s="1642"/>
      <c r="DO63" s="1642"/>
      <c r="DP63" s="1642"/>
      <c r="DQ63" s="1642"/>
      <c r="DR63" s="1642"/>
      <c r="DS63" s="1642"/>
      <c r="DT63" s="1642"/>
      <c r="DU63" s="1642"/>
      <c r="DV63" s="1642"/>
      <c r="DW63" s="1642"/>
      <c r="DX63" s="1642"/>
      <c r="DY63" s="1642"/>
      <c r="DZ63" s="1642"/>
      <c r="EA63" s="1642"/>
      <c r="EB63" s="1642"/>
      <c r="EC63" s="1642"/>
      <c r="ED63" s="1642"/>
      <c r="EE63" s="1642"/>
      <c r="EF63" s="1642"/>
      <c r="EG63" s="1642"/>
      <c r="EH63" s="1643"/>
      <c r="EI63" s="1658"/>
      <c r="EJ63" s="30"/>
      <c r="EK63" s="30"/>
      <c r="EL63" s="30"/>
      <c r="EM63" s="30"/>
      <c r="EN63" s="30"/>
      <c r="EO63" s="30"/>
      <c r="EP63" s="30"/>
      <c r="EQ63" s="30"/>
      <c r="ER63" s="30"/>
      <c r="ES63" s="30"/>
      <c r="ET63" s="30"/>
      <c r="EU63" s="30"/>
      <c r="EV63" s="30"/>
      <c r="EW63" s="30"/>
      <c r="EX63" s="30"/>
      <c r="EY63" s="30"/>
      <c r="EZ63" s="30"/>
      <c r="FA63" s="30"/>
      <c r="FB63" s="30"/>
      <c r="FC63" s="30"/>
      <c r="FD63" s="30"/>
      <c r="FE63" s="30"/>
      <c r="FF63" s="30"/>
      <c r="FG63" s="30"/>
      <c r="FH63" s="30"/>
      <c r="FI63" s="30"/>
      <c r="FJ63" s="30"/>
      <c r="FK63" s="30"/>
      <c r="FL63" s="30"/>
      <c r="FM63" s="30"/>
      <c r="FN63" s="30"/>
      <c r="FO63" s="30"/>
      <c r="FP63" s="30"/>
      <c r="FQ63" s="30"/>
      <c r="FR63" s="30"/>
      <c r="FS63" s="30"/>
      <c r="FT63" s="30"/>
      <c r="FU63" s="30"/>
      <c r="FV63" s="30"/>
      <c r="FW63" s="30"/>
      <c r="FX63" s="30"/>
      <c r="FY63" s="30"/>
      <c r="FZ63" s="30"/>
      <c r="GA63" s="30"/>
      <c r="GB63" s="30"/>
      <c r="GC63" s="30"/>
      <c r="GD63" s="30"/>
      <c r="GE63" s="30"/>
      <c r="GF63" s="30"/>
      <c r="GG63" s="30"/>
      <c r="GH63" s="30"/>
      <c r="GI63" s="30"/>
      <c r="GJ63" s="30"/>
      <c r="GK63" s="30"/>
      <c r="GL63" s="30"/>
      <c r="GM63" s="30"/>
      <c r="GN63" s="30"/>
      <c r="GO63" s="30"/>
      <c r="GP63" s="30"/>
      <c r="GQ63" s="30"/>
      <c r="GR63" s="30"/>
      <c r="GS63" s="30"/>
      <c r="GT63" s="30"/>
      <c r="GU63" s="30"/>
      <c r="GV63" s="30"/>
      <c r="GW63" s="30"/>
      <c r="GX63" s="30"/>
      <c r="GY63" s="30"/>
      <c r="GZ63" s="30"/>
      <c r="HA63" s="30"/>
      <c r="HB63" s="30"/>
      <c r="HC63" s="30"/>
      <c r="HD63" s="30"/>
      <c r="HE63" s="30"/>
      <c r="HF63" s="30"/>
      <c r="HG63" s="30"/>
      <c r="HH63" s="30"/>
      <c r="HI63" s="30"/>
      <c r="HJ63" s="30"/>
      <c r="HK63" s="30"/>
      <c r="HL63" s="30"/>
      <c r="HM63" s="30"/>
      <c r="HN63" s="30"/>
      <c r="HO63" s="30"/>
      <c r="HP63" s="30"/>
      <c r="HQ63" s="30"/>
      <c r="HR63" s="30"/>
      <c r="HS63" s="30"/>
      <c r="HT63" s="30"/>
      <c r="HU63" s="30"/>
      <c r="HV63" s="30"/>
      <c r="HW63" s="30"/>
      <c r="HX63" s="30"/>
      <c r="HY63" s="30"/>
      <c r="HZ63" s="30"/>
      <c r="IA63" s="30"/>
      <c r="IB63" s="30"/>
      <c r="IC63" s="30"/>
      <c r="ID63" s="30"/>
      <c r="IE63" s="30"/>
      <c r="IF63" s="30"/>
      <c r="IG63" s="30"/>
      <c r="IH63" s="30"/>
      <c r="II63" s="30"/>
      <c r="IJ63" s="30"/>
      <c r="IK63" s="30"/>
      <c r="IL63" s="30"/>
      <c r="IM63" s="30"/>
      <c r="IN63" s="30"/>
      <c r="IO63" s="30"/>
      <c r="IP63" s="30"/>
      <c r="IQ63" s="30"/>
      <c r="IR63" s="30"/>
      <c r="IS63" s="30"/>
      <c r="IT63" s="30"/>
      <c r="IU63" s="30"/>
      <c r="IV63" s="30"/>
      <c r="IW63" s="30"/>
      <c r="IX63" s="30"/>
      <c r="IY63" s="30"/>
      <c r="IZ63" s="30"/>
      <c r="JA63" s="30"/>
      <c r="JB63" s="30"/>
      <c r="JC63" s="30"/>
      <c r="JD63" s="30"/>
      <c r="JE63" s="30"/>
      <c r="JF63" s="30"/>
      <c r="JG63" s="30"/>
      <c r="JH63" s="30"/>
      <c r="JI63" s="30"/>
      <c r="JJ63" s="30"/>
      <c r="JK63" s="30"/>
      <c r="JL63" s="30"/>
      <c r="JM63" s="30"/>
      <c r="JN63" s="30"/>
      <c r="JO63" s="30"/>
      <c r="JP63" s="30"/>
      <c r="JQ63" s="30"/>
      <c r="JR63" s="30"/>
      <c r="JS63" s="30"/>
      <c r="JT63" s="30"/>
      <c r="JU63" s="30"/>
      <c r="JV63" s="30"/>
      <c r="JW63" s="30"/>
      <c r="JX63" s="30"/>
      <c r="JY63" s="30"/>
      <c r="JZ63" s="30"/>
      <c r="KA63" s="30"/>
      <c r="KB63" s="30"/>
      <c r="KC63" s="30"/>
      <c r="KD63" s="30"/>
      <c r="KE63" s="30"/>
      <c r="KF63" s="30"/>
      <c r="KG63" s="30"/>
      <c r="KH63" s="30"/>
      <c r="KI63" s="30"/>
      <c r="KJ63" s="30"/>
      <c r="KK63" s="30"/>
      <c r="KL63" s="30"/>
      <c r="KM63" s="30"/>
      <c r="KN63" s="30"/>
      <c r="KO63" s="30"/>
      <c r="KP63" s="1630"/>
    </row>
    <row r="64" spans="1:302" s="97" customFormat="1" ht="25.5" outlineLevel="1">
      <c r="A64" s="1994" t="s">
        <v>761</v>
      </c>
      <c r="B64" s="1994"/>
      <c r="C64" s="2008" t="s">
        <v>624</v>
      </c>
      <c r="D64" s="2067" t="s">
        <v>625</v>
      </c>
      <c r="E64" s="261"/>
      <c r="F64" s="370"/>
      <c r="G64" s="371"/>
      <c r="H64" s="350" t="s">
        <v>26</v>
      </c>
      <c r="I64" s="2936"/>
      <c r="J64" s="362" t="s">
        <v>26</v>
      </c>
      <c r="K64" s="355"/>
      <c r="L64" s="358"/>
      <c r="M64" s="358"/>
      <c r="N64" s="358"/>
      <c r="O64" s="1510">
        <v>18708794</v>
      </c>
      <c r="P64" s="358"/>
      <c r="Q64" s="358"/>
      <c r="R64" s="358"/>
      <c r="S64" s="1510">
        <f t="shared" si="99"/>
        <v>0</v>
      </c>
      <c r="T64" s="389"/>
      <c r="U64" s="1746"/>
      <c r="V64" s="1746"/>
      <c r="W64" s="1744">
        <f t="shared" si="92"/>
        <v>18708794</v>
      </c>
      <c r="X64" s="359" t="s">
        <v>26</v>
      </c>
      <c r="Y64" s="389"/>
      <c r="Z64" s="1746"/>
      <c r="AA64" s="1509"/>
      <c r="AB64" s="2722">
        <f t="shared" si="97"/>
        <v>0</v>
      </c>
      <c r="AD64" s="1444"/>
      <c r="AE64" s="1687"/>
      <c r="AF64" s="354"/>
      <c r="AG64" s="354"/>
      <c r="AH64" s="354">
        <f t="shared" si="110"/>
        <v>0</v>
      </c>
      <c r="AI64" s="355">
        <f t="shared" ca="1" si="94"/>
        <v>0</v>
      </c>
      <c r="AJ64" s="356" t="str">
        <f t="shared" si="1"/>
        <v/>
      </c>
      <c r="AK64" s="2185"/>
      <c r="AL64" s="260"/>
      <c r="AM64" s="2258"/>
      <c r="AN64" s="2258"/>
      <c r="AO64" s="359"/>
      <c r="AP64" s="360"/>
      <c r="AQ64" s="359"/>
      <c r="AR64" s="2628"/>
      <c r="AS64" s="377"/>
      <c r="AT64" s="360"/>
      <c r="AU64" s="1505"/>
      <c r="AV64" s="1505"/>
      <c r="AW64" s="359"/>
      <c r="AX64" s="359"/>
      <c r="AY64" s="360"/>
      <c r="AZ64" s="2273"/>
      <c r="BA64" s="497"/>
      <c r="BB64" s="377"/>
      <c r="BC64" s="359"/>
      <c r="BD64" s="359"/>
      <c r="BE64" s="359"/>
      <c r="BF64" s="359"/>
      <c r="BG64" s="359"/>
      <c r="BH64" s="359"/>
      <c r="BI64" s="380"/>
      <c r="BJ64" s="359"/>
      <c r="BK64" s="2122"/>
      <c r="BL64" s="380"/>
      <c r="BM64" s="380"/>
      <c r="BN64" s="380"/>
      <c r="BO64" s="380"/>
      <c r="BP64" s="380"/>
      <c r="BQ64" s="2087"/>
      <c r="BR64" s="359"/>
      <c r="BS64" s="359"/>
      <c r="BT64" s="359"/>
      <c r="BU64" s="364"/>
      <c r="BV64" s="364"/>
      <c r="BW64" s="2366"/>
      <c r="BX64" s="2463"/>
      <c r="BY64" s="2543"/>
      <c r="BZ64" s="2543"/>
      <c r="CA64" s="2591">
        <f t="shared" si="107"/>
        <v>0</v>
      </c>
      <c r="CB64" s="2377" t="str">
        <f t="shared" si="108"/>
        <v/>
      </c>
      <c r="CC64" s="365" t="str">
        <f t="shared" si="109"/>
        <v/>
      </c>
      <c r="CD64" s="366"/>
      <c r="CE64" s="343"/>
      <c r="CF64" s="343"/>
      <c r="CG64" s="340"/>
      <c r="CH64" s="367"/>
      <c r="CI64" s="368"/>
      <c r="CJ64" s="368"/>
      <c r="CK64" s="369"/>
      <c r="CL64" s="329">
        <f t="shared" si="12"/>
        <v>18708794</v>
      </c>
      <c r="CM64" s="330">
        <f t="shared" ca="1" si="13"/>
        <v>0</v>
      </c>
      <c r="CN64" s="331">
        <f t="shared" ca="1" si="14"/>
        <v>0</v>
      </c>
      <c r="CO64" s="86"/>
      <c r="CP64" s="86"/>
      <c r="CQ64" s="1641"/>
      <c r="CR64" s="86"/>
      <c r="CS64" s="86"/>
      <c r="CT64" s="86"/>
      <c r="CU64" s="86"/>
      <c r="CV64" s="86"/>
      <c r="CW64" s="86"/>
      <c r="CX64" s="86"/>
      <c r="CY64" s="86"/>
      <c r="CZ64" s="86"/>
      <c r="DA64" s="86"/>
      <c r="DB64" s="1642"/>
      <c r="DC64" s="1642"/>
      <c r="DD64" s="30"/>
      <c r="DE64" s="30"/>
      <c r="DF64" s="30"/>
      <c r="DG64" s="1642"/>
      <c r="DH64" s="1642"/>
      <c r="DI64" s="1642"/>
      <c r="DJ64" s="1642"/>
      <c r="DK64" s="1642"/>
      <c r="DL64" s="1642"/>
      <c r="DM64" s="1642"/>
      <c r="DN64" s="1642"/>
      <c r="DO64" s="1642"/>
      <c r="DP64" s="1642"/>
      <c r="DQ64" s="1642"/>
      <c r="DR64" s="1642"/>
      <c r="DS64" s="1642"/>
      <c r="DT64" s="1642"/>
      <c r="DU64" s="1642"/>
      <c r="DV64" s="1642"/>
      <c r="DW64" s="1642"/>
      <c r="DX64" s="1642"/>
      <c r="DY64" s="1642"/>
      <c r="DZ64" s="1642"/>
      <c r="EA64" s="1642"/>
      <c r="EB64" s="1642"/>
      <c r="EC64" s="1642"/>
      <c r="ED64" s="1642"/>
      <c r="EE64" s="1642"/>
      <c r="EF64" s="1642"/>
      <c r="EG64" s="1642"/>
      <c r="EH64" s="1643"/>
      <c r="EI64" s="1658"/>
      <c r="EJ64" s="30"/>
      <c r="EK64" s="30"/>
      <c r="EL64" s="30"/>
      <c r="EM64" s="30"/>
      <c r="EN64" s="30"/>
      <c r="EO64" s="30"/>
      <c r="EP64" s="30"/>
      <c r="EQ64" s="30"/>
      <c r="ER64" s="30"/>
      <c r="ES64" s="30"/>
      <c r="ET64" s="30"/>
      <c r="EU64" s="30"/>
      <c r="EV64" s="30"/>
      <c r="EW64" s="30"/>
      <c r="EX64" s="30"/>
      <c r="EY64" s="30"/>
      <c r="EZ64" s="30"/>
      <c r="FA64" s="30"/>
      <c r="FB64" s="30"/>
      <c r="FC64" s="30"/>
      <c r="FD64" s="30"/>
      <c r="FE64" s="30"/>
      <c r="FF64" s="30"/>
      <c r="FG64" s="30"/>
      <c r="FH64" s="30"/>
      <c r="FI64" s="30"/>
      <c r="FJ64" s="30"/>
      <c r="FK64" s="30"/>
      <c r="FL64" s="30"/>
      <c r="FM64" s="30"/>
      <c r="FN64" s="30"/>
      <c r="FO64" s="30"/>
      <c r="FP64" s="30"/>
      <c r="FQ64" s="30"/>
      <c r="FR64" s="30"/>
      <c r="FS64" s="30"/>
      <c r="FT64" s="30"/>
      <c r="FU64" s="30"/>
      <c r="FV64" s="30"/>
      <c r="FW64" s="30"/>
      <c r="FX64" s="30"/>
      <c r="FY64" s="30"/>
      <c r="FZ64" s="30"/>
      <c r="GA64" s="30"/>
      <c r="GB64" s="30"/>
      <c r="GC64" s="30"/>
      <c r="GD64" s="30"/>
      <c r="GE64" s="30"/>
      <c r="GF64" s="30"/>
      <c r="GG64" s="30"/>
      <c r="GH64" s="30"/>
      <c r="GI64" s="30"/>
      <c r="GJ64" s="30"/>
      <c r="GK64" s="30"/>
      <c r="GL64" s="30"/>
      <c r="GM64" s="30"/>
      <c r="GN64" s="30"/>
      <c r="GO64" s="30"/>
      <c r="GP64" s="30"/>
      <c r="GQ64" s="30"/>
      <c r="GR64" s="30"/>
      <c r="GS64" s="30"/>
      <c r="GT64" s="30"/>
      <c r="GU64" s="30"/>
      <c r="GV64" s="30"/>
      <c r="GW64" s="30"/>
      <c r="GX64" s="30"/>
      <c r="GY64" s="30"/>
      <c r="GZ64" s="30"/>
      <c r="HA64" s="30"/>
      <c r="HB64" s="30"/>
      <c r="HC64" s="30"/>
      <c r="HD64" s="30"/>
      <c r="HE64" s="30"/>
      <c r="HF64" s="30"/>
      <c r="HG64" s="30"/>
      <c r="HH64" s="30"/>
      <c r="HI64" s="30"/>
      <c r="HJ64" s="30"/>
      <c r="HK64" s="30"/>
      <c r="HL64" s="30"/>
      <c r="HM64" s="30"/>
      <c r="HN64" s="30"/>
      <c r="HO64" s="30"/>
      <c r="HP64" s="30"/>
      <c r="HQ64" s="30"/>
      <c r="HR64" s="30"/>
      <c r="HS64" s="30"/>
      <c r="HT64" s="30"/>
      <c r="HU64" s="30"/>
      <c r="HV64" s="30"/>
      <c r="HW64" s="30"/>
      <c r="HX64" s="30"/>
      <c r="HY64" s="30"/>
      <c r="HZ64" s="30"/>
      <c r="IA64" s="30"/>
      <c r="IB64" s="30"/>
      <c r="IC64" s="30"/>
      <c r="ID64" s="30"/>
      <c r="IE64" s="30"/>
      <c r="IF64" s="30"/>
      <c r="IG64" s="30"/>
      <c r="IH64" s="30"/>
      <c r="II64" s="30"/>
      <c r="IJ64" s="30"/>
      <c r="IK64" s="30"/>
      <c r="IL64" s="30"/>
      <c r="IM64" s="30"/>
      <c r="IN64" s="30"/>
      <c r="IO64" s="30"/>
      <c r="IP64" s="30"/>
      <c r="IQ64" s="30"/>
      <c r="IR64" s="30"/>
      <c r="IS64" s="30"/>
      <c r="IT64" s="30"/>
      <c r="IU64" s="30"/>
      <c r="IV64" s="30"/>
      <c r="IW64" s="30"/>
      <c r="IX64" s="30"/>
      <c r="IY64" s="30"/>
      <c r="IZ64" s="30"/>
      <c r="JA64" s="30"/>
      <c r="JB64" s="30"/>
      <c r="JC64" s="30"/>
      <c r="JD64" s="30"/>
      <c r="JE64" s="30"/>
      <c r="JF64" s="30"/>
      <c r="JG64" s="30"/>
      <c r="JH64" s="30"/>
      <c r="JI64" s="30"/>
      <c r="JJ64" s="30"/>
      <c r="JK64" s="30"/>
      <c r="JL64" s="30"/>
      <c r="JM64" s="30"/>
      <c r="JN64" s="30"/>
      <c r="JO64" s="30"/>
      <c r="JP64" s="30"/>
      <c r="JQ64" s="30"/>
      <c r="JR64" s="30"/>
      <c r="JS64" s="30"/>
      <c r="JT64" s="30"/>
      <c r="JU64" s="30"/>
      <c r="JV64" s="30"/>
      <c r="JW64" s="30"/>
      <c r="JX64" s="30"/>
      <c r="JY64" s="30"/>
      <c r="JZ64" s="30"/>
      <c r="KA64" s="30"/>
      <c r="KB64" s="30"/>
      <c r="KC64" s="30"/>
      <c r="KD64" s="30"/>
      <c r="KE64" s="30"/>
      <c r="KF64" s="30"/>
      <c r="KG64" s="30"/>
      <c r="KH64" s="30"/>
      <c r="KI64" s="30"/>
      <c r="KJ64" s="30"/>
      <c r="KK64" s="30"/>
      <c r="KL64" s="30"/>
      <c r="KM64" s="30"/>
      <c r="KN64" s="30"/>
      <c r="KO64" s="30"/>
      <c r="KP64" s="1630"/>
    </row>
    <row r="65" spans="1:302" s="97" customFormat="1" ht="25.9" outlineLevel="1">
      <c r="A65" s="1994" t="s">
        <v>817</v>
      </c>
      <c r="B65" s="1994"/>
      <c r="C65" s="2008" t="s">
        <v>1387</v>
      </c>
      <c r="D65" s="2067" t="s">
        <v>625</v>
      </c>
      <c r="E65" s="261"/>
      <c r="F65" s="370"/>
      <c r="G65" s="371"/>
      <c r="H65" s="350" t="s">
        <v>26</v>
      </c>
      <c r="I65" s="2936"/>
      <c r="J65" s="362" t="s">
        <v>26</v>
      </c>
      <c r="K65" s="355"/>
      <c r="L65" s="358"/>
      <c r="M65" s="358"/>
      <c r="N65" s="358"/>
      <c r="O65" s="1510"/>
      <c r="P65" s="358"/>
      <c r="Q65" s="358"/>
      <c r="R65" s="358"/>
      <c r="S65" s="1510">
        <f t="shared" ref="S65:S69" si="111">R65*Q65</f>
        <v>0</v>
      </c>
      <c r="T65" s="389"/>
      <c r="U65" s="1746"/>
      <c r="V65" s="1746"/>
      <c r="W65" s="1744">
        <f t="shared" ref="W65:W69" si="112">O65+S65</f>
        <v>0</v>
      </c>
      <c r="X65" s="359" t="s">
        <v>26</v>
      </c>
      <c r="Y65" s="389"/>
      <c r="Z65" s="1746"/>
      <c r="AA65" s="1509"/>
      <c r="AB65" s="2598">
        <f t="shared" si="97"/>
        <v>18708794</v>
      </c>
      <c r="AC65" s="1444" t="s">
        <v>1390</v>
      </c>
      <c r="AD65" s="1444"/>
      <c r="AE65" s="1687" t="s">
        <v>564</v>
      </c>
      <c r="AF65" s="354">
        <v>18708794</v>
      </c>
      <c r="AG65" s="354">
        <v>1</v>
      </c>
      <c r="AH65" s="354">
        <f t="shared" ref="AH65:AH69" si="113">AF65*AG65</f>
        <v>18708794</v>
      </c>
      <c r="AI65" s="355">
        <f t="shared" ca="1" si="94"/>
        <v>0</v>
      </c>
      <c r="AJ65" s="356">
        <f t="shared" ca="1" si="1"/>
        <v>0</v>
      </c>
      <c r="AK65" s="2185"/>
      <c r="AL65" s="260"/>
      <c r="AM65" s="2258"/>
      <c r="AN65" s="2258"/>
      <c r="AO65" s="359"/>
      <c r="AP65" s="360"/>
      <c r="AQ65" s="360">
        <v>2078754.888888889</v>
      </c>
      <c r="AR65" s="360">
        <v>2078754.888888889</v>
      </c>
      <c r="AS65" s="360">
        <v>2078754.888888889</v>
      </c>
      <c r="AT65" s="360">
        <v>2078754.888888889</v>
      </c>
      <c r="AU65" s="360">
        <v>1078754.8888888899</v>
      </c>
      <c r="AV65" s="360">
        <v>2078754.888888889</v>
      </c>
      <c r="AW65" s="360">
        <v>2078754.888888889</v>
      </c>
      <c r="AX65" s="360">
        <v>2078754.888888889</v>
      </c>
      <c r="AY65" s="360">
        <v>2078754.888888889</v>
      </c>
      <c r="AZ65" s="2628"/>
      <c r="BA65" s="497">
        <v>1000000</v>
      </c>
      <c r="BB65" s="377"/>
      <c r="BC65" s="359"/>
      <c r="BD65" s="359"/>
      <c r="BE65" s="359"/>
      <c r="BF65" s="359"/>
      <c r="BG65" s="359"/>
      <c r="BH65" s="359"/>
      <c r="BI65" s="380"/>
      <c r="BJ65" s="359"/>
      <c r="BK65" s="2122"/>
      <c r="BL65" s="380"/>
      <c r="BM65" s="380"/>
      <c r="BN65" s="380"/>
      <c r="BO65" s="380"/>
      <c r="BP65" s="380"/>
      <c r="BQ65" s="2087"/>
      <c r="BR65" s="359"/>
      <c r="BS65" s="359"/>
      <c r="BT65" s="359"/>
      <c r="BU65" s="364"/>
      <c r="BV65" s="364"/>
      <c r="BW65" s="2366"/>
      <c r="BX65" s="2463"/>
      <c r="BY65" s="2543"/>
      <c r="BZ65" s="2543"/>
      <c r="CA65" s="2591">
        <f t="shared" si="107"/>
        <v>18708794</v>
      </c>
      <c r="CB65" s="2377">
        <f t="shared" si="108"/>
        <v>1</v>
      </c>
      <c r="CC65" s="365">
        <f t="shared" si="109"/>
        <v>5.3450799661378491E-8</v>
      </c>
      <c r="CD65" s="366"/>
      <c r="CE65" s="343"/>
      <c r="CF65" s="343"/>
      <c r="CG65" s="340"/>
      <c r="CH65" s="367"/>
      <c r="CI65" s="368"/>
      <c r="CJ65" s="368"/>
      <c r="CK65" s="369"/>
      <c r="CL65" s="329">
        <f t="shared" si="12"/>
        <v>-18708794</v>
      </c>
      <c r="CM65" s="330">
        <f t="shared" ca="1" si="13"/>
        <v>0</v>
      </c>
      <c r="CN65" s="331">
        <f t="shared" ca="1" si="14"/>
        <v>-1000000</v>
      </c>
      <c r="CO65" s="86"/>
      <c r="CP65" s="86"/>
      <c r="CQ65" s="1641"/>
      <c r="CR65" s="86"/>
      <c r="CS65" s="86"/>
      <c r="CT65" s="86"/>
      <c r="CU65" s="86"/>
      <c r="CV65" s="86"/>
      <c r="CW65" s="86"/>
      <c r="CX65" s="86"/>
      <c r="CY65" s="86"/>
      <c r="CZ65" s="86"/>
      <c r="DA65" s="86"/>
      <c r="DB65" s="1642"/>
      <c r="DC65" s="1642"/>
      <c r="DD65" s="30"/>
      <c r="DE65" s="30"/>
      <c r="DF65" s="30"/>
      <c r="DG65" s="1642"/>
      <c r="DH65" s="1642"/>
      <c r="DI65" s="1642"/>
      <c r="DJ65" s="1642"/>
      <c r="DK65" s="1642"/>
      <c r="DL65" s="1642"/>
      <c r="DM65" s="1642"/>
      <c r="DN65" s="1642"/>
      <c r="DO65" s="1642"/>
      <c r="DP65" s="1642"/>
      <c r="DQ65" s="1642"/>
      <c r="DR65" s="1642"/>
      <c r="DS65" s="1642"/>
      <c r="DT65" s="1642"/>
      <c r="DU65" s="1642"/>
      <c r="DV65" s="1642"/>
      <c r="DW65" s="1642"/>
      <c r="DX65" s="1642"/>
      <c r="DY65" s="1642"/>
      <c r="DZ65" s="1642"/>
      <c r="EA65" s="1642"/>
      <c r="EB65" s="1642"/>
      <c r="EC65" s="1642"/>
      <c r="ED65" s="1642"/>
      <c r="EE65" s="1642"/>
      <c r="EF65" s="1642"/>
      <c r="EG65" s="1642"/>
      <c r="EH65" s="1643"/>
      <c r="EI65" s="1658"/>
      <c r="EJ65" s="30"/>
      <c r="EK65" s="30"/>
      <c r="EL65" s="30"/>
      <c r="EM65" s="30"/>
      <c r="EN65" s="30"/>
      <c r="EO65" s="30"/>
      <c r="EP65" s="30"/>
      <c r="EQ65" s="30"/>
      <c r="ER65" s="30"/>
      <c r="ES65" s="30"/>
      <c r="ET65" s="30"/>
      <c r="EU65" s="30"/>
      <c r="EV65" s="30"/>
      <c r="EW65" s="30"/>
      <c r="EX65" s="30"/>
      <c r="EY65" s="30"/>
      <c r="EZ65" s="30"/>
      <c r="FA65" s="30"/>
      <c r="FB65" s="30"/>
      <c r="FC65" s="30"/>
      <c r="FD65" s="30"/>
      <c r="FE65" s="30"/>
      <c r="FF65" s="30"/>
      <c r="FG65" s="30"/>
      <c r="FH65" s="30"/>
      <c r="FI65" s="30"/>
      <c r="FJ65" s="30"/>
      <c r="FK65" s="30"/>
      <c r="FL65" s="30"/>
      <c r="FM65" s="30"/>
      <c r="FN65" s="30"/>
      <c r="FO65" s="30"/>
      <c r="FP65" s="30"/>
      <c r="FQ65" s="30"/>
      <c r="FR65" s="30"/>
      <c r="FS65" s="30"/>
      <c r="FT65" s="30"/>
      <c r="FU65" s="30"/>
      <c r="FV65" s="30"/>
      <c r="FW65" s="30"/>
      <c r="FX65" s="30"/>
      <c r="FY65" s="30"/>
      <c r="FZ65" s="30"/>
      <c r="GA65" s="30"/>
      <c r="GB65" s="30"/>
      <c r="GC65" s="30"/>
      <c r="GD65" s="30"/>
      <c r="GE65" s="30"/>
      <c r="GF65" s="30"/>
      <c r="GG65" s="30"/>
      <c r="GH65" s="30"/>
      <c r="GI65" s="30"/>
      <c r="GJ65" s="30"/>
      <c r="GK65" s="30"/>
      <c r="GL65" s="30"/>
      <c r="GM65" s="30"/>
      <c r="GN65" s="30"/>
      <c r="GO65" s="30"/>
      <c r="GP65" s="30"/>
      <c r="GQ65" s="30"/>
      <c r="GR65" s="30"/>
      <c r="GS65" s="30"/>
      <c r="GT65" s="30"/>
      <c r="GU65" s="30"/>
      <c r="GV65" s="30"/>
      <c r="GW65" s="30"/>
      <c r="GX65" s="30"/>
      <c r="GY65" s="30"/>
      <c r="GZ65" s="30"/>
      <c r="HA65" s="30"/>
      <c r="HB65" s="30"/>
      <c r="HC65" s="30"/>
      <c r="HD65" s="30"/>
      <c r="HE65" s="30"/>
      <c r="HF65" s="30"/>
      <c r="HG65" s="30"/>
      <c r="HH65" s="30"/>
      <c r="HI65" s="30"/>
      <c r="HJ65" s="30"/>
      <c r="HK65" s="30"/>
      <c r="HL65" s="30"/>
      <c r="HM65" s="30"/>
      <c r="HN65" s="30"/>
      <c r="HO65" s="30"/>
      <c r="HP65" s="30"/>
      <c r="HQ65" s="30"/>
      <c r="HR65" s="30"/>
      <c r="HS65" s="30"/>
      <c r="HT65" s="30"/>
      <c r="HU65" s="30"/>
      <c r="HV65" s="30"/>
      <c r="HW65" s="30"/>
      <c r="HX65" s="30"/>
      <c r="HY65" s="30"/>
      <c r="HZ65" s="30"/>
      <c r="IA65" s="30"/>
      <c r="IB65" s="30"/>
      <c r="IC65" s="30"/>
      <c r="ID65" s="30"/>
      <c r="IE65" s="30"/>
      <c r="IF65" s="30"/>
      <c r="IG65" s="30"/>
      <c r="IH65" s="30"/>
      <c r="II65" s="30"/>
      <c r="IJ65" s="30"/>
      <c r="IK65" s="30"/>
      <c r="IL65" s="30"/>
      <c r="IM65" s="30"/>
      <c r="IN65" s="30"/>
      <c r="IO65" s="30"/>
      <c r="IP65" s="30"/>
      <c r="IQ65" s="30"/>
      <c r="IR65" s="30"/>
      <c r="IS65" s="30"/>
      <c r="IT65" s="30"/>
      <c r="IU65" s="30"/>
      <c r="IV65" s="30"/>
      <c r="IW65" s="30"/>
      <c r="IX65" s="30"/>
      <c r="IY65" s="30"/>
      <c r="IZ65" s="30"/>
      <c r="JA65" s="30"/>
      <c r="JB65" s="30"/>
      <c r="JC65" s="30"/>
      <c r="JD65" s="30"/>
      <c r="JE65" s="30"/>
      <c r="JF65" s="30"/>
      <c r="JG65" s="30"/>
      <c r="JH65" s="30"/>
      <c r="JI65" s="30"/>
      <c r="JJ65" s="30"/>
      <c r="JK65" s="30"/>
      <c r="JL65" s="30"/>
      <c r="JM65" s="30"/>
      <c r="JN65" s="30"/>
      <c r="JO65" s="30"/>
      <c r="JP65" s="30"/>
      <c r="JQ65" s="30"/>
      <c r="JR65" s="30"/>
      <c r="JS65" s="30"/>
      <c r="JT65" s="30"/>
      <c r="JU65" s="30"/>
      <c r="JV65" s="30"/>
      <c r="JW65" s="30"/>
      <c r="JX65" s="30"/>
      <c r="JY65" s="30"/>
      <c r="JZ65" s="30"/>
      <c r="KA65" s="30"/>
      <c r="KB65" s="30"/>
      <c r="KC65" s="30"/>
      <c r="KD65" s="30"/>
      <c r="KE65" s="30"/>
      <c r="KF65" s="30"/>
      <c r="KG65" s="30"/>
      <c r="KH65" s="30"/>
      <c r="KI65" s="30"/>
      <c r="KJ65" s="30"/>
      <c r="KK65" s="30"/>
      <c r="KL65" s="30"/>
      <c r="KM65" s="30"/>
      <c r="KN65" s="30"/>
      <c r="KO65" s="30"/>
      <c r="KP65" s="1630"/>
    </row>
    <row r="66" spans="1:302" s="97" customFormat="1" ht="39.4" outlineLevel="1">
      <c r="A66" s="1994" t="s">
        <v>762</v>
      </c>
      <c r="B66" s="1994"/>
      <c r="C66" s="261" t="s">
        <v>626</v>
      </c>
      <c r="D66" s="1711" t="s">
        <v>627</v>
      </c>
      <c r="E66" s="261"/>
      <c r="F66" s="347"/>
      <c r="G66" s="348"/>
      <c r="H66" s="350" t="s">
        <v>26</v>
      </c>
      <c r="I66" s="2936"/>
      <c r="J66" s="362" t="s">
        <v>26</v>
      </c>
      <c r="K66" s="1745"/>
      <c r="L66" s="358"/>
      <c r="M66" s="358"/>
      <c r="N66" s="358"/>
      <c r="O66" s="1510">
        <v>3426648</v>
      </c>
      <c r="P66" s="358"/>
      <c r="Q66" s="358"/>
      <c r="R66" s="358"/>
      <c r="S66" s="1510">
        <f t="shared" si="111"/>
        <v>0</v>
      </c>
      <c r="T66" s="389"/>
      <c r="U66" s="1746"/>
      <c r="V66" s="1746"/>
      <c r="W66" s="1744">
        <f t="shared" si="112"/>
        <v>3426648</v>
      </c>
      <c r="X66" s="359" t="s">
        <v>26</v>
      </c>
      <c r="Y66" s="389"/>
      <c r="Z66" s="1746"/>
      <c r="AA66" s="1509"/>
      <c r="AB66" s="2722">
        <f t="shared" si="97"/>
        <v>990112</v>
      </c>
      <c r="AC66" s="1444"/>
      <c r="AD66" s="1444"/>
      <c r="AE66" s="1687"/>
      <c r="AF66" s="361"/>
      <c r="AG66" s="354"/>
      <c r="AH66" s="354">
        <f t="shared" si="113"/>
        <v>0</v>
      </c>
      <c r="AI66" s="355">
        <f t="shared" ca="1" si="94"/>
        <v>0</v>
      </c>
      <c r="AJ66" s="356">
        <f t="shared" ca="1" si="1"/>
        <v>0</v>
      </c>
      <c r="AK66" s="2185"/>
      <c r="AL66" s="260"/>
      <c r="AM66" s="2258"/>
      <c r="AN66" s="2258"/>
      <c r="AO66" s="377"/>
      <c r="AP66" s="360"/>
      <c r="AQ66" s="359"/>
      <c r="AR66" s="377"/>
      <c r="AS66" s="377"/>
      <c r="AT66" s="377"/>
      <c r="AU66" s="377"/>
      <c r="AV66" s="377"/>
      <c r="AW66" s="377"/>
      <c r="AX66" s="377"/>
      <c r="AY66" s="390"/>
      <c r="AZ66" s="2257"/>
      <c r="BA66" s="497"/>
      <c r="BB66" s="363"/>
      <c r="BC66" s="363"/>
      <c r="BD66" s="363"/>
      <c r="BE66" s="362"/>
      <c r="BF66" s="362"/>
      <c r="BG66" s="362"/>
      <c r="BH66" s="362"/>
      <c r="BI66" s="414"/>
      <c r="BJ66" s="362"/>
      <c r="BK66" s="2123"/>
      <c r="BL66" s="414"/>
      <c r="BM66" s="414"/>
      <c r="BN66" s="414"/>
      <c r="BO66" s="414"/>
      <c r="BP66" s="414"/>
      <c r="BQ66" s="2399"/>
      <c r="BR66" s="362"/>
      <c r="BS66" s="362"/>
      <c r="BT66" s="362"/>
      <c r="BU66" s="364"/>
      <c r="BV66" s="364"/>
      <c r="BW66" s="2463">
        <f>1044248-64027+9891</f>
        <v>990112</v>
      </c>
      <c r="BX66" s="2463"/>
      <c r="BY66" s="2543"/>
      <c r="BZ66" s="2543"/>
      <c r="CA66" s="2591">
        <f t="shared" si="107"/>
        <v>990112</v>
      </c>
      <c r="CB66" s="2377">
        <f t="shared" si="108"/>
        <v>1</v>
      </c>
      <c r="CC66" s="365">
        <f t="shared" si="109"/>
        <v>1.0099867489738535E-6</v>
      </c>
      <c r="CD66" s="366"/>
      <c r="CE66" s="343"/>
      <c r="CF66" s="343"/>
      <c r="CG66" s="340"/>
      <c r="CH66" s="367"/>
      <c r="CI66" s="368"/>
      <c r="CJ66" s="368"/>
      <c r="CK66" s="369"/>
      <c r="CL66" s="329">
        <f t="shared" si="12"/>
        <v>2436536</v>
      </c>
      <c r="CM66" s="330">
        <f t="shared" ca="1" si="13"/>
        <v>0</v>
      </c>
      <c r="CN66" s="331">
        <f t="shared" ca="1" si="14"/>
        <v>-990112</v>
      </c>
      <c r="CO66" s="86"/>
      <c r="CP66" s="86"/>
      <c r="CQ66" s="1641"/>
      <c r="CR66" s="86"/>
      <c r="CS66" s="86"/>
      <c r="CT66" s="86"/>
      <c r="CU66" s="86"/>
      <c r="CV66" s="86"/>
      <c r="CW66" s="86"/>
      <c r="CX66" s="86"/>
      <c r="CY66" s="86"/>
      <c r="CZ66" s="86"/>
      <c r="DA66" s="86"/>
      <c r="DB66" s="1642"/>
      <c r="DC66" s="1642"/>
      <c r="DD66" s="30"/>
      <c r="DE66" s="30"/>
      <c r="DF66" s="30"/>
      <c r="DG66" s="1642"/>
      <c r="DH66" s="1642"/>
      <c r="DI66" s="1642"/>
      <c r="DJ66" s="1642"/>
      <c r="DK66" s="1642"/>
      <c r="DL66" s="1642"/>
      <c r="DM66" s="1642"/>
      <c r="DN66" s="1642"/>
      <c r="DO66" s="1642"/>
      <c r="DP66" s="1642"/>
      <c r="DQ66" s="1642"/>
      <c r="DR66" s="1642"/>
      <c r="DS66" s="1642"/>
      <c r="DT66" s="1642"/>
      <c r="DU66" s="1642"/>
      <c r="DV66" s="1642"/>
      <c r="DW66" s="1642"/>
      <c r="DX66" s="1642"/>
      <c r="DY66" s="1642"/>
      <c r="DZ66" s="1642"/>
      <c r="EA66" s="1642"/>
      <c r="EB66" s="1642"/>
      <c r="EC66" s="1642"/>
      <c r="ED66" s="1642"/>
      <c r="EE66" s="1642"/>
      <c r="EF66" s="1642"/>
      <c r="EG66" s="1642"/>
      <c r="EH66" s="1643"/>
      <c r="EI66" s="1658"/>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0"/>
      <c r="HS66" s="30"/>
      <c r="HT66" s="30"/>
      <c r="HU66" s="30"/>
      <c r="HV66" s="30"/>
      <c r="HW66" s="30"/>
      <c r="HX66" s="30"/>
      <c r="HY66" s="30"/>
      <c r="HZ66" s="30"/>
      <c r="IA66" s="30"/>
      <c r="IB66" s="30"/>
      <c r="IC66" s="30"/>
      <c r="ID66" s="30"/>
      <c r="IE66" s="30"/>
      <c r="IF66" s="30"/>
      <c r="IG66" s="30"/>
      <c r="IH66" s="30"/>
      <c r="II66" s="30"/>
      <c r="IJ66" s="30"/>
      <c r="IK66" s="30"/>
      <c r="IL66" s="30"/>
      <c r="IM66" s="30"/>
      <c r="IN66" s="30"/>
      <c r="IO66" s="30"/>
      <c r="IP66" s="30"/>
      <c r="IQ66" s="30"/>
      <c r="IR66" s="30"/>
      <c r="IS66" s="30"/>
      <c r="IT66" s="30"/>
      <c r="IU66" s="30"/>
      <c r="IV66" s="30"/>
      <c r="IW66" s="30"/>
      <c r="IX66" s="30"/>
      <c r="IY66" s="30"/>
      <c r="IZ66" s="30"/>
      <c r="JA66" s="30"/>
      <c r="JB66" s="30"/>
      <c r="JC66" s="30"/>
      <c r="JD66" s="30"/>
      <c r="JE66" s="30"/>
      <c r="JF66" s="30"/>
      <c r="JG66" s="30"/>
      <c r="JH66" s="30"/>
      <c r="JI66" s="30"/>
      <c r="JJ66" s="30"/>
      <c r="JK66" s="30"/>
      <c r="JL66" s="30"/>
      <c r="JM66" s="30"/>
      <c r="JN66" s="30"/>
      <c r="JO66" s="30"/>
      <c r="JP66" s="30"/>
      <c r="JQ66" s="30"/>
      <c r="JR66" s="30"/>
      <c r="JS66" s="30"/>
      <c r="JT66" s="30"/>
      <c r="JU66" s="30"/>
      <c r="JV66" s="30"/>
      <c r="JW66" s="30"/>
      <c r="JX66" s="30"/>
      <c r="JY66" s="30"/>
      <c r="JZ66" s="30"/>
      <c r="KA66" s="30"/>
      <c r="KB66" s="30"/>
      <c r="KC66" s="30"/>
      <c r="KD66" s="30"/>
      <c r="KE66" s="30"/>
      <c r="KF66" s="30"/>
      <c r="KG66" s="30"/>
      <c r="KH66" s="30"/>
      <c r="KI66" s="30"/>
      <c r="KJ66" s="30"/>
      <c r="KK66" s="30"/>
      <c r="KL66" s="30"/>
      <c r="KM66" s="30"/>
      <c r="KN66" s="30"/>
      <c r="KO66" s="30"/>
      <c r="KP66" s="1630"/>
    </row>
    <row r="67" spans="1:302" s="97" customFormat="1" ht="18" customHeight="1" outlineLevel="1">
      <c r="A67" s="1994" t="s">
        <v>1394</v>
      </c>
      <c r="B67" s="1994"/>
      <c r="C67" s="2008" t="s">
        <v>1395</v>
      </c>
      <c r="D67" s="1711"/>
      <c r="E67" s="261"/>
      <c r="F67" s="347"/>
      <c r="G67" s="348"/>
      <c r="H67" s="350" t="s">
        <v>26</v>
      </c>
      <c r="I67" s="2936"/>
      <c r="J67" s="362" t="s">
        <v>26</v>
      </c>
      <c r="K67" s="1745"/>
      <c r="L67" s="358"/>
      <c r="M67" s="358"/>
      <c r="N67" s="358"/>
      <c r="O67" s="1510"/>
      <c r="P67" s="358"/>
      <c r="Q67" s="358"/>
      <c r="R67" s="358"/>
      <c r="S67" s="1510">
        <f t="shared" si="111"/>
        <v>0</v>
      </c>
      <c r="T67" s="389"/>
      <c r="U67" s="1746"/>
      <c r="V67" s="1746"/>
      <c r="W67" s="1744">
        <f t="shared" si="112"/>
        <v>0</v>
      </c>
      <c r="X67" s="359" t="s">
        <v>26</v>
      </c>
      <c r="Y67" s="389"/>
      <c r="Z67" s="1746"/>
      <c r="AA67" s="1509"/>
      <c r="AB67" s="2722">
        <f t="shared" si="97"/>
        <v>41927</v>
      </c>
      <c r="AC67" s="1444"/>
      <c r="AD67" s="1444"/>
      <c r="AE67" s="1687"/>
      <c r="AF67" s="361"/>
      <c r="AG67" s="354"/>
      <c r="AH67" s="354">
        <f t="shared" si="113"/>
        <v>0</v>
      </c>
      <c r="AI67" s="355">
        <f t="shared" ref="AI67:AI69" ca="1" si="114">SUMIF($AM$10:$BZ$10,$AI$9,AM67:BT67)</f>
        <v>0</v>
      </c>
      <c r="AJ67" s="356">
        <f t="shared" ref="AJ67:AJ69" ca="1" si="115">IF($AB67&lt;&gt;0,AI67/$AB67,"")</f>
        <v>0</v>
      </c>
      <c r="AK67" s="2185"/>
      <c r="AL67" s="260"/>
      <c r="AM67" s="2258"/>
      <c r="AN67" s="2258"/>
      <c r="AO67" s="377"/>
      <c r="AP67" s="360"/>
      <c r="AQ67" s="359"/>
      <c r="AR67" s="377"/>
      <c r="AS67" s="377"/>
      <c r="AT67" s="390"/>
      <c r="AU67" s="377"/>
      <c r="AV67" s="377"/>
      <c r="AW67" s="377"/>
      <c r="AX67" s="377"/>
      <c r="AY67" s="390"/>
      <c r="AZ67" s="2257"/>
      <c r="BA67" s="497"/>
      <c r="BB67" s="363"/>
      <c r="BC67" s="363"/>
      <c r="BD67" s="363"/>
      <c r="BE67" s="362"/>
      <c r="BF67" s="362"/>
      <c r="BG67" s="362"/>
      <c r="BH67" s="362"/>
      <c r="BI67" s="414"/>
      <c r="BJ67" s="362"/>
      <c r="BK67" s="2123"/>
      <c r="BL67" s="414"/>
      <c r="BM67" s="414"/>
      <c r="BN67" s="414"/>
      <c r="BO67" s="414"/>
      <c r="BP67" s="414"/>
      <c r="BQ67" s="2399"/>
      <c r="BR67" s="362"/>
      <c r="BS67" s="362"/>
      <c r="BT67" s="362"/>
      <c r="BU67" s="364"/>
      <c r="BV67" s="364"/>
      <c r="BW67" s="2463">
        <v>41927</v>
      </c>
      <c r="BX67" s="2463"/>
      <c r="BY67" s="2543"/>
      <c r="BZ67" s="2543"/>
      <c r="CA67" s="2591">
        <f t="shared" si="107"/>
        <v>41927</v>
      </c>
      <c r="CB67" s="2377">
        <f t="shared" si="108"/>
        <v>1</v>
      </c>
      <c r="CC67" s="365">
        <f t="shared" si="109"/>
        <v>2.3850979082691346E-5</v>
      </c>
      <c r="CD67" s="366"/>
      <c r="CE67" s="343"/>
      <c r="CF67" s="343"/>
      <c r="CG67" s="340"/>
      <c r="CH67" s="367"/>
      <c r="CI67" s="368"/>
      <c r="CJ67" s="368"/>
      <c r="CK67" s="369"/>
      <c r="CL67" s="329">
        <f t="shared" si="12"/>
        <v>-41927</v>
      </c>
      <c r="CM67" s="330">
        <f t="shared" ca="1" si="13"/>
        <v>0</v>
      </c>
      <c r="CN67" s="331"/>
      <c r="CO67" s="86"/>
      <c r="CP67" s="86"/>
      <c r="CQ67" s="1641"/>
      <c r="CR67" s="86"/>
      <c r="CS67" s="86"/>
      <c r="CT67" s="86"/>
      <c r="CU67" s="86"/>
      <c r="CV67" s="86"/>
      <c r="CW67" s="86"/>
      <c r="CX67" s="86"/>
      <c r="CY67" s="86"/>
      <c r="CZ67" s="86"/>
      <c r="DA67" s="86"/>
      <c r="DB67" s="1642"/>
      <c r="DC67" s="1642"/>
      <c r="DD67" s="30"/>
      <c r="DE67" s="30"/>
      <c r="DF67" s="30"/>
      <c r="DG67" s="1642"/>
      <c r="DH67" s="1642"/>
      <c r="DI67" s="1642"/>
      <c r="DJ67" s="1642"/>
      <c r="DK67" s="1642"/>
      <c r="DL67" s="1642"/>
      <c r="DM67" s="1642"/>
      <c r="DN67" s="1642"/>
      <c r="DO67" s="1642"/>
      <c r="DP67" s="1642"/>
      <c r="DQ67" s="1642"/>
      <c r="DR67" s="1642"/>
      <c r="DS67" s="1642"/>
      <c r="DT67" s="1642"/>
      <c r="DU67" s="1642"/>
      <c r="DV67" s="1642"/>
      <c r="DW67" s="1642"/>
      <c r="DX67" s="1642"/>
      <c r="DY67" s="1642"/>
      <c r="DZ67" s="1642"/>
      <c r="EA67" s="1642"/>
      <c r="EB67" s="1642"/>
      <c r="EC67" s="1642"/>
      <c r="ED67" s="1642"/>
      <c r="EE67" s="1642"/>
      <c r="EF67" s="1642"/>
      <c r="EG67" s="1642"/>
      <c r="EH67" s="1643"/>
      <c r="EI67" s="1658"/>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0"/>
      <c r="HP67" s="30"/>
      <c r="HQ67" s="30"/>
      <c r="HR67" s="30"/>
      <c r="HS67" s="30"/>
      <c r="HT67" s="30"/>
      <c r="HU67" s="30"/>
      <c r="HV67" s="30"/>
      <c r="HW67" s="30"/>
      <c r="HX67" s="30"/>
      <c r="HY67" s="30"/>
      <c r="HZ67" s="30"/>
      <c r="IA67" s="30"/>
      <c r="IB67" s="30"/>
      <c r="IC67" s="30"/>
      <c r="ID67" s="30"/>
      <c r="IE67" s="30"/>
      <c r="IF67" s="30"/>
      <c r="IG67" s="30"/>
      <c r="IH67" s="30"/>
      <c r="II67" s="30"/>
      <c r="IJ67" s="30"/>
      <c r="IK67" s="30"/>
      <c r="IL67" s="30"/>
      <c r="IM67" s="30"/>
      <c r="IN67" s="30"/>
      <c r="IO67" s="30"/>
      <c r="IP67" s="30"/>
      <c r="IQ67" s="30"/>
      <c r="IR67" s="30"/>
      <c r="IS67" s="30"/>
      <c r="IT67" s="30"/>
      <c r="IU67" s="30"/>
      <c r="IV67" s="30"/>
      <c r="IW67" s="30"/>
      <c r="IX67" s="30"/>
      <c r="IY67" s="30"/>
      <c r="IZ67" s="30"/>
      <c r="JA67" s="30"/>
      <c r="JB67" s="30"/>
      <c r="JC67" s="30"/>
      <c r="JD67" s="30"/>
      <c r="JE67" s="30"/>
      <c r="JF67" s="30"/>
      <c r="JG67" s="30"/>
      <c r="JH67" s="30"/>
      <c r="JI67" s="30"/>
      <c r="JJ67" s="30"/>
      <c r="JK67" s="30"/>
      <c r="JL67" s="30"/>
      <c r="JM67" s="30"/>
      <c r="JN67" s="30"/>
      <c r="JO67" s="30"/>
      <c r="JP67" s="30"/>
      <c r="JQ67" s="30"/>
      <c r="JR67" s="30"/>
      <c r="JS67" s="30"/>
      <c r="JT67" s="30"/>
      <c r="JU67" s="30"/>
      <c r="JV67" s="30"/>
      <c r="JW67" s="30"/>
      <c r="JX67" s="30"/>
      <c r="JY67" s="30"/>
      <c r="JZ67" s="30"/>
      <c r="KA67" s="30"/>
      <c r="KB67" s="30"/>
      <c r="KC67" s="30"/>
      <c r="KD67" s="30"/>
      <c r="KE67" s="30"/>
      <c r="KF67" s="30"/>
      <c r="KG67" s="30"/>
      <c r="KH67" s="30"/>
      <c r="KI67" s="30"/>
      <c r="KJ67" s="30"/>
      <c r="KK67" s="30"/>
      <c r="KL67" s="30"/>
      <c r="KM67" s="30"/>
      <c r="KN67" s="30"/>
      <c r="KO67" s="30"/>
      <c r="KP67" s="1630"/>
    </row>
    <row r="68" spans="1:302" s="97" customFormat="1" ht="18" customHeight="1" outlineLevel="1">
      <c r="A68" s="1994" t="s">
        <v>1394</v>
      </c>
      <c r="B68" s="1994"/>
      <c r="C68" s="2008" t="s">
        <v>1391</v>
      </c>
      <c r="D68" s="1711"/>
      <c r="E68" s="261"/>
      <c r="F68" s="347"/>
      <c r="G68" s="348"/>
      <c r="H68" s="350" t="s">
        <v>26</v>
      </c>
      <c r="I68" s="2936"/>
      <c r="J68" s="362" t="s">
        <v>26</v>
      </c>
      <c r="K68" s="1745"/>
      <c r="L68" s="358"/>
      <c r="M68" s="358"/>
      <c r="N68" s="358"/>
      <c r="O68" s="1510"/>
      <c r="P68" s="358"/>
      <c r="Q68" s="358"/>
      <c r="R68" s="358"/>
      <c r="S68" s="1510">
        <f t="shared" si="111"/>
        <v>0</v>
      </c>
      <c r="T68" s="389"/>
      <c r="U68" s="1746"/>
      <c r="V68" s="1746"/>
      <c r="W68" s="1744">
        <f t="shared" si="112"/>
        <v>0</v>
      </c>
      <c r="X68" s="359" t="s">
        <v>26</v>
      </c>
      <c r="Y68" s="389"/>
      <c r="Z68" s="1746"/>
      <c r="AA68" s="1509"/>
      <c r="AB68" s="1510">
        <f t="shared" si="97"/>
        <v>708073</v>
      </c>
      <c r="AC68" s="1444" t="s">
        <v>1389</v>
      </c>
      <c r="AD68" s="1444"/>
      <c r="AE68" s="1687" t="s">
        <v>564</v>
      </c>
      <c r="AF68" s="354">
        <v>708073</v>
      </c>
      <c r="AG68" s="354">
        <v>1</v>
      </c>
      <c r="AH68" s="354">
        <f t="shared" si="113"/>
        <v>708073</v>
      </c>
      <c r="AI68" s="355">
        <f t="shared" ca="1" si="114"/>
        <v>0</v>
      </c>
      <c r="AJ68" s="356">
        <v>0</v>
      </c>
      <c r="AK68" s="2185"/>
      <c r="AL68" s="260"/>
      <c r="AM68" s="2258"/>
      <c r="AN68" s="2258"/>
      <c r="AO68" s="377"/>
      <c r="AP68" s="360"/>
      <c r="AQ68" s="359"/>
      <c r="AR68" s="377"/>
      <c r="AS68" s="377"/>
      <c r="AT68" s="390"/>
      <c r="AU68" s="377"/>
      <c r="AV68" s="377"/>
      <c r="AW68" s="377"/>
      <c r="AX68" s="377">
        <v>354036.5</v>
      </c>
      <c r="AY68" s="390">
        <v>354036.5</v>
      </c>
      <c r="AZ68" s="2257"/>
      <c r="BA68" s="497"/>
      <c r="BB68" s="363"/>
      <c r="BC68" s="363"/>
      <c r="BD68" s="363"/>
      <c r="BE68" s="362"/>
      <c r="BF68" s="362"/>
      <c r="BG68" s="362"/>
      <c r="BH68" s="362"/>
      <c r="BI68" s="414"/>
      <c r="BJ68" s="362"/>
      <c r="BK68" s="2123"/>
      <c r="BL68" s="414"/>
      <c r="BM68" s="414"/>
      <c r="BN68" s="414"/>
      <c r="BO68" s="414"/>
      <c r="BP68" s="414"/>
      <c r="BQ68" s="2399"/>
      <c r="BR68" s="362"/>
      <c r="BS68" s="362"/>
      <c r="BT68" s="362"/>
      <c r="BU68" s="364"/>
      <c r="BV68" s="364"/>
      <c r="BW68" s="2366"/>
      <c r="BX68" s="2463"/>
      <c r="BY68" s="2543"/>
      <c r="BZ68" s="2543"/>
      <c r="CA68" s="2591">
        <f t="shared" si="107"/>
        <v>708073</v>
      </c>
      <c r="CB68" s="2377">
        <f t="shared" si="108"/>
        <v>1</v>
      </c>
      <c r="CC68" s="365">
        <f t="shared" si="109"/>
        <v>1.4122837617025364E-6</v>
      </c>
      <c r="CD68" s="366"/>
      <c r="CE68" s="343"/>
      <c r="CF68" s="343"/>
      <c r="CG68" s="340"/>
      <c r="CH68" s="367"/>
      <c r="CI68" s="368"/>
      <c r="CJ68" s="368"/>
      <c r="CK68" s="369"/>
      <c r="CL68" s="329">
        <f t="shared" si="12"/>
        <v>-708073</v>
      </c>
      <c r="CM68" s="330">
        <f t="shared" ca="1" si="13"/>
        <v>0</v>
      </c>
      <c r="CN68" s="331"/>
      <c r="CO68" s="86"/>
      <c r="CP68" s="86"/>
      <c r="CQ68" s="1641"/>
      <c r="CR68" s="86"/>
      <c r="CS68" s="86"/>
      <c r="CT68" s="86"/>
      <c r="CU68" s="86"/>
      <c r="CV68" s="86"/>
      <c r="CW68" s="86"/>
      <c r="CX68" s="86"/>
      <c r="CY68" s="86"/>
      <c r="CZ68" s="86"/>
      <c r="DA68" s="86"/>
      <c r="DB68" s="1642"/>
      <c r="DC68" s="1642"/>
      <c r="DD68" s="30"/>
      <c r="DE68" s="30"/>
      <c r="DF68" s="30"/>
      <c r="DG68" s="1642"/>
      <c r="DH68" s="1642"/>
      <c r="DI68" s="1642"/>
      <c r="DJ68" s="1642"/>
      <c r="DK68" s="1642"/>
      <c r="DL68" s="1642"/>
      <c r="DM68" s="1642"/>
      <c r="DN68" s="1642"/>
      <c r="DO68" s="1642"/>
      <c r="DP68" s="1642"/>
      <c r="DQ68" s="1642"/>
      <c r="DR68" s="1642"/>
      <c r="DS68" s="1642"/>
      <c r="DT68" s="1642"/>
      <c r="DU68" s="1642"/>
      <c r="DV68" s="1642"/>
      <c r="DW68" s="1642"/>
      <c r="DX68" s="1642"/>
      <c r="DY68" s="1642"/>
      <c r="DZ68" s="1642"/>
      <c r="EA68" s="1642"/>
      <c r="EB68" s="1642"/>
      <c r="EC68" s="1642"/>
      <c r="ED68" s="1642"/>
      <c r="EE68" s="1642"/>
      <c r="EF68" s="1642"/>
      <c r="EG68" s="1642"/>
      <c r="EH68" s="1643"/>
      <c r="EI68" s="1658"/>
      <c r="EJ68" s="30"/>
      <c r="EK68" s="30"/>
      <c r="EL68" s="30"/>
      <c r="EM68" s="30"/>
      <c r="EN68" s="30"/>
      <c r="EO68" s="30"/>
      <c r="EP68" s="30"/>
      <c r="EQ68" s="30"/>
      <c r="ER68" s="30"/>
      <c r="ES68" s="30"/>
      <c r="ET68" s="30"/>
      <c r="EU68" s="30"/>
      <c r="EV68" s="30"/>
      <c r="EW68" s="30"/>
      <c r="EX68" s="30"/>
      <c r="EY68" s="30"/>
      <c r="EZ68" s="30"/>
      <c r="FA68" s="30"/>
      <c r="FB68" s="30"/>
      <c r="FC68" s="30"/>
      <c r="FD68" s="30"/>
      <c r="FE68" s="30"/>
      <c r="FF68" s="30"/>
      <c r="FG68" s="30"/>
      <c r="FH68" s="30"/>
      <c r="FI68" s="30"/>
      <c r="FJ68" s="30"/>
      <c r="FK68" s="30"/>
      <c r="FL68" s="30"/>
      <c r="FM68" s="30"/>
      <c r="FN68" s="30"/>
      <c r="FO68" s="30"/>
      <c r="FP68" s="30"/>
      <c r="FQ68" s="30"/>
      <c r="FR68" s="30"/>
      <c r="FS68" s="30"/>
      <c r="FT68" s="30"/>
      <c r="FU68" s="30"/>
      <c r="FV68" s="30"/>
      <c r="FW68" s="30"/>
      <c r="FX68" s="30"/>
      <c r="FY68" s="30"/>
      <c r="FZ68" s="30"/>
      <c r="GA68" s="30"/>
      <c r="GB68" s="30"/>
      <c r="GC68" s="30"/>
      <c r="GD68" s="30"/>
      <c r="GE68" s="30"/>
      <c r="GF68" s="30"/>
      <c r="GG68" s="30"/>
      <c r="GH68" s="30"/>
      <c r="GI68" s="30"/>
      <c r="GJ68" s="30"/>
      <c r="GK68" s="30"/>
      <c r="GL68" s="30"/>
      <c r="GM68" s="30"/>
      <c r="GN68" s="30"/>
      <c r="GO68" s="30"/>
      <c r="GP68" s="30"/>
      <c r="GQ68" s="30"/>
      <c r="GR68" s="30"/>
      <c r="GS68" s="30"/>
      <c r="GT68" s="30"/>
      <c r="GU68" s="30"/>
      <c r="GV68" s="30"/>
      <c r="GW68" s="30"/>
      <c r="GX68" s="30"/>
      <c r="GY68" s="30"/>
      <c r="GZ68" s="30"/>
      <c r="HA68" s="30"/>
      <c r="HB68" s="30"/>
      <c r="HC68" s="30"/>
      <c r="HD68" s="30"/>
      <c r="HE68" s="30"/>
      <c r="HF68" s="30"/>
      <c r="HG68" s="30"/>
      <c r="HH68" s="30"/>
      <c r="HI68" s="30"/>
      <c r="HJ68" s="30"/>
      <c r="HK68" s="30"/>
      <c r="HL68" s="30"/>
      <c r="HM68" s="30"/>
      <c r="HN68" s="30"/>
      <c r="HO68" s="30"/>
      <c r="HP68" s="30"/>
      <c r="HQ68" s="30"/>
      <c r="HR68" s="30"/>
      <c r="HS68" s="30"/>
      <c r="HT68" s="30"/>
      <c r="HU68" s="30"/>
      <c r="HV68" s="30"/>
      <c r="HW68" s="30"/>
      <c r="HX68" s="30"/>
      <c r="HY68" s="30"/>
      <c r="HZ68" s="30"/>
      <c r="IA68" s="30"/>
      <c r="IB68" s="30"/>
      <c r="IC68" s="30"/>
      <c r="ID68" s="30"/>
      <c r="IE68" s="30"/>
      <c r="IF68" s="30"/>
      <c r="IG68" s="30"/>
      <c r="IH68" s="30"/>
      <c r="II68" s="30"/>
      <c r="IJ68" s="30"/>
      <c r="IK68" s="30"/>
      <c r="IL68" s="30"/>
      <c r="IM68" s="30"/>
      <c r="IN68" s="30"/>
      <c r="IO68" s="30"/>
      <c r="IP68" s="30"/>
      <c r="IQ68" s="30"/>
      <c r="IR68" s="30"/>
      <c r="IS68" s="30"/>
      <c r="IT68" s="30"/>
      <c r="IU68" s="30"/>
      <c r="IV68" s="30"/>
      <c r="IW68" s="30"/>
      <c r="IX68" s="30"/>
      <c r="IY68" s="30"/>
      <c r="IZ68" s="30"/>
      <c r="JA68" s="30"/>
      <c r="JB68" s="30"/>
      <c r="JC68" s="30"/>
      <c r="JD68" s="30"/>
      <c r="JE68" s="30"/>
      <c r="JF68" s="30"/>
      <c r="JG68" s="30"/>
      <c r="JH68" s="30"/>
      <c r="JI68" s="30"/>
      <c r="JJ68" s="30"/>
      <c r="JK68" s="30"/>
      <c r="JL68" s="30"/>
      <c r="JM68" s="30"/>
      <c r="JN68" s="30"/>
      <c r="JO68" s="30"/>
      <c r="JP68" s="30"/>
      <c r="JQ68" s="30"/>
      <c r="JR68" s="30"/>
      <c r="JS68" s="30"/>
      <c r="JT68" s="30"/>
      <c r="JU68" s="30"/>
      <c r="JV68" s="30"/>
      <c r="JW68" s="30"/>
      <c r="JX68" s="30"/>
      <c r="JY68" s="30"/>
      <c r="JZ68" s="30"/>
      <c r="KA68" s="30"/>
      <c r="KB68" s="30"/>
      <c r="KC68" s="30"/>
      <c r="KD68" s="30"/>
      <c r="KE68" s="30"/>
      <c r="KF68" s="30"/>
      <c r="KG68" s="30"/>
      <c r="KH68" s="30"/>
      <c r="KI68" s="30"/>
      <c r="KJ68" s="30"/>
      <c r="KK68" s="30"/>
      <c r="KL68" s="30"/>
      <c r="KM68" s="30"/>
      <c r="KN68" s="30"/>
      <c r="KO68" s="30"/>
      <c r="KP68" s="1630"/>
    </row>
    <row r="69" spans="1:302" s="97" customFormat="1" ht="18.600000000000001" customHeight="1" outlineLevel="1">
      <c r="A69" s="1994" t="s">
        <v>763</v>
      </c>
      <c r="B69" s="1994"/>
      <c r="C69" s="261" t="s">
        <v>492</v>
      </c>
      <c r="D69" s="1689" t="s">
        <v>618</v>
      </c>
      <c r="E69" s="261"/>
      <c r="F69" s="347"/>
      <c r="G69" s="348"/>
      <c r="H69" s="350" t="s">
        <v>26</v>
      </c>
      <c r="I69" s="2936"/>
      <c r="J69" s="362" t="s">
        <v>26</v>
      </c>
      <c r="K69" s="1745"/>
      <c r="L69" s="358"/>
      <c r="M69" s="358"/>
      <c r="N69" s="358"/>
      <c r="O69" s="1510"/>
      <c r="P69" s="358"/>
      <c r="Q69" s="358"/>
      <c r="R69" s="358"/>
      <c r="S69" s="1510">
        <f t="shared" si="111"/>
        <v>0</v>
      </c>
      <c r="T69" s="389"/>
      <c r="U69" s="1746"/>
      <c r="V69" s="1746"/>
      <c r="W69" s="1744">
        <f t="shared" si="112"/>
        <v>0</v>
      </c>
      <c r="X69" s="359" t="s">
        <v>26</v>
      </c>
      <c r="Y69" s="389"/>
      <c r="Z69" s="1746"/>
      <c r="AA69" s="1509"/>
      <c r="AB69" s="2743">
        <f t="shared" si="97"/>
        <v>0</v>
      </c>
      <c r="AC69" s="1444"/>
      <c r="AD69" s="1444"/>
      <c r="AE69" s="1687"/>
      <c r="AF69" s="361"/>
      <c r="AG69" s="354"/>
      <c r="AH69" s="354">
        <f t="shared" si="113"/>
        <v>0</v>
      </c>
      <c r="AI69" s="355">
        <f t="shared" ca="1" si="114"/>
        <v>0</v>
      </c>
      <c r="AJ69" s="356" t="str">
        <f t="shared" si="115"/>
        <v/>
      </c>
      <c r="AK69" s="2185"/>
      <c r="AL69" s="260"/>
      <c r="AM69" s="2258"/>
      <c r="AN69" s="2258"/>
      <c r="AO69" s="377"/>
      <c r="AP69" s="360"/>
      <c r="AQ69" s="379"/>
      <c r="AR69" s="377"/>
      <c r="AS69" s="377"/>
      <c r="AT69" s="360"/>
      <c r="AU69" s="1505"/>
      <c r="AV69" s="1505"/>
      <c r="AW69" s="359"/>
      <c r="AX69" s="357"/>
      <c r="AY69" s="2314"/>
      <c r="AZ69" s="2273"/>
      <c r="BA69" s="497"/>
      <c r="BB69" s="363"/>
      <c r="BC69" s="363"/>
      <c r="BD69" s="363"/>
      <c r="BE69" s="362"/>
      <c r="BF69" s="362"/>
      <c r="BG69" s="362"/>
      <c r="BH69" s="362"/>
      <c r="BI69" s="414"/>
      <c r="BJ69" s="362"/>
      <c r="BK69" s="2123"/>
      <c r="BL69" s="414"/>
      <c r="BM69" s="414"/>
      <c r="BN69" s="414"/>
      <c r="BO69" s="414"/>
      <c r="BP69" s="414"/>
      <c r="BQ69" s="2399"/>
      <c r="BR69" s="362"/>
      <c r="BS69" s="362"/>
      <c r="BT69" s="362"/>
      <c r="BU69" s="364"/>
      <c r="BV69" s="364"/>
      <c r="BW69" s="2366"/>
      <c r="BX69" s="2463"/>
      <c r="BY69" s="2543"/>
      <c r="BZ69" s="2543"/>
      <c r="CA69" s="2591">
        <f t="shared" ref="CA69:CA77" si="116">SUMIF($AM$10:$BZ$10,$CA$9,AM69:BZ69)</f>
        <v>0</v>
      </c>
      <c r="CB69" s="2377" t="str">
        <f t="shared" ref="CB69:CB77" si="117">IF($AB69&lt;&gt;0,CA69/$AB69,"")</f>
        <v/>
      </c>
      <c r="CC69" s="365" t="str">
        <f t="shared" ref="CC69:CC77" si="118">IF($AB69&lt;&gt;0,CB69/$AB69,"")</f>
        <v/>
      </c>
      <c r="CD69" s="366"/>
      <c r="CE69" s="343"/>
      <c r="CF69" s="343"/>
      <c r="CG69" s="340"/>
      <c r="CH69" s="367"/>
      <c r="CI69" s="368"/>
      <c r="CJ69" s="368"/>
      <c r="CK69" s="369"/>
      <c r="CL69" s="329">
        <f t="shared" si="12"/>
        <v>0</v>
      </c>
      <c r="CM69" s="330">
        <f t="shared" ca="1" si="13"/>
        <v>0</v>
      </c>
      <c r="CN69" s="331">
        <f t="shared" ca="1" si="14"/>
        <v>0</v>
      </c>
      <c r="CO69" s="86"/>
      <c r="CP69" s="86"/>
      <c r="CQ69" s="1641"/>
      <c r="CR69" s="86"/>
      <c r="CS69" s="86"/>
      <c r="CT69" s="86"/>
      <c r="CU69" s="86"/>
      <c r="CV69" s="86"/>
      <c r="CW69" s="86"/>
      <c r="CX69" s="86"/>
      <c r="CY69" s="86"/>
      <c r="CZ69" s="86"/>
      <c r="DA69" s="86"/>
      <c r="DB69" s="1642"/>
      <c r="DC69" s="1642"/>
      <c r="DD69" s="30"/>
      <c r="DE69" s="30"/>
      <c r="DF69" s="30"/>
      <c r="DG69" s="1642"/>
      <c r="DH69" s="1642"/>
      <c r="DI69" s="1642"/>
      <c r="DJ69" s="1642"/>
      <c r="DK69" s="1642"/>
      <c r="DL69" s="1642"/>
      <c r="DM69" s="1642"/>
      <c r="DN69" s="1642"/>
      <c r="DO69" s="1642"/>
      <c r="DP69" s="1642"/>
      <c r="DQ69" s="1642"/>
      <c r="DR69" s="1642"/>
      <c r="DS69" s="1642"/>
      <c r="DT69" s="1642"/>
      <c r="DU69" s="1642"/>
      <c r="DV69" s="1642"/>
      <c r="DW69" s="1642"/>
      <c r="DX69" s="1642"/>
      <c r="DY69" s="1642"/>
      <c r="DZ69" s="1642"/>
      <c r="EA69" s="1642"/>
      <c r="EB69" s="1642"/>
      <c r="EC69" s="1642"/>
      <c r="ED69" s="1642"/>
      <c r="EE69" s="1642"/>
      <c r="EF69" s="1642"/>
      <c r="EG69" s="1642"/>
      <c r="EH69" s="1643"/>
      <c r="EI69" s="1658"/>
      <c r="EJ69" s="30"/>
      <c r="EK69" s="30"/>
      <c r="EL69" s="30"/>
      <c r="EM69" s="30"/>
      <c r="EN69" s="30"/>
      <c r="EO69" s="30"/>
      <c r="EP69" s="30"/>
      <c r="EQ69" s="30"/>
      <c r="ER69" s="30"/>
      <c r="ES69" s="30"/>
      <c r="ET69" s="30"/>
      <c r="EU69" s="30"/>
      <c r="EV69" s="30"/>
      <c r="EW69" s="30"/>
      <c r="EX69" s="30"/>
      <c r="EY69" s="30"/>
      <c r="EZ69" s="30"/>
      <c r="FA69" s="30"/>
      <c r="FB69" s="30"/>
      <c r="FC69" s="30"/>
      <c r="FD69" s="30"/>
      <c r="FE69" s="30"/>
      <c r="FF69" s="30"/>
      <c r="FG69" s="30"/>
      <c r="FH69" s="30"/>
      <c r="FI69" s="30"/>
      <c r="FJ69" s="30"/>
      <c r="FK69" s="30"/>
      <c r="FL69" s="30"/>
      <c r="FM69" s="30"/>
      <c r="FN69" s="30"/>
      <c r="FO69" s="30"/>
      <c r="FP69" s="30"/>
      <c r="FQ69" s="30"/>
      <c r="FR69" s="30"/>
      <c r="FS69" s="30"/>
      <c r="FT69" s="30"/>
      <c r="FU69" s="30"/>
      <c r="FV69" s="30"/>
      <c r="FW69" s="30"/>
      <c r="FX69" s="30"/>
      <c r="FY69" s="30"/>
      <c r="FZ69" s="30"/>
      <c r="GA69" s="30"/>
      <c r="GB69" s="30"/>
      <c r="GC69" s="30"/>
      <c r="GD69" s="30"/>
      <c r="GE69" s="30"/>
      <c r="GF69" s="30"/>
      <c r="GG69" s="30"/>
      <c r="GH69" s="30"/>
      <c r="GI69" s="30"/>
      <c r="GJ69" s="30"/>
      <c r="GK69" s="30"/>
      <c r="GL69" s="30"/>
      <c r="GM69" s="30"/>
      <c r="GN69" s="30"/>
      <c r="GO69" s="30"/>
      <c r="GP69" s="30"/>
      <c r="GQ69" s="30"/>
      <c r="GR69" s="30"/>
      <c r="GS69" s="30"/>
      <c r="GT69" s="30"/>
      <c r="GU69" s="30"/>
      <c r="GV69" s="30"/>
      <c r="GW69" s="30"/>
      <c r="GX69" s="30"/>
      <c r="GY69" s="30"/>
      <c r="GZ69" s="30"/>
      <c r="HA69" s="30"/>
      <c r="HB69" s="30"/>
      <c r="HC69" s="30"/>
      <c r="HD69" s="30"/>
      <c r="HE69" s="30"/>
      <c r="HF69" s="30"/>
      <c r="HG69" s="30"/>
      <c r="HH69" s="30"/>
      <c r="HI69" s="30"/>
      <c r="HJ69" s="30"/>
      <c r="HK69" s="30"/>
      <c r="HL69" s="30"/>
      <c r="HM69" s="30"/>
      <c r="HN69" s="30"/>
      <c r="HO69" s="30"/>
      <c r="HP69" s="30"/>
      <c r="HQ69" s="30"/>
      <c r="HR69" s="30"/>
      <c r="HS69" s="30"/>
      <c r="HT69" s="30"/>
      <c r="HU69" s="30"/>
      <c r="HV69" s="30"/>
      <c r="HW69" s="30"/>
      <c r="HX69" s="30"/>
      <c r="HY69" s="30"/>
      <c r="HZ69" s="30"/>
      <c r="IA69" s="30"/>
      <c r="IB69" s="30"/>
      <c r="IC69" s="30"/>
      <c r="ID69" s="30"/>
      <c r="IE69" s="30"/>
      <c r="IF69" s="30"/>
      <c r="IG69" s="30"/>
      <c r="IH69" s="30"/>
      <c r="II69" s="30"/>
      <c r="IJ69" s="30"/>
      <c r="IK69" s="30"/>
      <c r="IL69" s="30"/>
      <c r="IM69" s="30"/>
      <c r="IN69" s="30"/>
      <c r="IO69" s="30"/>
      <c r="IP69" s="30"/>
      <c r="IQ69" s="30"/>
      <c r="IR69" s="30"/>
      <c r="IS69" s="30"/>
      <c r="IT69" s="30"/>
      <c r="IU69" s="30"/>
      <c r="IV69" s="30"/>
      <c r="IW69" s="30"/>
      <c r="IX69" s="30"/>
      <c r="IY69" s="30"/>
      <c r="IZ69" s="30"/>
      <c r="JA69" s="30"/>
      <c r="JB69" s="30"/>
      <c r="JC69" s="30"/>
      <c r="JD69" s="30"/>
      <c r="JE69" s="30"/>
      <c r="JF69" s="30"/>
      <c r="JG69" s="30"/>
      <c r="JH69" s="30"/>
      <c r="JI69" s="30"/>
      <c r="JJ69" s="30"/>
      <c r="JK69" s="30"/>
      <c r="JL69" s="30"/>
      <c r="JM69" s="30"/>
      <c r="JN69" s="30"/>
      <c r="JO69" s="30"/>
      <c r="JP69" s="30"/>
      <c r="JQ69" s="30"/>
      <c r="JR69" s="30"/>
      <c r="JS69" s="30"/>
      <c r="JT69" s="30"/>
      <c r="JU69" s="30"/>
      <c r="JV69" s="30"/>
      <c r="JW69" s="30"/>
      <c r="JX69" s="30"/>
      <c r="JY69" s="30"/>
      <c r="JZ69" s="30"/>
      <c r="KA69" s="30"/>
      <c r="KB69" s="30"/>
      <c r="KC69" s="30"/>
      <c r="KD69" s="30"/>
      <c r="KE69" s="30"/>
      <c r="KF69" s="30"/>
      <c r="KG69" s="30"/>
      <c r="KH69" s="30"/>
      <c r="KI69" s="30"/>
      <c r="KJ69" s="30"/>
      <c r="KK69" s="30"/>
      <c r="KL69" s="30"/>
      <c r="KM69" s="30"/>
      <c r="KN69" s="30"/>
      <c r="KO69" s="30"/>
      <c r="KP69" s="1630"/>
    </row>
    <row r="70" spans="1:302" s="97" customFormat="1" ht="26.25" customHeight="1" outlineLevel="1">
      <c r="A70" s="1994" t="s">
        <v>818</v>
      </c>
      <c r="B70" s="1994"/>
      <c r="C70" s="2008" t="s">
        <v>1309</v>
      </c>
      <c r="D70" s="2002" t="s">
        <v>618</v>
      </c>
      <c r="E70" s="261"/>
      <c r="F70" s="347"/>
      <c r="G70" s="348"/>
      <c r="H70" s="350" t="s">
        <v>26</v>
      </c>
      <c r="I70" s="2936"/>
      <c r="J70" s="362" t="s">
        <v>26</v>
      </c>
      <c r="K70" s="1745"/>
      <c r="L70" s="358"/>
      <c r="M70" s="358"/>
      <c r="N70" s="358"/>
      <c r="O70" s="1510"/>
      <c r="P70" s="358"/>
      <c r="Q70" s="358"/>
      <c r="R70" s="358"/>
      <c r="S70" s="1510">
        <f t="shared" ref="S70:S75" si="119">R70*Q70</f>
        <v>0</v>
      </c>
      <c r="T70" s="389"/>
      <c r="U70" s="1746"/>
      <c r="V70" s="1746"/>
      <c r="W70" s="1744">
        <f t="shared" ref="W70:W75" si="120">O70+S70</f>
        <v>0</v>
      </c>
      <c r="X70" s="359" t="s">
        <v>26</v>
      </c>
      <c r="Y70" s="389"/>
      <c r="Z70" s="1746"/>
      <c r="AA70" s="1509"/>
      <c r="AB70" s="2598">
        <f t="shared" si="97"/>
        <v>1602760.9990000001</v>
      </c>
      <c r="AC70" s="1444" t="s">
        <v>739</v>
      </c>
      <c r="AD70" s="1444">
        <v>4502938804</v>
      </c>
      <c r="AE70" s="1687" t="s">
        <v>564</v>
      </c>
      <c r="AF70" s="354">
        <v>1602761</v>
      </c>
      <c r="AG70" s="354">
        <v>1</v>
      </c>
      <c r="AH70" s="354">
        <f>AF70*AG70</f>
        <v>1602761</v>
      </c>
      <c r="AI70" s="355">
        <f t="shared" ca="1" si="94"/>
        <v>0</v>
      </c>
      <c r="AJ70" s="356">
        <f t="shared" ca="1" si="1"/>
        <v>0</v>
      </c>
      <c r="AK70" s="2185"/>
      <c r="AL70" s="260"/>
      <c r="AM70" s="2258"/>
      <c r="AN70" s="2258"/>
      <c r="AO70" s="377"/>
      <c r="AP70" s="360"/>
      <c r="AQ70" s="359">
        <v>228965.85699999999</v>
      </c>
      <c r="AR70" s="377">
        <v>228965.85699999999</v>
      </c>
      <c r="AS70" s="377">
        <v>228965.85699999999</v>
      </c>
      <c r="AT70" s="360">
        <v>228965.85699999999</v>
      </c>
      <c r="AU70" s="359">
        <v>228965.85699999999</v>
      </c>
      <c r="AV70" s="359">
        <v>228965.85699999999</v>
      </c>
      <c r="AW70" s="359">
        <v>228965.85699999999</v>
      </c>
      <c r="AX70" s="359"/>
      <c r="AY70" s="1985"/>
      <c r="AZ70" s="2258"/>
      <c r="BA70" s="359"/>
      <c r="BB70" s="362"/>
      <c r="BC70" s="362"/>
      <c r="BD70" s="362"/>
      <c r="BE70" s="362"/>
      <c r="BF70" s="362"/>
      <c r="BG70" s="362"/>
      <c r="BH70" s="362"/>
      <c r="BI70" s="414"/>
      <c r="BJ70" s="362"/>
      <c r="BK70" s="2123"/>
      <c r="BL70" s="414"/>
      <c r="BM70" s="414"/>
      <c r="BN70" s="414"/>
      <c r="BO70" s="414"/>
      <c r="BP70" s="414"/>
      <c r="BQ70" s="2399"/>
      <c r="BR70" s="362"/>
      <c r="BS70" s="362"/>
      <c r="BT70" s="362"/>
      <c r="BU70" s="364"/>
      <c r="BV70" s="364"/>
      <c r="BW70" s="2366"/>
      <c r="BX70" s="2463"/>
      <c r="BY70" s="2543"/>
      <c r="BZ70" s="2543"/>
      <c r="CA70" s="2591">
        <f t="shared" si="116"/>
        <v>1602760.9990000001</v>
      </c>
      <c r="CB70" s="2377">
        <f t="shared" si="117"/>
        <v>1</v>
      </c>
      <c r="CC70" s="365">
        <f t="shared" si="118"/>
        <v>6.2392334267175413E-7</v>
      </c>
      <c r="CD70" s="366"/>
      <c r="CE70" s="343"/>
      <c r="CF70" s="343"/>
      <c r="CG70" s="340"/>
      <c r="CH70" s="367"/>
      <c r="CI70" s="368"/>
      <c r="CJ70" s="368"/>
      <c r="CK70" s="369"/>
      <c r="CL70" s="329">
        <f t="shared" si="12"/>
        <v>-1602760.9990000001</v>
      </c>
      <c r="CM70" s="330">
        <f t="shared" ca="1" si="13"/>
        <v>0</v>
      </c>
      <c r="CN70" s="331">
        <f t="shared" ca="1" si="14"/>
        <v>0</v>
      </c>
      <c r="CO70" s="86"/>
      <c r="CP70" s="86"/>
      <c r="CQ70" s="1641"/>
      <c r="CR70" s="86"/>
      <c r="CS70" s="86"/>
      <c r="CT70" s="86"/>
      <c r="CU70" s="86"/>
      <c r="CV70" s="86"/>
      <c r="CW70" s="86"/>
      <c r="CX70" s="86"/>
      <c r="CY70" s="86"/>
      <c r="CZ70" s="86"/>
      <c r="DA70" s="86"/>
      <c r="DB70" s="1642"/>
      <c r="DC70" s="1642"/>
      <c r="DD70" s="30"/>
      <c r="DE70" s="30"/>
      <c r="DF70" s="30"/>
      <c r="DG70" s="1642"/>
      <c r="DH70" s="1642"/>
      <c r="DI70" s="1642"/>
      <c r="DJ70" s="1642"/>
      <c r="DK70" s="1642"/>
      <c r="DL70" s="1642"/>
      <c r="DM70" s="1642"/>
      <c r="DN70" s="1642"/>
      <c r="DO70" s="1642"/>
      <c r="DP70" s="1642"/>
      <c r="DQ70" s="1642"/>
      <c r="DR70" s="1642"/>
      <c r="DS70" s="1642"/>
      <c r="DT70" s="1642"/>
      <c r="DU70" s="1642"/>
      <c r="DV70" s="1642"/>
      <c r="DW70" s="1642"/>
      <c r="DX70" s="1642"/>
      <c r="DY70" s="1642"/>
      <c r="DZ70" s="1642"/>
      <c r="EA70" s="1642"/>
      <c r="EB70" s="1642"/>
      <c r="EC70" s="1642"/>
      <c r="ED70" s="1642"/>
      <c r="EE70" s="1642"/>
      <c r="EF70" s="1642"/>
      <c r="EG70" s="1642"/>
      <c r="EH70" s="1643"/>
      <c r="EI70" s="1658"/>
      <c r="EJ70" s="30"/>
      <c r="EK70" s="30"/>
      <c r="EL70" s="30"/>
      <c r="EM70" s="30"/>
      <c r="EN70" s="30"/>
      <c r="EO70" s="30"/>
      <c r="EP70" s="30"/>
      <c r="EQ70" s="30"/>
      <c r="ER70" s="30"/>
      <c r="ES70" s="30"/>
      <c r="ET70" s="30"/>
      <c r="EU70" s="30"/>
      <c r="EV70" s="30"/>
      <c r="EW70" s="30"/>
      <c r="EX70" s="30"/>
      <c r="EY70" s="30"/>
      <c r="EZ70" s="30"/>
      <c r="FA70" s="30"/>
      <c r="FB70" s="30"/>
      <c r="FC70" s="30"/>
      <c r="FD70" s="30"/>
      <c r="FE70" s="30"/>
      <c r="FF70" s="30"/>
      <c r="FG70" s="30"/>
      <c r="FH70" s="30"/>
      <c r="FI70" s="30"/>
      <c r="FJ70" s="30"/>
      <c r="FK70" s="30"/>
      <c r="FL70" s="30"/>
      <c r="FM70" s="30"/>
      <c r="FN70" s="30"/>
      <c r="FO70" s="30"/>
      <c r="FP70" s="30"/>
      <c r="FQ70" s="30"/>
      <c r="FR70" s="30"/>
      <c r="FS70" s="30"/>
      <c r="FT70" s="30"/>
      <c r="FU70" s="30"/>
      <c r="FV70" s="30"/>
      <c r="FW70" s="30"/>
      <c r="FX70" s="30"/>
      <c r="FY70" s="30"/>
      <c r="FZ70" s="30"/>
      <c r="GA70" s="30"/>
      <c r="GB70" s="30"/>
      <c r="GC70" s="30"/>
      <c r="GD70" s="30"/>
      <c r="GE70" s="30"/>
      <c r="GF70" s="30"/>
      <c r="GG70" s="30"/>
      <c r="GH70" s="30"/>
      <c r="GI70" s="30"/>
      <c r="GJ70" s="30"/>
      <c r="GK70" s="30"/>
      <c r="GL70" s="30"/>
      <c r="GM70" s="30"/>
      <c r="GN70" s="30"/>
      <c r="GO70" s="30"/>
      <c r="GP70" s="30"/>
      <c r="GQ70" s="30"/>
      <c r="GR70" s="30"/>
      <c r="GS70" s="30"/>
      <c r="GT70" s="30"/>
      <c r="GU70" s="30"/>
      <c r="GV70" s="30"/>
      <c r="GW70" s="30"/>
      <c r="GX70" s="30"/>
      <c r="GY70" s="30"/>
      <c r="GZ70" s="30"/>
      <c r="HA70" s="30"/>
      <c r="HB70" s="30"/>
      <c r="HC70" s="30"/>
      <c r="HD70" s="30"/>
      <c r="HE70" s="30"/>
      <c r="HF70" s="30"/>
      <c r="HG70" s="30"/>
      <c r="HH70" s="30"/>
      <c r="HI70" s="30"/>
      <c r="HJ70" s="30"/>
      <c r="HK70" s="30"/>
      <c r="HL70" s="30"/>
      <c r="HM70" s="30"/>
      <c r="HN70" s="30"/>
      <c r="HO70" s="30"/>
      <c r="HP70" s="30"/>
      <c r="HQ70" s="30"/>
      <c r="HR70" s="30"/>
      <c r="HS70" s="30"/>
      <c r="HT70" s="30"/>
      <c r="HU70" s="30"/>
      <c r="HV70" s="30"/>
      <c r="HW70" s="30"/>
      <c r="HX70" s="30"/>
      <c r="HY70" s="30"/>
      <c r="HZ70" s="30"/>
      <c r="IA70" s="30"/>
      <c r="IB70" s="30"/>
      <c r="IC70" s="30"/>
      <c r="ID70" s="30"/>
      <c r="IE70" s="30"/>
      <c r="IF70" s="30"/>
      <c r="IG70" s="30"/>
      <c r="IH70" s="30"/>
      <c r="II70" s="30"/>
      <c r="IJ70" s="30"/>
      <c r="IK70" s="30"/>
      <c r="IL70" s="30"/>
      <c r="IM70" s="30"/>
      <c r="IN70" s="30"/>
      <c r="IO70" s="30"/>
      <c r="IP70" s="30"/>
      <c r="IQ70" s="30"/>
      <c r="IR70" s="30"/>
      <c r="IS70" s="30"/>
      <c r="IT70" s="30"/>
      <c r="IU70" s="30"/>
      <c r="IV70" s="30"/>
      <c r="IW70" s="30"/>
      <c r="IX70" s="30"/>
      <c r="IY70" s="30"/>
      <c r="IZ70" s="30"/>
      <c r="JA70" s="30"/>
      <c r="JB70" s="30"/>
      <c r="JC70" s="30"/>
      <c r="JD70" s="30"/>
      <c r="JE70" s="30"/>
      <c r="JF70" s="30"/>
      <c r="JG70" s="30"/>
      <c r="JH70" s="30"/>
      <c r="JI70" s="30"/>
      <c r="JJ70" s="30"/>
      <c r="JK70" s="30"/>
      <c r="JL70" s="30"/>
      <c r="JM70" s="30"/>
      <c r="JN70" s="30"/>
      <c r="JO70" s="30"/>
      <c r="JP70" s="30"/>
      <c r="JQ70" s="30"/>
      <c r="JR70" s="30"/>
      <c r="JS70" s="30"/>
      <c r="JT70" s="30"/>
      <c r="JU70" s="30"/>
      <c r="JV70" s="30"/>
      <c r="JW70" s="30"/>
      <c r="JX70" s="30"/>
      <c r="JY70" s="30"/>
      <c r="JZ70" s="30"/>
      <c r="KA70" s="30"/>
      <c r="KB70" s="30"/>
      <c r="KC70" s="30"/>
      <c r="KD70" s="30"/>
      <c r="KE70" s="30"/>
      <c r="KF70" s="30"/>
      <c r="KG70" s="30"/>
      <c r="KH70" s="30"/>
      <c r="KI70" s="30"/>
      <c r="KJ70" s="30"/>
      <c r="KK70" s="30"/>
      <c r="KL70" s="30"/>
      <c r="KM70" s="30"/>
      <c r="KN70" s="30"/>
      <c r="KO70" s="30"/>
      <c r="KP70" s="1630"/>
    </row>
    <row r="71" spans="1:302" s="97" customFormat="1" ht="30" customHeight="1" outlineLevel="1">
      <c r="A71" s="1994" t="s">
        <v>764</v>
      </c>
      <c r="B71" s="1994"/>
      <c r="C71" s="2008" t="s">
        <v>1436</v>
      </c>
      <c r="D71" s="1994" t="s">
        <v>619</v>
      </c>
      <c r="E71" s="261"/>
      <c r="F71" s="347"/>
      <c r="G71" s="348"/>
      <c r="H71" s="350" t="s">
        <v>26</v>
      </c>
      <c r="I71" s="2936"/>
      <c r="J71" s="362" t="s">
        <v>26</v>
      </c>
      <c r="K71" s="1745"/>
      <c r="L71" s="358"/>
      <c r="M71" s="358"/>
      <c r="N71" s="358"/>
      <c r="O71" s="1510"/>
      <c r="P71" s="358"/>
      <c r="Q71" s="358"/>
      <c r="R71" s="358"/>
      <c r="S71" s="1510">
        <f t="shared" si="119"/>
        <v>0</v>
      </c>
      <c r="T71" s="389"/>
      <c r="U71" s="1746"/>
      <c r="V71" s="1746"/>
      <c r="W71" s="1744">
        <f t="shared" si="120"/>
        <v>0</v>
      </c>
      <c r="X71" s="359" t="s">
        <v>26</v>
      </c>
      <c r="Y71" s="389"/>
      <c r="Z71" s="1746"/>
      <c r="AA71" s="1509"/>
      <c r="AB71" s="2768">
        <f t="shared" si="97"/>
        <v>29639</v>
      </c>
      <c r="AC71" s="1444" t="s">
        <v>1421</v>
      </c>
      <c r="AD71" s="1460">
        <v>4502986603</v>
      </c>
      <c r="AE71" s="1687" t="s">
        <v>1247</v>
      </c>
      <c r="AF71" s="375">
        <v>29639</v>
      </c>
      <c r="AG71" s="354">
        <v>1</v>
      </c>
      <c r="AH71" s="2817">
        <f t="shared" ref="AH71:AH72" si="121">AF71*AG71</f>
        <v>29639</v>
      </c>
      <c r="AI71" s="355">
        <f t="shared" ca="1" si="94"/>
        <v>0</v>
      </c>
      <c r="AJ71" s="356">
        <f t="shared" ca="1" si="1"/>
        <v>0</v>
      </c>
      <c r="AK71" s="2185"/>
      <c r="AL71" s="260"/>
      <c r="AM71" s="2258"/>
      <c r="AN71" s="2258"/>
      <c r="AO71" s="377"/>
      <c r="AP71" s="360"/>
      <c r="AQ71" s="359"/>
      <c r="AR71" s="377">
        <v>29639</v>
      </c>
      <c r="AS71" s="1997"/>
      <c r="AT71" s="360"/>
      <c r="AU71" s="359"/>
      <c r="AV71" s="359"/>
      <c r="AW71" s="1505"/>
      <c r="AX71" s="359"/>
      <c r="AY71" s="1985"/>
      <c r="AZ71" s="2273"/>
      <c r="BA71" s="497"/>
      <c r="BB71" s="362"/>
      <c r="BC71" s="362"/>
      <c r="BD71" s="362"/>
      <c r="BE71" s="362"/>
      <c r="BF71" s="362"/>
      <c r="BG71" s="362"/>
      <c r="BH71" s="362"/>
      <c r="BI71" s="414"/>
      <c r="BJ71" s="362"/>
      <c r="BK71" s="2123"/>
      <c r="BL71" s="414"/>
      <c r="BM71" s="414"/>
      <c r="BN71" s="414"/>
      <c r="BO71" s="414"/>
      <c r="BP71" s="414"/>
      <c r="BQ71" s="2399"/>
      <c r="BR71" s="362"/>
      <c r="BS71" s="362"/>
      <c r="BT71" s="362"/>
      <c r="BU71" s="364"/>
      <c r="BV71" s="364"/>
      <c r="BW71" s="2366"/>
      <c r="BX71" s="2463"/>
      <c r="BY71" s="2543"/>
      <c r="BZ71" s="2543"/>
      <c r="CA71" s="2591">
        <f t="shared" si="116"/>
        <v>29639</v>
      </c>
      <c r="CB71" s="2377">
        <f t="shared" si="117"/>
        <v>1</v>
      </c>
      <c r="CC71" s="365">
        <f t="shared" si="118"/>
        <v>3.3739329936907456E-5</v>
      </c>
      <c r="CD71" s="366"/>
      <c r="CE71" s="343"/>
      <c r="CF71" s="343"/>
      <c r="CG71" s="340"/>
      <c r="CH71" s="367"/>
      <c r="CI71" s="368"/>
      <c r="CJ71" s="368"/>
      <c r="CK71" s="369"/>
      <c r="CL71" s="329">
        <f t="shared" si="12"/>
        <v>-29639</v>
      </c>
      <c r="CM71" s="330">
        <f t="shared" ca="1" si="13"/>
        <v>0</v>
      </c>
      <c r="CN71" s="331">
        <f t="shared" ca="1" si="14"/>
        <v>0</v>
      </c>
      <c r="CO71" s="86"/>
      <c r="CP71" s="86"/>
      <c r="CQ71" s="1641"/>
      <c r="CR71" s="86"/>
      <c r="CS71" s="86"/>
      <c r="CT71" s="86"/>
      <c r="CU71" s="86"/>
      <c r="CV71" s="86"/>
      <c r="CW71" s="86"/>
      <c r="CX71" s="86"/>
      <c r="CY71" s="86"/>
      <c r="CZ71" s="86"/>
      <c r="DA71" s="86"/>
      <c r="DB71" s="1642"/>
      <c r="DC71" s="1642"/>
      <c r="DD71" s="30"/>
      <c r="DE71" s="30"/>
      <c r="DF71" s="30"/>
      <c r="DG71" s="1642"/>
      <c r="DH71" s="1642"/>
      <c r="DI71" s="1642"/>
      <c r="DJ71" s="1642"/>
      <c r="DK71" s="1642"/>
      <c r="DL71" s="1642"/>
      <c r="DM71" s="1642"/>
      <c r="DN71" s="1642"/>
      <c r="DO71" s="1642"/>
      <c r="DP71" s="1642"/>
      <c r="DQ71" s="1642"/>
      <c r="DR71" s="1642"/>
      <c r="DS71" s="1642"/>
      <c r="DT71" s="1642"/>
      <c r="DU71" s="1642"/>
      <c r="DV71" s="1642"/>
      <c r="DW71" s="1642"/>
      <c r="DX71" s="1642"/>
      <c r="DY71" s="1642"/>
      <c r="DZ71" s="1642"/>
      <c r="EA71" s="1642"/>
      <c r="EB71" s="1642"/>
      <c r="EC71" s="1642"/>
      <c r="ED71" s="1642"/>
      <c r="EE71" s="1642"/>
      <c r="EF71" s="1642"/>
      <c r="EG71" s="1642"/>
      <c r="EH71" s="1643"/>
      <c r="EI71" s="1658"/>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0"/>
      <c r="HP71" s="30"/>
      <c r="HQ71" s="30"/>
      <c r="HR71" s="30"/>
      <c r="HS71" s="30"/>
      <c r="HT71" s="30"/>
      <c r="HU71" s="30"/>
      <c r="HV71" s="30"/>
      <c r="HW71" s="30"/>
      <c r="HX71" s="30"/>
      <c r="HY71" s="30"/>
      <c r="HZ71" s="30"/>
      <c r="IA71" s="30"/>
      <c r="IB71" s="30"/>
      <c r="IC71" s="30"/>
      <c r="ID71" s="30"/>
      <c r="IE71" s="30"/>
      <c r="IF71" s="30"/>
      <c r="IG71" s="30"/>
      <c r="IH71" s="30"/>
      <c r="II71" s="30"/>
      <c r="IJ71" s="30"/>
      <c r="IK71" s="30"/>
      <c r="IL71" s="30"/>
      <c r="IM71" s="30"/>
      <c r="IN71" s="30"/>
      <c r="IO71" s="30"/>
      <c r="IP71" s="30"/>
      <c r="IQ71" s="30"/>
      <c r="IR71" s="30"/>
      <c r="IS71" s="30"/>
      <c r="IT71" s="30"/>
      <c r="IU71" s="30"/>
      <c r="IV71" s="30"/>
      <c r="IW71" s="30"/>
      <c r="IX71" s="30"/>
      <c r="IY71" s="30"/>
      <c r="IZ71" s="30"/>
      <c r="JA71" s="30"/>
      <c r="JB71" s="30"/>
      <c r="JC71" s="30"/>
      <c r="JD71" s="30"/>
      <c r="JE71" s="30"/>
      <c r="JF71" s="30"/>
      <c r="JG71" s="30"/>
      <c r="JH71" s="30"/>
      <c r="JI71" s="30"/>
      <c r="JJ71" s="30"/>
      <c r="JK71" s="30"/>
      <c r="JL71" s="30"/>
      <c r="JM71" s="30"/>
      <c r="JN71" s="30"/>
      <c r="JO71" s="30"/>
      <c r="JP71" s="30"/>
      <c r="JQ71" s="30"/>
      <c r="JR71" s="30"/>
      <c r="JS71" s="30"/>
      <c r="JT71" s="30"/>
      <c r="JU71" s="30"/>
      <c r="JV71" s="30"/>
      <c r="JW71" s="30"/>
      <c r="JX71" s="30"/>
      <c r="JY71" s="30"/>
      <c r="JZ71" s="30"/>
      <c r="KA71" s="30"/>
      <c r="KB71" s="30"/>
      <c r="KC71" s="30"/>
      <c r="KD71" s="30"/>
      <c r="KE71" s="30"/>
      <c r="KF71" s="30"/>
      <c r="KG71" s="30"/>
      <c r="KH71" s="30"/>
      <c r="KI71" s="30"/>
      <c r="KJ71" s="30"/>
      <c r="KK71" s="30"/>
      <c r="KL71" s="30"/>
      <c r="KM71" s="30"/>
      <c r="KN71" s="30"/>
      <c r="KO71" s="30"/>
      <c r="KP71" s="1630"/>
    </row>
    <row r="72" spans="1:302" s="97" customFormat="1" ht="30" customHeight="1" outlineLevel="1">
      <c r="A72" s="1994" t="s">
        <v>1420</v>
      </c>
      <c r="B72" s="1994"/>
      <c r="C72" s="2008" t="s">
        <v>1424</v>
      </c>
      <c r="D72" s="1994"/>
      <c r="E72" s="261"/>
      <c r="F72" s="347"/>
      <c r="G72" s="348"/>
      <c r="H72" s="350" t="s">
        <v>26</v>
      </c>
      <c r="I72" s="2936"/>
      <c r="J72" s="362" t="s">
        <v>26</v>
      </c>
      <c r="K72" s="1745"/>
      <c r="L72" s="358"/>
      <c r="M72" s="358"/>
      <c r="N72" s="358"/>
      <c r="O72" s="1510"/>
      <c r="P72" s="358"/>
      <c r="Q72" s="358"/>
      <c r="R72" s="358"/>
      <c r="S72" s="1510">
        <f t="shared" ref="S72" si="122">R72*Q72</f>
        <v>0</v>
      </c>
      <c r="T72" s="389"/>
      <c r="U72" s="1746"/>
      <c r="V72" s="1746"/>
      <c r="W72" s="1744">
        <f t="shared" ref="W72" si="123">O72+S72</f>
        <v>0</v>
      </c>
      <c r="X72" s="359" t="s">
        <v>26</v>
      </c>
      <c r="Y72" s="389"/>
      <c r="Z72" s="1746"/>
      <c r="AA72" s="1509"/>
      <c r="AB72" s="2768">
        <f t="shared" si="97"/>
        <v>54136</v>
      </c>
      <c r="AC72" s="1444" t="s">
        <v>1421</v>
      </c>
      <c r="AD72" s="1460"/>
      <c r="AE72" s="1687" t="s">
        <v>564</v>
      </c>
      <c r="AF72" s="375">
        <v>54136</v>
      </c>
      <c r="AG72" s="354">
        <v>1</v>
      </c>
      <c r="AH72" s="2817">
        <f t="shared" si="121"/>
        <v>54136</v>
      </c>
      <c r="AI72" s="355">
        <f t="shared" ref="AI72" ca="1" si="124">SUMIF($AM$10:$BZ$10,$AI$9,AM72:BT72)</f>
        <v>0</v>
      </c>
      <c r="AJ72" s="356">
        <f t="shared" ref="AJ72" ca="1" si="125">IF($AB72&lt;&gt;0,AI72/$AB72,"")</f>
        <v>0</v>
      </c>
      <c r="AK72" s="2185"/>
      <c r="AL72" s="260"/>
      <c r="AM72" s="2258"/>
      <c r="AN72" s="2258"/>
      <c r="AO72" s="377"/>
      <c r="AP72" s="360"/>
      <c r="AQ72" s="359"/>
      <c r="AR72" s="377"/>
      <c r="AS72" s="1997">
        <v>16006.75</v>
      </c>
      <c r="AT72" s="1997">
        <v>16006.75</v>
      </c>
      <c r="AU72" s="1997">
        <v>16006.75</v>
      </c>
      <c r="AV72" s="1997">
        <f>16006.75-9891</f>
        <v>6115.75</v>
      </c>
      <c r="AW72" s="1505"/>
      <c r="AX72" s="359"/>
      <c r="AY72" s="1985"/>
      <c r="AZ72" s="2273"/>
      <c r="BA72" s="497"/>
      <c r="BB72" s="362"/>
      <c r="BC72" s="362"/>
      <c r="BD72" s="362"/>
      <c r="BE72" s="362"/>
      <c r="BF72" s="362"/>
      <c r="BG72" s="362"/>
      <c r="BH72" s="362"/>
      <c r="BI72" s="414"/>
      <c r="BJ72" s="362"/>
      <c r="BK72" s="2123"/>
      <c r="BL72" s="414"/>
      <c r="BM72" s="414"/>
      <c r="BN72" s="414"/>
      <c r="BO72" s="414"/>
      <c r="BP72" s="414"/>
      <c r="BQ72" s="2399"/>
      <c r="BR72" s="362"/>
      <c r="BS72" s="362"/>
      <c r="BT72" s="362"/>
      <c r="BU72" s="364"/>
      <c r="BV72" s="364"/>
      <c r="BW72" s="2366"/>
      <c r="BX72" s="2463"/>
      <c r="BY72" s="2543"/>
      <c r="BZ72" s="2543"/>
      <c r="CA72" s="2591">
        <f t="shared" si="116"/>
        <v>54136</v>
      </c>
      <c r="CB72" s="2377">
        <f t="shared" si="117"/>
        <v>1</v>
      </c>
      <c r="CC72" s="365">
        <f t="shared" si="118"/>
        <v>1.847199645337668E-5</v>
      </c>
      <c r="CD72" s="366"/>
      <c r="CE72" s="343"/>
      <c r="CF72" s="343"/>
      <c r="CG72" s="340"/>
      <c r="CH72" s="367"/>
      <c r="CI72" s="368"/>
      <c r="CJ72" s="368"/>
      <c r="CK72" s="369"/>
      <c r="CL72" s="329">
        <f t="shared" si="12"/>
        <v>-54136</v>
      </c>
      <c r="CM72" s="330">
        <f t="shared" ca="1" si="13"/>
        <v>0</v>
      </c>
      <c r="CN72" s="331"/>
      <c r="CO72" s="86"/>
      <c r="CP72" s="86"/>
      <c r="CQ72" s="1641"/>
      <c r="CR72" s="86"/>
      <c r="CS72" s="86"/>
      <c r="CT72" s="86"/>
      <c r="CU72" s="86"/>
      <c r="CV72" s="86"/>
      <c r="CW72" s="86"/>
      <c r="CX72" s="86"/>
      <c r="CY72" s="86"/>
      <c r="CZ72" s="86"/>
      <c r="DA72" s="86"/>
      <c r="DB72" s="1642"/>
      <c r="DC72" s="1642"/>
      <c r="DD72" s="30"/>
      <c r="DE72" s="30"/>
      <c r="DF72" s="30"/>
      <c r="DG72" s="1642"/>
      <c r="DH72" s="1642"/>
      <c r="DI72" s="1642"/>
      <c r="DJ72" s="1642"/>
      <c r="DK72" s="1642"/>
      <c r="DL72" s="1642"/>
      <c r="DM72" s="1642"/>
      <c r="DN72" s="1642"/>
      <c r="DO72" s="1642"/>
      <c r="DP72" s="1642"/>
      <c r="DQ72" s="1642"/>
      <c r="DR72" s="1642"/>
      <c r="DS72" s="1642"/>
      <c r="DT72" s="1642"/>
      <c r="DU72" s="1642"/>
      <c r="DV72" s="1642"/>
      <c r="DW72" s="1642"/>
      <c r="DX72" s="1642"/>
      <c r="DY72" s="1642"/>
      <c r="DZ72" s="1642"/>
      <c r="EA72" s="1642"/>
      <c r="EB72" s="1642"/>
      <c r="EC72" s="1642"/>
      <c r="ED72" s="1642"/>
      <c r="EE72" s="1642"/>
      <c r="EF72" s="1642"/>
      <c r="EG72" s="1642"/>
      <c r="EH72" s="1643"/>
      <c r="EI72" s="1658"/>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0"/>
      <c r="HS72" s="30"/>
      <c r="HT72" s="30"/>
      <c r="HU72" s="30"/>
      <c r="HV72" s="30"/>
      <c r="HW72" s="30"/>
      <c r="HX72" s="30"/>
      <c r="HY72" s="30"/>
      <c r="HZ72" s="30"/>
      <c r="IA72" s="30"/>
      <c r="IB72" s="30"/>
      <c r="IC72" s="30"/>
      <c r="ID72" s="30"/>
      <c r="IE72" s="30"/>
      <c r="IF72" s="30"/>
      <c r="IG72" s="30"/>
      <c r="IH72" s="30"/>
      <c r="II72" s="30"/>
      <c r="IJ72" s="30"/>
      <c r="IK72" s="30"/>
      <c r="IL72" s="30"/>
      <c r="IM72" s="30"/>
      <c r="IN72" s="30"/>
      <c r="IO72" s="30"/>
      <c r="IP72" s="30"/>
      <c r="IQ72" s="30"/>
      <c r="IR72" s="30"/>
      <c r="IS72" s="30"/>
      <c r="IT72" s="30"/>
      <c r="IU72" s="30"/>
      <c r="IV72" s="30"/>
      <c r="IW72" s="30"/>
      <c r="IX72" s="30"/>
      <c r="IY72" s="30"/>
      <c r="IZ72" s="30"/>
      <c r="JA72" s="30"/>
      <c r="JB72" s="30"/>
      <c r="JC72" s="30"/>
      <c r="JD72" s="30"/>
      <c r="JE72" s="30"/>
      <c r="JF72" s="30"/>
      <c r="JG72" s="30"/>
      <c r="JH72" s="30"/>
      <c r="JI72" s="30"/>
      <c r="JJ72" s="30"/>
      <c r="JK72" s="30"/>
      <c r="JL72" s="30"/>
      <c r="JM72" s="30"/>
      <c r="JN72" s="30"/>
      <c r="JO72" s="30"/>
      <c r="JP72" s="30"/>
      <c r="JQ72" s="30"/>
      <c r="JR72" s="30"/>
      <c r="JS72" s="30"/>
      <c r="JT72" s="30"/>
      <c r="JU72" s="30"/>
      <c r="JV72" s="30"/>
      <c r="JW72" s="30"/>
      <c r="JX72" s="30"/>
      <c r="JY72" s="30"/>
      <c r="JZ72" s="30"/>
      <c r="KA72" s="30"/>
      <c r="KB72" s="30"/>
      <c r="KC72" s="30"/>
      <c r="KD72" s="30"/>
      <c r="KE72" s="30"/>
      <c r="KF72" s="30"/>
      <c r="KG72" s="30"/>
      <c r="KH72" s="30"/>
      <c r="KI72" s="30"/>
      <c r="KJ72" s="30"/>
      <c r="KK72" s="30"/>
      <c r="KL72" s="30"/>
      <c r="KM72" s="30"/>
      <c r="KN72" s="30"/>
      <c r="KO72" s="30"/>
      <c r="KP72" s="1630"/>
    </row>
    <row r="73" spans="1:302" s="97" customFormat="1" ht="30" customHeight="1" outlineLevel="1">
      <c r="A73" s="1994" t="s">
        <v>765</v>
      </c>
      <c r="B73" s="1994"/>
      <c r="C73" s="2008" t="s">
        <v>628</v>
      </c>
      <c r="D73" s="2079" t="s">
        <v>629</v>
      </c>
      <c r="E73" s="261"/>
      <c r="F73" s="347"/>
      <c r="G73" s="348"/>
      <c r="H73" s="350" t="s">
        <v>26</v>
      </c>
      <c r="I73" s="2936"/>
      <c r="J73" s="362" t="s">
        <v>26</v>
      </c>
      <c r="K73" s="1745"/>
      <c r="L73" s="358"/>
      <c r="M73" s="358"/>
      <c r="N73" s="358"/>
      <c r="O73" s="1510">
        <v>386500</v>
      </c>
      <c r="P73" s="358"/>
      <c r="Q73" s="358"/>
      <c r="R73" s="358"/>
      <c r="S73" s="1510">
        <f t="shared" si="119"/>
        <v>0</v>
      </c>
      <c r="T73" s="389"/>
      <c r="U73" s="1746"/>
      <c r="V73" s="1746"/>
      <c r="W73" s="1744">
        <f t="shared" si="120"/>
        <v>386500</v>
      </c>
      <c r="X73" s="359" t="s">
        <v>26</v>
      </c>
      <c r="Y73" s="389"/>
      <c r="Z73" s="1746"/>
      <c r="AA73" s="1509"/>
      <c r="AB73" s="2598">
        <f t="shared" si="97"/>
        <v>386500</v>
      </c>
      <c r="AC73" s="1441"/>
      <c r="AD73" s="1444"/>
      <c r="AE73" s="1687"/>
      <c r="AF73" s="375"/>
      <c r="AG73" s="354"/>
      <c r="AH73" s="354">
        <f t="shared" ref="AH73" si="126">AF73*AG73</f>
        <v>0</v>
      </c>
      <c r="AI73" s="355">
        <f t="shared" ca="1" si="94"/>
        <v>0</v>
      </c>
      <c r="AJ73" s="356">
        <f t="shared" ca="1" si="1"/>
        <v>0</v>
      </c>
      <c r="AK73" s="2185"/>
      <c r="AL73" s="260"/>
      <c r="AM73" s="2258"/>
      <c r="AN73" s="2258"/>
      <c r="AO73" s="377"/>
      <c r="AP73" s="360"/>
      <c r="AQ73" s="359"/>
      <c r="AR73" s="377"/>
      <c r="AS73" s="1997"/>
      <c r="AT73" s="360"/>
      <c r="AU73" s="359"/>
      <c r="AV73" s="359"/>
      <c r="AW73" s="359"/>
      <c r="AX73" s="359"/>
      <c r="AY73" s="360"/>
      <c r="AZ73" s="2258">
        <f>W73/5</f>
        <v>77300</v>
      </c>
      <c r="BA73" s="359">
        <v>77300</v>
      </c>
      <c r="BB73" s="359">
        <v>77300</v>
      </c>
      <c r="BC73" s="359">
        <v>77300</v>
      </c>
      <c r="BD73" s="359">
        <v>77300</v>
      </c>
      <c r="BE73" s="359"/>
      <c r="BF73" s="362"/>
      <c r="BG73" s="362"/>
      <c r="BH73" s="362"/>
      <c r="BI73" s="414"/>
      <c r="BJ73" s="362"/>
      <c r="BK73" s="2123"/>
      <c r="BL73" s="414"/>
      <c r="BM73" s="414"/>
      <c r="BN73" s="414"/>
      <c r="BO73" s="414"/>
      <c r="BP73" s="414"/>
      <c r="BQ73" s="2399"/>
      <c r="BR73" s="362"/>
      <c r="BS73" s="362"/>
      <c r="BT73" s="362"/>
      <c r="BU73" s="364"/>
      <c r="BV73" s="364"/>
      <c r="BW73" s="2366"/>
      <c r="BX73" s="2463"/>
      <c r="BY73" s="2543"/>
      <c r="BZ73" s="2543"/>
      <c r="CA73" s="2591">
        <f t="shared" si="116"/>
        <v>386500</v>
      </c>
      <c r="CB73" s="2377">
        <f t="shared" si="117"/>
        <v>1</v>
      </c>
      <c r="CC73" s="365">
        <f t="shared" si="118"/>
        <v>2.5873221216041398E-6</v>
      </c>
      <c r="CD73" s="366"/>
      <c r="CE73" s="343"/>
      <c r="CF73" s="343"/>
      <c r="CG73" s="340"/>
      <c r="CH73" s="367"/>
      <c r="CI73" s="368"/>
      <c r="CJ73" s="368"/>
      <c r="CK73" s="369"/>
      <c r="CL73" s="329">
        <f t="shared" si="12"/>
        <v>0</v>
      </c>
      <c r="CM73" s="330">
        <f t="shared" ca="1" si="13"/>
        <v>0</v>
      </c>
      <c r="CN73" s="331">
        <f t="shared" ca="1" si="14"/>
        <v>-386500</v>
      </c>
      <c r="CO73" s="86"/>
      <c r="CP73" s="86"/>
      <c r="CQ73" s="1641"/>
      <c r="CR73" s="86"/>
      <c r="CS73" s="86"/>
      <c r="CT73" s="86"/>
      <c r="CU73" s="86"/>
      <c r="CV73" s="86"/>
      <c r="CW73" s="86"/>
      <c r="CX73" s="86"/>
      <c r="CY73" s="86"/>
      <c r="CZ73" s="86"/>
      <c r="DA73" s="86"/>
      <c r="DB73" s="1642"/>
      <c r="DC73" s="1642"/>
      <c r="DD73" s="30"/>
      <c r="DE73" s="30"/>
      <c r="DF73" s="30"/>
      <c r="DG73" s="1642"/>
      <c r="DH73" s="1642"/>
      <c r="DI73" s="1642"/>
      <c r="DJ73" s="1642"/>
      <c r="DK73" s="1642"/>
      <c r="DL73" s="1642"/>
      <c r="DM73" s="1642"/>
      <c r="DN73" s="1642"/>
      <c r="DO73" s="1642"/>
      <c r="DP73" s="1642"/>
      <c r="DQ73" s="1642"/>
      <c r="DR73" s="1642"/>
      <c r="DS73" s="1642"/>
      <c r="DT73" s="1642"/>
      <c r="DU73" s="1642"/>
      <c r="DV73" s="1642"/>
      <c r="DW73" s="1642"/>
      <c r="DX73" s="1642"/>
      <c r="DY73" s="1642"/>
      <c r="DZ73" s="1642"/>
      <c r="EA73" s="1642"/>
      <c r="EB73" s="1642"/>
      <c r="EC73" s="1642"/>
      <c r="ED73" s="1642"/>
      <c r="EE73" s="1642"/>
      <c r="EF73" s="1642"/>
      <c r="EG73" s="1642"/>
      <c r="EH73" s="1643"/>
      <c r="EI73" s="1658"/>
      <c r="EJ73" s="30"/>
      <c r="EK73" s="30"/>
      <c r="EL73" s="30"/>
      <c r="EM73" s="30"/>
      <c r="EN73" s="30"/>
      <c r="EO73" s="30"/>
      <c r="EP73" s="30"/>
      <c r="EQ73" s="30"/>
      <c r="ER73" s="30"/>
      <c r="ES73" s="30"/>
      <c r="ET73" s="30"/>
      <c r="EU73" s="30"/>
      <c r="EV73" s="30"/>
      <c r="EW73" s="30"/>
      <c r="EX73" s="30"/>
      <c r="EY73" s="30"/>
      <c r="EZ73" s="30"/>
      <c r="FA73" s="30"/>
      <c r="FB73" s="30"/>
      <c r="FC73" s="30"/>
      <c r="FD73" s="30"/>
      <c r="FE73" s="30"/>
      <c r="FF73" s="30"/>
      <c r="FG73" s="30"/>
      <c r="FH73" s="30"/>
      <c r="FI73" s="30"/>
      <c r="FJ73" s="30"/>
      <c r="FK73" s="30"/>
      <c r="FL73" s="30"/>
      <c r="FM73" s="30"/>
      <c r="FN73" s="30"/>
      <c r="FO73" s="30"/>
      <c r="FP73" s="30"/>
      <c r="FQ73" s="30"/>
      <c r="FR73" s="30"/>
      <c r="FS73" s="30"/>
      <c r="FT73" s="30"/>
      <c r="FU73" s="30"/>
      <c r="FV73" s="30"/>
      <c r="FW73" s="30"/>
      <c r="FX73" s="30"/>
      <c r="FY73" s="30"/>
      <c r="FZ73" s="30"/>
      <c r="GA73" s="30"/>
      <c r="GB73" s="30"/>
      <c r="GC73" s="30"/>
      <c r="GD73" s="30"/>
      <c r="GE73" s="30"/>
      <c r="GF73" s="30"/>
      <c r="GG73" s="30"/>
      <c r="GH73" s="30"/>
      <c r="GI73" s="30"/>
      <c r="GJ73" s="30"/>
      <c r="GK73" s="30"/>
      <c r="GL73" s="30"/>
      <c r="GM73" s="30"/>
      <c r="GN73" s="30"/>
      <c r="GO73" s="30"/>
      <c r="GP73" s="30"/>
      <c r="GQ73" s="30"/>
      <c r="GR73" s="30"/>
      <c r="GS73" s="30"/>
      <c r="GT73" s="30"/>
      <c r="GU73" s="30"/>
      <c r="GV73" s="30"/>
      <c r="GW73" s="30"/>
      <c r="GX73" s="30"/>
      <c r="GY73" s="30"/>
      <c r="GZ73" s="30"/>
      <c r="HA73" s="30"/>
      <c r="HB73" s="30"/>
      <c r="HC73" s="30"/>
      <c r="HD73" s="30"/>
      <c r="HE73" s="30"/>
      <c r="HF73" s="30"/>
      <c r="HG73" s="30"/>
      <c r="HH73" s="30"/>
      <c r="HI73" s="30"/>
      <c r="HJ73" s="30"/>
      <c r="HK73" s="30"/>
      <c r="HL73" s="30"/>
      <c r="HM73" s="30"/>
      <c r="HN73" s="30"/>
      <c r="HO73" s="30"/>
      <c r="HP73" s="30"/>
      <c r="HQ73" s="30"/>
      <c r="HR73" s="30"/>
      <c r="HS73" s="30"/>
      <c r="HT73" s="30"/>
      <c r="HU73" s="30"/>
      <c r="HV73" s="30"/>
      <c r="HW73" s="30"/>
      <c r="HX73" s="30"/>
      <c r="HY73" s="30"/>
      <c r="HZ73" s="30"/>
      <c r="IA73" s="30"/>
      <c r="IB73" s="30"/>
      <c r="IC73" s="30"/>
      <c r="ID73" s="30"/>
      <c r="IE73" s="30"/>
      <c r="IF73" s="30"/>
      <c r="IG73" s="30"/>
      <c r="IH73" s="30"/>
      <c r="II73" s="30"/>
      <c r="IJ73" s="30"/>
      <c r="IK73" s="30"/>
      <c r="IL73" s="30"/>
      <c r="IM73" s="30"/>
      <c r="IN73" s="30"/>
      <c r="IO73" s="30"/>
      <c r="IP73" s="30"/>
      <c r="IQ73" s="30"/>
      <c r="IR73" s="30"/>
      <c r="IS73" s="30"/>
      <c r="IT73" s="30"/>
      <c r="IU73" s="30"/>
      <c r="IV73" s="30"/>
      <c r="IW73" s="30"/>
      <c r="IX73" s="30"/>
      <c r="IY73" s="30"/>
      <c r="IZ73" s="30"/>
      <c r="JA73" s="30"/>
      <c r="JB73" s="30"/>
      <c r="JC73" s="30"/>
      <c r="JD73" s="30"/>
      <c r="JE73" s="30"/>
      <c r="JF73" s="30"/>
      <c r="JG73" s="30"/>
      <c r="JH73" s="30"/>
      <c r="JI73" s="30"/>
      <c r="JJ73" s="30"/>
      <c r="JK73" s="30"/>
      <c r="JL73" s="30"/>
      <c r="JM73" s="30"/>
      <c r="JN73" s="30"/>
      <c r="JO73" s="30"/>
      <c r="JP73" s="30"/>
      <c r="JQ73" s="30"/>
      <c r="JR73" s="30"/>
      <c r="JS73" s="30"/>
      <c r="JT73" s="30"/>
      <c r="JU73" s="30"/>
      <c r="JV73" s="30"/>
      <c r="JW73" s="30"/>
      <c r="JX73" s="30"/>
      <c r="JY73" s="30"/>
      <c r="JZ73" s="30"/>
      <c r="KA73" s="30"/>
      <c r="KB73" s="30"/>
      <c r="KC73" s="30"/>
      <c r="KD73" s="30"/>
      <c r="KE73" s="30"/>
      <c r="KF73" s="30"/>
      <c r="KG73" s="30"/>
      <c r="KH73" s="30"/>
      <c r="KI73" s="30"/>
      <c r="KJ73" s="30"/>
      <c r="KK73" s="30"/>
      <c r="KL73" s="30"/>
      <c r="KM73" s="30"/>
      <c r="KN73" s="30"/>
      <c r="KO73" s="30"/>
      <c r="KP73" s="1630"/>
    </row>
    <row r="74" spans="1:302" s="97" customFormat="1" ht="16.5" customHeight="1" outlineLevel="1">
      <c r="A74" s="1994" t="s">
        <v>766</v>
      </c>
      <c r="B74" s="1994"/>
      <c r="C74" s="2008" t="s">
        <v>630</v>
      </c>
      <c r="D74" s="1689" t="s">
        <v>631</v>
      </c>
      <c r="E74" s="261"/>
      <c r="F74" s="347"/>
      <c r="G74" s="348"/>
      <c r="H74" s="350" t="s">
        <v>26</v>
      </c>
      <c r="I74" s="2936"/>
      <c r="J74" s="362" t="s">
        <v>26</v>
      </c>
      <c r="K74" s="1745"/>
      <c r="L74" s="358"/>
      <c r="M74" s="358"/>
      <c r="N74" s="358"/>
      <c r="O74" s="1510">
        <v>718448</v>
      </c>
      <c r="P74" s="358"/>
      <c r="Q74" s="358"/>
      <c r="R74" s="358"/>
      <c r="S74" s="1510">
        <f t="shared" si="119"/>
        <v>0</v>
      </c>
      <c r="T74" s="389"/>
      <c r="U74" s="1746"/>
      <c r="V74" s="1746"/>
      <c r="W74" s="1744">
        <f t="shared" si="120"/>
        <v>718448</v>
      </c>
      <c r="X74" s="359" t="s">
        <v>26</v>
      </c>
      <c r="Y74" s="389"/>
      <c r="Z74" s="1746"/>
      <c r="AA74" s="1509"/>
      <c r="AB74" s="2598">
        <f t="shared" si="97"/>
        <v>718448</v>
      </c>
      <c r="AC74" s="1444"/>
      <c r="AD74" s="1444"/>
      <c r="AE74" s="1687"/>
      <c r="AF74" s="361"/>
      <c r="AG74" s="354"/>
      <c r="AH74" s="354">
        <f t="shared" si="83"/>
        <v>0</v>
      </c>
      <c r="AI74" s="355">
        <f t="shared" ca="1" si="94"/>
        <v>0</v>
      </c>
      <c r="AJ74" s="356">
        <f t="shared" ca="1" si="1"/>
        <v>0</v>
      </c>
      <c r="AK74" s="2185"/>
      <c r="AL74" s="260"/>
      <c r="AM74" s="2258"/>
      <c r="AN74" s="2258"/>
      <c r="AO74" s="377"/>
      <c r="AP74" s="360"/>
      <c r="AQ74" s="359"/>
      <c r="AR74" s="359"/>
      <c r="AS74" s="377"/>
      <c r="AT74" s="377"/>
      <c r="AU74" s="377"/>
      <c r="AV74" s="377"/>
      <c r="AW74" s="359"/>
      <c r="AX74" s="359"/>
      <c r="AY74" s="360"/>
      <c r="AZ74" s="2273"/>
      <c r="BA74" s="497"/>
      <c r="BB74" s="362"/>
      <c r="BC74" s="362"/>
      <c r="BD74" s="362"/>
      <c r="BE74" s="362"/>
      <c r="BF74" s="362"/>
      <c r="BG74" s="362"/>
      <c r="BH74" s="362"/>
      <c r="BI74" s="414"/>
      <c r="BJ74" s="362">
        <v>718448</v>
      </c>
      <c r="BK74" s="2123"/>
      <c r="BL74" s="414"/>
      <c r="BM74" s="414"/>
      <c r="BN74" s="414"/>
      <c r="BO74" s="414"/>
      <c r="BP74" s="414"/>
      <c r="BQ74" s="2399"/>
      <c r="BR74" s="362"/>
      <c r="BS74" s="362"/>
      <c r="BT74" s="362"/>
      <c r="BU74" s="364"/>
      <c r="BV74" s="364"/>
      <c r="BW74" s="2366"/>
      <c r="BX74" s="2463"/>
      <c r="BY74" s="2543"/>
      <c r="BZ74" s="2543"/>
      <c r="CA74" s="2591">
        <f t="shared" si="116"/>
        <v>718448</v>
      </c>
      <c r="CB74" s="2377">
        <f t="shared" si="117"/>
        <v>1</v>
      </c>
      <c r="CC74" s="365">
        <f t="shared" si="118"/>
        <v>1.3918891833507784E-6</v>
      </c>
      <c r="CD74" s="366"/>
      <c r="CE74" s="343"/>
      <c r="CF74" s="343"/>
      <c r="CG74" s="340"/>
      <c r="CH74" s="367"/>
      <c r="CI74" s="368"/>
      <c r="CJ74" s="368"/>
      <c r="CK74" s="369"/>
      <c r="CL74" s="329">
        <f t="shared" si="12"/>
        <v>0</v>
      </c>
      <c r="CM74" s="330">
        <f t="shared" ca="1" si="13"/>
        <v>0</v>
      </c>
      <c r="CN74" s="331">
        <f t="shared" ca="1" si="14"/>
        <v>-718448</v>
      </c>
      <c r="CO74" s="86"/>
      <c r="CP74" s="86"/>
      <c r="CQ74" s="1641"/>
      <c r="CR74" s="86"/>
      <c r="CS74" s="86"/>
      <c r="CT74" s="86"/>
      <c r="CU74" s="86"/>
      <c r="CV74" s="86"/>
      <c r="CW74" s="86"/>
      <c r="CX74" s="86"/>
      <c r="CY74" s="86"/>
      <c r="CZ74" s="86"/>
      <c r="DA74" s="86"/>
      <c r="DB74" s="1642"/>
      <c r="DC74" s="1642"/>
      <c r="DD74" s="30"/>
      <c r="DE74" s="30"/>
      <c r="DF74" s="30"/>
      <c r="DG74" s="1642"/>
      <c r="DH74" s="1642"/>
      <c r="DI74" s="1642"/>
      <c r="DJ74" s="1642"/>
      <c r="DK74" s="1642"/>
      <c r="DL74" s="1642"/>
      <c r="DM74" s="1642"/>
      <c r="DN74" s="1642"/>
      <c r="DO74" s="1642"/>
      <c r="DP74" s="1642"/>
      <c r="DQ74" s="1642"/>
      <c r="DR74" s="1642"/>
      <c r="DS74" s="1642"/>
      <c r="DT74" s="1642"/>
      <c r="DU74" s="1642"/>
      <c r="DV74" s="1642"/>
      <c r="DW74" s="1642"/>
      <c r="DX74" s="1642"/>
      <c r="DY74" s="1642"/>
      <c r="DZ74" s="1642"/>
      <c r="EA74" s="1642"/>
      <c r="EB74" s="1642"/>
      <c r="EC74" s="1642"/>
      <c r="ED74" s="1642"/>
      <c r="EE74" s="1642"/>
      <c r="EF74" s="1642"/>
      <c r="EG74" s="1642"/>
      <c r="EH74" s="1643"/>
      <c r="EI74" s="1658"/>
      <c r="EJ74" s="30"/>
      <c r="EK74" s="30"/>
      <c r="EL74" s="30"/>
      <c r="EM74" s="30"/>
      <c r="EN74" s="30"/>
      <c r="EO74" s="30"/>
      <c r="EP74" s="30"/>
      <c r="EQ74" s="30"/>
      <c r="ER74" s="30"/>
      <c r="ES74" s="30"/>
      <c r="ET74" s="30"/>
      <c r="EU74" s="30"/>
      <c r="EV74" s="30"/>
      <c r="EW74" s="30"/>
      <c r="EX74" s="30"/>
      <c r="EY74" s="30"/>
      <c r="EZ74" s="30"/>
      <c r="FA74" s="30"/>
      <c r="FB74" s="30"/>
      <c r="FC74" s="30"/>
      <c r="FD74" s="30"/>
      <c r="FE74" s="30"/>
      <c r="FF74" s="30"/>
      <c r="FG74" s="30"/>
      <c r="FH74" s="30"/>
      <c r="FI74" s="30"/>
      <c r="FJ74" s="30"/>
      <c r="FK74" s="30"/>
      <c r="FL74" s="30"/>
      <c r="FM74" s="30"/>
      <c r="FN74" s="30"/>
      <c r="FO74" s="30"/>
      <c r="FP74" s="30"/>
      <c r="FQ74" s="30"/>
      <c r="FR74" s="30"/>
      <c r="FS74" s="30"/>
      <c r="FT74" s="30"/>
      <c r="FU74" s="30"/>
      <c r="FV74" s="30"/>
      <c r="FW74" s="30"/>
      <c r="FX74" s="30"/>
      <c r="FY74" s="30"/>
      <c r="FZ74" s="30"/>
      <c r="GA74" s="30"/>
      <c r="GB74" s="30"/>
      <c r="GC74" s="30"/>
      <c r="GD74" s="30"/>
      <c r="GE74" s="30"/>
      <c r="GF74" s="30"/>
      <c r="GG74" s="30"/>
      <c r="GH74" s="30"/>
      <c r="GI74" s="30"/>
      <c r="GJ74" s="30"/>
      <c r="GK74" s="30"/>
      <c r="GL74" s="30"/>
      <c r="GM74" s="30"/>
      <c r="GN74" s="30"/>
      <c r="GO74" s="30"/>
      <c r="GP74" s="30"/>
      <c r="GQ74" s="30"/>
      <c r="GR74" s="30"/>
      <c r="GS74" s="30"/>
      <c r="GT74" s="30"/>
      <c r="GU74" s="30"/>
      <c r="GV74" s="30"/>
      <c r="GW74" s="30"/>
      <c r="GX74" s="30"/>
      <c r="GY74" s="30"/>
      <c r="GZ74" s="30"/>
      <c r="HA74" s="30"/>
      <c r="HB74" s="30"/>
      <c r="HC74" s="30"/>
      <c r="HD74" s="30"/>
      <c r="HE74" s="30"/>
      <c r="HF74" s="30"/>
      <c r="HG74" s="30"/>
      <c r="HH74" s="30"/>
      <c r="HI74" s="30"/>
      <c r="HJ74" s="30"/>
      <c r="HK74" s="30"/>
      <c r="HL74" s="30"/>
      <c r="HM74" s="30"/>
      <c r="HN74" s="30"/>
      <c r="HO74" s="30"/>
      <c r="HP74" s="30"/>
      <c r="HQ74" s="30"/>
      <c r="HR74" s="30"/>
      <c r="HS74" s="30"/>
      <c r="HT74" s="30"/>
      <c r="HU74" s="30"/>
      <c r="HV74" s="30"/>
      <c r="HW74" s="30"/>
      <c r="HX74" s="30"/>
      <c r="HY74" s="30"/>
      <c r="HZ74" s="30"/>
      <c r="IA74" s="30"/>
      <c r="IB74" s="30"/>
      <c r="IC74" s="30"/>
      <c r="ID74" s="30"/>
      <c r="IE74" s="30"/>
      <c r="IF74" s="30"/>
      <c r="IG74" s="30"/>
      <c r="IH74" s="30"/>
      <c r="II74" s="30"/>
      <c r="IJ74" s="30"/>
      <c r="IK74" s="30"/>
      <c r="IL74" s="30"/>
      <c r="IM74" s="30"/>
      <c r="IN74" s="30"/>
      <c r="IO74" s="30"/>
      <c r="IP74" s="30"/>
      <c r="IQ74" s="30"/>
      <c r="IR74" s="30"/>
      <c r="IS74" s="30"/>
      <c r="IT74" s="30"/>
      <c r="IU74" s="30"/>
      <c r="IV74" s="30"/>
      <c r="IW74" s="30"/>
      <c r="IX74" s="30"/>
      <c r="IY74" s="30"/>
      <c r="IZ74" s="30"/>
      <c r="JA74" s="30"/>
      <c r="JB74" s="30"/>
      <c r="JC74" s="30"/>
      <c r="JD74" s="30"/>
      <c r="JE74" s="30"/>
      <c r="JF74" s="30"/>
      <c r="JG74" s="30"/>
      <c r="JH74" s="30"/>
      <c r="JI74" s="30"/>
      <c r="JJ74" s="30"/>
      <c r="JK74" s="30"/>
      <c r="JL74" s="30"/>
      <c r="JM74" s="30"/>
      <c r="JN74" s="30"/>
      <c r="JO74" s="30"/>
      <c r="JP74" s="30"/>
      <c r="JQ74" s="30"/>
      <c r="JR74" s="30"/>
      <c r="JS74" s="30"/>
      <c r="JT74" s="30"/>
      <c r="JU74" s="30"/>
      <c r="JV74" s="30"/>
      <c r="JW74" s="30"/>
      <c r="JX74" s="30"/>
      <c r="JY74" s="30"/>
      <c r="JZ74" s="30"/>
      <c r="KA74" s="30"/>
      <c r="KB74" s="30"/>
      <c r="KC74" s="30"/>
      <c r="KD74" s="30"/>
      <c r="KE74" s="30"/>
      <c r="KF74" s="30"/>
      <c r="KG74" s="30"/>
      <c r="KH74" s="30"/>
      <c r="KI74" s="30"/>
      <c r="KJ74" s="30"/>
      <c r="KK74" s="30"/>
      <c r="KL74" s="30"/>
      <c r="KM74" s="30"/>
      <c r="KN74" s="30"/>
      <c r="KO74" s="30"/>
      <c r="KP74" s="1630"/>
    </row>
    <row r="75" spans="1:302" s="97" customFormat="1" ht="21" customHeight="1" outlineLevel="1">
      <c r="A75" s="2656" t="s">
        <v>195</v>
      </c>
      <c r="B75" s="1689"/>
      <c r="C75" s="2589" t="s">
        <v>632</v>
      </c>
      <c r="D75" s="2589" t="s">
        <v>633</v>
      </c>
      <c r="E75" s="262"/>
      <c r="F75" s="347"/>
      <c r="G75" s="348"/>
      <c r="H75" s="350" t="s">
        <v>26</v>
      </c>
      <c r="I75" s="2936"/>
      <c r="J75" s="362" t="s">
        <v>26</v>
      </c>
      <c r="K75" s="1745"/>
      <c r="L75" s="358"/>
      <c r="M75" s="358"/>
      <c r="N75" s="358"/>
      <c r="O75" s="1510"/>
      <c r="P75" s="358"/>
      <c r="Q75" s="358"/>
      <c r="R75" s="358"/>
      <c r="S75" s="1510">
        <f t="shared" si="119"/>
        <v>0</v>
      </c>
      <c r="T75" s="389"/>
      <c r="U75" s="1746"/>
      <c r="V75" s="1746"/>
      <c r="W75" s="1744">
        <f t="shared" si="120"/>
        <v>0</v>
      </c>
      <c r="X75" s="359" t="s">
        <v>26</v>
      </c>
      <c r="Y75" s="389"/>
      <c r="Z75" s="1746"/>
      <c r="AA75" s="1509"/>
      <c r="AB75" s="2598">
        <f t="shared" si="97"/>
        <v>0</v>
      </c>
      <c r="AC75" s="1444"/>
      <c r="AD75" s="1444"/>
      <c r="AE75" s="1687"/>
      <c r="AF75" s="354"/>
      <c r="AG75" s="354"/>
      <c r="AH75" s="354">
        <f t="shared" si="83"/>
        <v>0</v>
      </c>
      <c r="AI75" s="355">
        <f t="shared" ca="1" si="94"/>
        <v>0</v>
      </c>
      <c r="AJ75" s="356" t="str">
        <f t="shared" si="1"/>
        <v/>
      </c>
      <c r="AK75" s="2185"/>
      <c r="AL75" s="260"/>
      <c r="AM75" s="2258"/>
      <c r="AN75" s="2258"/>
      <c r="AO75" s="359"/>
      <c r="AP75" s="360"/>
      <c r="AQ75" s="359"/>
      <c r="AR75" s="359"/>
      <c r="AS75" s="359"/>
      <c r="AT75" s="360"/>
      <c r="AU75" s="359"/>
      <c r="AV75" s="359"/>
      <c r="AW75" s="359"/>
      <c r="AX75" s="359"/>
      <c r="AY75" s="1985"/>
      <c r="AZ75" s="2258"/>
      <c r="BA75" s="359"/>
      <c r="BB75" s="377"/>
      <c r="BC75" s="359"/>
      <c r="BD75" s="359"/>
      <c r="BE75" s="362"/>
      <c r="BF75" s="362"/>
      <c r="BG75" s="362"/>
      <c r="BH75" s="362"/>
      <c r="BI75" s="414"/>
      <c r="BJ75" s="362"/>
      <c r="BK75" s="2123"/>
      <c r="BL75" s="414"/>
      <c r="BM75" s="414"/>
      <c r="BN75" s="414"/>
      <c r="BO75" s="414"/>
      <c r="BP75" s="414"/>
      <c r="BQ75" s="2399"/>
      <c r="BR75" s="362"/>
      <c r="BS75" s="362"/>
      <c r="BT75" s="362"/>
      <c r="BU75" s="364"/>
      <c r="BV75" s="364"/>
      <c r="BW75" s="2366"/>
      <c r="BX75" s="2463"/>
      <c r="BY75" s="2543"/>
      <c r="BZ75" s="2543"/>
      <c r="CA75" s="2591">
        <f t="shared" si="116"/>
        <v>0</v>
      </c>
      <c r="CB75" s="2377" t="str">
        <f t="shared" si="117"/>
        <v/>
      </c>
      <c r="CC75" s="365" t="str">
        <f t="shared" si="118"/>
        <v/>
      </c>
      <c r="CD75" s="366"/>
      <c r="CE75" s="343"/>
      <c r="CF75" s="343"/>
      <c r="CG75" s="340"/>
      <c r="CH75" s="367"/>
      <c r="CI75" s="368"/>
      <c r="CJ75" s="368"/>
      <c r="CK75" s="369"/>
      <c r="CL75" s="329">
        <f t="shared" si="12"/>
        <v>0</v>
      </c>
      <c r="CM75" s="330">
        <f t="shared" ca="1" si="13"/>
        <v>0</v>
      </c>
      <c r="CN75" s="331">
        <f t="shared" ca="1" si="14"/>
        <v>0</v>
      </c>
      <c r="CO75" s="86"/>
      <c r="CP75" s="86"/>
      <c r="CQ75" s="1641"/>
      <c r="CR75" s="86"/>
      <c r="CS75" s="86"/>
      <c r="CT75" s="86"/>
      <c r="CU75" s="86"/>
      <c r="CV75" s="86"/>
      <c r="CW75" s="86"/>
      <c r="CX75" s="86"/>
      <c r="CY75" s="86"/>
      <c r="CZ75" s="86"/>
      <c r="DA75" s="86"/>
      <c r="DB75" s="1642"/>
      <c r="DC75" s="1642"/>
      <c r="DD75" s="30"/>
      <c r="DE75" s="30"/>
      <c r="DF75" s="30"/>
      <c r="DG75" s="1642"/>
      <c r="DH75" s="1642"/>
      <c r="DI75" s="1642"/>
      <c r="DJ75" s="1642"/>
      <c r="DK75" s="1642"/>
      <c r="DL75" s="1642"/>
      <c r="DM75" s="1642"/>
      <c r="DN75" s="1642"/>
      <c r="DO75" s="1642"/>
      <c r="DP75" s="1642"/>
      <c r="DQ75" s="1642"/>
      <c r="DR75" s="1642"/>
      <c r="DS75" s="1642"/>
      <c r="DT75" s="1642"/>
      <c r="DU75" s="1642"/>
      <c r="DV75" s="1642"/>
      <c r="DW75" s="1642"/>
      <c r="DX75" s="1642"/>
      <c r="DY75" s="1642"/>
      <c r="DZ75" s="1642"/>
      <c r="EA75" s="1642"/>
      <c r="EB75" s="1642"/>
      <c r="EC75" s="1642"/>
      <c r="ED75" s="1642"/>
      <c r="EE75" s="1642"/>
      <c r="EF75" s="1642"/>
      <c r="EG75" s="1642"/>
      <c r="EH75" s="1643"/>
      <c r="EI75" s="1658"/>
      <c r="EJ75" s="30"/>
      <c r="EK75" s="30"/>
      <c r="EL75" s="30"/>
      <c r="EM75" s="30"/>
      <c r="EN75" s="30"/>
      <c r="EO75" s="30"/>
      <c r="EP75" s="30"/>
      <c r="EQ75" s="30"/>
      <c r="ER75" s="30"/>
      <c r="ES75" s="30"/>
      <c r="ET75" s="30"/>
      <c r="EU75" s="30"/>
      <c r="EV75" s="30"/>
      <c r="EW75" s="30"/>
      <c r="EX75" s="30"/>
      <c r="EY75" s="30"/>
      <c r="EZ75" s="30"/>
      <c r="FA75" s="30"/>
      <c r="FB75" s="30"/>
      <c r="FC75" s="30"/>
      <c r="FD75" s="30"/>
      <c r="FE75" s="30"/>
      <c r="FF75" s="30"/>
      <c r="FG75" s="30"/>
      <c r="FH75" s="30"/>
      <c r="FI75" s="30"/>
      <c r="FJ75" s="30"/>
      <c r="FK75" s="30"/>
      <c r="FL75" s="30"/>
      <c r="FM75" s="30"/>
      <c r="FN75" s="30"/>
      <c r="FO75" s="30"/>
      <c r="FP75" s="30"/>
      <c r="FQ75" s="30"/>
      <c r="FR75" s="30"/>
      <c r="FS75" s="30"/>
      <c r="FT75" s="30"/>
      <c r="FU75" s="30"/>
      <c r="FV75" s="30"/>
      <c r="FW75" s="30"/>
      <c r="FX75" s="30"/>
      <c r="FY75" s="30"/>
      <c r="FZ75" s="30"/>
      <c r="GA75" s="30"/>
      <c r="GB75" s="30"/>
      <c r="GC75" s="30"/>
      <c r="GD75" s="30"/>
      <c r="GE75" s="30"/>
      <c r="GF75" s="30"/>
      <c r="GG75" s="30"/>
      <c r="GH75" s="30"/>
      <c r="GI75" s="30"/>
      <c r="GJ75" s="30"/>
      <c r="GK75" s="30"/>
      <c r="GL75" s="30"/>
      <c r="GM75" s="30"/>
      <c r="GN75" s="30"/>
      <c r="GO75" s="30"/>
      <c r="GP75" s="30"/>
      <c r="GQ75" s="30"/>
      <c r="GR75" s="30"/>
      <c r="GS75" s="30"/>
      <c r="GT75" s="30"/>
      <c r="GU75" s="30"/>
      <c r="GV75" s="30"/>
      <c r="GW75" s="30"/>
      <c r="GX75" s="30"/>
      <c r="GY75" s="30"/>
      <c r="GZ75" s="30"/>
      <c r="HA75" s="30"/>
      <c r="HB75" s="30"/>
      <c r="HC75" s="30"/>
      <c r="HD75" s="30"/>
      <c r="HE75" s="30"/>
      <c r="HF75" s="30"/>
      <c r="HG75" s="30"/>
      <c r="HH75" s="30"/>
      <c r="HI75" s="30"/>
      <c r="HJ75" s="30"/>
      <c r="HK75" s="30"/>
      <c r="HL75" s="30"/>
      <c r="HM75" s="30"/>
      <c r="HN75" s="30"/>
      <c r="HO75" s="30"/>
      <c r="HP75" s="30"/>
      <c r="HQ75" s="30"/>
      <c r="HR75" s="30"/>
      <c r="HS75" s="30"/>
      <c r="HT75" s="30"/>
      <c r="HU75" s="30"/>
      <c r="HV75" s="30"/>
      <c r="HW75" s="30"/>
      <c r="HX75" s="30"/>
      <c r="HY75" s="30"/>
      <c r="HZ75" s="30"/>
      <c r="IA75" s="30"/>
      <c r="IB75" s="30"/>
      <c r="IC75" s="30"/>
      <c r="ID75" s="30"/>
      <c r="IE75" s="30"/>
      <c r="IF75" s="30"/>
      <c r="IG75" s="30"/>
      <c r="IH75" s="30"/>
      <c r="II75" s="30"/>
      <c r="IJ75" s="30"/>
      <c r="IK75" s="30"/>
      <c r="IL75" s="30"/>
      <c r="IM75" s="30"/>
      <c r="IN75" s="30"/>
      <c r="IO75" s="30"/>
      <c r="IP75" s="30"/>
      <c r="IQ75" s="30"/>
      <c r="IR75" s="30"/>
      <c r="IS75" s="30"/>
      <c r="IT75" s="30"/>
      <c r="IU75" s="30"/>
      <c r="IV75" s="30"/>
      <c r="IW75" s="30"/>
      <c r="IX75" s="30"/>
      <c r="IY75" s="30"/>
      <c r="IZ75" s="30"/>
      <c r="JA75" s="30"/>
      <c r="JB75" s="30"/>
      <c r="JC75" s="30"/>
      <c r="JD75" s="30"/>
      <c r="JE75" s="30"/>
      <c r="JF75" s="30"/>
      <c r="JG75" s="30"/>
      <c r="JH75" s="30"/>
      <c r="JI75" s="30"/>
      <c r="JJ75" s="30"/>
      <c r="JK75" s="30"/>
      <c r="JL75" s="30"/>
      <c r="JM75" s="30"/>
      <c r="JN75" s="30"/>
      <c r="JO75" s="30"/>
      <c r="JP75" s="30"/>
      <c r="JQ75" s="30"/>
      <c r="JR75" s="30"/>
      <c r="JS75" s="30"/>
      <c r="JT75" s="30"/>
      <c r="JU75" s="30"/>
      <c r="JV75" s="30"/>
      <c r="JW75" s="30"/>
      <c r="JX75" s="30"/>
      <c r="JY75" s="30"/>
      <c r="JZ75" s="30"/>
      <c r="KA75" s="30"/>
      <c r="KB75" s="30"/>
      <c r="KC75" s="30"/>
      <c r="KD75" s="30"/>
      <c r="KE75" s="30"/>
      <c r="KF75" s="30"/>
      <c r="KG75" s="30"/>
      <c r="KH75" s="30"/>
      <c r="KI75" s="30"/>
      <c r="KJ75" s="30"/>
      <c r="KK75" s="30"/>
      <c r="KL75" s="30"/>
      <c r="KM75" s="30"/>
      <c r="KN75" s="30"/>
      <c r="KO75" s="30"/>
      <c r="KP75" s="1630"/>
    </row>
    <row r="76" spans="1:302" s="97" customFormat="1" ht="35.450000000000003" customHeight="1" outlineLevel="1">
      <c r="A76" s="2656" t="s">
        <v>781</v>
      </c>
      <c r="B76" s="1689"/>
      <c r="C76" s="261" t="s">
        <v>634</v>
      </c>
      <c r="D76" s="1689" t="s">
        <v>635</v>
      </c>
      <c r="E76" s="261"/>
      <c r="F76" s="347"/>
      <c r="G76" s="348"/>
      <c r="H76" s="350" t="s">
        <v>26</v>
      </c>
      <c r="I76" s="2936"/>
      <c r="J76" s="362" t="s">
        <v>26</v>
      </c>
      <c r="K76" s="1745"/>
      <c r="L76" s="358"/>
      <c r="M76" s="358"/>
      <c r="N76" s="358"/>
      <c r="O76" s="1510">
        <v>23700876</v>
      </c>
      <c r="P76" s="358"/>
      <c r="Q76" s="358"/>
      <c r="R76" s="358"/>
      <c r="S76" s="1510">
        <f t="shared" si="99"/>
        <v>0</v>
      </c>
      <c r="T76" s="389"/>
      <c r="U76" s="1746"/>
      <c r="V76" s="1746"/>
      <c r="W76" s="1744">
        <f t="shared" si="92"/>
        <v>23700876</v>
      </c>
      <c r="X76" s="359" t="s">
        <v>26</v>
      </c>
      <c r="Y76" s="389"/>
      <c r="Z76" s="1746"/>
      <c r="AA76" s="1509"/>
      <c r="AB76" s="2585">
        <f t="shared" si="97"/>
        <v>21982669.999991998</v>
      </c>
      <c r="AC76" s="1444"/>
      <c r="AD76" s="1444"/>
      <c r="AE76" s="1687"/>
      <c r="AF76" s="354"/>
      <c r="AG76" s="354"/>
      <c r="AH76" s="354">
        <f t="shared" si="83"/>
        <v>0</v>
      </c>
      <c r="AI76" s="355">
        <f t="shared" ca="1" si="94"/>
        <v>0</v>
      </c>
      <c r="AJ76" s="356">
        <f t="shared" ca="1" si="1"/>
        <v>0</v>
      </c>
      <c r="AK76" s="2185"/>
      <c r="AL76" s="260"/>
      <c r="AM76" s="2258"/>
      <c r="AN76" s="2258"/>
      <c r="AO76" s="359"/>
      <c r="AP76" s="360"/>
      <c r="AQ76" s="359"/>
      <c r="AR76" s="359"/>
      <c r="AS76" s="359"/>
      <c r="AT76" s="360"/>
      <c r="AU76" s="359"/>
      <c r="AV76" s="2630"/>
      <c r="AW76" s="2630"/>
      <c r="AX76" s="2630"/>
      <c r="AY76" s="2632"/>
      <c r="AZ76" s="2631">
        <v>1831889.1666659999</v>
      </c>
      <c r="BA76" s="2630">
        <v>1831889.1666659999</v>
      </c>
      <c r="BB76" s="2630">
        <v>1831889.1666659999</v>
      </c>
      <c r="BC76" s="2633">
        <v>1831889.1666659999</v>
      </c>
      <c r="BD76" s="362">
        <v>1831889.1666659999</v>
      </c>
      <c r="BE76" s="362">
        <v>1831889.1666659999</v>
      </c>
      <c r="BF76" s="362">
        <v>1831889.1666659999</v>
      </c>
      <c r="BG76" s="362">
        <v>1831889.1666659999</v>
      </c>
      <c r="BH76" s="362">
        <v>1831889.1666659999</v>
      </c>
      <c r="BI76" s="414">
        <v>1831889.1666659999</v>
      </c>
      <c r="BJ76" s="362">
        <v>1831889.1666659999</v>
      </c>
      <c r="BK76" s="2123">
        <v>1831889.1666659999</v>
      </c>
      <c r="BL76" s="414"/>
      <c r="BM76" s="414"/>
      <c r="BN76" s="414"/>
      <c r="BO76" s="414"/>
      <c r="BP76" s="414"/>
      <c r="BQ76" s="2399"/>
      <c r="BR76" s="362"/>
      <c r="BS76" s="362"/>
      <c r="BT76" s="362"/>
      <c r="BU76" s="364"/>
      <c r="BV76" s="364"/>
      <c r="BW76" s="2366"/>
      <c r="BX76" s="2463"/>
      <c r="BY76" s="2543"/>
      <c r="BZ76" s="2543"/>
      <c r="CA76" s="2591">
        <f t="shared" si="116"/>
        <v>21982669.999991998</v>
      </c>
      <c r="CB76" s="2377">
        <f t="shared" si="117"/>
        <v>1</v>
      </c>
      <c r="CC76" s="365">
        <f t="shared" si="118"/>
        <v>4.5490379467114958E-8</v>
      </c>
      <c r="CD76" s="366"/>
      <c r="CE76" s="343"/>
      <c r="CF76" s="343"/>
      <c r="CG76" s="340"/>
      <c r="CH76" s="367"/>
      <c r="CI76" s="368"/>
      <c r="CJ76" s="368"/>
      <c r="CK76" s="369"/>
      <c r="CL76" s="329">
        <f t="shared" si="12"/>
        <v>1718206.0000080019</v>
      </c>
      <c r="CM76" s="330">
        <f t="shared" ca="1" si="13"/>
        <v>0</v>
      </c>
      <c r="CN76" s="331">
        <f t="shared" ca="1" si="14"/>
        <v>-21982669.999991998</v>
      </c>
      <c r="CO76" s="86"/>
      <c r="CP76" s="86"/>
      <c r="CQ76" s="1641"/>
      <c r="CR76" s="86"/>
      <c r="CS76" s="86"/>
      <c r="CT76" s="86"/>
      <c r="CU76" s="86"/>
      <c r="CV76" s="86"/>
      <c r="CW76" s="86"/>
      <c r="CX76" s="86"/>
      <c r="CY76" s="86"/>
      <c r="CZ76" s="86"/>
      <c r="DA76" s="86"/>
      <c r="DB76" s="1642"/>
      <c r="DC76" s="1642"/>
      <c r="DD76" s="30"/>
      <c r="DE76" s="30"/>
      <c r="DF76" s="30"/>
      <c r="DG76" s="1642"/>
      <c r="DH76" s="1642"/>
      <c r="DI76" s="1642"/>
      <c r="DJ76" s="1642"/>
      <c r="DK76" s="1642"/>
      <c r="DL76" s="1642"/>
      <c r="DM76" s="1642"/>
      <c r="DN76" s="1642"/>
      <c r="DO76" s="1642"/>
      <c r="DP76" s="1642"/>
      <c r="DQ76" s="1642"/>
      <c r="DR76" s="1642"/>
      <c r="DS76" s="1642"/>
      <c r="DT76" s="1642"/>
      <c r="DU76" s="1642"/>
      <c r="DV76" s="1642"/>
      <c r="DW76" s="1642"/>
      <c r="DX76" s="1642"/>
      <c r="DY76" s="1642"/>
      <c r="DZ76" s="1642"/>
      <c r="EA76" s="1642"/>
      <c r="EB76" s="1642"/>
      <c r="EC76" s="1642"/>
      <c r="ED76" s="1642"/>
      <c r="EE76" s="1642"/>
      <c r="EF76" s="1642"/>
      <c r="EG76" s="1642"/>
      <c r="EH76" s="1643"/>
      <c r="EI76" s="1658"/>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0"/>
      <c r="HP76" s="30"/>
      <c r="HQ76" s="30"/>
      <c r="HR76" s="30"/>
      <c r="HS76" s="30"/>
      <c r="HT76" s="30"/>
      <c r="HU76" s="30"/>
      <c r="HV76" s="30"/>
      <c r="HW76" s="30"/>
      <c r="HX76" s="30"/>
      <c r="HY76" s="30"/>
      <c r="HZ76" s="30"/>
      <c r="IA76" s="30"/>
      <c r="IB76" s="30"/>
      <c r="IC76" s="30"/>
      <c r="ID76" s="30"/>
      <c r="IE76" s="30"/>
      <c r="IF76" s="30"/>
      <c r="IG76" s="30"/>
      <c r="IH76" s="30"/>
      <c r="II76" s="30"/>
      <c r="IJ76" s="30"/>
      <c r="IK76" s="30"/>
      <c r="IL76" s="30"/>
      <c r="IM76" s="30"/>
      <c r="IN76" s="30"/>
      <c r="IO76" s="30"/>
      <c r="IP76" s="30"/>
      <c r="IQ76" s="30"/>
      <c r="IR76" s="30"/>
      <c r="IS76" s="30"/>
      <c r="IT76" s="30"/>
      <c r="IU76" s="30"/>
      <c r="IV76" s="30"/>
      <c r="IW76" s="30"/>
      <c r="IX76" s="30"/>
      <c r="IY76" s="30"/>
      <c r="IZ76" s="30"/>
      <c r="JA76" s="30"/>
      <c r="JB76" s="30"/>
      <c r="JC76" s="30"/>
      <c r="JD76" s="30"/>
      <c r="JE76" s="30"/>
      <c r="JF76" s="30"/>
      <c r="JG76" s="30"/>
      <c r="JH76" s="30"/>
      <c r="JI76" s="30"/>
      <c r="JJ76" s="30"/>
      <c r="JK76" s="30"/>
      <c r="JL76" s="30"/>
      <c r="JM76" s="30"/>
      <c r="JN76" s="30"/>
      <c r="JO76" s="30"/>
      <c r="JP76" s="30"/>
      <c r="JQ76" s="30"/>
      <c r="JR76" s="30"/>
      <c r="JS76" s="30"/>
      <c r="JT76" s="30"/>
      <c r="JU76" s="30"/>
      <c r="JV76" s="30"/>
      <c r="JW76" s="30"/>
      <c r="JX76" s="30"/>
      <c r="JY76" s="30"/>
      <c r="JZ76" s="30"/>
      <c r="KA76" s="30"/>
      <c r="KB76" s="30"/>
      <c r="KC76" s="30"/>
      <c r="KD76" s="30"/>
      <c r="KE76" s="30"/>
      <c r="KF76" s="30"/>
      <c r="KG76" s="30"/>
      <c r="KH76" s="30"/>
      <c r="KI76" s="30"/>
      <c r="KJ76" s="30"/>
      <c r="KK76" s="30"/>
      <c r="KL76" s="30"/>
      <c r="KM76" s="30"/>
      <c r="KN76" s="30"/>
      <c r="KO76" s="30"/>
      <c r="KP76" s="1630"/>
    </row>
    <row r="77" spans="1:302" s="97" customFormat="1" ht="35.450000000000003" customHeight="1" outlineLevel="1">
      <c r="A77" s="2656" t="s">
        <v>1385</v>
      </c>
      <c r="B77" s="1689"/>
      <c r="C77" s="247" t="s">
        <v>1383</v>
      </c>
      <c r="D77" s="247" t="s">
        <v>575</v>
      </c>
      <c r="E77" s="261"/>
      <c r="F77" s="347"/>
      <c r="G77" s="348"/>
      <c r="H77" s="350" t="s">
        <v>26</v>
      </c>
      <c r="I77" s="2936"/>
      <c r="J77" s="362" t="s">
        <v>26</v>
      </c>
      <c r="K77" s="1745"/>
      <c r="L77" s="358"/>
      <c r="M77" s="358"/>
      <c r="N77" s="358"/>
      <c r="O77" s="1510">
        <v>0</v>
      </c>
      <c r="P77" s="358"/>
      <c r="Q77" s="358"/>
      <c r="R77" s="358"/>
      <c r="S77" s="1510">
        <f t="shared" si="99"/>
        <v>0</v>
      </c>
      <c r="T77" s="389"/>
      <c r="U77" s="1746"/>
      <c r="V77" s="1746"/>
      <c r="W77" s="1744">
        <f t="shared" si="92"/>
        <v>0</v>
      </c>
      <c r="X77" s="359" t="s">
        <v>26</v>
      </c>
      <c r="Y77" s="389"/>
      <c r="Z77" s="1746"/>
      <c r="AA77" s="1509"/>
      <c r="AB77" s="2598">
        <f t="shared" si="97"/>
        <v>443000.00000000012</v>
      </c>
      <c r="AC77" s="1444" t="s">
        <v>1384</v>
      </c>
      <c r="AD77" s="1444"/>
      <c r="AE77" s="1687" t="s">
        <v>564</v>
      </c>
      <c r="AF77" s="354">
        <v>443000</v>
      </c>
      <c r="AG77" s="354">
        <v>1</v>
      </c>
      <c r="AH77" s="354">
        <f t="shared" ref="AH77" si="127">AF77*AG77</f>
        <v>443000</v>
      </c>
      <c r="AI77" s="355">
        <f t="shared" ref="AI77" ca="1" si="128">SUMIF($AM$10:$BZ$10,$AI$9,AM77:BT77)</f>
        <v>0</v>
      </c>
      <c r="AJ77" s="356">
        <f t="shared" ref="AJ77" ca="1" si="129">IF($AB77&lt;&gt;0,AI77/$AB77,"")</f>
        <v>0</v>
      </c>
      <c r="AK77" s="2185"/>
      <c r="AL77" s="260"/>
      <c r="AM77" s="2258"/>
      <c r="AN77" s="2258"/>
      <c r="AO77" s="359"/>
      <c r="AP77" s="360"/>
      <c r="AQ77" s="359">
        <v>21095.238095238095</v>
      </c>
      <c r="AR77" s="359">
        <v>21095.238095238095</v>
      </c>
      <c r="AS77" s="359">
        <v>21095.238095238095</v>
      </c>
      <c r="AT77" s="360">
        <v>21095.238095238095</v>
      </c>
      <c r="AU77" s="359">
        <v>21095.238095238095</v>
      </c>
      <c r="AV77" s="2630">
        <v>21095.238095238095</v>
      </c>
      <c r="AW77" s="2819">
        <v>21095.238095238095</v>
      </c>
      <c r="AX77" s="2630">
        <v>21095.238095238095</v>
      </c>
      <c r="AY77" s="2632">
        <v>21095.238095238095</v>
      </c>
      <c r="AZ77" s="2631">
        <v>21095.238095238095</v>
      </c>
      <c r="BA77" s="2630">
        <v>21095.238095238095</v>
      </c>
      <c r="BB77" s="2630">
        <v>21095.238095238095</v>
      </c>
      <c r="BC77" s="2633">
        <v>21095.238095238095</v>
      </c>
      <c r="BD77" s="362">
        <v>21095.238095238095</v>
      </c>
      <c r="BE77" s="362">
        <v>21095.238095238095</v>
      </c>
      <c r="BF77" s="362">
        <v>21095.238095238095</v>
      </c>
      <c r="BG77" s="362">
        <v>21095.238095238095</v>
      </c>
      <c r="BH77" s="362">
        <v>21095.238095238095</v>
      </c>
      <c r="BI77" s="414">
        <v>21095.238095238095</v>
      </c>
      <c r="BJ77" s="362">
        <v>21095.238095238095</v>
      </c>
      <c r="BK77" s="2123">
        <v>21095.238095238095</v>
      </c>
      <c r="BL77" s="414"/>
      <c r="BM77" s="414"/>
      <c r="BN77" s="414"/>
      <c r="BO77" s="414"/>
      <c r="BP77" s="414"/>
      <c r="BQ77" s="2399"/>
      <c r="BR77" s="362"/>
      <c r="BS77" s="362"/>
      <c r="BT77" s="362"/>
      <c r="BU77" s="364"/>
      <c r="BV77" s="364"/>
      <c r="BW77" s="2366"/>
      <c r="BX77" s="2463"/>
      <c r="BY77" s="2543"/>
      <c r="BZ77" s="2543"/>
      <c r="CA77" s="2591">
        <f t="shared" si="116"/>
        <v>443000.00000000012</v>
      </c>
      <c r="CB77" s="2377">
        <f t="shared" si="117"/>
        <v>1</v>
      </c>
      <c r="CC77" s="365">
        <f t="shared" si="118"/>
        <v>2.2573363431151234E-6</v>
      </c>
      <c r="CD77" s="366"/>
      <c r="CE77" s="343"/>
      <c r="CF77" s="343"/>
      <c r="CG77" s="340"/>
      <c r="CH77" s="367"/>
      <c r="CI77" s="368"/>
      <c r="CJ77" s="368"/>
      <c r="CK77" s="369"/>
      <c r="CL77" s="329">
        <f t="shared" ref="CL77:CL140" si="130">O77-CA77</f>
        <v>-443000.00000000012</v>
      </c>
      <c r="CM77" s="330">
        <f t="shared" ref="CM77:CM140" ca="1" si="131">CA77+AI77-AB77</f>
        <v>0</v>
      </c>
      <c r="CN77" s="331"/>
      <c r="CO77" s="86"/>
      <c r="CP77" s="86"/>
      <c r="CQ77" s="1641"/>
      <c r="CR77" s="86"/>
      <c r="CS77" s="86"/>
      <c r="CT77" s="86"/>
      <c r="CU77" s="86"/>
      <c r="CV77" s="86"/>
      <c r="CW77" s="86"/>
      <c r="CX77" s="86"/>
      <c r="CY77" s="86"/>
      <c r="CZ77" s="86"/>
      <c r="DA77" s="86"/>
      <c r="DB77" s="1642"/>
      <c r="DC77" s="1642"/>
      <c r="DD77" s="30"/>
      <c r="DE77" s="30"/>
      <c r="DF77" s="30"/>
      <c r="DG77" s="1642"/>
      <c r="DH77" s="1642"/>
      <c r="DI77" s="1642"/>
      <c r="DJ77" s="1642"/>
      <c r="DK77" s="1642"/>
      <c r="DL77" s="1642"/>
      <c r="DM77" s="1642"/>
      <c r="DN77" s="1642"/>
      <c r="DO77" s="1642"/>
      <c r="DP77" s="1642"/>
      <c r="DQ77" s="1642"/>
      <c r="DR77" s="1642"/>
      <c r="DS77" s="1642"/>
      <c r="DT77" s="1642"/>
      <c r="DU77" s="1642"/>
      <c r="DV77" s="1642"/>
      <c r="DW77" s="1642"/>
      <c r="DX77" s="1642"/>
      <c r="DY77" s="1642"/>
      <c r="DZ77" s="1642"/>
      <c r="EA77" s="1642"/>
      <c r="EB77" s="1642"/>
      <c r="EC77" s="1642"/>
      <c r="ED77" s="1642"/>
      <c r="EE77" s="1642"/>
      <c r="EF77" s="1642"/>
      <c r="EG77" s="1642"/>
      <c r="EH77" s="1643"/>
      <c r="EI77" s="1658"/>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0"/>
      <c r="HP77" s="30"/>
      <c r="HQ77" s="30"/>
      <c r="HR77" s="30"/>
      <c r="HS77" s="30"/>
      <c r="HT77" s="30"/>
      <c r="HU77" s="30"/>
      <c r="HV77" s="30"/>
      <c r="HW77" s="30"/>
      <c r="HX77" s="30"/>
      <c r="HY77" s="30"/>
      <c r="HZ77" s="30"/>
      <c r="IA77" s="30"/>
      <c r="IB77" s="30"/>
      <c r="IC77" s="30"/>
      <c r="ID77" s="30"/>
      <c r="IE77" s="30"/>
      <c r="IF77" s="30"/>
      <c r="IG77" s="30"/>
      <c r="IH77" s="30"/>
      <c r="II77" s="30"/>
      <c r="IJ77" s="30"/>
      <c r="IK77" s="30"/>
      <c r="IL77" s="30"/>
      <c r="IM77" s="30"/>
      <c r="IN77" s="30"/>
      <c r="IO77" s="30"/>
      <c r="IP77" s="30"/>
      <c r="IQ77" s="30"/>
      <c r="IR77" s="30"/>
      <c r="IS77" s="30"/>
      <c r="IT77" s="30"/>
      <c r="IU77" s="30"/>
      <c r="IV77" s="30"/>
      <c r="IW77" s="30"/>
      <c r="IX77" s="30"/>
      <c r="IY77" s="30"/>
      <c r="IZ77" s="30"/>
      <c r="JA77" s="30"/>
      <c r="JB77" s="30"/>
      <c r="JC77" s="30"/>
      <c r="JD77" s="30"/>
      <c r="JE77" s="30"/>
      <c r="JF77" s="30"/>
      <c r="JG77" s="30"/>
      <c r="JH77" s="30"/>
      <c r="JI77" s="30"/>
      <c r="JJ77" s="30"/>
      <c r="JK77" s="30"/>
      <c r="JL77" s="30"/>
      <c r="JM77" s="30"/>
      <c r="JN77" s="30"/>
      <c r="JO77" s="30"/>
      <c r="JP77" s="30"/>
      <c r="JQ77" s="30"/>
      <c r="JR77" s="30"/>
      <c r="JS77" s="30"/>
      <c r="JT77" s="30"/>
      <c r="JU77" s="30"/>
      <c r="JV77" s="30"/>
      <c r="JW77" s="30"/>
      <c r="JX77" s="30"/>
      <c r="JY77" s="30"/>
      <c r="JZ77" s="30"/>
      <c r="KA77" s="30"/>
      <c r="KB77" s="30"/>
      <c r="KC77" s="30"/>
      <c r="KD77" s="30"/>
      <c r="KE77" s="30"/>
      <c r="KF77" s="30"/>
      <c r="KG77" s="30"/>
      <c r="KH77" s="30"/>
      <c r="KI77" s="30"/>
      <c r="KJ77" s="30"/>
      <c r="KK77" s="30"/>
      <c r="KL77" s="30"/>
      <c r="KM77" s="30"/>
      <c r="KN77" s="30"/>
      <c r="KO77" s="30"/>
      <c r="KP77" s="1630"/>
    </row>
    <row r="78" spans="1:302" s="97" customFormat="1" ht="35.450000000000003" customHeight="1" outlineLevel="1">
      <c r="A78" s="2656" t="s">
        <v>1386</v>
      </c>
      <c r="B78" s="1689"/>
      <c r="C78" s="2008" t="s">
        <v>1388</v>
      </c>
      <c r="D78" s="247"/>
      <c r="E78" s="261"/>
      <c r="F78" s="347"/>
      <c r="G78" s="348"/>
      <c r="H78" s="350" t="s">
        <v>26</v>
      </c>
      <c r="I78" s="2936"/>
      <c r="J78" s="362" t="s">
        <v>26</v>
      </c>
      <c r="K78" s="1745"/>
      <c r="L78" s="358"/>
      <c r="M78" s="358"/>
      <c r="N78" s="358"/>
      <c r="O78" s="1510">
        <v>0</v>
      </c>
      <c r="P78" s="358"/>
      <c r="Q78" s="358"/>
      <c r="R78" s="358"/>
      <c r="S78" s="1510">
        <f t="shared" si="99"/>
        <v>0</v>
      </c>
      <c r="T78" s="389"/>
      <c r="U78" s="1746"/>
      <c r="V78" s="1746"/>
      <c r="W78" s="1744">
        <f t="shared" si="92"/>
        <v>0</v>
      </c>
      <c r="X78" s="359" t="s">
        <v>26</v>
      </c>
      <c r="Y78" s="389"/>
      <c r="Z78" s="1746"/>
      <c r="AA78" s="1509"/>
      <c r="AB78" s="2598">
        <f t="shared" si="97"/>
        <v>1275205.9999999998</v>
      </c>
      <c r="AC78" s="1444" t="s">
        <v>1390</v>
      </c>
      <c r="AD78" s="1444"/>
      <c r="AE78" s="1687" t="s">
        <v>1247</v>
      </c>
      <c r="AF78" s="354">
        <v>1275206</v>
      </c>
      <c r="AG78" s="354">
        <v>1</v>
      </c>
      <c r="AH78" s="354">
        <f t="shared" ref="AH78" si="132">AF78*AG78</f>
        <v>1275206</v>
      </c>
      <c r="AI78" s="355">
        <f t="shared" ref="AI78" ca="1" si="133">SUMIF($AM$10:$BZ$10,$AI$9,AM78:BT78)</f>
        <v>0</v>
      </c>
      <c r="AJ78" s="356">
        <f t="shared" ref="AJ78" ca="1" si="134">IF($AB78&lt;&gt;0,AI78/$AB78,"")</f>
        <v>0</v>
      </c>
      <c r="AK78" s="2185"/>
      <c r="AL78" s="260"/>
      <c r="AM78" s="2258"/>
      <c r="AN78" s="2258"/>
      <c r="AO78" s="359"/>
      <c r="AP78" s="360"/>
      <c r="AQ78" s="359">
        <v>141689.55555555556</v>
      </c>
      <c r="AR78" s="359">
        <v>141689.55555555556</v>
      </c>
      <c r="AS78" s="359">
        <v>141689.55555555556</v>
      </c>
      <c r="AT78" s="360">
        <v>141689.55555555556</v>
      </c>
      <c r="AU78" s="359">
        <v>141689.55555555556</v>
      </c>
      <c r="AV78" s="2630">
        <v>141689.55555555556</v>
      </c>
      <c r="AW78" s="2819">
        <v>141689.55555555556</v>
      </c>
      <c r="AX78" s="2630">
        <v>141689.55555555556</v>
      </c>
      <c r="AY78" s="2632">
        <v>141689.55555555556</v>
      </c>
      <c r="AZ78" s="2631"/>
      <c r="BA78" s="2630"/>
      <c r="BB78" s="2630"/>
      <c r="BC78" s="2633"/>
      <c r="BD78" s="362"/>
      <c r="BE78" s="362"/>
      <c r="BF78" s="362"/>
      <c r="BG78" s="362"/>
      <c r="BH78" s="362"/>
      <c r="BI78" s="414"/>
      <c r="BJ78" s="362"/>
      <c r="BK78" s="2123"/>
      <c r="BL78" s="414"/>
      <c r="BM78" s="414"/>
      <c r="BN78" s="414"/>
      <c r="BO78" s="414"/>
      <c r="BP78" s="414"/>
      <c r="BQ78" s="2399"/>
      <c r="BR78" s="362"/>
      <c r="BS78" s="362"/>
      <c r="BT78" s="362"/>
      <c r="BU78" s="364"/>
      <c r="BV78" s="364"/>
      <c r="BW78" s="2366"/>
      <c r="BX78" s="2463"/>
      <c r="BY78" s="2543"/>
      <c r="BZ78" s="2543"/>
      <c r="CA78" s="2591">
        <f t="shared" ref="CA78:CA87" si="135">SUMIF($AM$10:$BZ$10,$CA$9,AM78:BZ78)</f>
        <v>1275205.9999999998</v>
      </c>
      <c r="CB78" s="2377">
        <f t="shared" ref="CB78:CB87" si="136">IF($AB78&lt;&gt;0,CA78/$AB78,"")</f>
        <v>1</v>
      </c>
      <c r="CC78" s="365">
        <f t="shared" ref="CC78:CC87" si="137">IF($AB78&lt;&gt;0,CB78/$AB78,"")</f>
        <v>7.8418702546882637E-7</v>
      </c>
      <c r="CD78" s="366"/>
      <c r="CE78" s="343"/>
      <c r="CF78" s="343"/>
      <c r="CG78" s="340"/>
      <c r="CH78" s="367"/>
      <c r="CI78" s="368"/>
      <c r="CJ78" s="368"/>
      <c r="CK78" s="369"/>
      <c r="CL78" s="329">
        <f t="shared" si="130"/>
        <v>-1275205.9999999998</v>
      </c>
      <c r="CM78" s="330">
        <f t="shared" ca="1" si="131"/>
        <v>0</v>
      </c>
      <c r="CN78" s="331"/>
      <c r="CO78" s="86"/>
      <c r="CP78" s="86"/>
      <c r="CQ78" s="1641"/>
      <c r="CR78" s="86"/>
      <c r="CS78" s="86"/>
      <c r="CT78" s="86"/>
      <c r="CU78" s="86"/>
      <c r="CV78" s="86"/>
      <c r="CW78" s="86"/>
      <c r="CX78" s="86"/>
      <c r="CY78" s="86"/>
      <c r="CZ78" s="86"/>
      <c r="DA78" s="86"/>
      <c r="DB78" s="1642"/>
      <c r="DC78" s="1642"/>
      <c r="DD78" s="30"/>
      <c r="DE78" s="30"/>
      <c r="DF78" s="30"/>
      <c r="DG78" s="1642"/>
      <c r="DH78" s="1642"/>
      <c r="DI78" s="1642"/>
      <c r="DJ78" s="1642"/>
      <c r="DK78" s="1642"/>
      <c r="DL78" s="1642"/>
      <c r="DM78" s="1642"/>
      <c r="DN78" s="1642"/>
      <c r="DO78" s="1642"/>
      <c r="DP78" s="1642"/>
      <c r="DQ78" s="1642"/>
      <c r="DR78" s="1642"/>
      <c r="DS78" s="1642"/>
      <c r="DT78" s="1642"/>
      <c r="DU78" s="1642"/>
      <c r="DV78" s="1642"/>
      <c r="DW78" s="1642"/>
      <c r="DX78" s="1642"/>
      <c r="DY78" s="1642"/>
      <c r="DZ78" s="1642"/>
      <c r="EA78" s="1642"/>
      <c r="EB78" s="1642"/>
      <c r="EC78" s="1642"/>
      <c r="ED78" s="1642"/>
      <c r="EE78" s="1642"/>
      <c r="EF78" s="1642"/>
      <c r="EG78" s="1642"/>
      <c r="EH78" s="1643"/>
      <c r="EI78" s="1658"/>
      <c r="EJ78" s="30"/>
      <c r="EK78" s="30"/>
      <c r="EL78" s="30"/>
      <c r="EM78" s="30"/>
      <c r="EN78" s="30"/>
      <c r="EO78" s="30"/>
      <c r="EP78" s="30"/>
      <c r="EQ78" s="30"/>
      <c r="ER78" s="30"/>
      <c r="ES78" s="30"/>
      <c r="ET78" s="30"/>
      <c r="EU78" s="30"/>
      <c r="EV78" s="30"/>
      <c r="EW78" s="30"/>
      <c r="EX78" s="30"/>
      <c r="EY78" s="30"/>
      <c r="EZ78" s="30"/>
      <c r="FA78" s="30"/>
      <c r="FB78" s="30"/>
      <c r="FC78" s="30"/>
      <c r="FD78" s="30"/>
      <c r="FE78" s="30"/>
      <c r="FF78" s="30"/>
      <c r="FG78" s="30"/>
      <c r="FH78" s="30"/>
      <c r="FI78" s="30"/>
      <c r="FJ78" s="30"/>
      <c r="FK78" s="30"/>
      <c r="FL78" s="30"/>
      <c r="FM78" s="30"/>
      <c r="FN78" s="30"/>
      <c r="FO78" s="30"/>
      <c r="FP78" s="30"/>
      <c r="FQ78" s="30"/>
      <c r="FR78" s="30"/>
      <c r="FS78" s="30"/>
      <c r="FT78" s="30"/>
      <c r="FU78" s="30"/>
      <c r="FV78" s="30"/>
      <c r="FW78" s="30"/>
      <c r="FX78" s="30"/>
      <c r="FY78" s="30"/>
      <c r="FZ78" s="30"/>
      <c r="GA78" s="30"/>
      <c r="GB78" s="30"/>
      <c r="GC78" s="30"/>
      <c r="GD78" s="30"/>
      <c r="GE78" s="30"/>
      <c r="GF78" s="30"/>
      <c r="GG78" s="30"/>
      <c r="GH78" s="30"/>
      <c r="GI78" s="30"/>
      <c r="GJ78" s="30"/>
      <c r="GK78" s="30"/>
      <c r="GL78" s="30"/>
      <c r="GM78" s="30"/>
      <c r="GN78" s="30"/>
      <c r="GO78" s="30"/>
      <c r="GP78" s="30"/>
      <c r="GQ78" s="30"/>
      <c r="GR78" s="30"/>
      <c r="GS78" s="30"/>
      <c r="GT78" s="30"/>
      <c r="GU78" s="30"/>
      <c r="GV78" s="30"/>
      <c r="GW78" s="30"/>
      <c r="GX78" s="30"/>
      <c r="GY78" s="30"/>
      <c r="GZ78" s="30"/>
      <c r="HA78" s="30"/>
      <c r="HB78" s="30"/>
      <c r="HC78" s="30"/>
      <c r="HD78" s="30"/>
      <c r="HE78" s="30"/>
      <c r="HF78" s="30"/>
      <c r="HG78" s="30"/>
      <c r="HH78" s="30"/>
      <c r="HI78" s="30"/>
      <c r="HJ78" s="30"/>
      <c r="HK78" s="30"/>
      <c r="HL78" s="30"/>
      <c r="HM78" s="30"/>
      <c r="HN78" s="30"/>
      <c r="HO78" s="30"/>
      <c r="HP78" s="30"/>
      <c r="HQ78" s="30"/>
      <c r="HR78" s="30"/>
      <c r="HS78" s="30"/>
      <c r="HT78" s="30"/>
      <c r="HU78" s="30"/>
      <c r="HV78" s="30"/>
      <c r="HW78" s="30"/>
      <c r="HX78" s="30"/>
      <c r="HY78" s="30"/>
      <c r="HZ78" s="30"/>
      <c r="IA78" s="30"/>
      <c r="IB78" s="30"/>
      <c r="IC78" s="30"/>
      <c r="ID78" s="30"/>
      <c r="IE78" s="30"/>
      <c r="IF78" s="30"/>
      <c r="IG78" s="30"/>
      <c r="IH78" s="30"/>
      <c r="II78" s="30"/>
      <c r="IJ78" s="30"/>
      <c r="IK78" s="30"/>
      <c r="IL78" s="30"/>
      <c r="IM78" s="30"/>
      <c r="IN78" s="30"/>
      <c r="IO78" s="30"/>
      <c r="IP78" s="30"/>
      <c r="IQ78" s="30"/>
      <c r="IR78" s="30"/>
      <c r="IS78" s="30"/>
      <c r="IT78" s="30"/>
      <c r="IU78" s="30"/>
      <c r="IV78" s="30"/>
      <c r="IW78" s="30"/>
      <c r="IX78" s="30"/>
      <c r="IY78" s="30"/>
      <c r="IZ78" s="30"/>
      <c r="JA78" s="30"/>
      <c r="JB78" s="30"/>
      <c r="JC78" s="30"/>
      <c r="JD78" s="30"/>
      <c r="JE78" s="30"/>
      <c r="JF78" s="30"/>
      <c r="JG78" s="30"/>
      <c r="JH78" s="30"/>
      <c r="JI78" s="30"/>
      <c r="JJ78" s="30"/>
      <c r="JK78" s="30"/>
      <c r="JL78" s="30"/>
      <c r="JM78" s="30"/>
      <c r="JN78" s="30"/>
      <c r="JO78" s="30"/>
      <c r="JP78" s="30"/>
      <c r="JQ78" s="30"/>
      <c r="JR78" s="30"/>
      <c r="JS78" s="30"/>
      <c r="JT78" s="30"/>
      <c r="JU78" s="30"/>
      <c r="JV78" s="30"/>
      <c r="JW78" s="30"/>
      <c r="JX78" s="30"/>
      <c r="JY78" s="30"/>
      <c r="JZ78" s="30"/>
      <c r="KA78" s="30"/>
      <c r="KB78" s="30"/>
      <c r="KC78" s="30"/>
      <c r="KD78" s="30"/>
      <c r="KE78" s="30"/>
      <c r="KF78" s="30"/>
      <c r="KG78" s="30"/>
      <c r="KH78" s="30"/>
      <c r="KI78" s="30"/>
      <c r="KJ78" s="30"/>
      <c r="KK78" s="30"/>
      <c r="KL78" s="30"/>
      <c r="KM78" s="30"/>
      <c r="KN78" s="30"/>
      <c r="KO78" s="30"/>
      <c r="KP78" s="1630"/>
    </row>
    <row r="79" spans="1:302" s="97" customFormat="1" ht="39.4" outlineLevel="1">
      <c r="A79" s="2656" t="s">
        <v>782</v>
      </c>
      <c r="B79" s="1689"/>
      <c r="C79" s="261" t="s">
        <v>636</v>
      </c>
      <c r="D79" s="1711" t="s">
        <v>637</v>
      </c>
      <c r="E79" s="261"/>
      <c r="F79" s="347"/>
      <c r="G79" s="348"/>
      <c r="H79" s="350" t="s">
        <v>26</v>
      </c>
      <c r="I79" s="2936"/>
      <c r="J79" s="362" t="s">
        <v>26</v>
      </c>
      <c r="K79" s="1745"/>
      <c r="L79" s="358"/>
      <c r="M79" s="358"/>
      <c r="N79" s="358"/>
      <c r="O79" s="1510">
        <v>470146</v>
      </c>
      <c r="P79" s="358"/>
      <c r="Q79" s="358"/>
      <c r="R79" s="358"/>
      <c r="S79" s="1510">
        <f t="shared" si="99"/>
        <v>0</v>
      </c>
      <c r="T79" s="389"/>
      <c r="U79" s="1746"/>
      <c r="V79" s="1746"/>
      <c r="W79" s="1744">
        <f t="shared" si="92"/>
        <v>470146</v>
      </c>
      <c r="X79" s="359" t="s">
        <v>26</v>
      </c>
      <c r="Y79" s="389"/>
      <c r="Z79" s="1746"/>
      <c r="AA79" s="1509"/>
      <c r="AB79" s="2598">
        <f t="shared" si="97"/>
        <v>470146</v>
      </c>
      <c r="AC79" s="1444"/>
      <c r="AD79" s="1444"/>
      <c r="AE79" s="1687"/>
      <c r="AF79" s="354"/>
      <c r="AG79" s="354"/>
      <c r="AH79" s="354">
        <f t="shared" si="83"/>
        <v>0</v>
      </c>
      <c r="AI79" s="355">
        <f t="shared" ca="1" si="94"/>
        <v>0</v>
      </c>
      <c r="AJ79" s="356">
        <f t="shared" ca="1" si="1"/>
        <v>0</v>
      </c>
      <c r="AK79" s="2185"/>
      <c r="AL79" s="260"/>
      <c r="AM79" s="2258"/>
      <c r="AN79" s="2258"/>
      <c r="AO79" s="359"/>
      <c r="AP79" s="360"/>
      <c r="AQ79" s="359"/>
      <c r="AR79" s="359"/>
      <c r="AS79" s="359"/>
      <c r="AT79" s="360"/>
      <c r="AU79" s="359"/>
      <c r="AV79" s="362">
        <v>117536.5</v>
      </c>
      <c r="AW79" s="414">
        <v>117536.5</v>
      </c>
      <c r="AX79" s="362">
        <v>117536.5</v>
      </c>
      <c r="AY79" s="2123">
        <v>117536.5</v>
      </c>
      <c r="AZ79" s="2273"/>
      <c r="BA79" s="497"/>
      <c r="BB79" s="377"/>
      <c r="BC79" s="359"/>
      <c r="BD79" s="359"/>
      <c r="BE79" s="362"/>
      <c r="BF79" s="362"/>
      <c r="BG79" s="362"/>
      <c r="BH79" s="362"/>
      <c r="BI79" s="414"/>
      <c r="BJ79" s="362"/>
      <c r="BK79" s="2123"/>
      <c r="BL79" s="414"/>
      <c r="BM79" s="414"/>
      <c r="BN79" s="414"/>
      <c r="BO79" s="414"/>
      <c r="BP79" s="414"/>
      <c r="BQ79" s="2399"/>
      <c r="BR79" s="362"/>
      <c r="BS79" s="362"/>
      <c r="BT79" s="362"/>
      <c r="BU79" s="364"/>
      <c r="BV79" s="364"/>
      <c r="BW79" s="2366"/>
      <c r="BX79" s="2463"/>
      <c r="BY79" s="2543"/>
      <c r="BZ79" s="2543"/>
      <c r="CA79" s="2591">
        <f t="shared" si="135"/>
        <v>470146</v>
      </c>
      <c r="CB79" s="2377">
        <f t="shared" si="136"/>
        <v>1</v>
      </c>
      <c r="CC79" s="365">
        <f t="shared" si="137"/>
        <v>2.1269988471666248E-6</v>
      </c>
      <c r="CD79" s="366"/>
      <c r="CE79" s="343"/>
      <c r="CF79" s="343"/>
      <c r="CG79" s="340"/>
      <c r="CH79" s="367"/>
      <c r="CI79" s="368"/>
      <c r="CJ79" s="368"/>
      <c r="CK79" s="369"/>
      <c r="CL79" s="329">
        <f t="shared" si="130"/>
        <v>0</v>
      </c>
      <c r="CM79" s="330">
        <f t="shared" ca="1" si="131"/>
        <v>0</v>
      </c>
      <c r="CN79" s="331">
        <f t="shared" ca="1" si="14"/>
        <v>0</v>
      </c>
      <c r="CO79" s="86"/>
      <c r="CP79" s="86"/>
      <c r="CQ79" s="1641"/>
      <c r="CR79" s="86"/>
      <c r="CS79" s="86"/>
      <c r="CT79" s="86"/>
      <c r="CU79" s="86"/>
      <c r="CV79" s="86"/>
      <c r="CW79" s="86"/>
      <c r="CX79" s="86"/>
      <c r="CY79" s="86"/>
      <c r="CZ79" s="86"/>
      <c r="DA79" s="86"/>
      <c r="DB79" s="1642"/>
      <c r="DC79" s="1642"/>
      <c r="DD79" s="30"/>
      <c r="DE79" s="30"/>
      <c r="DF79" s="30"/>
      <c r="DG79" s="1642"/>
      <c r="DH79" s="1642"/>
      <c r="DI79" s="1642"/>
      <c r="DJ79" s="1642"/>
      <c r="DK79" s="1642"/>
      <c r="DL79" s="1642"/>
      <c r="DM79" s="1642"/>
      <c r="DN79" s="1642"/>
      <c r="DO79" s="1642"/>
      <c r="DP79" s="1642"/>
      <c r="DQ79" s="1642"/>
      <c r="DR79" s="1642"/>
      <c r="DS79" s="1642"/>
      <c r="DT79" s="1642"/>
      <c r="DU79" s="1642"/>
      <c r="DV79" s="1642"/>
      <c r="DW79" s="1642"/>
      <c r="DX79" s="1642"/>
      <c r="DY79" s="1642"/>
      <c r="DZ79" s="1642"/>
      <c r="EA79" s="1642"/>
      <c r="EB79" s="1642"/>
      <c r="EC79" s="1642"/>
      <c r="ED79" s="1642"/>
      <c r="EE79" s="1642"/>
      <c r="EF79" s="1642"/>
      <c r="EG79" s="1642"/>
      <c r="EH79" s="1643"/>
      <c r="EI79" s="1658"/>
      <c r="EJ79" s="30"/>
      <c r="EK79" s="30"/>
      <c r="EL79" s="30"/>
      <c r="EM79" s="30"/>
      <c r="EN79" s="30"/>
      <c r="EO79" s="30"/>
      <c r="EP79" s="30"/>
      <c r="EQ79" s="30"/>
      <c r="ER79" s="30"/>
      <c r="ES79" s="30"/>
      <c r="ET79" s="30"/>
      <c r="EU79" s="30"/>
      <c r="EV79" s="30"/>
      <c r="EW79" s="30"/>
      <c r="EX79" s="30"/>
      <c r="EY79" s="30"/>
      <c r="EZ79" s="30"/>
      <c r="FA79" s="30"/>
      <c r="FB79" s="30"/>
      <c r="FC79" s="30"/>
      <c r="FD79" s="30"/>
      <c r="FE79" s="30"/>
      <c r="FF79" s="30"/>
      <c r="FG79" s="30"/>
      <c r="FH79" s="30"/>
      <c r="FI79" s="30"/>
      <c r="FJ79" s="30"/>
      <c r="FK79" s="30"/>
      <c r="FL79" s="30"/>
      <c r="FM79" s="30"/>
      <c r="FN79" s="30"/>
      <c r="FO79" s="30"/>
      <c r="FP79" s="30"/>
      <c r="FQ79" s="30"/>
      <c r="FR79" s="30"/>
      <c r="FS79" s="30"/>
      <c r="FT79" s="30"/>
      <c r="FU79" s="30"/>
      <c r="FV79" s="30"/>
      <c r="FW79" s="30"/>
      <c r="FX79" s="30"/>
      <c r="FY79" s="30"/>
      <c r="FZ79" s="30"/>
      <c r="GA79" s="30"/>
      <c r="GB79" s="30"/>
      <c r="GC79" s="30"/>
      <c r="GD79" s="30"/>
      <c r="GE79" s="30"/>
      <c r="GF79" s="30"/>
      <c r="GG79" s="30"/>
      <c r="GH79" s="30"/>
      <c r="GI79" s="30"/>
      <c r="GJ79" s="30"/>
      <c r="GK79" s="30"/>
      <c r="GL79" s="30"/>
      <c r="GM79" s="30"/>
      <c r="GN79" s="30"/>
      <c r="GO79" s="30"/>
      <c r="GP79" s="30"/>
      <c r="GQ79" s="30"/>
      <c r="GR79" s="30"/>
      <c r="GS79" s="30"/>
      <c r="GT79" s="30"/>
      <c r="GU79" s="30"/>
      <c r="GV79" s="30"/>
      <c r="GW79" s="30"/>
      <c r="GX79" s="30"/>
      <c r="GY79" s="30"/>
      <c r="GZ79" s="30"/>
      <c r="HA79" s="30"/>
      <c r="HB79" s="30"/>
      <c r="HC79" s="30"/>
      <c r="HD79" s="30"/>
      <c r="HE79" s="30"/>
      <c r="HF79" s="30"/>
      <c r="HG79" s="30"/>
      <c r="HH79" s="30"/>
      <c r="HI79" s="30"/>
      <c r="HJ79" s="30"/>
      <c r="HK79" s="30"/>
      <c r="HL79" s="30"/>
      <c r="HM79" s="30"/>
      <c r="HN79" s="30"/>
      <c r="HO79" s="30"/>
      <c r="HP79" s="30"/>
      <c r="HQ79" s="30"/>
      <c r="HR79" s="30"/>
      <c r="HS79" s="30"/>
      <c r="HT79" s="30"/>
      <c r="HU79" s="30"/>
      <c r="HV79" s="30"/>
      <c r="HW79" s="30"/>
      <c r="HX79" s="30"/>
      <c r="HY79" s="30"/>
      <c r="HZ79" s="30"/>
      <c r="IA79" s="30"/>
      <c r="IB79" s="30"/>
      <c r="IC79" s="30"/>
      <c r="ID79" s="30"/>
      <c r="IE79" s="30"/>
      <c r="IF79" s="30"/>
      <c r="IG79" s="30"/>
      <c r="IH79" s="30"/>
      <c r="II79" s="30"/>
      <c r="IJ79" s="30"/>
      <c r="IK79" s="30"/>
      <c r="IL79" s="30"/>
      <c r="IM79" s="30"/>
      <c r="IN79" s="30"/>
      <c r="IO79" s="30"/>
      <c r="IP79" s="30"/>
      <c r="IQ79" s="30"/>
      <c r="IR79" s="30"/>
      <c r="IS79" s="30"/>
      <c r="IT79" s="30"/>
      <c r="IU79" s="30"/>
      <c r="IV79" s="30"/>
      <c r="IW79" s="30"/>
      <c r="IX79" s="30"/>
      <c r="IY79" s="30"/>
      <c r="IZ79" s="30"/>
      <c r="JA79" s="30"/>
      <c r="JB79" s="30"/>
      <c r="JC79" s="30"/>
      <c r="JD79" s="30"/>
      <c r="JE79" s="30"/>
      <c r="JF79" s="30"/>
      <c r="JG79" s="30"/>
      <c r="JH79" s="30"/>
      <c r="JI79" s="30"/>
      <c r="JJ79" s="30"/>
      <c r="JK79" s="30"/>
      <c r="JL79" s="30"/>
      <c r="JM79" s="30"/>
      <c r="JN79" s="30"/>
      <c r="JO79" s="30"/>
      <c r="JP79" s="30"/>
      <c r="JQ79" s="30"/>
      <c r="JR79" s="30"/>
      <c r="JS79" s="30"/>
      <c r="JT79" s="30"/>
      <c r="JU79" s="30"/>
      <c r="JV79" s="30"/>
      <c r="JW79" s="30"/>
      <c r="JX79" s="30"/>
      <c r="JY79" s="30"/>
      <c r="JZ79" s="30"/>
      <c r="KA79" s="30"/>
      <c r="KB79" s="30"/>
      <c r="KC79" s="30"/>
      <c r="KD79" s="30"/>
      <c r="KE79" s="30"/>
      <c r="KF79" s="30"/>
      <c r="KG79" s="30"/>
      <c r="KH79" s="30"/>
      <c r="KI79" s="30"/>
      <c r="KJ79" s="30"/>
      <c r="KK79" s="30"/>
      <c r="KL79" s="30"/>
      <c r="KM79" s="30"/>
      <c r="KN79" s="30"/>
      <c r="KO79" s="30"/>
      <c r="KP79" s="1630"/>
    </row>
    <row r="80" spans="1:302" s="97" customFormat="1" ht="21" customHeight="1" outlineLevel="1">
      <c r="A80" s="2656" t="s">
        <v>783</v>
      </c>
      <c r="B80" s="1689"/>
      <c r="C80" s="261" t="s">
        <v>638</v>
      </c>
      <c r="D80" s="1689" t="s">
        <v>639</v>
      </c>
      <c r="E80" s="261"/>
      <c r="F80" s="347"/>
      <c r="G80" s="348"/>
      <c r="H80" s="350" t="s">
        <v>26</v>
      </c>
      <c r="I80" s="2936"/>
      <c r="J80" s="362" t="s">
        <v>26</v>
      </c>
      <c r="K80" s="1745"/>
      <c r="L80" s="358"/>
      <c r="M80" s="358"/>
      <c r="N80" s="358"/>
      <c r="O80" s="1510">
        <v>425469</v>
      </c>
      <c r="P80" s="358"/>
      <c r="Q80" s="358"/>
      <c r="R80" s="358"/>
      <c r="S80" s="1510">
        <f t="shared" si="99"/>
        <v>0</v>
      </c>
      <c r="T80" s="389"/>
      <c r="U80" s="1746"/>
      <c r="V80" s="1746"/>
      <c r="W80" s="1744">
        <f t="shared" si="92"/>
        <v>425469</v>
      </c>
      <c r="X80" s="359" t="s">
        <v>26</v>
      </c>
      <c r="Y80" s="389"/>
      <c r="Z80" s="1746"/>
      <c r="AA80" s="1509"/>
      <c r="AB80" s="2598">
        <f t="shared" si="97"/>
        <v>425469</v>
      </c>
      <c r="AC80" s="1444"/>
      <c r="AD80" s="1444"/>
      <c r="AE80" s="1687"/>
      <c r="AF80" s="354"/>
      <c r="AG80" s="354"/>
      <c r="AH80" s="354">
        <f t="shared" si="83"/>
        <v>0</v>
      </c>
      <c r="AI80" s="355">
        <f t="shared" ca="1" si="94"/>
        <v>0</v>
      </c>
      <c r="AJ80" s="356">
        <f t="shared" ca="1" si="1"/>
        <v>0</v>
      </c>
      <c r="AK80" s="2185"/>
      <c r="AL80" s="260"/>
      <c r="AM80" s="2258"/>
      <c r="AN80" s="2258"/>
      <c r="AO80" s="359"/>
      <c r="AP80" s="360"/>
      <c r="AQ80" s="359"/>
      <c r="AR80" s="359"/>
      <c r="AS80" s="359"/>
      <c r="AT80" s="360"/>
      <c r="AU80" s="359"/>
      <c r="AV80" s="359">
        <v>70911.5</v>
      </c>
      <c r="AW80" s="377">
        <v>70911.5</v>
      </c>
      <c r="AX80" s="2633">
        <v>70911.5</v>
      </c>
      <c r="AY80" s="2634">
        <v>70911.5</v>
      </c>
      <c r="AZ80" s="2258">
        <v>70911.5</v>
      </c>
      <c r="BA80" s="359">
        <v>70911.5</v>
      </c>
      <c r="BB80" s="377"/>
      <c r="BC80" s="359"/>
      <c r="BD80" s="359"/>
      <c r="BE80" s="362"/>
      <c r="BF80" s="362"/>
      <c r="BG80" s="362"/>
      <c r="BH80" s="362"/>
      <c r="BI80" s="414"/>
      <c r="BJ80" s="362"/>
      <c r="BK80" s="2123"/>
      <c r="BL80" s="414"/>
      <c r="BM80" s="414"/>
      <c r="BN80" s="414"/>
      <c r="BO80" s="414"/>
      <c r="BP80" s="414"/>
      <c r="BQ80" s="2399"/>
      <c r="BR80" s="362"/>
      <c r="BS80" s="362"/>
      <c r="BT80" s="362"/>
      <c r="BU80" s="364"/>
      <c r="BV80" s="364"/>
      <c r="BW80" s="2366"/>
      <c r="BX80" s="2463"/>
      <c r="BY80" s="2543"/>
      <c r="BZ80" s="2543"/>
      <c r="CA80" s="2591">
        <f t="shared" si="135"/>
        <v>425469</v>
      </c>
      <c r="CB80" s="2377">
        <f t="shared" si="136"/>
        <v>1</v>
      </c>
      <c r="CC80" s="365">
        <f t="shared" si="137"/>
        <v>2.350347498877709E-6</v>
      </c>
      <c r="CD80" s="366"/>
      <c r="CE80" s="343"/>
      <c r="CF80" s="343"/>
      <c r="CG80" s="340"/>
      <c r="CH80" s="367"/>
      <c r="CI80" s="368"/>
      <c r="CJ80" s="368"/>
      <c r="CK80" s="369"/>
      <c r="CL80" s="329">
        <f t="shared" si="130"/>
        <v>0</v>
      </c>
      <c r="CM80" s="330">
        <f t="shared" ca="1" si="131"/>
        <v>0</v>
      </c>
      <c r="CN80" s="331">
        <f t="shared" ca="1" si="14"/>
        <v>-141823</v>
      </c>
      <c r="CO80" s="86"/>
      <c r="CP80" s="86"/>
      <c r="CQ80" s="1641"/>
      <c r="CR80" s="86"/>
      <c r="CS80" s="86"/>
      <c r="CT80" s="86"/>
      <c r="CU80" s="86"/>
      <c r="CV80" s="86"/>
      <c r="CW80" s="86"/>
      <c r="CX80" s="86"/>
      <c r="CY80" s="86"/>
      <c r="CZ80" s="86"/>
      <c r="DA80" s="86"/>
      <c r="DB80" s="1642"/>
      <c r="DC80" s="1642"/>
      <c r="DD80" s="30"/>
      <c r="DE80" s="30"/>
      <c r="DF80" s="30"/>
      <c r="DG80" s="1642"/>
      <c r="DH80" s="1642"/>
      <c r="DI80" s="1642"/>
      <c r="DJ80" s="1642"/>
      <c r="DK80" s="1642"/>
      <c r="DL80" s="1642"/>
      <c r="DM80" s="1642"/>
      <c r="DN80" s="1642"/>
      <c r="DO80" s="1642"/>
      <c r="DP80" s="1642"/>
      <c r="DQ80" s="1642"/>
      <c r="DR80" s="1642"/>
      <c r="DS80" s="1642"/>
      <c r="DT80" s="1642"/>
      <c r="DU80" s="1642"/>
      <c r="DV80" s="1642"/>
      <c r="DW80" s="1642"/>
      <c r="DX80" s="1642"/>
      <c r="DY80" s="1642"/>
      <c r="DZ80" s="1642"/>
      <c r="EA80" s="1642"/>
      <c r="EB80" s="1642"/>
      <c r="EC80" s="1642"/>
      <c r="ED80" s="1642"/>
      <c r="EE80" s="1642"/>
      <c r="EF80" s="1642"/>
      <c r="EG80" s="1642"/>
      <c r="EH80" s="1643"/>
      <c r="EI80" s="1658"/>
      <c r="EJ80" s="30"/>
      <c r="EK80" s="30"/>
      <c r="EL80" s="30"/>
      <c r="EM80" s="30"/>
      <c r="EN80" s="30"/>
      <c r="EO80" s="30"/>
      <c r="EP80" s="30"/>
      <c r="EQ80" s="30"/>
      <c r="ER80" s="30"/>
      <c r="ES80" s="30"/>
      <c r="ET80" s="30"/>
      <c r="EU80" s="30"/>
      <c r="EV80" s="30"/>
      <c r="EW80" s="30"/>
      <c r="EX80" s="30"/>
      <c r="EY80" s="30"/>
      <c r="EZ80" s="30"/>
      <c r="FA80" s="30"/>
      <c r="FB80" s="30"/>
      <c r="FC80" s="30"/>
      <c r="FD80" s="30"/>
      <c r="FE80" s="30"/>
      <c r="FF80" s="30"/>
      <c r="FG80" s="30"/>
      <c r="FH80" s="30"/>
      <c r="FI80" s="30"/>
      <c r="FJ80" s="30"/>
      <c r="FK80" s="30"/>
      <c r="FL80" s="30"/>
      <c r="FM80" s="30"/>
      <c r="FN80" s="30"/>
      <c r="FO80" s="30"/>
      <c r="FP80" s="30"/>
      <c r="FQ80" s="30"/>
      <c r="FR80" s="30"/>
      <c r="FS80" s="30"/>
      <c r="FT80" s="30"/>
      <c r="FU80" s="30"/>
      <c r="FV80" s="30"/>
      <c r="FW80" s="30"/>
      <c r="FX80" s="30"/>
      <c r="FY80" s="30"/>
      <c r="FZ80" s="30"/>
      <c r="GA80" s="30"/>
      <c r="GB80" s="30"/>
      <c r="GC80" s="30"/>
      <c r="GD80" s="30"/>
      <c r="GE80" s="30"/>
      <c r="GF80" s="30"/>
      <c r="GG80" s="30"/>
      <c r="GH80" s="30"/>
      <c r="GI80" s="30"/>
      <c r="GJ80" s="30"/>
      <c r="GK80" s="30"/>
      <c r="GL80" s="30"/>
      <c r="GM80" s="30"/>
      <c r="GN80" s="30"/>
      <c r="GO80" s="30"/>
      <c r="GP80" s="30"/>
      <c r="GQ80" s="30"/>
      <c r="GR80" s="30"/>
      <c r="GS80" s="30"/>
      <c r="GT80" s="30"/>
      <c r="GU80" s="30"/>
      <c r="GV80" s="30"/>
      <c r="GW80" s="30"/>
      <c r="GX80" s="30"/>
      <c r="GY80" s="30"/>
      <c r="GZ80" s="30"/>
      <c r="HA80" s="30"/>
      <c r="HB80" s="30"/>
      <c r="HC80" s="30"/>
      <c r="HD80" s="30"/>
      <c r="HE80" s="30"/>
      <c r="HF80" s="30"/>
      <c r="HG80" s="30"/>
      <c r="HH80" s="30"/>
      <c r="HI80" s="30"/>
      <c r="HJ80" s="30"/>
      <c r="HK80" s="30"/>
      <c r="HL80" s="30"/>
      <c r="HM80" s="30"/>
      <c r="HN80" s="30"/>
      <c r="HO80" s="30"/>
      <c r="HP80" s="30"/>
      <c r="HQ80" s="30"/>
      <c r="HR80" s="30"/>
      <c r="HS80" s="30"/>
      <c r="HT80" s="30"/>
      <c r="HU80" s="30"/>
      <c r="HV80" s="30"/>
      <c r="HW80" s="30"/>
      <c r="HX80" s="30"/>
      <c r="HY80" s="30"/>
      <c r="HZ80" s="30"/>
      <c r="IA80" s="30"/>
      <c r="IB80" s="30"/>
      <c r="IC80" s="30"/>
      <c r="ID80" s="30"/>
      <c r="IE80" s="30"/>
      <c r="IF80" s="30"/>
      <c r="IG80" s="30"/>
      <c r="IH80" s="30"/>
      <c r="II80" s="30"/>
      <c r="IJ80" s="30"/>
      <c r="IK80" s="30"/>
      <c r="IL80" s="30"/>
      <c r="IM80" s="30"/>
      <c r="IN80" s="30"/>
      <c r="IO80" s="30"/>
      <c r="IP80" s="30"/>
      <c r="IQ80" s="30"/>
      <c r="IR80" s="30"/>
      <c r="IS80" s="30"/>
      <c r="IT80" s="30"/>
      <c r="IU80" s="30"/>
      <c r="IV80" s="30"/>
      <c r="IW80" s="30"/>
      <c r="IX80" s="30"/>
      <c r="IY80" s="30"/>
      <c r="IZ80" s="30"/>
      <c r="JA80" s="30"/>
      <c r="JB80" s="30"/>
      <c r="JC80" s="30"/>
      <c r="JD80" s="30"/>
      <c r="JE80" s="30"/>
      <c r="JF80" s="30"/>
      <c r="JG80" s="30"/>
      <c r="JH80" s="30"/>
      <c r="JI80" s="30"/>
      <c r="JJ80" s="30"/>
      <c r="JK80" s="30"/>
      <c r="JL80" s="30"/>
      <c r="JM80" s="30"/>
      <c r="JN80" s="30"/>
      <c r="JO80" s="30"/>
      <c r="JP80" s="30"/>
      <c r="JQ80" s="30"/>
      <c r="JR80" s="30"/>
      <c r="JS80" s="30"/>
      <c r="JT80" s="30"/>
      <c r="JU80" s="30"/>
      <c r="JV80" s="30"/>
      <c r="JW80" s="30"/>
      <c r="JX80" s="30"/>
      <c r="JY80" s="30"/>
      <c r="JZ80" s="30"/>
      <c r="KA80" s="30"/>
      <c r="KB80" s="30"/>
      <c r="KC80" s="30"/>
      <c r="KD80" s="30"/>
      <c r="KE80" s="30"/>
      <c r="KF80" s="30"/>
      <c r="KG80" s="30"/>
      <c r="KH80" s="30"/>
      <c r="KI80" s="30"/>
      <c r="KJ80" s="30"/>
      <c r="KK80" s="30"/>
      <c r="KL80" s="30"/>
      <c r="KM80" s="30"/>
      <c r="KN80" s="30"/>
      <c r="KO80" s="30"/>
      <c r="KP80" s="1630"/>
    </row>
    <row r="81" spans="1:302" s="97" customFormat="1" ht="18.75" customHeight="1" outlineLevel="1">
      <c r="A81" s="2656" t="s">
        <v>196</v>
      </c>
      <c r="B81" s="1689"/>
      <c r="C81" s="2587" t="s">
        <v>640</v>
      </c>
      <c r="D81" s="2587" t="s">
        <v>641</v>
      </c>
      <c r="E81" s="1413"/>
      <c r="F81" s="347"/>
      <c r="G81" s="348"/>
      <c r="H81" s="350" t="s">
        <v>26</v>
      </c>
      <c r="I81" s="2936"/>
      <c r="J81" s="362" t="s">
        <v>26</v>
      </c>
      <c r="K81" s="1745"/>
      <c r="L81" s="358"/>
      <c r="M81" s="358"/>
      <c r="N81" s="358"/>
      <c r="O81" s="1510">
        <v>687451</v>
      </c>
      <c r="P81" s="358"/>
      <c r="Q81" s="358"/>
      <c r="R81" s="358"/>
      <c r="S81" s="1510">
        <f t="shared" si="99"/>
        <v>0</v>
      </c>
      <c r="T81" s="389"/>
      <c r="U81" s="1746"/>
      <c r="V81" s="1746"/>
      <c r="W81" s="1744">
        <f t="shared" si="92"/>
        <v>687451</v>
      </c>
      <c r="X81" s="359" t="s">
        <v>26</v>
      </c>
      <c r="Y81" s="389"/>
      <c r="Z81" s="1746"/>
      <c r="AA81" s="1509"/>
      <c r="AB81" s="2598">
        <f t="shared" si="97"/>
        <v>687451</v>
      </c>
      <c r="AC81" s="1444"/>
      <c r="AD81" s="1444"/>
      <c r="AE81" s="1687"/>
      <c r="AF81" s="354"/>
      <c r="AG81" s="354"/>
      <c r="AH81" s="354">
        <f t="shared" si="83"/>
        <v>0</v>
      </c>
      <c r="AI81" s="355">
        <f t="shared" ca="1" si="94"/>
        <v>0</v>
      </c>
      <c r="AJ81" s="356">
        <f t="shared" ca="1" si="1"/>
        <v>0</v>
      </c>
      <c r="AK81" s="2185"/>
      <c r="AL81" s="260"/>
      <c r="AM81" s="2258"/>
      <c r="AN81" s="2258"/>
      <c r="AO81" s="359"/>
      <c r="AP81" s="360"/>
      <c r="AQ81" s="359"/>
      <c r="AR81" s="359"/>
      <c r="AS81" s="359"/>
      <c r="AT81" s="360"/>
      <c r="AU81" s="359"/>
      <c r="AV81" s="359"/>
      <c r="AW81" s="377"/>
      <c r="AX81" s="359">
        <v>137490.20000000001</v>
      </c>
      <c r="AY81" s="390">
        <v>137490.20000000001</v>
      </c>
      <c r="AZ81" s="2258">
        <v>137490.20000000001</v>
      </c>
      <c r="BA81" s="359">
        <v>137490.20000000001</v>
      </c>
      <c r="BB81" s="377">
        <v>137490.20000000001</v>
      </c>
      <c r="BC81" s="359"/>
      <c r="BD81" s="359"/>
      <c r="BE81" s="362"/>
      <c r="BF81" s="362"/>
      <c r="BG81" s="362"/>
      <c r="BH81" s="362"/>
      <c r="BI81" s="414"/>
      <c r="BJ81" s="362"/>
      <c r="BK81" s="2123"/>
      <c r="BL81" s="414"/>
      <c r="BM81" s="414"/>
      <c r="BN81" s="414"/>
      <c r="BO81" s="414"/>
      <c r="BP81" s="414"/>
      <c r="BQ81" s="2399"/>
      <c r="BR81" s="362"/>
      <c r="BS81" s="362"/>
      <c r="BT81" s="362"/>
      <c r="BU81" s="364"/>
      <c r="BV81" s="364"/>
      <c r="BW81" s="2366"/>
      <c r="BX81" s="2463"/>
      <c r="BY81" s="2543"/>
      <c r="BZ81" s="2543"/>
      <c r="CA81" s="2591">
        <f t="shared" si="135"/>
        <v>687451</v>
      </c>
      <c r="CB81" s="2377">
        <f t="shared" si="136"/>
        <v>1</v>
      </c>
      <c r="CC81" s="365">
        <f t="shared" si="137"/>
        <v>1.4546491313562712E-6</v>
      </c>
      <c r="CD81" s="366"/>
      <c r="CE81" s="343"/>
      <c r="CF81" s="343"/>
      <c r="CG81" s="340"/>
      <c r="CH81" s="367"/>
      <c r="CI81" s="368"/>
      <c r="CJ81" s="368"/>
      <c r="CK81" s="369"/>
      <c r="CL81" s="329">
        <f t="shared" si="130"/>
        <v>0</v>
      </c>
      <c r="CM81" s="330">
        <f t="shared" ca="1" si="131"/>
        <v>0</v>
      </c>
      <c r="CN81" s="331">
        <f t="shared" ca="1" si="14"/>
        <v>-412470.6</v>
      </c>
      <c r="CO81" s="86"/>
      <c r="CP81" s="86"/>
      <c r="CQ81" s="1641"/>
      <c r="CR81" s="86"/>
      <c r="CS81" s="86"/>
      <c r="CT81" s="86"/>
      <c r="CU81" s="86"/>
      <c r="CV81" s="86"/>
      <c r="CW81" s="86"/>
      <c r="CX81" s="86"/>
      <c r="CY81" s="86"/>
      <c r="CZ81" s="86"/>
      <c r="DA81" s="86"/>
      <c r="DB81" s="1642"/>
      <c r="DC81" s="1642"/>
      <c r="DD81" s="30"/>
      <c r="DE81" s="30"/>
      <c r="DF81" s="30"/>
      <c r="DG81" s="1642"/>
      <c r="DH81" s="1642"/>
      <c r="DI81" s="1642"/>
      <c r="DJ81" s="1642"/>
      <c r="DK81" s="1642"/>
      <c r="DL81" s="1642"/>
      <c r="DM81" s="1642"/>
      <c r="DN81" s="1642"/>
      <c r="DO81" s="1642"/>
      <c r="DP81" s="1642"/>
      <c r="DQ81" s="1642"/>
      <c r="DR81" s="1642"/>
      <c r="DS81" s="1642"/>
      <c r="DT81" s="1642"/>
      <c r="DU81" s="1642"/>
      <c r="DV81" s="1642"/>
      <c r="DW81" s="1642"/>
      <c r="DX81" s="1642"/>
      <c r="DY81" s="1642"/>
      <c r="DZ81" s="1642"/>
      <c r="EA81" s="1642"/>
      <c r="EB81" s="1642"/>
      <c r="EC81" s="1642"/>
      <c r="ED81" s="1642"/>
      <c r="EE81" s="1642"/>
      <c r="EF81" s="1642"/>
      <c r="EG81" s="1642"/>
      <c r="EH81" s="1643"/>
      <c r="EI81" s="1658"/>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0"/>
      <c r="HP81" s="30"/>
      <c r="HQ81" s="30"/>
      <c r="HR81" s="30"/>
      <c r="HS81" s="30"/>
      <c r="HT81" s="30"/>
      <c r="HU81" s="30"/>
      <c r="HV81" s="30"/>
      <c r="HW81" s="30"/>
      <c r="HX81" s="30"/>
      <c r="HY81" s="30"/>
      <c r="HZ81" s="30"/>
      <c r="IA81" s="30"/>
      <c r="IB81" s="30"/>
      <c r="IC81" s="30"/>
      <c r="ID81" s="30"/>
      <c r="IE81" s="30"/>
      <c r="IF81" s="30"/>
      <c r="IG81" s="30"/>
      <c r="IH81" s="30"/>
      <c r="II81" s="30"/>
      <c r="IJ81" s="30"/>
      <c r="IK81" s="30"/>
      <c r="IL81" s="30"/>
      <c r="IM81" s="30"/>
      <c r="IN81" s="30"/>
      <c r="IO81" s="30"/>
      <c r="IP81" s="30"/>
      <c r="IQ81" s="30"/>
      <c r="IR81" s="30"/>
      <c r="IS81" s="30"/>
      <c r="IT81" s="30"/>
      <c r="IU81" s="30"/>
      <c r="IV81" s="30"/>
      <c r="IW81" s="30"/>
      <c r="IX81" s="30"/>
      <c r="IY81" s="30"/>
      <c r="IZ81" s="30"/>
      <c r="JA81" s="30"/>
      <c r="JB81" s="30"/>
      <c r="JC81" s="30"/>
      <c r="JD81" s="30"/>
      <c r="JE81" s="30"/>
      <c r="JF81" s="30"/>
      <c r="JG81" s="30"/>
      <c r="JH81" s="30"/>
      <c r="JI81" s="30"/>
      <c r="JJ81" s="30"/>
      <c r="JK81" s="30"/>
      <c r="JL81" s="30"/>
      <c r="JM81" s="30"/>
      <c r="JN81" s="30"/>
      <c r="JO81" s="30"/>
      <c r="JP81" s="30"/>
      <c r="JQ81" s="30"/>
      <c r="JR81" s="30"/>
      <c r="JS81" s="30"/>
      <c r="JT81" s="30"/>
      <c r="JU81" s="30"/>
      <c r="JV81" s="30"/>
      <c r="JW81" s="30"/>
      <c r="JX81" s="30"/>
      <c r="JY81" s="30"/>
      <c r="JZ81" s="30"/>
      <c r="KA81" s="30"/>
      <c r="KB81" s="30"/>
      <c r="KC81" s="30"/>
      <c r="KD81" s="30"/>
      <c r="KE81" s="30"/>
      <c r="KF81" s="30"/>
      <c r="KG81" s="30"/>
      <c r="KH81" s="30"/>
      <c r="KI81" s="30"/>
      <c r="KJ81" s="30"/>
      <c r="KK81" s="30"/>
      <c r="KL81" s="30"/>
      <c r="KM81" s="30"/>
      <c r="KN81" s="30"/>
      <c r="KO81" s="30"/>
      <c r="KP81" s="1630"/>
    </row>
    <row r="82" spans="1:302" s="97" customFormat="1" ht="18" customHeight="1" outlineLevel="1">
      <c r="A82" s="2656" t="s">
        <v>448</v>
      </c>
      <c r="B82" s="1689"/>
      <c r="C82" s="262"/>
      <c r="D82" s="1689"/>
      <c r="E82" s="262"/>
      <c r="F82" s="347"/>
      <c r="G82" s="348"/>
      <c r="H82" s="350" t="s">
        <v>26</v>
      </c>
      <c r="I82" s="2936"/>
      <c r="J82" s="362" t="s">
        <v>26</v>
      </c>
      <c r="K82" s="1745"/>
      <c r="L82" s="358"/>
      <c r="M82" s="358"/>
      <c r="N82" s="358"/>
      <c r="O82" s="1510"/>
      <c r="P82" s="358"/>
      <c r="Q82" s="358"/>
      <c r="R82" s="358"/>
      <c r="S82" s="1510">
        <f t="shared" si="99"/>
        <v>0</v>
      </c>
      <c r="T82" s="389"/>
      <c r="U82" s="1746"/>
      <c r="V82" s="1746"/>
      <c r="W82" s="1744">
        <f t="shared" si="92"/>
        <v>0</v>
      </c>
      <c r="X82" s="359" t="s">
        <v>26</v>
      </c>
      <c r="Y82" s="389"/>
      <c r="Z82" s="1746"/>
      <c r="AA82" s="1509"/>
      <c r="AB82" s="2598">
        <f t="shared" si="97"/>
        <v>0</v>
      </c>
      <c r="AC82" s="1444"/>
      <c r="AD82" s="1444"/>
      <c r="AE82" s="1687"/>
      <c r="AF82" s="354"/>
      <c r="AG82" s="354"/>
      <c r="AH82" s="354">
        <f t="shared" si="83"/>
        <v>0</v>
      </c>
      <c r="AI82" s="355">
        <f t="shared" ca="1" si="94"/>
        <v>0</v>
      </c>
      <c r="AJ82" s="356" t="str">
        <f t="shared" si="1"/>
        <v/>
      </c>
      <c r="AK82" s="2185"/>
      <c r="AL82" s="260"/>
      <c r="AM82" s="2258"/>
      <c r="AN82" s="2258"/>
      <c r="AO82" s="359"/>
      <c r="AP82" s="360"/>
      <c r="AQ82" s="359"/>
      <c r="AR82" s="359"/>
      <c r="AS82" s="359"/>
      <c r="AT82" s="360"/>
      <c r="AU82" s="359"/>
      <c r="AV82" s="359"/>
      <c r="AW82" s="377"/>
      <c r="AX82" s="359"/>
      <c r="AY82" s="390"/>
      <c r="AZ82" s="2273"/>
      <c r="BA82" s="497"/>
      <c r="BB82" s="377"/>
      <c r="BC82" s="359"/>
      <c r="BD82" s="359"/>
      <c r="BE82" s="362"/>
      <c r="BF82" s="362"/>
      <c r="BG82" s="362"/>
      <c r="BH82" s="362"/>
      <c r="BI82" s="414"/>
      <c r="BJ82" s="362"/>
      <c r="BK82" s="2123"/>
      <c r="BL82" s="414"/>
      <c r="BM82" s="414"/>
      <c r="BN82" s="414"/>
      <c r="BO82" s="414"/>
      <c r="BP82" s="414"/>
      <c r="BQ82" s="2399"/>
      <c r="BR82" s="362"/>
      <c r="BS82" s="362"/>
      <c r="BT82" s="362"/>
      <c r="BU82" s="364"/>
      <c r="BV82" s="364"/>
      <c r="BW82" s="2366"/>
      <c r="BX82" s="2463"/>
      <c r="BY82" s="2543"/>
      <c r="BZ82" s="2543"/>
      <c r="CA82" s="2591">
        <f t="shared" si="135"/>
        <v>0</v>
      </c>
      <c r="CB82" s="2377" t="str">
        <f t="shared" si="136"/>
        <v/>
      </c>
      <c r="CC82" s="365" t="str">
        <f t="shared" si="137"/>
        <v/>
      </c>
      <c r="CD82" s="366"/>
      <c r="CE82" s="343"/>
      <c r="CF82" s="343"/>
      <c r="CG82" s="340"/>
      <c r="CH82" s="367"/>
      <c r="CI82" s="368"/>
      <c r="CJ82" s="368"/>
      <c r="CK82" s="369"/>
      <c r="CL82" s="329">
        <f t="shared" si="130"/>
        <v>0</v>
      </c>
      <c r="CM82" s="330">
        <f t="shared" ca="1" si="131"/>
        <v>0</v>
      </c>
      <c r="CN82" s="331">
        <f t="shared" ca="1" si="14"/>
        <v>0</v>
      </c>
      <c r="CO82" s="86"/>
      <c r="CP82" s="86"/>
      <c r="CQ82" s="1641"/>
      <c r="CR82" s="86"/>
      <c r="CS82" s="86"/>
      <c r="CT82" s="86"/>
      <c r="CU82" s="86"/>
      <c r="CV82" s="86"/>
      <c r="CW82" s="86"/>
      <c r="CX82" s="86"/>
      <c r="CY82" s="86"/>
      <c r="CZ82" s="86"/>
      <c r="DA82" s="86"/>
      <c r="DB82" s="1642"/>
      <c r="DC82" s="1642"/>
      <c r="DD82" s="30"/>
      <c r="DE82" s="30"/>
      <c r="DF82" s="30"/>
      <c r="DG82" s="1642"/>
      <c r="DH82" s="1642"/>
      <c r="DI82" s="1642"/>
      <c r="DJ82" s="1642"/>
      <c r="DK82" s="1642"/>
      <c r="DL82" s="1642"/>
      <c r="DM82" s="1642"/>
      <c r="DN82" s="1642"/>
      <c r="DO82" s="1642"/>
      <c r="DP82" s="1642"/>
      <c r="DQ82" s="1642"/>
      <c r="DR82" s="1642"/>
      <c r="DS82" s="1642"/>
      <c r="DT82" s="1642"/>
      <c r="DU82" s="1642"/>
      <c r="DV82" s="1642"/>
      <c r="DW82" s="1642"/>
      <c r="DX82" s="1642"/>
      <c r="DY82" s="1642"/>
      <c r="DZ82" s="1642"/>
      <c r="EA82" s="1642"/>
      <c r="EB82" s="1642"/>
      <c r="EC82" s="1642"/>
      <c r="ED82" s="1642"/>
      <c r="EE82" s="1642"/>
      <c r="EF82" s="1642"/>
      <c r="EG82" s="1642"/>
      <c r="EH82" s="1643"/>
      <c r="EI82" s="1658"/>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0"/>
      <c r="HS82" s="30"/>
      <c r="HT82" s="30"/>
      <c r="HU82" s="30"/>
      <c r="HV82" s="30"/>
      <c r="HW82" s="30"/>
      <c r="HX82" s="30"/>
      <c r="HY82" s="30"/>
      <c r="HZ82" s="30"/>
      <c r="IA82" s="30"/>
      <c r="IB82" s="30"/>
      <c r="IC82" s="30"/>
      <c r="ID82" s="30"/>
      <c r="IE82" s="30"/>
      <c r="IF82" s="30"/>
      <c r="IG82" s="30"/>
      <c r="IH82" s="30"/>
      <c r="II82" s="30"/>
      <c r="IJ82" s="30"/>
      <c r="IK82" s="30"/>
      <c r="IL82" s="30"/>
      <c r="IM82" s="30"/>
      <c r="IN82" s="30"/>
      <c r="IO82" s="30"/>
      <c r="IP82" s="30"/>
      <c r="IQ82" s="30"/>
      <c r="IR82" s="30"/>
      <c r="IS82" s="30"/>
      <c r="IT82" s="30"/>
      <c r="IU82" s="30"/>
      <c r="IV82" s="30"/>
      <c r="IW82" s="30"/>
      <c r="IX82" s="30"/>
      <c r="IY82" s="30"/>
      <c r="IZ82" s="30"/>
      <c r="JA82" s="30"/>
      <c r="JB82" s="30"/>
      <c r="JC82" s="30"/>
      <c r="JD82" s="30"/>
      <c r="JE82" s="30"/>
      <c r="JF82" s="30"/>
      <c r="JG82" s="30"/>
      <c r="JH82" s="30"/>
      <c r="JI82" s="30"/>
      <c r="JJ82" s="30"/>
      <c r="JK82" s="30"/>
      <c r="JL82" s="30"/>
      <c r="JM82" s="30"/>
      <c r="JN82" s="30"/>
      <c r="JO82" s="30"/>
      <c r="JP82" s="30"/>
      <c r="JQ82" s="30"/>
      <c r="JR82" s="30"/>
      <c r="JS82" s="30"/>
      <c r="JT82" s="30"/>
      <c r="JU82" s="30"/>
      <c r="JV82" s="30"/>
      <c r="JW82" s="30"/>
      <c r="JX82" s="30"/>
      <c r="JY82" s="30"/>
      <c r="JZ82" s="30"/>
      <c r="KA82" s="30"/>
      <c r="KB82" s="30"/>
      <c r="KC82" s="30"/>
      <c r="KD82" s="30"/>
      <c r="KE82" s="30"/>
      <c r="KF82" s="30"/>
      <c r="KG82" s="30"/>
      <c r="KH82" s="30"/>
      <c r="KI82" s="30"/>
      <c r="KJ82" s="30"/>
      <c r="KK82" s="30"/>
      <c r="KL82" s="30"/>
      <c r="KM82" s="30"/>
      <c r="KN82" s="30"/>
      <c r="KO82" s="30"/>
      <c r="KP82" s="1630"/>
    </row>
    <row r="83" spans="1:302" s="97" customFormat="1" ht="18" customHeight="1" outlineLevel="1">
      <c r="A83" s="2656" t="s">
        <v>197</v>
      </c>
      <c r="B83" s="1689"/>
      <c r="C83" s="2587" t="s">
        <v>642</v>
      </c>
      <c r="D83" s="2587" t="s">
        <v>643</v>
      </c>
      <c r="E83" s="262"/>
      <c r="F83" s="347"/>
      <c r="G83" s="348"/>
      <c r="H83" s="350" t="s">
        <v>26</v>
      </c>
      <c r="I83" s="2936"/>
      <c r="J83" s="362" t="s">
        <v>26</v>
      </c>
      <c r="K83" s="1745"/>
      <c r="L83" s="358"/>
      <c r="M83" s="358"/>
      <c r="N83" s="358"/>
      <c r="O83" s="1510"/>
      <c r="P83" s="358"/>
      <c r="Q83" s="358"/>
      <c r="R83" s="358"/>
      <c r="S83" s="1510">
        <f t="shared" si="99"/>
        <v>0</v>
      </c>
      <c r="T83" s="389"/>
      <c r="U83" s="1746"/>
      <c r="V83" s="1746"/>
      <c r="W83" s="1744">
        <f t="shared" si="92"/>
        <v>0</v>
      </c>
      <c r="X83" s="359" t="s">
        <v>26</v>
      </c>
      <c r="Y83" s="389"/>
      <c r="Z83" s="1746"/>
      <c r="AA83" s="1509"/>
      <c r="AB83" s="2598">
        <f t="shared" si="97"/>
        <v>0</v>
      </c>
      <c r="AC83" s="1444"/>
      <c r="AD83" s="1444"/>
      <c r="AE83" s="1687"/>
      <c r="AF83" s="354"/>
      <c r="AG83" s="354"/>
      <c r="AH83" s="354">
        <f t="shared" si="83"/>
        <v>0</v>
      </c>
      <c r="AI83" s="355">
        <f t="shared" ca="1" si="94"/>
        <v>0</v>
      </c>
      <c r="AJ83" s="356" t="str">
        <f t="shared" si="1"/>
        <v/>
      </c>
      <c r="AK83" s="2185"/>
      <c r="AL83" s="260"/>
      <c r="AM83" s="2258"/>
      <c r="AN83" s="2258"/>
      <c r="AO83" s="359"/>
      <c r="AP83" s="360"/>
      <c r="AQ83" s="359"/>
      <c r="AR83" s="359"/>
      <c r="AS83" s="359"/>
      <c r="AT83" s="360"/>
      <c r="AU83" s="359"/>
      <c r="AV83" s="359"/>
      <c r="AW83" s="377"/>
      <c r="AX83" s="359"/>
      <c r="AY83" s="390"/>
      <c r="AZ83" s="2273"/>
      <c r="BA83" s="497"/>
      <c r="BB83" s="377"/>
      <c r="BC83" s="359"/>
      <c r="BD83" s="359"/>
      <c r="BE83" s="362"/>
      <c r="BF83" s="362"/>
      <c r="BG83" s="362"/>
      <c r="BH83" s="362"/>
      <c r="BI83" s="414"/>
      <c r="BJ83" s="362"/>
      <c r="BK83" s="2123"/>
      <c r="BL83" s="414"/>
      <c r="BM83" s="414"/>
      <c r="BN83" s="414"/>
      <c r="BO83" s="414"/>
      <c r="BP83" s="414"/>
      <c r="BQ83" s="2399"/>
      <c r="BR83" s="362"/>
      <c r="BS83" s="362"/>
      <c r="BT83" s="362"/>
      <c r="BU83" s="364"/>
      <c r="BV83" s="364"/>
      <c r="BW83" s="2366"/>
      <c r="BX83" s="2463"/>
      <c r="BY83" s="2543"/>
      <c r="BZ83" s="2543"/>
      <c r="CA83" s="2591">
        <f t="shared" si="135"/>
        <v>0</v>
      </c>
      <c r="CB83" s="2377" t="str">
        <f t="shared" si="136"/>
        <v/>
      </c>
      <c r="CC83" s="365" t="str">
        <f t="shared" si="137"/>
        <v/>
      </c>
      <c r="CD83" s="366"/>
      <c r="CE83" s="343"/>
      <c r="CF83" s="343"/>
      <c r="CG83" s="340"/>
      <c r="CH83" s="367"/>
      <c r="CI83" s="368"/>
      <c r="CJ83" s="368"/>
      <c r="CK83" s="369"/>
      <c r="CL83" s="329">
        <f t="shared" si="130"/>
        <v>0</v>
      </c>
      <c r="CM83" s="330">
        <f t="shared" ca="1" si="131"/>
        <v>0</v>
      </c>
      <c r="CN83" s="331">
        <f t="shared" ca="1" si="14"/>
        <v>0</v>
      </c>
      <c r="CO83" s="86"/>
      <c r="CP83" s="86"/>
      <c r="CQ83" s="1641"/>
      <c r="CR83" s="86"/>
      <c r="CS83" s="86"/>
      <c r="CT83" s="86"/>
      <c r="CU83" s="86"/>
      <c r="CV83" s="86"/>
      <c r="CW83" s="86"/>
      <c r="CX83" s="86"/>
      <c r="CY83" s="86"/>
      <c r="CZ83" s="86"/>
      <c r="DA83" s="86"/>
      <c r="DB83" s="1642"/>
      <c r="DC83" s="1642"/>
      <c r="DD83" s="30"/>
      <c r="DE83" s="30"/>
      <c r="DF83" s="30"/>
      <c r="DG83" s="1642"/>
      <c r="DH83" s="1642"/>
      <c r="DI83" s="1642"/>
      <c r="DJ83" s="1642"/>
      <c r="DK83" s="1642"/>
      <c r="DL83" s="1642"/>
      <c r="DM83" s="1642"/>
      <c r="DN83" s="1642"/>
      <c r="DO83" s="1642"/>
      <c r="DP83" s="1642"/>
      <c r="DQ83" s="1642"/>
      <c r="DR83" s="1642"/>
      <c r="DS83" s="1642"/>
      <c r="DT83" s="1642"/>
      <c r="DU83" s="1642"/>
      <c r="DV83" s="1642"/>
      <c r="DW83" s="1642"/>
      <c r="DX83" s="1642"/>
      <c r="DY83" s="1642"/>
      <c r="DZ83" s="1642"/>
      <c r="EA83" s="1642"/>
      <c r="EB83" s="1642"/>
      <c r="EC83" s="1642"/>
      <c r="ED83" s="1642"/>
      <c r="EE83" s="1642"/>
      <c r="EF83" s="1642"/>
      <c r="EG83" s="1642"/>
      <c r="EH83" s="1643"/>
      <c r="EI83" s="1658"/>
      <c r="EJ83" s="30"/>
      <c r="EK83" s="30"/>
      <c r="EL83" s="30"/>
      <c r="EM83" s="30"/>
      <c r="EN83" s="30"/>
      <c r="EO83" s="30"/>
      <c r="EP83" s="30"/>
      <c r="EQ83" s="30"/>
      <c r="ER83" s="30"/>
      <c r="ES83" s="30"/>
      <c r="ET83" s="30"/>
      <c r="EU83" s="30"/>
      <c r="EV83" s="30"/>
      <c r="EW83" s="30"/>
      <c r="EX83" s="30"/>
      <c r="EY83" s="30"/>
      <c r="EZ83" s="30"/>
      <c r="FA83" s="30"/>
      <c r="FB83" s="30"/>
      <c r="FC83" s="30"/>
      <c r="FD83" s="30"/>
      <c r="FE83" s="30"/>
      <c r="FF83" s="30"/>
      <c r="FG83" s="30"/>
      <c r="FH83" s="30"/>
      <c r="FI83" s="30"/>
      <c r="FJ83" s="30"/>
      <c r="FK83" s="30"/>
      <c r="FL83" s="30"/>
      <c r="FM83" s="30"/>
      <c r="FN83" s="30"/>
      <c r="FO83" s="30"/>
      <c r="FP83" s="30"/>
      <c r="FQ83" s="30"/>
      <c r="FR83" s="30"/>
      <c r="FS83" s="30"/>
      <c r="FT83" s="30"/>
      <c r="FU83" s="30"/>
      <c r="FV83" s="30"/>
      <c r="FW83" s="30"/>
      <c r="FX83" s="30"/>
      <c r="FY83" s="30"/>
      <c r="FZ83" s="30"/>
      <c r="GA83" s="30"/>
      <c r="GB83" s="30"/>
      <c r="GC83" s="30"/>
      <c r="GD83" s="30"/>
      <c r="GE83" s="30"/>
      <c r="GF83" s="30"/>
      <c r="GG83" s="30"/>
      <c r="GH83" s="30"/>
      <c r="GI83" s="30"/>
      <c r="GJ83" s="30"/>
      <c r="GK83" s="30"/>
      <c r="GL83" s="30"/>
      <c r="GM83" s="30"/>
      <c r="GN83" s="30"/>
      <c r="GO83" s="30"/>
      <c r="GP83" s="30"/>
      <c r="GQ83" s="30"/>
      <c r="GR83" s="30"/>
      <c r="GS83" s="30"/>
      <c r="GT83" s="30"/>
      <c r="GU83" s="30"/>
      <c r="GV83" s="30"/>
      <c r="GW83" s="30"/>
      <c r="GX83" s="30"/>
      <c r="GY83" s="30"/>
      <c r="GZ83" s="30"/>
      <c r="HA83" s="30"/>
      <c r="HB83" s="30"/>
      <c r="HC83" s="30"/>
      <c r="HD83" s="30"/>
      <c r="HE83" s="30"/>
      <c r="HF83" s="30"/>
      <c r="HG83" s="30"/>
      <c r="HH83" s="30"/>
      <c r="HI83" s="30"/>
      <c r="HJ83" s="30"/>
      <c r="HK83" s="30"/>
      <c r="HL83" s="30"/>
      <c r="HM83" s="30"/>
      <c r="HN83" s="30"/>
      <c r="HO83" s="30"/>
      <c r="HP83" s="30"/>
      <c r="HQ83" s="30"/>
      <c r="HR83" s="30"/>
      <c r="HS83" s="30"/>
      <c r="HT83" s="30"/>
      <c r="HU83" s="30"/>
      <c r="HV83" s="30"/>
      <c r="HW83" s="30"/>
      <c r="HX83" s="30"/>
      <c r="HY83" s="30"/>
      <c r="HZ83" s="30"/>
      <c r="IA83" s="30"/>
      <c r="IB83" s="30"/>
      <c r="IC83" s="30"/>
      <c r="ID83" s="30"/>
      <c r="IE83" s="30"/>
      <c r="IF83" s="30"/>
      <c r="IG83" s="30"/>
      <c r="IH83" s="30"/>
      <c r="II83" s="30"/>
      <c r="IJ83" s="30"/>
      <c r="IK83" s="30"/>
      <c r="IL83" s="30"/>
      <c r="IM83" s="30"/>
      <c r="IN83" s="30"/>
      <c r="IO83" s="30"/>
      <c r="IP83" s="30"/>
      <c r="IQ83" s="30"/>
      <c r="IR83" s="30"/>
      <c r="IS83" s="30"/>
      <c r="IT83" s="30"/>
      <c r="IU83" s="30"/>
      <c r="IV83" s="30"/>
      <c r="IW83" s="30"/>
      <c r="IX83" s="30"/>
      <c r="IY83" s="30"/>
      <c r="IZ83" s="30"/>
      <c r="JA83" s="30"/>
      <c r="JB83" s="30"/>
      <c r="JC83" s="30"/>
      <c r="JD83" s="30"/>
      <c r="JE83" s="30"/>
      <c r="JF83" s="30"/>
      <c r="JG83" s="30"/>
      <c r="JH83" s="30"/>
      <c r="JI83" s="30"/>
      <c r="JJ83" s="30"/>
      <c r="JK83" s="30"/>
      <c r="JL83" s="30"/>
      <c r="JM83" s="30"/>
      <c r="JN83" s="30"/>
      <c r="JO83" s="30"/>
      <c r="JP83" s="30"/>
      <c r="JQ83" s="30"/>
      <c r="JR83" s="30"/>
      <c r="JS83" s="30"/>
      <c r="JT83" s="30"/>
      <c r="JU83" s="30"/>
      <c r="JV83" s="30"/>
      <c r="JW83" s="30"/>
      <c r="JX83" s="30"/>
      <c r="JY83" s="30"/>
      <c r="JZ83" s="30"/>
      <c r="KA83" s="30"/>
      <c r="KB83" s="30"/>
      <c r="KC83" s="30"/>
      <c r="KD83" s="30"/>
      <c r="KE83" s="30"/>
      <c r="KF83" s="30"/>
      <c r="KG83" s="30"/>
      <c r="KH83" s="30"/>
      <c r="KI83" s="30"/>
      <c r="KJ83" s="30"/>
      <c r="KK83" s="30"/>
      <c r="KL83" s="30"/>
      <c r="KM83" s="30"/>
      <c r="KN83" s="30"/>
      <c r="KO83" s="30"/>
      <c r="KP83" s="1630"/>
    </row>
    <row r="84" spans="1:302" s="97" customFormat="1" ht="18.75" customHeight="1" outlineLevel="1">
      <c r="A84" s="2656" t="s">
        <v>488</v>
      </c>
      <c r="B84" s="1689"/>
      <c r="C84" s="262" t="s">
        <v>644</v>
      </c>
      <c r="D84" s="1689" t="s">
        <v>645</v>
      </c>
      <c r="E84" s="262"/>
      <c r="F84" s="347"/>
      <c r="G84" s="348"/>
      <c r="H84" s="350" t="s">
        <v>26</v>
      </c>
      <c r="I84" s="2936"/>
      <c r="J84" s="362" t="s">
        <v>26</v>
      </c>
      <c r="K84" s="1745"/>
      <c r="L84" s="358"/>
      <c r="M84" s="358"/>
      <c r="N84" s="358"/>
      <c r="O84" s="1510">
        <v>82476.000000000015</v>
      </c>
      <c r="P84" s="358"/>
      <c r="Q84" s="358"/>
      <c r="R84" s="358"/>
      <c r="S84" s="1510">
        <f t="shared" si="99"/>
        <v>0</v>
      </c>
      <c r="T84" s="389"/>
      <c r="U84" s="1746"/>
      <c r="V84" s="1746"/>
      <c r="W84" s="1744">
        <f t="shared" si="92"/>
        <v>82476.000000000015</v>
      </c>
      <c r="X84" s="359" t="s">
        <v>26</v>
      </c>
      <c r="Y84" s="389"/>
      <c r="Z84" s="1746"/>
      <c r="AA84" s="1509"/>
      <c r="AB84" s="2598">
        <f t="shared" si="97"/>
        <v>82476</v>
      </c>
      <c r="AC84" s="1444"/>
      <c r="AD84" s="1444"/>
      <c r="AE84" s="1687"/>
      <c r="AF84" s="354"/>
      <c r="AG84" s="354"/>
      <c r="AH84" s="354">
        <f t="shared" si="83"/>
        <v>0</v>
      </c>
      <c r="AI84" s="355">
        <f t="shared" ca="1" si="94"/>
        <v>0</v>
      </c>
      <c r="AJ84" s="356">
        <f t="shared" ca="1" si="1"/>
        <v>0</v>
      </c>
      <c r="AK84" s="2185"/>
      <c r="AL84" s="260"/>
      <c r="AM84" s="2258"/>
      <c r="AN84" s="2258"/>
      <c r="AO84" s="359"/>
      <c r="AP84" s="360"/>
      <c r="AQ84" s="359"/>
      <c r="AR84" s="359"/>
      <c r="AS84" s="359"/>
      <c r="AT84" s="360"/>
      <c r="AU84" s="359"/>
      <c r="AV84" s="359"/>
      <c r="AW84" s="377"/>
      <c r="AX84" s="359"/>
      <c r="AY84" s="390"/>
      <c r="AZ84" s="2258"/>
      <c r="BA84" s="359"/>
      <c r="BB84" s="377"/>
      <c r="BC84" s="359"/>
      <c r="BD84" s="359">
        <v>27492</v>
      </c>
      <c r="BE84" s="362">
        <v>27492</v>
      </c>
      <c r="BF84" s="362">
        <v>27492</v>
      </c>
      <c r="BG84" s="362"/>
      <c r="BH84" s="362"/>
      <c r="BI84" s="414"/>
      <c r="BJ84" s="362"/>
      <c r="BK84" s="2123"/>
      <c r="BL84" s="414"/>
      <c r="BM84" s="414"/>
      <c r="BN84" s="414"/>
      <c r="BO84" s="414"/>
      <c r="BP84" s="414"/>
      <c r="BQ84" s="2399"/>
      <c r="BR84" s="362"/>
      <c r="BS84" s="362"/>
      <c r="BT84" s="362"/>
      <c r="BU84" s="364"/>
      <c r="BV84" s="364"/>
      <c r="BW84" s="2366"/>
      <c r="BX84" s="2463"/>
      <c r="BY84" s="2543"/>
      <c r="BZ84" s="2543"/>
      <c r="CA84" s="2591">
        <f t="shared" si="135"/>
        <v>82476</v>
      </c>
      <c r="CB84" s="2377">
        <f t="shared" si="136"/>
        <v>1</v>
      </c>
      <c r="CC84" s="365">
        <f t="shared" si="137"/>
        <v>1.2124739318104661E-5</v>
      </c>
      <c r="CD84" s="366"/>
      <c r="CE84" s="343"/>
      <c r="CF84" s="343"/>
      <c r="CG84" s="340"/>
      <c r="CH84" s="367"/>
      <c r="CI84" s="368"/>
      <c r="CJ84" s="368"/>
      <c r="CK84" s="369"/>
      <c r="CL84" s="329">
        <f t="shared" si="130"/>
        <v>0</v>
      </c>
      <c r="CM84" s="330">
        <f t="shared" ca="1" si="131"/>
        <v>0</v>
      </c>
      <c r="CN84" s="331">
        <f t="shared" ca="1" si="14"/>
        <v>-82476</v>
      </c>
      <c r="CO84" s="86"/>
      <c r="CP84" s="86"/>
      <c r="CQ84" s="1641"/>
      <c r="CR84" s="86"/>
      <c r="CS84" s="86"/>
      <c r="CT84" s="86"/>
      <c r="CU84" s="86"/>
      <c r="CV84" s="86"/>
      <c r="CW84" s="86"/>
      <c r="CX84" s="86"/>
      <c r="CY84" s="86"/>
      <c r="CZ84" s="86"/>
      <c r="DA84" s="86"/>
      <c r="DB84" s="1642"/>
      <c r="DC84" s="1642"/>
      <c r="DD84" s="30"/>
      <c r="DE84" s="30"/>
      <c r="DF84" s="30"/>
      <c r="DG84" s="1642"/>
      <c r="DH84" s="1642"/>
      <c r="DI84" s="1642"/>
      <c r="DJ84" s="1642"/>
      <c r="DK84" s="1642"/>
      <c r="DL84" s="1642"/>
      <c r="DM84" s="1642"/>
      <c r="DN84" s="1642"/>
      <c r="DO84" s="1642"/>
      <c r="DP84" s="1642"/>
      <c r="DQ84" s="1642"/>
      <c r="DR84" s="1642"/>
      <c r="DS84" s="1642"/>
      <c r="DT84" s="1642"/>
      <c r="DU84" s="1642"/>
      <c r="DV84" s="1642"/>
      <c r="DW84" s="1642"/>
      <c r="DX84" s="1642"/>
      <c r="DY84" s="1642"/>
      <c r="DZ84" s="1642"/>
      <c r="EA84" s="1642"/>
      <c r="EB84" s="1642"/>
      <c r="EC84" s="1642"/>
      <c r="ED84" s="1642"/>
      <c r="EE84" s="1642"/>
      <c r="EF84" s="1642"/>
      <c r="EG84" s="1642"/>
      <c r="EH84" s="1643"/>
      <c r="EI84" s="1658"/>
      <c r="EJ84" s="30"/>
      <c r="EK84" s="30"/>
      <c r="EL84" s="30"/>
      <c r="EM84" s="30"/>
      <c r="EN84" s="30"/>
      <c r="EO84" s="30"/>
      <c r="EP84" s="30"/>
      <c r="EQ84" s="30"/>
      <c r="ER84" s="30"/>
      <c r="ES84" s="30"/>
      <c r="ET84" s="30"/>
      <c r="EU84" s="30"/>
      <c r="EV84" s="30"/>
      <c r="EW84" s="30"/>
      <c r="EX84" s="30"/>
      <c r="EY84" s="30"/>
      <c r="EZ84" s="30"/>
      <c r="FA84" s="30"/>
      <c r="FB84" s="30"/>
      <c r="FC84" s="30"/>
      <c r="FD84" s="30"/>
      <c r="FE84" s="30"/>
      <c r="FF84" s="30"/>
      <c r="FG84" s="30"/>
      <c r="FH84" s="30"/>
      <c r="FI84" s="30"/>
      <c r="FJ84" s="30"/>
      <c r="FK84" s="30"/>
      <c r="FL84" s="30"/>
      <c r="FM84" s="30"/>
      <c r="FN84" s="30"/>
      <c r="FO84" s="30"/>
      <c r="FP84" s="30"/>
      <c r="FQ84" s="30"/>
      <c r="FR84" s="30"/>
      <c r="FS84" s="30"/>
      <c r="FT84" s="30"/>
      <c r="FU84" s="30"/>
      <c r="FV84" s="30"/>
      <c r="FW84" s="30"/>
      <c r="FX84" s="30"/>
      <c r="FY84" s="30"/>
      <c r="FZ84" s="30"/>
      <c r="GA84" s="30"/>
      <c r="GB84" s="30"/>
      <c r="GC84" s="30"/>
      <c r="GD84" s="30"/>
      <c r="GE84" s="30"/>
      <c r="GF84" s="30"/>
      <c r="GG84" s="30"/>
      <c r="GH84" s="30"/>
      <c r="GI84" s="30"/>
      <c r="GJ84" s="30"/>
      <c r="GK84" s="30"/>
      <c r="GL84" s="30"/>
      <c r="GM84" s="30"/>
      <c r="GN84" s="30"/>
      <c r="GO84" s="30"/>
      <c r="GP84" s="30"/>
      <c r="GQ84" s="30"/>
      <c r="GR84" s="30"/>
      <c r="GS84" s="30"/>
      <c r="GT84" s="30"/>
      <c r="GU84" s="30"/>
      <c r="GV84" s="30"/>
      <c r="GW84" s="30"/>
      <c r="GX84" s="30"/>
      <c r="GY84" s="30"/>
      <c r="GZ84" s="30"/>
      <c r="HA84" s="30"/>
      <c r="HB84" s="30"/>
      <c r="HC84" s="30"/>
      <c r="HD84" s="30"/>
      <c r="HE84" s="30"/>
      <c r="HF84" s="30"/>
      <c r="HG84" s="30"/>
      <c r="HH84" s="30"/>
      <c r="HI84" s="30"/>
      <c r="HJ84" s="30"/>
      <c r="HK84" s="30"/>
      <c r="HL84" s="30"/>
      <c r="HM84" s="30"/>
      <c r="HN84" s="30"/>
      <c r="HO84" s="30"/>
      <c r="HP84" s="30"/>
      <c r="HQ84" s="30"/>
      <c r="HR84" s="30"/>
      <c r="HS84" s="30"/>
      <c r="HT84" s="30"/>
      <c r="HU84" s="30"/>
      <c r="HV84" s="30"/>
      <c r="HW84" s="30"/>
      <c r="HX84" s="30"/>
      <c r="HY84" s="30"/>
      <c r="HZ84" s="30"/>
      <c r="IA84" s="30"/>
      <c r="IB84" s="30"/>
      <c r="IC84" s="30"/>
      <c r="ID84" s="30"/>
      <c r="IE84" s="30"/>
      <c r="IF84" s="30"/>
      <c r="IG84" s="30"/>
      <c r="IH84" s="30"/>
      <c r="II84" s="30"/>
      <c r="IJ84" s="30"/>
      <c r="IK84" s="30"/>
      <c r="IL84" s="30"/>
      <c r="IM84" s="30"/>
      <c r="IN84" s="30"/>
      <c r="IO84" s="30"/>
      <c r="IP84" s="30"/>
      <c r="IQ84" s="30"/>
      <c r="IR84" s="30"/>
      <c r="IS84" s="30"/>
      <c r="IT84" s="30"/>
      <c r="IU84" s="30"/>
      <c r="IV84" s="30"/>
      <c r="IW84" s="30"/>
      <c r="IX84" s="30"/>
      <c r="IY84" s="30"/>
      <c r="IZ84" s="30"/>
      <c r="JA84" s="30"/>
      <c r="JB84" s="30"/>
      <c r="JC84" s="30"/>
      <c r="JD84" s="30"/>
      <c r="JE84" s="30"/>
      <c r="JF84" s="30"/>
      <c r="JG84" s="30"/>
      <c r="JH84" s="30"/>
      <c r="JI84" s="30"/>
      <c r="JJ84" s="30"/>
      <c r="JK84" s="30"/>
      <c r="JL84" s="30"/>
      <c r="JM84" s="30"/>
      <c r="JN84" s="30"/>
      <c r="JO84" s="30"/>
      <c r="JP84" s="30"/>
      <c r="JQ84" s="30"/>
      <c r="JR84" s="30"/>
      <c r="JS84" s="30"/>
      <c r="JT84" s="30"/>
      <c r="JU84" s="30"/>
      <c r="JV84" s="30"/>
      <c r="JW84" s="30"/>
      <c r="JX84" s="30"/>
      <c r="JY84" s="30"/>
      <c r="JZ84" s="30"/>
      <c r="KA84" s="30"/>
      <c r="KB84" s="30"/>
      <c r="KC84" s="30"/>
      <c r="KD84" s="30"/>
      <c r="KE84" s="30"/>
      <c r="KF84" s="30"/>
      <c r="KG84" s="30"/>
      <c r="KH84" s="30"/>
      <c r="KI84" s="30"/>
      <c r="KJ84" s="30"/>
      <c r="KK84" s="30"/>
      <c r="KL84" s="30"/>
      <c r="KM84" s="30"/>
      <c r="KN84" s="30"/>
      <c r="KO84" s="30"/>
      <c r="KP84" s="1630"/>
    </row>
    <row r="85" spans="1:302" s="97" customFormat="1" ht="21" customHeight="1" outlineLevel="1">
      <c r="A85" s="2656" t="s">
        <v>491</v>
      </c>
      <c r="B85" s="1689"/>
      <c r="C85" s="261" t="s">
        <v>646</v>
      </c>
      <c r="D85" s="1689" t="s">
        <v>647</v>
      </c>
      <c r="E85" s="261"/>
      <c r="F85" s="347"/>
      <c r="G85" s="348"/>
      <c r="H85" s="350" t="s">
        <v>26</v>
      </c>
      <c r="I85" s="2936"/>
      <c r="J85" s="362" t="s">
        <v>26</v>
      </c>
      <c r="K85" s="1745"/>
      <c r="L85" s="358"/>
      <c r="M85" s="358"/>
      <c r="N85" s="358"/>
      <c r="O85" s="1510">
        <v>120923</v>
      </c>
      <c r="P85" s="358"/>
      <c r="Q85" s="358"/>
      <c r="R85" s="358"/>
      <c r="S85" s="1510">
        <f t="shared" si="99"/>
        <v>0</v>
      </c>
      <c r="T85" s="389"/>
      <c r="U85" s="1746"/>
      <c r="V85" s="1746"/>
      <c r="W85" s="1744">
        <f t="shared" si="92"/>
        <v>120923</v>
      </c>
      <c r="X85" s="359" t="s">
        <v>26</v>
      </c>
      <c r="Y85" s="389"/>
      <c r="Z85" s="1746"/>
      <c r="AA85" s="1509"/>
      <c r="AB85" s="2598">
        <f t="shared" si="97"/>
        <v>120922.99979999999</v>
      </c>
      <c r="AC85" s="1444"/>
      <c r="AD85" s="1444"/>
      <c r="AE85" s="1687"/>
      <c r="AF85" s="354"/>
      <c r="AG85" s="354"/>
      <c r="AH85" s="354">
        <f t="shared" si="83"/>
        <v>0</v>
      </c>
      <c r="AI85" s="355">
        <f t="shared" ca="1" si="94"/>
        <v>0</v>
      </c>
      <c r="AJ85" s="356">
        <f t="shared" ca="1" si="1"/>
        <v>0</v>
      </c>
      <c r="AK85" s="2185"/>
      <c r="AL85" s="260"/>
      <c r="AM85" s="2258"/>
      <c r="AN85" s="2258"/>
      <c r="AO85" s="359"/>
      <c r="AP85" s="360"/>
      <c r="AQ85" s="359"/>
      <c r="AR85" s="359"/>
      <c r="AS85" s="359"/>
      <c r="AT85" s="360"/>
      <c r="AU85" s="359"/>
      <c r="AV85" s="359"/>
      <c r="AW85" s="359"/>
      <c r="AX85" s="359"/>
      <c r="AY85" s="360"/>
      <c r="AZ85" s="2273"/>
      <c r="BA85" s="359">
        <v>20153.833299999998</v>
      </c>
      <c r="BB85" s="359">
        <v>20153.833299999998</v>
      </c>
      <c r="BC85" s="359">
        <v>20153.833299999998</v>
      </c>
      <c r="BD85" s="359">
        <v>20153.833299999998</v>
      </c>
      <c r="BE85" s="359">
        <v>20153.833299999998</v>
      </c>
      <c r="BF85" s="359">
        <v>20153.833299999998</v>
      </c>
      <c r="BG85" s="359"/>
      <c r="BH85" s="359"/>
      <c r="BI85" s="380"/>
      <c r="BJ85" s="359"/>
      <c r="BK85" s="2122"/>
      <c r="BL85" s="380"/>
      <c r="BM85" s="380"/>
      <c r="BN85" s="380"/>
      <c r="BO85" s="380"/>
      <c r="BP85" s="380"/>
      <c r="BQ85" s="2087"/>
      <c r="BR85" s="359"/>
      <c r="BS85" s="359"/>
      <c r="BT85" s="359"/>
      <c r="BU85" s="364"/>
      <c r="BV85" s="364"/>
      <c r="BW85" s="2366"/>
      <c r="BX85" s="2463"/>
      <c r="BY85" s="2543"/>
      <c r="BZ85" s="2543"/>
      <c r="CA85" s="2591">
        <f t="shared" si="135"/>
        <v>120922.99979999999</v>
      </c>
      <c r="CB85" s="2377">
        <f t="shared" si="136"/>
        <v>1</v>
      </c>
      <c r="CC85" s="365">
        <f t="shared" si="137"/>
        <v>8.2697253760983866E-6</v>
      </c>
      <c r="CD85" s="366"/>
      <c r="CE85" s="343"/>
      <c r="CF85" s="343"/>
      <c r="CG85" s="340"/>
      <c r="CH85" s="367"/>
      <c r="CI85" s="368"/>
      <c r="CJ85" s="368"/>
      <c r="CK85" s="369"/>
      <c r="CL85" s="329">
        <f t="shared" si="130"/>
        <v>2.0000000949949026E-4</v>
      </c>
      <c r="CM85" s="330">
        <f t="shared" ca="1" si="131"/>
        <v>0</v>
      </c>
      <c r="CN85" s="331">
        <f t="shared" ca="1" si="14"/>
        <v>-120922.99979999999</v>
      </c>
      <c r="CO85" s="86"/>
      <c r="CP85" s="86"/>
      <c r="CQ85" s="1641"/>
      <c r="CR85" s="86"/>
      <c r="CS85" s="86"/>
      <c r="CT85" s="86"/>
      <c r="CU85" s="86"/>
      <c r="CV85" s="86"/>
      <c r="CW85" s="86"/>
      <c r="CX85" s="86"/>
      <c r="CY85" s="86"/>
      <c r="CZ85" s="86"/>
      <c r="DA85" s="86"/>
      <c r="DB85" s="1642"/>
      <c r="DC85" s="1642"/>
      <c r="DD85" s="30"/>
      <c r="DE85" s="30"/>
      <c r="DF85" s="30"/>
      <c r="DG85" s="1642"/>
      <c r="DH85" s="1642"/>
      <c r="DI85" s="1642"/>
      <c r="DJ85" s="1642"/>
      <c r="DK85" s="1642"/>
      <c r="DL85" s="1642"/>
      <c r="DM85" s="1642"/>
      <c r="DN85" s="1642"/>
      <c r="DO85" s="1642"/>
      <c r="DP85" s="1642"/>
      <c r="DQ85" s="1642"/>
      <c r="DR85" s="1642"/>
      <c r="DS85" s="1642"/>
      <c r="DT85" s="1642"/>
      <c r="DU85" s="1642"/>
      <c r="DV85" s="1642"/>
      <c r="DW85" s="1642"/>
      <c r="DX85" s="1642"/>
      <c r="DY85" s="1642"/>
      <c r="DZ85" s="1642"/>
      <c r="EA85" s="1642"/>
      <c r="EB85" s="1642"/>
      <c r="EC85" s="1642"/>
      <c r="ED85" s="1642"/>
      <c r="EE85" s="1642"/>
      <c r="EF85" s="1642"/>
      <c r="EG85" s="1642"/>
      <c r="EH85" s="1643"/>
      <c r="EI85" s="1658"/>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0"/>
      <c r="HP85" s="30"/>
      <c r="HQ85" s="30"/>
      <c r="HR85" s="30"/>
      <c r="HS85" s="30"/>
      <c r="HT85" s="30"/>
      <c r="HU85" s="30"/>
      <c r="HV85" s="30"/>
      <c r="HW85" s="30"/>
      <c r="HX85" s="30"/>
      <c r="HY85" s="30"/>
      <c r="HZ85" s="30"/>
      <c r="IA85" s="30"/>
      <c r="IB85" s="30"/>
      <c r="IC85" s="30"/>
      <c r="ID85" s="30"/>
      <c r="IE85" s="30"/>
      <c r="IF85" s="30"/>
      <c r="IG85" s="30"/>
      <c r="IH85" s="30"/>
      <c r="II85" s="30"/>
      <c r="IJ85" s="30"/>
      <c r="IK85" s="30"/>
      <c r="IL85" s="30"/>
      <c r="IM85" s="30"/>
      <c r="IN85" s="30"/>
      <c r="IO85" s="30"/>
      <c r="IP85" s="30"/>
      <c r="IQ85" s="30"/>
      <c r="IR85" s="30"/>
      <c r="IS85" s="30"/>
      <c r="IT85" s="30"/>
      <c r="IU85" s="30"/>
      <c r="IV85" s="30"/>
      <c r="IW85" s="30"/>
      <c r="IX85" s="30"/>
      <c r="IY85" s="30"/>
      <c r="IZ85" s="30"/>
      <c r="JA85" s="30"/>
      <c r="JB85" s="30"/>
      <c r="JC85" s="30"/>
      <c r="JD85" s="30"/>
      <c r="JE85" s="30"/>
      <c r="JF85" s="30"/>
      <c r="JG85" s="30"/>
      <c r="JH85" s="30"/>
      <c r="JI85" s="30"/>
      <c r="JJ85" s="30"/>
      <c r="JK85" s="30"/>
      <c r="JL85" s="30"/>
      <c r="JM85" s="30"/>
      <c r="JN85" s="30"/>
      <c r="JO85" s="30"/>
      <c r="JP85" s="30"/>
      <c r="JQ85" s="30"/>
      <c r="JR85" s="30"/>
      <c r="JS85" s="30"/>
      <c r="JT85" s="30"/>
      <c r="JU85" s="30"/>
      <c r="JV85" s="30"/>
      <c r="JW85" s="30"/>
      <c r="JX85" s="30"/>
      <c r="JY85" s="30"/>
      <c r="JZ85" s="30"/>
      <c r="KA85" s="30"/>
      <c r="KB85" s="30"/>
      <c r="KC85" s="30"/>
      <c r="KD85" s="30"/>
      <c r="KE85" s="30"/>
      <c r="KF85" s="30"/>
      <c r="KG85" s="30"/>
      <c r="KH85" s="30"/>
      <c r="KI85" s="30"/>
      <c r="KJ85" s="30"/>
      <c r="KK85" s="30"/>
      <c r="KL85" s="30"/>
      <c r="KM85" s="30"/>
      <c r="KN85" s="30"/>
      <c r="KO85" s="30"/>
      <c r="KP85" s="1630"/>
    </row>
    <row r="86" spans="1:302" s="97" customFormat="1" ht="21" customHeight="1" outlineLevel="1">
      <c r="A86" s="1994" t="s">
        <v>497</v>
      </c>
      <c r="B86" s="1691"/>
      <c r="C86" s="255" t="s">
        <v>648</v>
      </c>
      <c r="D86" s="255" t="s">
        <v>649</v>
      </c>
      <c r="E86" s="255"/>
      <c r="F86" s="378"/>
      <c r="G86" s="371"/>
      <c r="H86" s="350" t="s">
        <v>26</v>
      </c>
      <c r="I86" s="2936"/>
      <c r="J86" s="362" t="s">
        <v>26</v>
      </c>
      <c r="K86" s="355"/>
      <c r="L86" s="358"/>
      <c r="M86" s="358"/>
      <c r="N86" s="358"/>
      <c r="O86" s="1510">
        <v>296487</v>
      </c>
      <c r="P86" s="358"/>
      <c r="Q86" s="358"/>
      <c r="R86" s="358"/>
      <c r="S86" s="1510">
        <f t="shared" si="99"/>
        <v>0</v>
      </c>
      <c r="T86" s="389"/>
      <c r="U86" s="1746"/>
      <c r="V86" s="1746"/>
      <c r="W86" s="1744">
        <f t="shared" si="92"/>
        <v>296487</v>
      </c>
      <c r="X86" s="359" t="s">
        <v>26</v>
      </c>
      <c r="Y86" s="389"/>
      <c r="Z86" s="1746"/>
      <c r="AA86" s="1509"/>
      <c r="AB86" s="2598">
        <f t="shared" si="97"/>
        <v>296487</v>
      </c>
      <c r="AC86" s="1444"/>
      <c r="AD86" s="1444"/>
      <c r="AE86" s="1687"/>
      <c r="AF86" s="354"/>
      <c r="AG86" s="354"/>
      <c r="AH86" s="354">
        <f t="shared" si="83"/>
        <v>0</v>
      </c>
      <c r="AI86" s="355">
        <f t="shared" ca="1" si="94"/>
        <v>0</v>
      </c>
      <c r="AJ86" s="356">
        <f t="shared" ca="1" si="1"/>
        <v>0</v>
      </c>
      <c r="AK86" s="2185"/>
      <c r="AL86" s="260"/>
      <c r="AM86" s="2257"/>
      <c r="AN86" s="2257"/>
      <c r="AO86" s="377"/>
      <c r="AP86" s="390"/>
      <c r="AQ86" s="377"/>
      <c r="AR86" s="377"/>
      <c r="AS86" s="377"/>
      <c r="AT86" s="390"/>
      <c r="AU86" s="359"/>
      <c r="AV86" s="359"/>
      <c r="AW86" s="359"/>
      <c r="AX86" s="359"/>
      <c r="AY86" s="360"/>
      <c r="AZ86" s="2273"/>
      <c r="BA86" s="497">
        <v>49414.5</v>
      </c>
      <c r="BB86" s="359">
        <v>49414.5</v>
      </c>
      <c r="BC86" s="359">
        <v>49414.5</v>
      </c>
      <c r="BD86" s="359">
        <v>49414.5</v>
      </c>
      <c r="BE86" s="359">
        <v>49414.5</v>
      </c>
      <c r="BF86" s="359">
        <v>49414.5</v>
      </c>
      <c r="BG86" s="359"/>
      <c r="BH86" s="359"/>
      <c r="BI86" s="380"/>
      <c r="BJ86" s="359"/>
      <c r="BK86" s="2122"/>
      <c r="BL86" s="380"/>
      <c r="BM86" s="380"/>
      <c r="BN86" s="380"/>
      <c r="BO86" s="380"/>
      <c r="BP86" s="380"/>
      <c r="BQ86" s="2087"/>
      <c r="BR86" s="359"/>
      <c r="BS86" s="359"/>
      <c r="BT86" s="359"/>
      <c r="BU86" s="364"/>
      <c r="BV86" s="364"/>
      <c r="BW86" s="2366"/>
      <c r="BX86" s="2463"/>
      <c r="BY86" s="2543"/>
      <c r="BZ86" s="2543"/>
      <c r="CA86" s="2591">
        <f t="shared" si="135"/>
        <v>296487</v>
      </c>
      <c r="CB86" s="2377">
        <f t="shared" si="136"/>
        <v>1</v>
      </c>
      <c r="CC86" s="365">
        <f t="shared" si="137"/>
        <v>3.3728291628300735E-6</v>
      </c>
      <c r="CD86" s="366"/>
      <c r="CE86" s="343"/>
      <c r="CF86" s="343"/>
      <c r="CG86" s="340"/>
      <c r="CH86" s="367"/>
      <c r="CI86" s="368"/>
      <c r="CJ86" s="368"/>
      <c r="CK86" s="369"/>
      <c r="CL86" s="329">
        <f t="shared" si="130"/>
        <v>0</v>
      </c>
      <c r="CM86" s="330">
        <f t="shared" ca="1" si="131"/>
        <v>0</v>
      </c>
      <c r="CN86" s="331">
        <f t="shared" ca="1" si="14"/>
        <v>-296487</v>
      </c>
      <c r="CO86" s="86"/>
      <c r="CP86" s="86"/>
      <c r="CQ86" s="1641"/>
      <c r="CR86" s="86"/>
      <c r="CS86" s="86"/>
      <c r="CT86" s="86"/>
      <c r="CU86" s="86"/>
      <c r="CV86" s="86"/>
      <c r="CW86" s="86"/>
      <c r="CX86" s="86"/>
      <c r="CY86" s="86"/>
      <c r="CZ86" s="86"/>
      <c r="DA86" s="86"/>
      <c r="DB86" s="1642"/>
      <c r="DC86" s="1642"/>
      <c r="DD86" s="30"/>
      <c r="DE86" s="30"/>
      <c r="DF86" s="30"/>
      <c r="DG86" s="1642"/>
      <c r="DH86" s="1642"/>
      <c r="DI86" s="1642"/>
      <c r="DJ86" s="1642"/>
      <c r="DK86" s="1642"/>
      <c r="DL86" s="1642"/>
      <c r="DM86" s="1642"/>
      <c r="DN86" s="1642"/>
      <c r="DO86" s="1642"/>
      <c r="DP86" s="1642"/>
      <c r="DQ86" s="1642"/>
      <c r="DR86" s="1642"/>
      <c r="DS86" s="1642"/>
      <c r="DT86" s="1642"/>
      <c r="DU86" s="1642"/>
      <c r="DV86" s="1642"/>
      <c r="DW86" s="1642"/>
      <c r="DX86" s="1642"/>
      <c r="DY86" s="1642"/>
      <c r="DZ86" s="1642"/>
      <c r="EA86" s="1642"/>
      <c r="EB86" s="1642"/>
      <c r="EC86" s="1642"/>
      <c r="ED86" s="1642"/>
      <c r="EE86" s="1642"/>
      <c r="EF86" s="1642"/>
      <c r="EG86" s="1642"/>
      <c r="EH86" s="1643"/>
      <c r="EI86" s="1658"/>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0"/>
      <c r="HP86" s="30"/>
      <c r="HQ86" s="30"/>
      <c r="HR86" s="30"/>
      <c r="HS86" s="30"/>
      <c r="HT86" s="30"/>
      <c r="HU86" s="30"/>
      <c r="HV86" s="30"/>
      <c r="HW86" s="30"/>
      <c r="HX86" s="30"/>
      <c r="HY86" s="30"/>
      <c r="HZ86" s="30"/>
      <c r="IA86" s="30"/>
      <c r="IB86" s="30"/>
      <c r="IC86" s="30"/>
      <c r="ID86" s="30"/>
      <c r="IE86" s="30"/>
      <c r="IF86" s="30"/>
      <c r="IG86" s="30"/>
      <c r="IH86" s="30"/>
      <c r="II86" s="30"/>
      <c r="IJ86" s="30"/>
      <c r="IK86" s="30"/>
      <c r="IL86" s="30"/>
      <c r="IM86" s="30"/>
      <c r="IN86" s="30"/>
      <c r="IO86" s="30"/>
      <c r="IP86" s="30"/>
      <c r="IQ86" s="30"/>
      <c r="IR86" s="30"/>
      <c r="IS86" s="30"/>
      <c r="IT86" s="30"/>
      <c r="IU86" s="30"/>
      <c r="IV86" s="30"/>
      <c r="IW86" s="30"/>
      <c r="IX86" s="30"/>
      <c r="IY86" s="30"/>
      <c r="IZ86" s="30"/>
      <c r="JA86" s="30"/>
      <c r="JB86" s="30"/>
      <c r="JC86" s="30"/>
      <c r="JD86" s="30"/>
      <c r="JE86" s="30"/>
      <c r="JF86" s="30"/>
      <c r="JG86" s="30"/>
      <c r="JH86" s="30"/>
      <c r="JI86" s="30"/>
      <c r="JJ86" s="30"/>
      <c r="JK86" s="30"/>
      <c r="JL86" s="30"/>
      <c r="JM86" s="30"/>
      <c r="JN86" s="30"/>
      <c r="JO86" s="30"/>
      <c r="JP86" s="30"/>
      <c r="JQ86" s="30"/>
      <c r="JR86" s="30"/>
      <c r="JS86" s="30"/>
      <c r="JT86" s="30"/>
      <c r="JU86" s="30"/>
      <c r="JV86" s="30"/>
      <c r="JW86" s="30"/>
      <c r="JX86" s="30"/>
      <c r="JY86" s="30"/>
      <c r="JZ86" s="30"/>
      <c r="KA86" s="30"/>
      <c r="KB86" s="30"/>
      <c r="KC86" s="30"/>
      <c r="KD86" s="30"/>
      <c r="KE86" s="30"/>
      <c r="KF86" s="30"/>
      <c r="KG86" s="30"/>
      <c r="KH86" s="30"/>
      <c r="KI86" s="30"/>
      <c r="KJ86" s="30"/>
      <c r="KK86" s="30"/>
      <c r="KL86" s="30"/>
      <c r="KM86" s="30"/>
      <c r="KN86" s="30"/>
      <c r="KO86" s="30"/>
      <c r="KP86" s="1630"/>
    </row>
    <row r="87" spans="1:302" s="97" customFormat="1" ht="21" customHeight="1" outlineLevel="1">
      <c r="A87" s="1994" t="s">
        <v>498</v>
      </c>
      <c r="B87" s="1691"/>
      <c r="C87" s="255" t="s">
        <v>650</v>
      </c>
      <c r="D87" s="255" t="s">
        <v>651</v>
      </c>
      <c r="E87" s="255"/>
      <c r="F87" s="378"/>
      <c r="G87" s="371"/>
      <c r="H87" s="349" t="s">
        <v>26</v>
      </c>
      <c r="I87" s="2936"/>
      <c r="J87" s="362" t="s">
        <v>26</v>
      </c>
      <c r="K87" s="355"/>
      <c r="L87" s="358"/>
      <c r="M87" s="358"/>
      <c r="N87" s="358"/>
      <c r="O87" s="1510">
        <v>122038</v>
      </c>
      <c r="P87" s="358"/>
      <c r="Q87" s="358"/>
      <c r="R87" s="358"/>
      <c r="S87" s="1510">
        <f t="shared" si="99"/>
        <v>0</v>
      </c>
      <c r="T87" s="389"/>
      <c r="U87" s="1746"/>
      <c r="V87" s="1746"/>
      <c r="W87" s="1744">
        <f t="shared" si="92"/>
        <v>122038</v>
      </c>
      <c r="X87" s="359" t="s">
        <v>26</v>
      </c>
      <c r="Y87" s="389"/>
      <c r="Z87" s="1746"/>
      <c r="AA87" s="1509"/>
      <c r="AB87" s="2598">
        <f t="shared" si="97"/>
        <v>122038</v>
      </c>
      <c r="AC87" s="1444"/>
      <c r="AD87" s="1444"/>
      <c r="AE87" s="1687"/>
      <c r="AF87" s="354"/>
      <c r="AG87" s="354"/>
      <c r="AH87" s="354">
        <f t="shared" si="83"/>
        <v>0</v>
      </c>
      <c r="AI87" s="355">
        <f t="shared" ca="1" si="94"/>
        <v>0</v>
      </c>
      <c r="AJ87" s="356">
        <f t="shared" ca="1" si="1"/>
        <v>0</v>
      </c>
      <c r="AK87" s="2185"/>
      <c r="AL87" s="260"/>
      <c r="AM87" s="2258"/>
      <c r="AN87" s="2258"/>
      <c r="AO87" s="359"/>
      <c r="AP87" s="360"/>
      <c r="AQ87" s="359"/>
      <c r="AR87" s="359"/>
      <c r="AS87" s="359"/>
      <c r="AT87" s="390"/>
      <c r="AU87" s="359"/>
      <c r="AV87" s="359"/>
      <c r="AW87" s="359"/>
      <c r="AX87" s="359"/>
      <c r="AY87" s="360"/>
      <c r="AZ87" s="2258"/>
      <c r="BA87" s="359"/>
      <c r="BB87" s="359">
        <v>24407.599999999999</v>
      </c>
      <c r="BC87" s="359">
        <v>24407.599999999999</v>
      </c>
      <c r="BD87" s="359">
        <v>24407.599999999999</v>
      </c>
      <c r="BE87" s="359">
        <v>24407.599999999999</v>
      </c>
      <c r="BF87" s="359">
        <v>24407.599999999999</v>
      </c>
      <c r="BG87" s="359"/>
      <c r="BH87" s="359"/>
      <c r="BI87" s="380"/>
      <c r="BJ87" s="359"/>
      <c r="BK87" s="2122"/>
      <c r="BL87" s="380"/>
      <c r="BM87" s="380"/>
      <c r="BN87" s="380"/>
      <c r="BO87" s="380"/>
      <c r="BP87" s="380"/>
      <c r="BQ87" s="2087"/>
      <c r="BR87" s="359"/>
      <c r="BS87" s="359"/>
      <c r="BT87" s="359"/>
      <c r="BU87" s="364"/>
      <c r="BV87" s="364"/>
      <c r="BW87" s="2366"/>
      <c r="BX87" s="2463"/>
      <c r="BY87" s="2543"/>
      <c r="BZ87" s="2543"/>
      <c r="CA87" s="2591">
        <f t="shared" si="135"/>
        <v>122038</v>
      </c>
      <c r="CB87" s="2377">
        <f t="shared" si="136"/>
        <v>1</v>
      </c>
      <c r="CC87" s="365">
        <f t="shared" si="137"/>
        <v>8.1941690293187364E-6</v>
      </c>
      <c r="CD87" s="366"/>
      <c r="CE87" s="343"/>
      <c r="CF87" s="343"/>
      <c r="CG87" s="340"/>
      <c r="CH87" s="367"/>
      <c r="CI87" s="368"/>
      <c r="CJ87" s="368"/>
      <c r="CK87" s="369"/>
      <c r="CL87" s="329">
        <f t="shared" si="130"/>
        <v>0</v>
      </c>
      <c r="CM87" s="330">
        <f t="shared" ca="1" si="131"/>
        <v>0</v>
      </c>
      <c r="CN87" s="331">
        <f t="shared" ca="1" si="14"/>
        <v>-122038</v>
      </c>
      <c r="CO87" s="86"/>
      <c r="CP87" s="86"/>
      <c r="CQ87" s="1641"/>
      <c r="CR87" s="86"/>
      <c r="CS87" s="86"/>
      <c r="CT87" s="86"/>
      <c r="CU87" s="86"/>
      <c r="CV87" s="86"/>
      <c r="CW87" s="86"/>
      <c r="CX87" s="86"/>
      <c r="CY87" s="86"/>
      <c r="CZ87" s="86"/>
      <c r="DA87" s="86"/>
      <c r="DB87" s="1642"/>
      <c r="DC87" s="1642"/>
      <c r="DD87" s="30"/>
      <c r="DE87" s="30"/>
      <c r="DF87" s="30"/>
      <c r="DG87" s="1642"/>
      <c r="DH87" s="1642"/>
      <c r="DI87" s="1642"/>
      <c r="DJ87" s="1642"/>
      <c r="DK87" s="1642"/>
      <c r="DL87" s="1642"/>
      <c r="DM87" s="1642"/>
      <c r="DN87" s="1642"/>
      <c r="DO87" s="1642"/>
      <c r="DP87" s="1642"/>
      <c r="DQ87" s="1642"/>
      <c r="DR87" s="1642"/>
      <c r="DS87" s="1642"/>
      <c r="DT87" s="1642"/>
      <c r="DU87" s="1642"/>
      <c r="DV87" s="1642"/>
      <c r="DW87" s="1642"/>
      <c r="DX87" s="1642"/>
      <c r="DY87" s="1642"/>
      <c r="DZ87" s="1642"/>
      <c r="EA87" s="1642"/>
      <c r="EB87" s="1642"/>
      <c r="EC87" s="1642"/>
      <c r="ED87" s="1642"/>
      <c r="EE87" s="1642"/>
      <c r="EF87" s="1642"/>
      <c r="EG87" s="1642"/>
      <c r="EH87" s="1643"/>
      <c r="EI87" s="1658"/>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0"/>
      <c r="HS87" s="30"/>
      <c r="HT87" s="30"/>
      <c r="HU87" s="30"/>
      <c r="HV87" s="30"/>
      <c r="HW87" s="30"/>
      <c r="HX87" s="30"/>
      <c r="HY87" s="30"/>
      <c r="HZ87" s="30"/>
      <c r="IA87" s="30"/>
      <c r="IB87" s="30"/>
      <c r="IC87" s="30"/>
      <c r="ID87" s="30"/>
      <c r="IE87" s="30"/>
      <c r="IF87" s="30"/>
      <c r="IG87" s="30"/>
      <c r="IH87" s="30"/>
      <c r="II87" s="30"/>
      <c r="IJ87" s="30"/>
      <c r="IK87" s="30"/>
      <c r="IL87" s="30"/>
      <c r="IM87" s="30"/>
      <c r="IN87" s="30"/>
      <c r="IO87" s="30"/>
      <c r="IP87" s="30"/>
      <c r="IQ87" s="30"/>
      <c r="IR87" s="30"/>
      <c r="IS87" s="30"/>
      <c r="IT87" s="30"/>
      <c r="IU87" s="30"/>
      <c r="IV87" s="30"/>
      <c r="IW87" s="30"/>
      <c r="IX87" s="30"/>
      <c r="IY87" s="30"/>
      <c r="IZ87" s="30"/>
      <c r="JA87" s="30"/>
      <c r="JB87" s="30"/>
      <c r="JC87" s="30"/>
      <c r="JD87" s="30"/>
      <c r="JE87" s="30"/>
      <c r="JF87" s="30"/>
      <c r="JG87" s="30"/>
      <c r="JH87" s="30"/>
      <c r="JI87" s="30"/>
      <c r="JJ87" s="30"/>
      <c r="JK87" s="30"/>
      <c r="JL87" s="30"/>
      <c r="JM87" s="30"/>
      <c r="JN87" s="30"/>
      <c r="JO87" s="30"/>
      <c r="JP87" s="30"/>
      <c r="JQ87" s="30"/>
      <c r="JR87" s="30"/>
      <c r="JS87" s="30"/>
      <c r="JT87" s="30"/>
      <c r="JU87" s="30"/>
      <c r="JV87" s="30"/>
      <c r="JW87" s="30"/>
      <c r="JX87" s="30"/>
      <c r="JY87" s="30"/>
      <c r="JZ87" s="30"/>
      <c r="KA87" s="30"/>
      <c r="KB87" s="30"/>
      <c r="KC87" s="30"/>
      <c r="KD87" s="30"/>
      <c r="KE87" s="30"/>
      <c r="KF87" s="30"/>
      <c r="KG87" s="30"/>
      <c r="KH87" s="30"/>
      <c r="KI87" s="30"/>
      <c r="KJ87" s="30"/>
      <c r="KK87" s="30"/>
      <c r="KL87" s="30"/>
      <c r="KM87" s="30"/>
      <c r="KN87" s="30"/>
      <c r="KO87" s="30"/>
      <c r="KP87" s="1630"/>
    </row>
    <row r="88" spans="1:302" s="97" customFormat="1" ht="19.5" customHeight="1" outlineLevel="1">
      <c r="A88" s="1994" t="s">
        <v>499</v>
      </c>
      <c r="B88" s="1691"/>
      <c r="C88" s="255" t="s">
        <v>652</v>
      </c>
      <c r="D88" s="255" t="s">
        <v>653</v>
      </c>
      <c r="E88" s="255"/>
      <c r="F88" s="378"/>
      <c r="G88" s="371"/>
      <c r="H88" s="349" t="s">
        <v>26</v>
      </c>
      <c r="I88" s="2936"/>
      <c r="J88" s="362" t="s">
        <v>26</v>
      </c>
      <c r="K88" s="355"/>
      <c r="L88" s="358"/>
      <c r="M88" s="358"/>
      <c r="N88" s="358"/>
      <c r="O88" s="1510">
        <v>366599</v>
      </c>
      <c r="P88" s="358"/>
      <c r="Q88" s="358"/>
      <c r="R88" s="358"/>
      <c r="S88" s="1510">
        <f t="shared" si="99"/>
        <v>0</v>
      </c>
      <c r="T88" s="389"/>
      <c r="U88" s="1746"/>
      <c r="V88" s="1746"/>
      <c r="W88" s="1744">
        <f t="shared" si="92"/>
        <v>366599</v>
      </c>
      <c r="X88" s="359" t="s">
        <v>26</v>
      </c>
      <c r="Y88" s="389"/>
      <c r="Z88" s="1746"/>
      <c r="AA88" s="1509"/>
      <c r="AB88" s="2598">
        <f t="shared" si="97"/>
        <v>366598.9999</v>
      </c>
      <c r="AC88" s="1444"/>
      <c r="AD88" s="1444"/>
      <c r="AE88" s="1687"/>
      <c r="AF88" s="354"/>
      <c r="AG88" s="354"/>
      <c r="AH88" s="354">
        <f t="shared" si="83"/>
        <v>0</v>
      </c>
      <c r="AI88" s="355">
        <f t="shared" ca="1" si="94"/>
        <v>0</v>
      </c>
      <c r="AJ88" s="356">
        <f t="shared" ca="1" si="1"/>
        <v>0</v>
      </c>
      <c r="AK88" s="2185"/>
      <c r="AL88" s="260"/>
      <c r="AM88" s="2258"/>
      <c r="AN88" s="2258"/>
      <c r="AO88" s="359"/>
      <c r="AP88" s="360"/>
      <c r="AQ88" s="359"/>
      <c r="AR88" s="359"/>
      <c r="AS88" s="359"/>
      <c r="AT88" s="360"/>
      <c r="AU88" s="377"/>
      <c r="AV88" s="377"/>
      <c r="AW88" s="377"/>
      <c r="AX88" s="377"/>
      <c r="AY88" s="360"/>
      <c r="AZ88" s="2273"/>
      <c r="BA88" s="497"/>
      <c r="BB88" s="359"/>
      <c r="BC88" s="359"/>
      <c r="BD88" s="359"/>
      <c r="BE88" s="359">
        <v>52371.2857</v>
      </c>
      <c r="BF88" s="359">
        <v>52371.2857</v>
      </c>
      <c r="BG88" s="359">
        <v>52371.2857</v>
      </c>
      <c r="BH88" s="359">
        <v>52371.2857</v>
      </c>
      <c r="BI88" s="380">
        <v>52371.2857</v>
      </c>
      <c r="BJ88" s="359">
        <v>52371.2857</v>
      </c>
      <c r="BK88" s="2122">
        <v>52371.2857</v>
      </c>
      <c r="BL88" s="380"/>
      <c r="BM88" s="380"/>
      <c r="BN88" s="380"/>
      <c r="BO88" s="380"/>
      <c r="BP88" s="380"/>
      <c r="BQ88" s="2087"/>
      <c r="BR88" s="359"/>
      <c r="BS88" s="359"/>
      <c r="BT88" s="359"/>
      <c r="BU88" s="364"/>
      <c r="BV88" s="364"/>
      <c r="BW88" s="2366"/>
      <c r="BX88" s="2463"/>
      <c r="BY88" s="2543"/>
      <c r="BZ88" s="2543"/>
      <c r="CA88" s="2591">
        <f t="shared" ref="CA88:CA92" si="138">SUMIF($AM$10:$BZ$10,$CA$9,AM88:BZ88)</f>
        <v>366598.9999</v>
      </c>
      <c r="CB88" s="2377">
        <f t="shared" ref="CB88:CB92" si="139">IF($AB88&lt;&gt;0,CA88/$AB88,"")</f>
        <v>1</v>
      </c>
      <c r="CC88" s="365">
        <f t="shared" ref="CC88:CC92" si="140">IF($AB88&lt;&gt;0,CB88/$AB88,"")</f>
        <v>2.7277761267018667E-6</v>
      </c>
      <c r="CD88" s="366"/>
      <c r="CE88" s="343"/>
      <c r="CF88" s="343"/>
      <c r="CG88" s="340"/>
      <c r="CH88" s="367"/>
      <c r="CI88" s="368"/>
      <c r="CJ88" s="368"/>
      <c r="CK88" s="369"/>
      <c r="CL88" s="329">
        <f t="shared" si="130"/>
        <v>1.0000000474974513E-4</v>
      </c>
      <c r="CM88" s="330">
        <f t="shared" ca="1" si="131"/>
        <v>0</v>
      </c>
      <c r="CN88" s="331">
        <f t="shared" ca="1" si="14"/>
        <v>-366598.9999</v>
      </c>
      <c r="CO88" s="86"/>
      <c r="CP88" s="86"/>
      <c r="CQ88" s="1641"/>
      <c r="CR88" s="86"/>
      <c r="CS88" s="86"/>
      <c r="CT88" s="86"/>
      <c r="CU88" s="86"/>
      <c r="CV88" s="86"/>
      <c r="CW88" s="86"/>
      <c r="CX88" s="86"/>
      <c r="CY88" s="86"/>
      <c r="CZ88" s="86"/>
      <c r="DA88" s="86"/>
      <c r="DB88" s="1642"/>
      <c r="DC88" s="1642"/>
      <c r="DD88" s="30"/>
      <c r="DE88" s="30"/>
      <c r="DF88" s="30"/>
      <c r="DG88" s="1642"/>
      <c r="DH88" s="1642"/>
      <c r="DI88" s="1642"/>
      <c r="DJ88" s="1642"/>
      <c r="DK88" s="1642"/>
      <c r="DL88" s="1642"/>
      <c r="DM88" s="1642"/>
      <c r="DN88" s="1642"/>
      <c r="DO88" s="1642"/>
      <c r="DP88" s="1642"/>
      <c r="DQ88" s="1642"/>
      <c r="DR88" s="1642"/>
      <c r="DS88" s="1642"/>
      <c r="DT88" s="1642"/>
      <c r="DU88" s="1642"/>
      <c r="DV88" s="1642"/>
      <c r="DW88" s="1642"/>
      <c r="DX88" s="1642"/>
      <c r="DY88" s="1642"/>
      <c r="DZ88" s="1642"/>
      <c r="EA88" s="1642"/>
      <c r="EB88" s="1642"/>
      <c r="EC88" s="1642"/>
      <c r="ED88" s="1642"/>
      <c r="EE88" s="1642"/>
      <c r="EF88" s="1642"/>
      <c r="EG88" s="1642"/>
      <c r="EH88" s="1643"/>
      <c r="EI88" s="1658"/>
      <c r="EJ88" s="30"/>
      <c r="EK88" s="30"/>
      <c r="EL88" s="30"/>
      <c r="EM88" s="30"/>
      <c r="EN88" s="30"/>
      <c r="EO88" s="30"/>
      <c r="EP88" s="30"/>
      <c r="EQ88" s="30"/>
      <c r="ER88" s="30"/>
      <c r="ES88" s="30"/>
      <c r="ET88" s="30"/>
      <c r="EU88" s="30"/>
      <c r="EV88" s="30"/>
      <c r="EW88" s="30"/>
      <c r="EX88" s="30"/>
      <c r="EY88" s="30"/>
      <c r="EZ88" s="30"/>
      <c r="FA88" s="30"/>
      <c r="FB88" s="30"/>
      <c r="FC88" s="30"/>
      <c r="FD88" s="30"/>
      <c r="FE88" s="30"/>
      <c r="FF88" s="30"/>
      <c r="FG88" s="30"/>
      <c r="FH88" s="30"/>
      <c r="FI88" s="30"/>
      <c r="FJ88" s="30"/>
      <c r="FK88" s="30"/>
      <c r="FL88" s="30"/>
      <c r="FM88" s="30"/>
      <c r="FN88" s="30"/>
      <c r="FO88" s="30"/>
      <c r="FP88" s="30"/>
      <c r="FQ88" s="30"/>
      <c r="FR88" s="30"/>
      <c r="FS88" s="30"/>
      <c r="FT88" s="30"/>
      <c r="FU88" s="30"/>
      <c r="FV88" s="30"/>
      <c r="FW88" s="30"/>
      <c r="FX88" s="30"/>
      <c r="FY88" s="30"/>
      <c r="FZ88" s="30"/>
      <c r="GA88" s="30"/>
      <c r="GB88" s="30"/>
      <c r="GC88" s="30"/>
      <c r="GD88" s="30"/>
      <c r="GE88" s="30"/>
      <c r="GF88" s="30"/>
      <c r="GG88" s="30"/>
      <c r="GH88" s="30"/>
      <c r="GI88" s="30"/>
      <c r="GJ88" s="30"/>
      <c r="GK88" s="30"/>
      <c r="GL88" s="30"/>
      <c r="GM88" s="30"/>
      <c r="GN88" s="30"/>
      <c r="GO88" s="30"/>
      <c r="GP88" s="30"/>
      <c r="GQ88" s="30"/>
      <c r="GR88" s="30"/>
      <c r="GS88" s="30"/>
      <c r="GT88" s="30"/>
      <c r="GU88" s="30"/>
      <c r="GV88" s="30"/>
      <c r="GW88" s="30"/>
      <c r="GX88" s="30"/>
      <c r="GY88" s="30"/>
      <c r="GZ88" s="30"/>
      <c r="HA88" s="30"/>
      <c r="HB88" s="30"/>
      <c r="HC88" s="30"/>
      <c r="HD88" s="30"/>
      <c r="HE88" s="30"/>
      <c r="HF88" s="30"/>
      <c r="HG88" s="30"/>
      <c r="HH88" s="30"/>
      <c r="HI88" s="30"/>
      <c r="HJ88" s="30"/>
      <c r="HK88" s="30"/>
      <c r="HL88" s="30"/>
      <c r="HM88" s="30"/>
      <c r="HN88" s="30"/>
      <c r="HO88" s="30"/>
      <c r="HP88" s="30"/>
      <c r="HQ88" s="30"/>
      <c r="HR88" s="30"/>
      <c r="HS88" s="30"/>
      <c r="HT88" s="30"/>
      <c r="HU88" s="30"/>
      <c r="HV88" s="30"/>
      <c r="HW88" s="30"/>
      <c r="HX88" s="30"/>
      <c r="HY88" s="30"/>
      <c r="HZ88" s="30"/>
      <c r="IA88" s="30"/>
      <c r="IB88" s="30"/>
      <c r="IC88" s="30"/>
      <c r="ID88" s="30"/>
      <c r="IE88" s="30"/>
      <c r="IF88" s="30"/>
      <c r="IG88" s="30"/>
      <c r="IH88" s="30"/>
      <c r="II88" s="30"/>
      <c r="IJ88" s="30"/>
      <c r="IK88" s="30"/>
      <c r="IL88" s="30"/>
      <c r="IM88" s="30"/>
      <c r="IN88" s="30"/>
      <c r="IO88" s="30"/>
      <c r="IP88" s="30"/>
      <c r="IQ88" s="30"/>
      <c r="IR88" s="30"/>
      <c r="IS88" s="30"/>
      <c r="IT88" s="30"/>
      <c r="IU88" s="30"/>
      <c r="IV88" s="30"/>
      <c r="IW88" s="30"/>
      <c r="IX88" s="30"/>
      <c r="IY88" s="30"/>
      <c r="IZ88" s="30"/>
      <c r="JA88" s="30"/>
      <c r="JB88" s="30"/>
      <c r="JC88" s="30"/>
      <c r="JD88" s="30"/>
      <c r="JE88" s="30"/>
      <c r="JF88" s="30"/>
      <c r="JG88" s="30"/>
      <c r="JH88" s="30"/>
      <c r="JI88" s="30"/>
      <c r="JJ88" s="30"/>
      <c r="JK88" s="30"/>
      <c r="JL88" s="30"/>
      <c r="JM88" s="30"/>
      <c r="JN88" s="30"/>
      <c r="JO88" s="30"/>
      <c r="JP88" s="30"/>
      <c r="JQ88" s="30"/>
      <c r="JR88" s="30"/>
      <c r="JS88" s="30"/>
      <c r="JT88" s="30"/>
      <c r="JU88" s="30"/>
      <c r="JV88" s="30"/>
      <c r="JW88" s="30"/>
      <c r="JX88" s="30"/>
      <c r="JY88" s="30"/>
      <c r="JZ88" s="30"/>
      <c r="KA88" s="30"/>
      <c r="KB88" s="30"/>
      <c r="KC88" s="30"/>
      <c r="KD88" s="30"/>
      <c r="KE88" s="30"/>
      <c r="KF88" s="30"/>
      <c r="KG88" s="30"/>
      <c r="KH88" s="30"/>
      <c r="KI88" s="30"/>
      <c r="KJ88" s="30"/>
      <c r="KK88" s="30"/>
      <c r="KL88" s="30"/>
      <c r="KM88" s="30"/>
      <c r="KN88" s="30"/>
      <c r="KO88" s="30"/>
      <c r="KP88" s="1630"/>
    </row>
    <row r="89" spans="1:302" s="97" customFormat="1" ht="19.5" customHeight="1" outlineLevel="1">
      <c r="A89" s="1994" t="s">
        <v>500</v>
      </c>
      <c r="B89" s="1691"/>
      <c r="C89" s="255" t="s">
        <v>654</v>
      </c>
      <c r="D89" s="255" t="s">
        <v>655</v>
      </c>
      <c r="E89" s="255"/>
      <c r="F89" s="378"/>
      <c r="G89" s="371"/>
      <c r="H89" s="349" t="s">
        <v>26</v>
      </c>
      <c r="I89" s="2936"/>
      <c r="J89" s="362" t="s">
        <v>26</v>
      </c>
      <c r="K89" s="355"/>
      <c r="L89" s="358"/>
      <c r="M89" s="358"/>
      <c r="N89" s="358"/>
      <c r="O89" s="1510">
        <v>1172887</v>
      </c>
      <c r="P89" s="358"/>
      <c r="Q89" s="358"/>
      <c r="R89" s="358"/>
      <c r="S89" s="1510">
        <f t="shared" si="99"/>
        <v>0</v>
      </c>
      <c r="T89" s="389"/>
      <c r="U89" s="1746"/>
      <c r="V89" s="1746"/>
      <c r="W89" s="1744">
        <f t="shared" si="92"/>
        <v>1172887</v>
      </c>
      <c r="X89" s="359" t="s">
        <v>26</v>
      </c>
      <c r="Y89" s="389"/>
      <c r="Z89" s="1746"/>
      <c r="AA89" s="1509"/>
      <c r="AB89" s="2598">
        <f t="shared" si="97"/>
        <v>1172887.0019999999</v>
      </c>
      <c r="AC89" s="1444"/>
      <c r="AD89" s="1444"/>
      <c r="AE89" s="1687"/>
      <c r="AF89" s="354"/>
      <c r="AG89" s="354"/>
      <c r="AH89" s="354">
        <f t="shared" si="83"/>
        <v>0</v>
      </c>
      <c r="AI89" s="355">
        <f t="shared" ca="1" si="94"/>
        <v>0</v>
      </c>
      <c r="AJ89" s="356">
        <f t="shared" ca="1" si="1"/>
        <v>0</v>
      </c>
      <c r="AK89" s="2185"/>
      <c r="AL89" s="260"/>
      <c r="AM89" s="2258"/>
      <c r="AN89" s="2258"/>
      <c r="AO89" s="359"/>
      <c r="AP89" s="360"/>
      <c r="AQ89" s="359"/>
      <c r="AR89" s="359"/>
      <c r="AS89" s="359"/>
      <c r="AT89" s="360"/>
      <c r="AU89" s="377"/>
      <c r="AV89" s="377"/>
      <c r="AW89" s="377"/>
      <c r="AX89" s="377"/>
      <c r="AY89" s="360"/>
      <c r="AZ89" s="2273"/>
      <c r="BA89" s="497"/>
      <c r="BB89" s="359">
        <v>195481.16699999999</v>
      </c>
      <c r="BC89" s="359">
        <v>195481.16699999999</v>
      </c>
      <c r="BD89" s="359">
        <v>195481.16699999999</v>
      </c>
      <c r="BE89" s="359">
        <v>195481.16699999999</v>
      </c>
      <c r="BF89" s="359">
        <v>195481.16699999999</v>
      </c>
      <c r="BG89" s="359">
        <v>195481.16699999999</v>
      </c>
      <c r="BH89" s="359"/>
      <c r="BI89" s="380"/>
      <c r="BJ89" s="359"/>
      <c r="BK89" s="2122"/>
      <c r="BL89" s="380"/>
      <c r="BM89" s="380"/>
      <c r="BN89" s="380"/>
      <c r="BO89" s="380"/>
      <c r="BP89" s="380"/>
      <c r="BQ89" s="2087"/>
      <c r="BR89" s="359"/>
      <c r="BS89" s="359"/>
      <c r="BT89" s="359"/>
      <c r="BU89" s="364"/>
      <c r="BV89" s="364"/>
      <c r="BW89" s="2366"/>
      <c r="BX89" s="2463"/>
      <c r="BY89" s="2543"/>
      <c r="BZ89" s="2543"/>
      <c r="CA89" s="2591">
        <f t="shared" si="138"/>
        <v>1172887.0019999999</v>
      </c>
      <c r="CB89" s="2377">
        <f t="shared" si="139"/>
        <v>1</v>
      </c>
      <c r="CC89" s="365">
        <f t="shared" si="140"/>
        <v>8.5259705180022114E-7</v>
      </c>
      <c r="CD89" s="366"/>
      <c r="CE89" s="343"/>
      <c r="CF89" s="343"/>
      <c r="CG89" s="340"/>
      <c r="CH89" s="367"/>
      <c r="CI89" s="368"/>
      <c r="CJ89" s="368"/>
      <c r="CK89" s="369"/>
      <c r="CL89" s="329">
        <f t="shared" si="130"/>
        <v>-1.999999862164259E-3</v>
      </c>
      <c r="CM89" s="330">
        <f t="shared" ca="1" si="131"/>
        <v>0</v>
      </c>
      <c r="CN89" s="331">
        <f t="shared" ca="1" si="14"/>
        <v>-1172887.0019999999</v>
      </c>
      <c r="CO89" s="86"/>
      <c r="CP89" s="86"/>
      <c r="CQ89" s="1641"/>
      <c r="CR89" s="86"/>
      <c r="CS89" s="86"/>
      <c r="CT89" s="86"/>
      <c r="CU89" s="86"/>
      <c r="CV89" s="86"/>
      <c r="CW89" s="86"/>
      <c r="CX89" s="86"/>
      <c r="CY89" s="86"/>
      <c r="CZ89" s="86"/>
      <c r="DA89" s="86"/>
      <c r="DB89" s="1642"/>
      <c r="DC89" s="1642"/>
      <c r="DD89" s="30"/>
      <c r="DE89" s="30"/>
      <c r="DF89" s="30"/>
      <c r="DG89" s="1642"/>
      <c r="DH89" s="1642"/>
      <c r="DI89" s="1642"/>
      <c r="DJ89" s="1642"/>
      <c r="DK89" s="1642"/>
      <c r="DL89" s="1642"/>
      <c r="DM89" s="1642"/>
      <c r="DN89" s="1642"/>
      <c r="DO89" s="1642"/>
      <c r="DP89" s="1642"/>
      <c r="DQ89" s="1642"/>
      <c r="DR89" s="1642"/>
      <c r="DS89" s="1642"/>
      <c r="DT89" s="1642"/>
      <c r="DU89" s="1642"/>
      <c r="DV89" s="1642"/>
      <c r="DW89" s="1642"/>
      <c r="DX89" s="1642"/>
      <c r="DY89" s="1642"/>
      <c r="DZ89" s="1642"/>
      <c r="EA89" s="1642"/>
      <c r="EB89" s="1642"/>
      <c r="EC89" s="1642"/>
      <c r="ED89" s="1642"/>
      <c r="EE89" s="1642"/>
      <c r="EF89" s="1642"/>
      <c r="EG89" s="1642"/>
      <c r="EH89" s="1643"/>
      <c r="EI89" s="1658"/>
      <c r="EJ89" s="30"/>
      <c r="EK89" s="30"/>
      <c r="EL89" s="30"/>
      <c r="EM89" s="30"/>
      <c r="EN89" s="30"/>
      <c r="EO89" s="30"/>
      <c r="EP89" s="30"/>
      <c r="EQ89" s="30"/>
      <c r="ER89" s="30"/>
      <c r="ES89" s="30"/>
      <c r="ET89" s="30"/>
      <c r="EU89" s="30"/>
      <c r="EV89" s="30"/>
      <c r="EW89" s="30"/>
      <c r="EX89" s="30"/>
      <c r="EY89" s="30"/>
      <c r="EZ89" s="30"/>
      <c r="FA89" s="30"/>
      <c r="FB89" s="30"/>
      <c r="FC89" s="30"/>
      <c r="FD89" s="30"/>
      <c r="FE89" s="30"/>
      <c r="FF89" s="30"/>
      <c r="FG89" s="30"/>
      <c r="FH89" s="30"/>
      <c r="FI89" s="30"/>
      <c r="FJ89" s="30"/>
      <c r="FK89" s="30"/>
      <c r="FL89" s="30"/>
      <c r="FM89" s="30"/>
      <c r="FN89" s="30"/>
      <c r="FO89" s="30"/>
      <c r="FP89" s="30"/>
      <c r="FQ89" s="30"/>
      <c r="FR89" s="30"/>
      <c r="FS89" s="30"/>
      <c r="FT89" s="30"/>
      <c r="FU89" s="30"/>
      <c r="FV89" s="30"/>
      <c r="FW89" s="30"/>
      <c r="FX89" s="30"/>
      <c r="FY89" s="30"/>
      <c r="FZ89" s="30"/>
      <c r="GA89" s="30"/>
      <c r="GB89" s="30"/>
      <c r="GC89" s="30"/>
      <c r="GD89" s="30"/>
      <c r="GE89" s="30"/>
      <c r="GF89" s="30"/>
      <c r="GG89" s="30"/>
      <c r="GH89" s="30"/>
      <c r="GI89" s="30"/>
      <c r="GJ89" s="30"/>
      <c r="GK89" s="30"/>
      <c r="GL89" s="30"/>
      <c r="GM89" s="30"/>
      <c r="GN89" s="30"/>
      <c r="GO89" s="30"/>
      <c r="GP89" s="30"/>
      <c r="GQ89" s="30"/>
      <c r="GR89" s="30"/>
      <c r="GS89" s="30"/>
      <c r="GT89" s="30"/>
      <c r="GU89" s="30"/>
      <c r="GV89" s="30"/>
      <c r="GW89" s="30"/>
      <c r="GX89" s="30"/>
      <c r="GY89" s="30"/>
      <c r="GZ89" s="30"/>
      <c r="HA89" s="30"/>
      <c r="HB89" s="30"/>
      <c r="HC89" s="30"/>
      <c r="HD89" s="30"/>
      <c r="HE89" s="30"/>
      <c r="HF89" s="30"/>
      <c r="HG89" s="30"/>
      <c r="HH89" s="30"/>
      <c r="HI89" s="30"/>
      <c r="HJ89" s="30"/>
      <c r="HK89" s="30"/>
      <c r="HL89" s="30"/>
      <c r="HM89" s="30"/>
      <c r="HN89" s="30"/>
      <c r="HO89" s="30"/>
      <c r="HP89" s="30"/>
      <c r="HQ89" s="30"/>
      <c r="HR89" s="30"/>
      <c r="HS89" s="30"/>
      <c r="HT89" s="30"/>
      <c r="HU89" s="30"/>
      <c r="HV89" s="30"/>
      <c r="HW89" s="30"/>
      <c r="HX89" s="30"/>
      <c r="HY89" s="30"/>
      <c r="HZ89" s="30"/>
      <c r="IA89" s="30"/>
      <c r="IB89" s="30"/>
      <c r="IC89" s="30"/>
      <c r="ID89" s="30"/>
      <c r="IE89" s="30"/>
      <c r="IF89" s="30"/>
      <c r="IG89" s="30"/>
      <c r="IH89" s="30"/>
      <c r="II89" s="30"/>
      <c r="IJ89" s="30"/>
      <c r="IK89" s="30"/>
      <c r="IL89" s="30"/>
      <c r="IM89" s="30"/>
      <c r="IN89" s="30"/>
      <c r="IO89" s="30"/>
      <c r="IP89" s="30"/>
      <c r="IQ89" s="30"/>
      <c r="IR89" s="30"/>
      <c r="IS89" s="30"/>
      <c r="IT89" s="30"/>
      <c r="IU89" s="30"/>
      <c r="IV89" s="30"/>
      <c r="IW89" s="30"/>
      <c r="IX89" s="30"/>
      <c r="IY89" s="30"/>
      <c r="IZ89" s="30"/>
      <c r="JA89" s="30"/>
      <c r="JB89" s="30"/>
      <c r="JC89" s="30"/>
      <c r="JD89" s="30"/>
      <c r="JE89" s="30"/>
      <c r="JF89" s="30"/>
      <c r="JG89" s="30"/>
      <c r="JH89" s="30"/>
      <c r="JI89" s="30"/>
      <c r="JJ89" s="30"/>
      <c r="JK89" s="30"/>
      <c r="JL89" s="30"/>
      <c r="JM89" s="30"/>
      <c r="JN89" s="30"/>
      <c r="JO89" s="30"/>
      <c r="JP89" s="30"/>
      <c r="JQ89" s="30"/>
      <c r="JR89" s="30"/>
      <c r="JS89" s="30"/>
      <c r="JT89" s="30"/>
      <c r="JU89" s="30"/>
      <c r="JV89" s="30"/>
      <c r="JW89" s="30"/>
      <c r="JX89" s="30"/>
      <c r="JY89" s="30"/>
      <c r="JZ89" s="30"/>
      <c r="KA89" s="30"/>
      <c r="KB89" s="30"/>
      <c r="KC89" s="30"/>
      <c r="KD89" s="30"/>
      <c r="KE89" s="30"/>
      <c r="KF89" s="30"/>
      <c r="KG89" s="30"/>
      <c r="KH89" s="30"/>
      <c r="KI89" s="30"/>
      <c r="KJ89" s="30"/>
      <c r="KK89" s="30"/>
      <c r="KL89" s="30"/>
      <c r="KM89" s="30"/>
      <c r="KN89" s="30"/>
      <c r="KO89" s="30"/>
      <c r="KP89" s="1630"/>
    </row>
    <row r="90" spans="1:302" s="97" customFormat="1" ht="19.5" customHeight="1" outlineLevel="1">
      <c r="A90" s="1994" t="s">
        <v>784</v>
      </c>
      <c r="B90" s="1691"/>
      <c r="C90" s="255" t="s">
        <v>656</v>
      </c>
      <c r="D90" s="255" t="s">
        <v>657</v>
      </c>
      <c r="E90" s="255"/>
      <c r="F90" s="378"/>
      <c r="G90" s="371"/>
      <c r="H90" s="349" t="s">
        <v>26</v>
      </c>
      <c r="I90" s="2936"/>
      <c r="J90" s="362" t="s">
        <v>26</v>
      </c>
      <c r="K90" s="355"/>
      <c r="L90" s="358"/>
      <c r="M90" s="358"/>
      <c r="N90" s="358"/>
      <c r="O90" s="1510">
        <v>5792280</v>
      </c>
      <c r="P90" s="358"/>
      <c r="Q90" s="358"/>
      <c r="R90" s="358"/>
      <c r="S90" s="1510">
        <f t="shared" si="99"/>
        <v>0</v>
      </c>
      <c r="T90" s="389"/>
      <c r="U90" s="1746"/>
      <c r="V90" s="1746"/>
      <c r="W90" s="1744">
        <f t="shared" si="92"/>
        <v>5792280</v>
      </c>
      <c r="X90" s="359" t="s">
        <v>26</v>
      </c>
      <c r="Y90" s="389"/>
      <c r="Z90" s="1746"/>
      <c r="AA90" s="1509"/>
      <c r="AB90" s="2598">
        <f t="shared" si="97"/>
        <v>5792280</v>
      </c>
      <c r="AC90" s="1444"/>
      <c r="AD90" s="1444"/>
      <c r="AE90" s="1687"/>
      <c r="AF90" s="354"/>
      <c r="AG90" s="354"/>
      <c r="AH90" s="354">
        <f t="shared" si="83"/>
        <v>0</v>
      </c>
      <c r="AI90" s="355">
        <f t="shared" ca="1" si="94"/>
        <v>0</v>
      </c>
      <c r="AJ90" s="356">
        <f t="shared" ca="1" si="1"/>
        <v>0</v>
      </c>
      <c r="AK90" s="2185"/>
      <c r="AL90" s="260"/>
      <c r="AM90" s="2258"/>
      <c r="AN90" s="2258"/>
      <c r="AO90" s="359"/>
      <c r="AP90" s="360"/>
      <c r="AQ90" s="359"/>
      <c r="AR90" s="359"/>
      <c r="AS90" s="359"/>
      <c r="AT90" s="360"/>
      <c r="AU90" s="377"/>
      <c r="AV90" s="377"/>
      <c r="AW90" s="377"/>
      <c r="AX90" s="377"/>
      <c r="AY90" s="360"/>
      <c r="AZ90" s="2258">
        <v>965380</v>
      </c>
      <c r="BA90" s="359">
        <v>965380</v>
      </c>
      <c r="BB90" s="359">
        <v>965380</v>
      </c>
      <c r="BC90" s="359">
        <v>965380</v>
      </c>
      <c r="BD90" s="359">
        <v>965380</v>
      </c>
      <c r="BE90" s="359">
        <v>965380</v>
      </c>
      <c r="BF90" s="359"/>
      <c r="BG90" s="359"/>
      <c r="BH90" s="359"/>
      <c r="BI90" s="380"/>
      <c r="BJ90" s="359"/>
      <c r="BK90" s="2122"/>
      <c r="BL90" s="380"/>
      <c r="BM90" s="380"/>
      <c r="BN90" s="380"/>
      <c r="BO90" s="380"/>
      <c r="BP90" s="380"/>
      <c r="BQ90" s="2087"/>
      <c r="BR90" s="359"/>
      <c r="BS90" s="359"/>
      <c r="BT90" s="359"/>
      <c r="BU90" s="364"/>
      <c r="BV90" s="364"/>
      <c r="BW90" s="2366"/>
      <c r="BX90" s="2463"/>
      <c r="BY90" s="2543"/>
      <c r="BZ90" s="2543"/>
      <c r="CA90" s="2591">
        <f t="shared" si="138"/>
        <v>5792280</v>
      </c>
      <c r="CB90" s="2377">
        <f t="shared" si="139"/>
        <v>1</v>
      </c>
      <c r="CC90" s="365">
        <f t="shared" si="140"/>
        <v>1.726435876718667E-7</v>
      </c>
      <c r="CD90" s="366"/>
      <c r="CE90" s="343"/>
      <c r="CF90" s="343"/>
      <c r="CG90" s="340"/>
      <c r="CH90" s="367"/>
      <c r="CI90" s="368"/>
      <c r="CJ90" s="368"/>
      <c r="CK90" s="369"/>
      <c r="CL90" s="329">
        <f t="shared" si="130"/>
        <v>0</v>
      </c>
      <c r="CM90" s="330">
        <f t="shared" ca="1" si="131"/>
        <v>0</v>
      </c>
      <c r="CN90" s="331">
        <f t="shared" ca="1" si="14"/>
        <v>-5792280</v>
      </c>
      <c r="CO90" s="86"/>
      <c r="CP90" s="86"/>
      <c r="CQ90" s="1641"/>
      <c r="CR90" s="86"/>
      <c r="CS90" s="86"/>
      <c r="CT90" s="86"/>
      <c r="CU90" s="86"/>
      <c r="CV90" s="86"/>
      <c r="CW90" s="86"/>
      <c r="CX90" s="86"/>
      <c r="CY90" s="86"/>
      <c r="CZ90" s="86"/>
      <c r="DA90" s="86"/>
      <c r="DB90" s="1642"/>
      <c r="DC90" s="1642"/>
      <c r="DD90" s="30"/>
      <c r="DE90" s="30"/>
      <c r="DF90" s="30"/>
      <c r="DG90" s="1642"/>
      <c r="DH90" s="1642"/>
      <c r="DI90" s="1642"/>
      <c r="DJ90" s="1642"/>
      <c r="DK90" s="1642"/>
      <c r="DL90" s="1642"/>
      <c r="DM90" s="1642"/>
      <c r="DN90" s="1642"/>
      <c r="DO90" s="1642"/>
      <c r="DP90" s="1642"/>
      <c r="DQ90" s="1642"/>
      <c r="DR90" s="1642"/>
      <c r="DS90" s="1642"/>
      <c r="DT90" s="1642"/>
      <c r="DU90" s="1642"/>
      <c r="DV90" s="1642"/>
      <c r="DW90" s="1642"/>
      <c r="DX90" s="1642"/>
      <c r="DY90" s="1642"/>
      <c r="DZ90" s="1642"/>
      <c r="EA90" s="1642"/>
      <c r="EB90" s="1642"/>
      <c r="EC90" s="1642"/>
      <c r="ED90" s="1642"/>
      <c r="EE90" s="1642"/>
      <c r="EF90" s="1642"/>
      <c r="EG90" s="1642"/>
      <c r="EH90" s="1643"/>
      <c r="EI90" s="1658"/>
      <c r="EJ90" s="30"/>
      <c r="EK90" s="30"/>
      <c r="EL90" s="30"/>
      <c r="EM90" s="30"/>
      <c r="EN90" s="30"/>
      <c r="EO90" s="30"/>
      <c r="EP90" s="30"/>
      <c r="EQ90" s="30"/>
      <c r="ER90" s="30"/>
      <c r="ES90" s="30"/>
      <c r="ET90" s="30"/>
      <c r="EU90" s="30"/>
      <c r="EV90" s="30"/>
      <c r="EW90" s="30"/>
      <c r="EX90" s="30"/>
      <c r="EY90" s="30"/>
      <c r="EZ90" s="30"/>
      <c r="FA90" s="30"/>
      <c r="FB90" s="30"/>
      <c r="FC90" s="30"/>
      <c r="FD90" s="30"/>
      <c r="FE90" s="30"/>
      <c r="FF90" s="30"/>
      <c r="FG90" s="30"/>
      <c r="FH90" s="30"/>
      <c r="FI90" s="30"/>
      <c r="FJ90" s="30"/>
      <c r="FK90" s="30"/>
      <c r="FL90" s="30"/>
      <c r="FM90" s="30"/>
      <c r="FN90" s="30"/>
      <c r="FO90" s="30"/>
      <c r="FP90" s="30"/>
      <c r="FQ90" s="30"/>
      <c r="FR90" s="30"/>
      <c r="FS90" s="30"/>
      <c r="FT90" s="30"/>
      <c r="FU90" s="30"/>
      <c r="FV90" s="30"/>
      <c r="FW90" s="30"/>
      <c r="FX90" s="30"/>
      <c r="FY90" s="30"/>
      <c r="FZ90" s="30"/>
      <c r="GA90" s="30"/>
      <c r="GB90" s="30"/>
      <c r="GC90" s="30"/>
      <c r="GD90" s="30"/>
      <c r="GE90" s="30"/>
      <c r="GF90" s="30"/>
      <c r="GG90" s="30"/>
      <c r="GH90" s="30"/>
      <c r="GI90" s="30"/>
      <c r="GJ90" s="30"/>
      <c r="GK90" s="30"/>
      <c r="GL90" s="30"/>
      <c r="GM90" s="30"/>
      <c r="GN90" s="30"/>
      <c r="GO90" s="30"/>
      <c r="GP90" s="30"/>
      <c r="GQ90" s="30"/>
      <c r="GR90" s="30"/>
      <c r="GS90" s="30"/>
      <c r="GT90" s="30"/>
      <c r="GU90" s="30"/>
      <c r="GV90" s="30"/>
      <c r="GW90" s="30"/>
      <c r="GX90" s="30"/>
      <c r="GY90" s="30"/>
      <c r="GZ90" s="30"/>
      <c r="HA90" s="30"/>
      <c r="HB90" s="30"/>
      <c r="HC90" s="30"/>
      <c r="HD90" s="30"/>
      <c r="HE90" s="30"/>
      <c r="HF90" s="30"/>
      <c r="HG90" s="30"/>
      <c r="HH90" s="30"/>
      <c r="HI90" s="30"/>
      <c r="HJ90" s="30"/>
      <c r="HK90" s="30"/>
      <c r="HL90" s="30"/>
      <c r="HM90" s="30"/>
      <c r="HN90" s="30"/>
      <c r="HO90" s="30"/>
      <c r="HP90" s="30"/>
      <c r="HQ90" s="30"/>
      <c r="HR90" s="30"/>
      <c r="HS90" s="30"/>
      <c r="HT90" s="30"/>
      <c r="HU90" s="30"/>
      <c r="HV90" s="30"/>
      <c r="HW90" s="30"/>
      <c r="HX90" s="30"/>
      <c r="HY90" s="30"/>
      <c r="HZ90" s="30"/>
      <c r="IA90" s="30"/>
      <c r="IB90" s="30"/>
      <c r="IC90" s="30"/>
      <c r="ID90" s="30"/>
      <c r="IE90" s="30"/>
      <c r="IF90" s="30"/>
      <c r="IG90" s="30"/>
      <c r="IH90" s="30"/>
      <c r="II90" s="30"/>
      <c r="IJ90" s="30"/>
      <c r="IK90" s="30"/>
      <c r="IL90" s="30"/>
      <c r="IM90" s="30"/>
      <c r="IN90" s="30"/>
      <c r="IO90" s="30"/>
      <c r="IP90" s="30"/>
      <c r="IQ90" s="30"/>
      <c r="IR90" s="30"/>
      <c r="IS90" s="30"/>
      <c r="IT90" s="30"/>
      <c r="IU90" s="30"/>
      <c r="IV90" s="30"/>
      <c r="IW90" s="30"/>
      <c r="IX90" s="30"/>
      <c r="IY90" s="30"/>
      <c r="IZ90" s="30"/>
      <c r="JA90" s="30"/>
      <c r="JB90" s="30"/>
      <c r="JC90" s="30"/>
      <c r="JD90" s="30"/>
      <c r="JE90" s="30"/>
      <c r="JF90" s="30"/>
      <c r="JG90" s="30"/>
      <c r="JH90" s="30"/>
      <c r="JI90" s="30"/>
      <c r="JJ90" s="30"/>
      <c r="JK90" s="30"/>
      <c r="JL90" s="30"/>
      <c r="JM90" s="30"/>
      <c r="JN90" s="30"/>
      <c r="JO90" s="30"/>
      <c r="JP90" s="30"/>
      <c r="JQ90" s="30"/>
      <c r="JR90" s="30"/>
      <c r="JS90" s="30"/>
      <c r="JT90" s="30"/>
      <c r="JU90" s="30"/>
      <c r="JV90" s="30"/>
      <c r="JW90" s="30"/>
      <c r="JX90" s="30"/>
      <c r="JY90" s="30"/>
      <c r="JZ90" s="30"/>
      <c r="KA90" s="30"/>
      <c r="KB90" s="30"/>
      <c r="KC90" s="30"/>
      <c r="KD90" s="30"/>
      <c r="KE90" s="30"/>
      <c r="KF90" s="30"/>
      <c r="KG90" s="30"/>
      <c r="KH90" s="30"/>
      <c r="KI90" s="30"/>
      <c r="KJ90" s="30"/>
      <c r="KK90" s="30"/>
      <c r="KL90" s="30"/>
      <c r="KM90" s="30"/>
      <c r="KN90" s="30"/>
      <c r="KO90" s="30"/>
      <c r="KP90" s="1630"/>
    </row>
    <row r="91" spans="1:302" s="97" customFormat="1" ht="21.75" customHeight="1" outlineLevel="1">
      <c r="A91" s="2656" t="s">
        <v>785</v>
      </c>
      <c r="B91" s="1689"/>
      <c r="C91" s="261" t="s">
        <v>658</v>
      </c>
      <c r="D91" s="1689" t="s">
        <v>659</v>
      </c>
      <c r="E91" s="261"/>
      <c r="F91" s="378"/>
      <c r="G91" s="371"/>
      <c r="H91" s="349" t="s">
        <v>26</v>
      </c>
      <c r="I91" s="2936"/>
      <c r="J91" s="362" t="s">
        <v>26</v>
      </c>
      <c r="K91" s="355"/>
      <c r="L91" s="358"/>
      <c r="M91" s="358"/>
      <c r="N91" s="358"/>
      <c r="O91" s="1510">
        <v>241171</v>
      </c>
      <c r="P91" s="358"/>
      <c r="Q91" s="358"/>
      <c r="R91" s="358"/>
      <c r="S91" s="1510">
        <f t="shared" si="99"/>
        <v>0</v>
      </c>
      <c r="T91" s="389"/>
      <c r="U91" s="1746"/>
      <c r="V91" s="1746"/>
      <c r="W91" s="1744">
        <v>241171</v>
      </c>
      <c r="X91" s="359" t="s">
        <v>26</v>
      </c>
      <c r="Y91" s="389"/>
      <c r="Z91" s="1746"/>
      <c r="AA91" s="1509"/>
      <c r="AB91" s="2598">
        <f t="shared" si="97"/>
        <v>241171.00020000001</v>
      </c>
      <c r="AC91" s="1444"/>
      <c r="AD91" s="1444"/>
      <c r="AE91" s="1687"/>
      <c r="AF91" s="354"/>
      <c r="AG91" s="354"/>
      <c r="AH91" s="354">
        <f t="shared" si="83"/>
        <v>0</v>
      </c>
      <c r="AI91" s="355">
        <f t="shared" ca="1" si="94"/>
        <v>0</v>
      </c>
      <c r="AJ91" s="356">
        <f t="shared" ca="1" si="1"/>
        <v>0</v>
      </c>
      <c r="AK91" s="2185"/>
      <c r="AL91" s="260"/>
      <c r="AM91" s="2258"/>
      <c r="AN91" s="2258"/>
      <c r="AO91" s="359"/>
      <c r="AP91" s="360"/>
      <c r="AQ91" s="359"/>
      <c r="AR91" s="359"/>
      <c r="AS91" s="359"/>
      <c r="AT91" s="360"/>
      <c r="AU91" s="359"/>
      <c r="AV91" s="359"/>
      <c r="AW91" s="359"/>
      <c r="AX91" s="359"/>
      <c r="AY91" s="360"/>
      <c r="AZ91" s="2258">
        <v>40195.166700000002</v>
      </c>
      <c r="BA91" s="359">
        <v>40195.166700000002</v>
      </c>
      <c r="BB91" s="380">
        <v>40195.166700000002</v>
      </c>
      <c r="BC91" s="359">
        <v>40195.166700000002</v>
      </c>
      <c r="BD91" s="359">
        <v>40195.166700000002</v>
      </c>
      <c r="BE91" s="359">
        <v>40195.166700000002</v>
      </c>
      <c r="BF91" s="359"/>
      <c r="BG91" s="359"/>
      <c r="BH91" s="359"/>
      <c r="BI91" s="380"/>
      <c r="BJ91" s="359"/>
      <c r="BK91" s="2122"/>
      <c r="BL91" s="380"/>
      <c r="BM91" s="380"/>
      <c r="BN91" s="380"/>
      <c r="BO91" s="380"/>
      <c r="BP91" s="380"/>
      <c r="BQ91" s="2087"/>
      <c r="BR91" s="359"/>
      <c r="BS91" s="359"/>
      <c r="BT91" s="359"/>
      <c r="BU91" s="364"/>
      <c r="BV91" s="364"/>
      <c r="BW91" s="2366"/>
      <c r="BX91" s="2463"/>
      <c r="BY91" s="2543"/>
      <c r="BZ91" s="2543"/>
      <c r="CA91" s="2591">
        <f t="shared" si="138"/>
        <v>241171.00020000001</v>
      </c>
      <c r="CB91" s="2377">
        <f t="shared" si="139"/>
        <v>1</v>
      </c>
      <c r="CC91" s="365">
        <f t="shared" si="140"/>
        <v>4.1464355132694761E-6</v>
      </c>
      <c r="CD91" s="366"/>
      <c r="CE91" s="343"/>
      <c r="CF91" s="343"/>
      <c r="CG91" s="340"/>
      <c r="CH91" s="367"/>
      <c r="CI91" s="368"/>
      <c r="CJ91" s="368"/>
      <c r="CK91" s="369"/>
      <c r="CL91" s="329">
        <f t="shared" si="130"/>
        <v>-2.0000000949949026E-4</v>
      </c>
      <c r="CM91" s="330">
        <f t="shared" ca="1" si="131"/>
        <v>0</v>
      </c>
      <c r="CN91" s="331">
        <f t="shared" ref="CN91:CN163" ca="1" si="141">SUM(AN91:AY91)-CA91-AI91</f>
        <v>-241171.00020000001</v>
      </c>
      <c r="CO91" s="86"/>
      <c r="CP91" s="86"/>
      <c r="CQ91" s="1641"/>
      <c r="CR91" s="86"/>
      <c r="CS91" s="86"/>
      <c r="CT91" s="86"/>
      <c r="CU91" s="86"/>
      <c r="CV91" s="86"/>
      <c r="CW91" s="86"/>
      <c r="CX91" s="86"/>
      <c r="CY91" s="86"/>
      <c r="CZ91" s="86"/>
      <c r="DA91" s="86"/>
      <c r="DB91" s="1642"/>
      <c r="DC91" s="1642"/>
      <c r="DD91" s="30"/>
      <c r="DE91" s="30"/>
      <c r="DF91" s="30"/>
      <c r="DG91" s="1642"/>
      <c r="DH91" s="1642"/>
      <c r="DI91" s="1642"/>
      <c r="DJ91" s="1642"/>
      <c r="DK91" s="1642"/>
      <c r="DL91" s="1642"/>
      <c r="DM91" s="1642"/>
      <c r="DN91" s="1642"/>
      <c r="DO91" s="1642"/>
      <c r="DP91" s="1642"/>
      <c r="DQ91" s="1642"/>
      <c r="DR91" s="1642"/>
      <c r="DS91" s="1642"/>
      <c r="DT91" s="1642"/>
      <c r="DU91" s="1642"/>
      <c r="DV91" s="1642"/>
      <c r="DW91" s="1642"/>
      <c r="DX91" s="1642"/>
      <c r="DY91" s="1642"/>
      <c r="DZ91" s="1642"/>
      <c r="EA91" s="1642"/>
      <c r="EB91" s="1642"/>
      <c r="EC91" s="1642"/>
      <c r="ED91" s="1642"/>
      <c r="EE91" s="1642"/>
      <c r="EF91" s="1642"/>
      <c r="EG91" s="1642"/>
      <c r="EH91" s="1643"/>
      <c r="EI91" s="1658"/>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0"/>
      <c r="HS91" s="30"/>
      <c r="HT91" s="30"/>
      <c r="HU91" s="30"/>
      <c r="HV91" s="30"/>
      <c r="HW91" s="30"/>
      <c r="HX91" s="30"/>
      <c r="HY91" s="30"/>
      <c r="HZ91" s="30"/>
      <c r="IA91" s="30"/>
      <c r="IB91" s="30"/>
      <c r="IC91" s="30"/>
      <c r="ID91" s="30"/>
      <c r="IE91" s="30"/>
      <c r="IF91" s="30"/>
      <c r="IG91" s="30"/>
      <c r="IH91" s="30"/>
      <c r="II91" s="30"/>
      <c r="IJ91" s="30"/>
      <c r="IK91" s="30"/>
      <c r="IL91" s="30"/>
      <c r="IM91" s="30"/>
      <c r="IN91" s="30"/>
      <c r="IO91" s="30"/>
      <c r="IP91" s="30"/>
      <c r="IQ91" s="30"/>
      <c r="IR91" s="30"/>
      <c r="IS91" s="30"/>
      <c r="IT91" s="30"/>
      <c r="IU91" s="30"/>
      <c r="IV91" s="30"/>
      <c r="IW91" s="30"/>
      <c r="IX91" s="30"/>
      <c r="IY91" s="30"/>
      <c r="IZ91" s="30"/>
      <c r="JA91" s="30"/>
      <c r="JB91" s="30"/>
      <c r="JC91" s="30"/>
      <c r="JD91" s="30"/>
      <c r="JE91" s="30"/>
      <c r="JF91" s="30"/>
      <c r="JG91" s="30"/>
      <c r="JH91" s="30"/>
      <c r="JI91" s="30"/>
      <c r="JJ91" s="30"/>
      <c r="JK91" s="30"/>
      <c r="JL91" s="30"/>
      <c r="JM91" s="30"/>
      <c r="JN91" s="30"/>
      <c r="JO91" s="30"/>
      <c r="JP91" s="30"/>
      <c r="JQ91" s="30"/>
      <c r="JR91" s="30"/>
      <c r="JS91" s="30"/>
      <c r="JT91" s="30"/>
      <c r="JU91" s="30"/>
      <c r="JV91" s="30"/>
      <c r="JW91" s="30"/>
      <c r="JX91" s="30"/>
      <c r="JY91" s="30"/>
      <c r="JZ91" s="30"/>
      <c r="KA91" s="30"/>
      <c r="KB91" s="30"/>
      <c r="KC91" s="30"/>
      <c r="KD91" s="30"/>
      <c r="KE91" s="30"/>
      <c r="KF91" s="30"/>
      <c r="KG91" s="30"/>
      <c r="KH91" s="30"/>
      <c r="KI91" s="30"/>
      <c r="KJ91" s="30"/>
      <c r="KK91" s="30"/>
      <c r="KL91" s="30"/>
      <c r="KM91" s="30"/>
      <c r="KN91" s="30"/>
      <c r="KO91" s="30"/>
      <c r="KP91" s="1630"/>
    </row>
    <row r="92" spans="1:302" s="97" customFormat="1" ht="31.5" customHeight="1" outlineLevel="1">
      <c r="A92" s="2656" t="s">
        <v>786</v>
      </c>
      <c r="B92" s="1689"/>
      <c r="C92" s="261" t="s">
        <v>660</v>
      </c>
      <c r="D92" s="1711" t="s">
        <v>661</v>
      </c>
      <c r="E92" s="261"/>
      <c r="F92" s="347"/>
      <c r="G92" s="348"/>
      <c r="H92" s="349" t="s">
        <v>26</v>
      </c>
      <c r="I92" s="2936"/>
      <c r="J92" s="362" t="s">
        <v>26</v>
      </c>
      <c r="K92" s="355"/>
      <c r="L92" s="358"/>
      <c r="M92" s="358"/>
      <c r="N92" s="358"/>
      <c r="O92" s="1510">
        <v>419580</v>
      </c>
      <c r="P92" s="358"/>
      <c r="Q92" s="358"/>
      <c r="R92" s="358"/>
      <c r="S92" s="1510">
        <f t="shared" si="99"/>
        <v>0</v>
      </c>
      <c r="T92" s="389"/>
      <c r="U92" s="1746"/>
      <c r="V92" s="1746"/>
      <c r="W92" s="1744">
        <f t="shared" si="92"/>
        <v>419580</v>
      </c>
      <c r="X92" s="359" t="s">
        <v>26</v>
      </c>
      <c r="Y92" s="389"/>
      <c r="Z92" s="1746"/>
      <c r="AA92" s="1509"/>
      <c r="AB92" s="1510">
        <f t="shared" si="97"/>
        <v>419580</v>
      </c>
      <c r="AC92" s="1444"/>
      <c r="AD92" s="1444"/>
      <c r="AE92" s="1687"/>
      <c r="AF92" s="361"/>
      <c r="AG92" s="354"/>
      <c r="AH92" s="354">
        <f t="shared" si="83"/>
        <v>0</v>
      </c>
      <c r="AI92" s="355">
        <f t="shared" ca="1" si="94"/>
        <v>0</v>
      </c>
      <c r="AJ92" s="356">
        <f t="shared" ca="1" si="1"/>
        <v>0</v>
      </c>
      <c r="AK92" s="2185"/>
      <c r="AL92" s="260"/>
      <c r="AM92" s="2257"/>
      <c r="AN92" s="2257"/>
      <c r="AO92" s="377"/>
      <c r="AP92" s="360"/>
      <c r="AQ92" s="359"/>
      <c r="AR92" s="359"/>
      <c r="AS92" s="359"/>
      <c r="AT92" s="390"/>
      <c r="AU92" s="359"/>
      <c r="AV92" s="359"/>
      <c r="AW92" s="359"/>
      <c r="AX92" s="359"/>
      <c r="AY92" s="360"/>
      <c r="AZ92" s="2258">
        <v>69930</v>
      </c>
      <c r="BA92" s="359">
        <v>69930</v>
      </c>
      <c r="BB92" s="1348">
        <v>69930</v>
      </c>
      <c r="BC92" s="359">
        <v>69930</v>
      </c>
      <c r="BD92" s="359">
        <v>69930</v>
      </c>
      <c r="BE92" s="359">
        <v>69930</v>
      </c>
      <c r="BF92" s="359"/>
      <c r="BG92" s="359"/>
      <c r="BH92" s="359"/>
      <c r="BI92" s="380"/>
      <c r="BJ92" s="359"/>
      <c r="BK92" s="2122"/>
      <c r="BL92" s="380"/>
      <c r="BM92" s="380"/>
      <c r="BN92" s="380"/>
      <c r="BO92" s="380"/>
      <c r="BP92" s="380"/>
      <c r="BQ92" s="2087"/>
      <c r="BR92" s="359"/>
      <c r="BS92" s="359"/>
      <c r="BT92" s="359"/>
      <c r="BU92" s="364"/>
      <c r="BV92" s="364"/>
      <c r="BW92" s="2366"/>
      <c r="BX92" s="2463"/>
      <c r="BY92" s="2543"/>
      <c r="BZ92" s="2543"/>
      <c r="CA92" s="2591">
        <f t="shared" si="138"/>
        <v>419580</v>
      </c>
      <c r="CB92" s="2377">
        <f t="shared" si="139"/>
        <v>1</v>
      </c>
      <c r="CC92" s="365">
        <f t="shared" si="140"/>
        <v>2.3833357166690498E-6</v>
      </c>
      <c r="CD92" s="366"/>
      <c r="CE92" s="343"/>
      <c r="CF92" s="343"/>
      <c r="CG92" s="340"/>
      <c r="CH92" s="367"/>
      <c r="CI92" s="368"/>
      <c r="CJ92" s="368"/>
      <c r="CK92" s="369"/>
      <c r="CL92" s="329">
        <f t="shared" si="130"/>
        <v>0</v>
      </c>
      <c r="CM92" s="330">
        <f t="shared" ca="1" si="131"/>
        <v>0</v>
      </c>
      <c r="CN92" s="331">
        <f t="shared" ca="1" si="141"/>
        <v>-419580</v>
      </c>
      <c r="CO92" s="86"/>
      <c r="CP92" s="86"/>
      <c r="CQ92" s="1641"/>
      <c r="CR92" s="86"/>
      <c r="CS92" s="86"/>
      <c r="CT92" s="86"/>
      <c r="CU92" s="86"/>
      <c r="CV92" s="86"/>
      <c r="CW92" s="86"/>
      <c r="CX92" s="86"/>
      <c r="CY92" s="86"/>
      <c r="CZ92" s="86"/>
      <c r="DA92" s="86"/>
      <c r="DB92" s="1642"/>
      <c r="DC92" s="1642"/>
      <c r="DD92" s="30"/>
      <c r="DE92" s="30"/>
      <c r="DF92" s="30"/>
      <c r="DG92" s="1642"/>
      <c r="DH92" s="1642"/>
      <c r="DI92" s="1642"/>
      <c r="DJ92" s="1642"/>
      <c r="DK92" s="1642"/>
      <c r="DL92" s="1642"/>
      <c r="DM92" s="1642"/>
      <c r="DN92" s="1642"/>
      <c r="DO92" s="1642"/>
      <c r="DP92" s="1642"/>
      <c r="DQ92" s="1642"/>
      <c r="DR92" s="1642"/>
      <c r="DS92" s="1642"/>
      <c r="DT92" s="1642"/>
      <c r="DU92" s="1642"/>
      <c r="DV92" s="1642"/>
      <c r="DW92" s="1642"/>
      <c r="DX92" s="1642"/>
      <c r="DY92" s="1642"/>
      <c r="DZ92" s="1642"/>
      <c r="EA92" s="1642"/>
      <c r="EB92" s="1642"/>
      <c r="EC92" s="1642"/>
      <c r="ED92" s="1642"/>
      <c r="EE92" s="1642"/>
      <c r="EF92" s="1642"/>
      <c r="EG92" s="1642"/>
      <c r="EH92" s="1643"/>
      <c r="EI92" s="1658"/>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0"/>
      <c r="HP92" s="30"/>
      <c r="HQ92" s="30"/>
      <c r="HR92" s="30"/>
      <c r="HS92" s="30"/>
      <c r="HT92" s="30"/>
      <c r="HU92" s="30"/>
      <c r="HV92" s="30"/>
      <c r="HW92" s="30"/>
      <c r="HX92" s="30"/>
      <c r="HY92" s="30"/>
      <c r="HZ92" s="30"/>
      <c r="IA92" s="30"/>
      <c r="IB92" s="30"/>
      <c r="IC92" s="30"/>
      <c r="ID92" s="30"/>
      <c r="IE92" s="30"/>
      <c r="IF92" s="30"/>
      <c r="IG92" s="30"/>
      <c r="IH92" s="30"/>
      <c r="II92" s="30"/>
      <c r="IJ92" s="30"/>
      <c r="IK92" s="30"/>
      <c r="IL92" s="30"/>
      <c r="IM92" s="30"/>
      <c r="IN92" s="30"/>
      <c r="IO92" s="30"/>
      <c r="IP92" s="30"/>
      <c r="IQ92" s="30"/>
      <c r="IR92" s="30"/>
      <c r="IS92" s="30"/>
      <c r="IT92" s="30"/>
      <c r="IU92" s="30"/>
      <c r="IV92" s="30"/>
      <c r="IW92" s="30"/>
      <c r="IX92" s="30"/>
      <c r="IY92" s="30"/>
      <c r="IZ92" s="30"/>
      <c r="JA92" s="30"/>
      <c r="JB92" s="30"/>
      <c r="JC92" s="30"/>
      <c r="JD92" s="30"/>
      <c r="JE92" s="30"/>
      <c r="JF92" s="30"/>
      <c r="JG92" s="30"/>
      <c r="JH92" s="30"/>
      <c r="JI92" s="30"/>
      <c r="JJ92" s="30"/>
      <c r="JK92" s="30"/>
      <c r="JL92" s="30"/>
      <c r="JM92" s="30"/>
      <c r="JN92" s="30"/>
      <c r="JO92" s="30"/>
      <c r="JP92" s="30"/>
      <c r="JQ92" s="30"/>
      <c r="JR92" s="30"/>
      <c r="JS92" s="30"/>
      <c r="JT92" s="30"/>
      <c r="JU92" s="30"/>
      <c r="JV92" s="30"/>
      <c r="JW92" s="30"/>
      <c r="JX92" s="30"/>
      <c r="JY92" s="30"/>
      <c r="JZ92" s="30"/>
      <c r="KA92" s="30"/>
      <c r="KB92" s="30"/>
      <c r="KC92" s="30"/>
      <c r="KD92" s="30"/>
      <c r="KE92" s="30"/>
      <c r="KF92" s="30"/>
      <c r="KG92" s="30"/>
      <c r="KH92" s="30"/>
      <c r="KI92" s="30"/>
      <c r="KJ92" s="30"/>
      <c r="KK92" s="30"/>
      <c r="KL92" s="30"/>
      <c r="KM92" s="30"/>
      <c r="KN92" s="30"/>
      <c r="KO92" s="30"/>
      <c r="KP92" s="1630"/>
    </row>
    <row r="93" spans="1:302" s="97" customFormat="1" ht="21.75" customHeight="1" outlineLevel="1">
      <c r="A93" s="2656" t="s">
        <v>787</v>
      </c>
      <c r="B93" s="1689"/>
      <c r="C93" s="261" t="s">
        <v>662</v>
      </c>
      <c r="D93" s="1689" t="s">
        <v>663</v>
      </c>
      <c r="E93" s="261"/>
      <c r="F93" s="347"/>
      <c r="G93" s="348"/>
      <c r="H93" s="349" t="s">
        <v>26</v>
      </c>
      <c r="I93" s="2936"/>
      <c r="J93" s="362" t="s">
        <v>26</v>
      </c>
      <c r="K93" s="355"/>
      <c r="L93" s="358"/>
      <c r="M93" s="358"/>
      <c r="N93" s="358"/>
      <c r="O93" s="1510">
        <v>308662</v>
      </c>
      <c r="P93" s="383"/>
      <c r="Q93" s="383"/>
      <c r="R93" s="383"/>
      <c r="S93" s="1510">
        <f t="shared" si="99"/>
        <v>0</v>
      </c>
      <c r="T93" s="389"/>
      <c r="U93" s="1746"/>
      <c r="V93" s="1746"/>
      <c r="W93" s="1744">
        <v>308662</v>
      </c>
      <c r="X93" s="359" t="s">
        <v>26</v>
      </c>
      <c r="Y93" s="389"/>
      <c r="Z93" s="1746"/>
      <c r="AA93" s="1509"/>
      <c r="AB93" s="1510">
        <f t="shared" si="97"/>
        <v>308662.00020000001</v>
      </c>
      <c r="AC93" s="1680"/>
      <c r="AD93" s="1680"/>
      <c r="AE93" s="1687"/>
      <c r="AF93" s="1686"/>
      <c r="AG93" s="354"/>
      <c r="AH93" s="354">
        <f t="shared" si="83"/>
        <v>0</v>
      </c>
      <c r="AI93" s="355">
        <f t="shared" ca="1" si="94"/>
        <v>0</v>
      </c>
      <c r="AJ93" s="356">
        <f t="shared" ca="1" si="1"/>
        <v>0</v>
      </c>
      <c r="AK93" s="2185"/>
      <c r="AL93" s="260"/>
      <c r="AM93" s="2258"/>
      <c r="AN93" s="2258"/>
      <c r="AO93" s="359"/>
      <c r="AP93" s="359"/>
      <c r="AQ93" s="359"/>
      <c r="AR93" s="359"/>
      <c r="AS93" s="359"/>
      <c r="AT93" s="390"/>
      <c r="AU93" s="359"/>
      <c r="AV93" s="359"/>
      <c r="AW93" s="377"/>
      <c r="AX93" s="359"/>
      <c r="AY93" s="390"/>
      <c r="AZ93" s="2258">
        <v>51443.666700000002</v>
      </c>
      <c r="BA93" s="359">
        <v>51443.666700000002</v>
      </c>
      <c r="BB93" s="359">
        <v>51443.666700000002</v>
      </c>
      <c r="BC93" s="359">
        <v>51443.666700000002</v>
      </c>
      <c r="BD93" s="359">
        <v>51443.666700000002</v>
      </c>
      <c r="BE93" s="362">
        <v>51443.666700000002</v>
      </c>
      <c r="BF93" s="362"/>
      <c r="BG93" s="362"/>
      <c r="BH93" s="362"/>
      <c r="BI93" s="414"/>
      <c r="BJ93" s="362"/>
      <c r="BK93" s="2123"/>
      <c r="BL93" s="414"/>
      <c r="BM93" s="414"/>
      <c r="BN93" s="414"/>
      <c r="BO93" s="414"/>
      <c r="BP93" s="414"/>
      <c r="BQ93" s="2399"/>
      <c r="BR93" s="362"/>
      <c r="BS93" s="362"/>
      <c r="BT93" s="362"/>
      <c r="BU93" s="364"/>
      <c r="BV93" s="364"/>
      <c r="BW93" s="2366"/>
      <c r="BX93" s="2463"/>
      <c r="BY93" s="2543"/>
      <c r="BZ93" s="2543"/>
      <c r="CA93" s="2591">
        <f t="shared" ref="CA93:CA104" si="142">SUMIF($AM$10:$BZ$10,$CA$9,AM93:BZ93)</f>
        <v>308662.00020000001</v>
      </c>
      <c r="CB93" s="2377">
        <f t="shared" ref="CB93:CB104" si="143">IF($AB93&lt;&gt;0,CA93/$AB93,"")</f>
        <v>1</v>
      </c>
      <c r="CC93" s="365">
        <f t="shared" ref="CC93:CC104" si="144">IF($AB93&lt;&gt;0,CB93/$AB93,"")</f>
        <v>3.2397898003383703E-6</v>
      </c>
      <c r="CD93" s="365">
        <f t="shared" ref="CD93:CF93" si="145">IF($AB93&lt;&gt;0,CC93/$AB93,"")</f>
        <v>1.0496237950376537E-11</v>
      </c>
      <c r="CE93" s="365">
        <f t="shared" si="145"/>
        <v>3.4005604653554427E-17</v>
      </c>
      <c r="CF93" s="365">
        <f t="shared" si="145"/>
        <v>1.1017101111092464E-22</v>
      </c>
      <c r="CG93" s="340"/>
      <c r="CH93" s="367"/>
      <c r="CI93" s="368"/>
      <c r="CJ93" s="368"/>
      <c r="CK93" s="369"/>
      <c r="CL93" s="329">
        <f t="shared" si="130"/>
        <v>-2.0000000949949026E-4</v>
      </c>
      <c r="CM93" s="330">
        <f t="shared" ca="1" si="131"/>
        <v>0</v>
      </c>
      <c r="CN93" s="331">
        <f t="shared" ca="1" si="141"/>
        <v>-308662.00020000001</v>
      </c>
      <c r="CO93" s="86"/>
      <c r="CP93" s="86"/>
      <c r="CQ93" s="1641"/>
      <c r="CR93" s="86"/>
      <c r="CS93" s="86"/>
      <c r="CT93" s="86"/>
      <c r="CU93" s="86"/>
      <c r="CV93" s="86"/>
      <c r="CW93" s="86"/>
      <c r="CX93" s="86"/>
      <c r="CY93" s="86"/>
      <c r="CZ93" s="86"/>
      <c r="DA93" s="86"/>
      <c r="DB93" s="1642"/>
      <c r="DC93" s="1642"/>
      <c r="DD93" s="30"/>
      <c r="DE93" s="30"/>
      <c r="DF93" s="30"/>
      <c r="DG93" s="1642"/>
      <c r="DH93" s="1642"/>
      <c r="DI93" s="1642"/>
      <c r="DJ93" s="1642"/>
      <c r="DK93" s="1642"/>
      <c r="DL93" s="1642"/>
      <c r="DM93" s="1642"/>
      <c r="DN93" s="1642"/>
      <c r="DO93" s="1642"/>
      <c r="DP93" s="1642"/>
      <c r="DQ93" s="1642"/>
      <c r="DR93" s="1642"/>
      <c r="DS93" s="1642"/>
      <c r="DT93" s="1642"/>
      <c r="DU93" s="1642"/>
      <c r="DV93" s="1642"/>
      <c r="DW93" s="1642"/>
      <c r="DX93" s="1642"/>
      <c r="DY93" s="1642"/>
      <c r="DZ93" s="1642"/>
      <c r="EA93" s="1642"/>
      <c r="EB93" s="1642"/>
      <c r="EC93" s="1642"/>
      <c r="ED93" s="1642"/>
      <c r="EE93" s="1642"/>
      <c r="EF93" s="1642"/>
      <c r="EG93" s="1642"/>
      <c r="EH93" s="1643"/>
      <c r="EI93" s="1658"/>
      <c r="EJ93" s="30"/>
      <c r="EK93" s="30"/>
      <c r="EL93" s="30"/>
      <c r="EM93" s="30"/>
      <c r="EN93" s="30"/>
      <c r="EO93" s="30"/>
      <c r="EP93" s="30"/>
      <c r="EQ93" s="30"/>
      <c r="ER93" s="30"/>
      <c r="ES93" s="30"/>
      <c r="ET93" s="30"/>
      <c r="EU93" s="30"/>
      <c r="EV93" s="30"/>
      <c r="EW93" s="30"/>
      <c r="EX93" s="30"/>
      <c r="EY93" s="30"/>
      <c r="EZ93" s="30"/>
      <c r="FA93" s="30"/>
      <c r="FB93" s="30"/>
      <c r="FC93" s="30"/>
      <c r="FD93" s="30"/>
      <c r="FE93" s="30"/>
      <c r="FF93" s="30"/>
      <c r="FG93" s="30"/>
      <c r="FH93" s="30"/>
      <c r="FI93" s="30"/>
      <c r="FJ93" s="30"/>
      <c r="FK93" s="30"/>
      <c r="FL93" s="30"/>
      <c r="FM93" s="30"/>
      <c r="FN93" s="30"/>
      <c r="FO93" s="30"/>
      <c r="FP93" s="30"/>
      <c r="FQ93" s="30"/>
      <c r="FR93" s="30"/>
      <c r="FS93" s="30"/>
      <c r="FT93" s="30"/>
      <c r="FU93" s="30"/>
      <c r="FV93" s="30"/>
      <c r="FW93" s="30"/>
      <c r="FX93" s="30"/>
      <c r="FY93" s="30"/>
      <c r="FZ93" s="30"/>
      <c r="GA93" s="30"/>
      <c r="GB93" s="30"/>
      <c r="GC93" s="30"/>
      <c r="GD93" s="30"/>
      <c r="GE93" s="30"/>
      <c r="GF93" s="30"/>
      <c r="GG93" s="30"/>
      <c r="GH93" s="30"/>
      <c r="GI93" s="30"/>
      <c r="GJ93" s="30"/>
      <c r="GK93" s="30"/>
      <c r="GL93" s="30"/>
      <c r="GM93" s="30"/>
      <c r="GN93" s="30"/>
      <c r="GO93" s="30"/>
      <c r="GP93" s="30"/>
      <c r="GQ93" s="30"/>
      <c r="GR93" s="30"/>
      <c r="GS93" s="30"/>
      <c r="GT93" s="30"/>
      <c r="GU93" s="30"/>
      <c r="GV93" s="30"/>
      <c r="GW93" s="30"/>
      <c r="GX93" s="30"/>
      <c r="GY93" s="30"/>
      <c r="GZ93" s="30"/>
      <c r="HA93" s="30"/>
      <c r="HB93" s="30"/>
      <c r="HC93" s="30"/>
      <c r="HD93" s="30"/>
      <c r="HE93" s="30"/>
      <c r="HF93" s="30"/>
      <c r="HG93" s="30"/>
      <c r="HH93" s="30"/>
      <c r="HI93" s="30"/>
      <c r="HJ93" s="30"/>
      <c r="HK93" s="30"/>
      <c r="HL93" s="30"/>
      <c r="HM93" s="30"/>
      <c r="HN93" s="30"/>
      <c r="HO93" s="30"/>
      <c r="HP93" s="30"/>
      <c r="HQ93" s="30"/>
      <c r="HR93" s="30"/>
      <c r="HS93" s="30"/>
      <c r="HT93" s="30"/>
      <c r="HU93" s="30"/>
      <c r="HV93" s="30"/>
      <c r="HW93" s="30"/>
      <c r="HX93" s="30"/>
      <c r="HY93" s="30"/>
      <c r="HZ93" s="30"/>
      <c r="IA93" s="30"/>
      <c r="IB93" s="30"/>
      <c r="IC93" s="30"/>
      <c r="ID93" s="30"/>
      <c r="IE93" s="30"/>
      <c r="IF93" s="30"/>
      <c r="IG93" s="30"/>
      <c r="IH93" s="30"/>
      <c r="II93" s="30"/>
      <c r="IJ93" s="30"/>
      <c r="IK93" s="30"/>
      <c r="IL93" s="30"/>
      <c r="IM93" s="30"/>
      <c r="IN93" s="30"/>
      <c r="IO93" s="30"/>
      <c r="IP93" s="30"/>
      <c r="IQ93" s="30"/>
      <c r="IR93" s="30"/>
      <c r="IS93" s="30"/>
      <c r="IT93" s="30"/>
      <c r="IU93" s="30"/>
      <c r="IV93" s="30"/>
      <c r="IW93" s="30"/>
      <c r="IX93" s="30"/>
      <c r="IY93" s="30"/>
      <c r="IZ93" s="30"/>
      <c r="JA93" s="30"/>
      <c r="JB93" s="30"/>
      <c r="JC93" s="30"/>
      <c r="JD93" s="30"/>
      <c r="JE93" s="30"/>
      <c r="JF93" s="30"/>
      <c r="JG93" s="30"/>
      <c r="JH93" s="30"/>
      <c r="JI93" s="30"/>
      <c r="JJ93" s="30"/>
      <c r="JK93" s="30"/>
      <c r="JL93" s="30"/>
      <c r="JM93" s="30"/>
      <c r="JN93" s="30"/>
      <c r="JO93" s="30"/>
      <c r="JP93" s="30"/>
      <c r="JQ93" s="30"/>
      <c r="JR93" s="30"/>
      <c r="JS93" s="30"/>
      <c r="JT93" s="30"/>
      <c r="JU93" s="30"/>
      <c r="JV93" s="30"/>
      <c r="JW93" s="30"/>
      <c r="JX93" s="30"/>
      <c r="JY93" s="30"/>
      <c r="JZ93" s="30"/>
      <c r="KA93" s="30"/>
      <c r="KB93" s="30"/>
      <c r="KC93" s="30"/>
      <c r="KD93" s="30"/>
      <c r="KE93" s="30"/>
      <c r="KF93" s="30"/>
      <c r="KG93" s="30"/>
      <c r="KH93" s="30"/>
      <c r="KI93" s="30"/>
      <c r="KJ93" s="30"/>
      <c r="KK93" s="30"/>
      <c r="KL93" s="30"/>
      <c r="KM93" s="30"/>
      <c r="KN93" s="30"/>
      <c r="KO93" s="30"/>
      <c r="KP93" s="1630"/>
    </row>
    <row r="94" spans="1:302" s="97" customFormat="1" ht="21.75" customHeight="1" outlineLevel="1">
      <c r="A94" s="2656" t="s">
        <v>788</v>
      </c>
      <c r="B94" s="1689"/>
      <c r="C94" s="261" t="s">
        <v>664</v>
      </c>
      <c r="D94" s="1689" t="s">
        <v>665</v>
      </c>
      <c r="E94" s="261"/>
      <c r="F94" s="347"/>
      <c r="G94" s="348"/>
      <c r="H94" s="349" t="s">
        <v>26</v>
      </c>
      <c r="I94" s="2936"/>
      <c r="J94" s="362" t="s">
        <v>26</v>
      </c>
      <c r="K94" s="355"/>
      <c r="L94" s="358"/>
      <c r="M94" s="358"/>
      <c r="N94" s="358"/>
      <c r="O94" s="1510">
        <v>77076</v>
      </c>
      <c r="P94" s="383"/>
      <c r="Q94" s="383"/>
      <c r="R94" s="383"/>
      <c r="S94" s="1510">
        <f t="shared" si="99"/>
        <v>0</v>
      </c>
      <c r="T94" s="389"/>
      <c r="U94" s="1746"/>
      <c r="V94" s="1746"/>
      <c r="W94" s="1744">
        <f t="shared" si="92"/>
        <v>77076</v>
      </c>
      <c r="X94" s="359" t="s">
        <v>26</v>
      </c>
      <c r="Y94" s="389"/>
      <c r="Z94" s="1746"/>
      <c r="AA94" s="1509"/>
      <c r="AB94" s="1510">
        <f t="shared" si="97"/>
        <v>77076</v>
      </c>
      <c r="AC94" s="1680"/>
      <c r="AD94" s="1680"/>
      <c r="AE94" s="1687"/>
      <c r="AF94" s="1686"/>
      <c r="AG94" s="354"/>
      <c r="AH94" s="354">
        <f t="shared" si="83"/>
        <v>0</v>
      </c>
      <c r="AI94" s="355">
        <f t="shared" ca="1" si="94"/>
        <v>0</v>
      </c>
      <c r="AJ94" s="356">
        <f t="shared" ca="1" si="1"/>
        <v>0</v>
      </c>
      <c r="AK94" s="2185"/>
      <c r="AL94" s="260"/>
      <c r="AM94" s="2258"/>
      <c r="AN94" s="2258"/>
      <c r="AO94" s="359"/>
      <c r="AP94" s="359"/>
      <c r="AQ94" s="359"/>
      <c r="AR94" s="359"/>
      <c r="AS94" s="359"/>
      <c r="AT94" s="390"/>
      <c r="AU94" s="359"/>
      <c r="AV94" s="359"/>
      <c r="AW94" s="377"/>
      <c r="AX94" s="359"/>
      <c r="AY94" s="390"/>
      <c r="AZ94" s="2258">
        <v>12846</v>
      </c>
      <c r="BA94" s="359">
        <v>12846</v>
      </c>
      <c r="BB94" s="359">
        <v>12846</v>
      </c>
      <c r="BC94" s="377">
        <v>12846</v>
      </c>
      <c r="BD94" s="377">
        <v>12846</v>
      </c>
      <c r="BE94" s="362">
        <v>12846</v>
      </c>
      <c r="BF94" s="362"/>
      <c r="BG94" s="362"/>
      <c r="BH94" s="362"/>
      <c r="BI94" s="414"/>
      <c r="BJ94" s="362"/>
      <c r="BK94" s="2123"/>
      <c r="BL94" s="414"/>
      <c r="BM94" s="414"/>
      <c r="BN94" s="414"/>
      <c r="BO94" s="414"/>
      <c r="BP94" s="414"/>
      <c r="BQ94" s="2399"/>
      <c r="BR94" s="362"/>
      <c r="BS94" s="362"/>
      <c r="BT94" s="362"/>
      <c r="BU94" s="364"/>
      <c r="BV94" s="364"/>
      <c r="BW94" s="2366"/>
      <c r="BX94" s="2463"/>
      <c r="BY94" s="2543"/>
      <c r="BZ94" s="2543"/>
      <c r="CA94" s="2591">
        <f t="shared" ref="CA94:CA101" si="146">SUMIF($AM$10:$BZ$10,$CA$9,AM94:BZ94)</f>
        <v>77076</v>
      </c>
      <c r="CB94" s="2377">
        <f t="shared" ref="CB94:CB101" si="147">IF($AB94&lt;&gt;0,CA94/$AB94,"")</f>
        <v>1</v>
      </c>
      <c r="CC94" s="365">
        <f t="shared" ref="CC94:CC101" si="148">IF($AB94&lt;&gt;0,CB94/$AB94,"")</f>
        <v>1.2974207275935441E-5</v>
      </c>
      <c r="CD94" s="365"/>
      <c r="CE94" s="365"/>
      <c r="CF94" s="365"/>
      <c r="CG94" s="340"/>
      <c r="CH94" s="367"/>
      <c r="CI94" s="368"/>
      <c r="CJ94" s="368"/>
      <c r="CK94" s="369"/>
      <c r="CL94" s="329">
        <f t="shared" si="130"/>
        <v>0</v>
      </c>
      <c r="CM94" s="330">
        <f t="shared" ca="1" si="131"/>
        <v>0</v>
      </c>
      <c r="CN94" s="331">
        <f t="shared" ca="1" si="141"/>
        <v>-77076</v>
      </c>
      <c r="CO94" s="86"/>
      <c r="CP94" s="86"/>
      <c r="CQ94" s="1641"/>
      <c r="CR94" s="86"/>
      <c r="CS94" s="86"/>
      <c r="CT94" s="86"/>
      <c r="CU94" s="86"/>
      <c r="CV94" s="86"/>
      <c r="CW94" s="86"/>
      <c r="CX94" s="86"/>
      <c r="CY94" s="86"/>
      <c r="CZ94" s="86"/>
      <c r="DA94" s="86"/>
      <c r="DB94" s="1642"/>
      <c r="DC94" s="1642"/>
      <c r="DD94" s="30"/>
      <c r="DE94" s="30"/>
      <c r="DF94" s="30"/>
      <c r="DG94" s="1642"/>
      <c r="DH94" s="1642"/>
      <c r="DI94" s="1642"/>
      <c r="DJ94" s="1642"/>
      <c r="DK94" s="1642"/>
      <c r="DL94" s="1642"/>
      <c r="DM94" s="1642"/>
      <c r="DN94" s="1642"/>
      <c r="DO94" s="1642"/>
      <c r="DP94" s="1642"/>
      <c r="DQ94" s="1642"/>
      <c r="DR94" s="1642"/>
      <c r="DS94" s="1642"/>
      <c r="DT94" s="1642"/>
      <c r="DU94" s="1642"/>
      <c r="DV94" s="1642"/>
      <c r="DW94" s="1642"/>
      <c r="DX94" s="1642"/>
      <c r="DY94" s="1642"/>
      <c r="DZ94" s="1642"/>
      <c r="EA94" s="1642"/>
      <c r="EB94" s="1642"/>
      <c r="EC94" s="1642"/>
      <c r="ED94" s="1642"/>
      <c r="EE94" s="1642"/>
      <c r="EF94" s="1642"/>
      <c r="EG94" s="1642"/>
      <c r="EH94" s="1643"/>
      <c r="EI94" s="1658"/>
      <c r="EJ94" s="30"/>
      <c r="EK94" s="30"/>
      <c r="EL94" s="30"/>
      <c r="EM94" s="30"/>
      <c r="EN94" s="30"/>
      <c r="EO94" s="30"/>
      <c r="EP94" s="30"/>
      <c r="EQ94" s="30"/>
      <c r="ER94" s="30"/>
      <c r="ES94" s="30"/>
      <c r="ET94" s="30"/>
      <c r="EU94" s="30"/>
      <c r="EV94" s="30"/>
      <c r="EW94" s="30"/>
      <c r="EX94" s="30"/>
      <c r="EY94" s="30"/>
      <c r="EZ94" s="30"/>
      <c r="FA94" s="30"/>
      <c r="FB94" s="30"/>
      <c r="FC94" s="30"/>
      <c r="FD94" s="30"/>
      <c r="FE94" s="30"/>
      <c r="FF94" s="30"/>
      <c r="FG94" s="30"/>
      <c r="FH94" s="30"/>
      <c r="FI94" s="30"/>
      <c r="FJ94" s="30"/>
      <c r="FK94" s="30"/>
      <c r="FL94" s="30"/>
      <c r="FM94" s="30"/>
      <c r="FN94" s="30"/>
      <c r="FO94" s="30"/>
      <c r="FP94" s="30"/>
      <c r="FQ94" s="30"/>
      <c r="FR94" s="30"/>
      <c r="FS94" s="30"/>
      <c r="FT94" s="30"/>
      <c r="FU94" s="30"/>
      <c r="FV94" s="30"/>
      <c r="FW94" s="30"/>
      <c r="FX94" s="30"/>
      <c r="FY94" s="30"/>
      <c r="FZ94" s="30"/>
      <c r="GA94" s="30"/>
      <c r="GB94" s="30"/>
      <c r="GC94" s="30"/>
      <c r="GD94" s="30"/>
      <c r="GE94" s="30"/>
      <c r="GF94" s="30"/>
      <c r="GG94" s="30"/>
      <c r="GH94" s="30"/>
      <c r="GI94" s="30"/>
      <c r="GJ94" s="30"/>
      <c r="GK94" s="30"/>
      <c r="GL94" s="30"/>
      <c r="GM94" s="30"/>
      <c r="GN94" s="30"/>
      <c r="GO94" s="30"/>
      <c r="GP94" s="30"/>
      <c r="GQ94" s="30"/>
      <c r="GR94" s="30"/>
      <c r="GS94" s="30"/>
      <c r="GT94" s="30"/>
      <c r="GU94" s="30"/>
      <c r="GV94" s="30"/>
      <c r="GW94" s="30"/>
      <c r="GX94" s="30"/>
      <c r="GY94" s="30"/>
      <c r="GZ94" s="30"/>
      <c r="HA94" s="30"/>
      <c r="HB94" s="30"/>
      <c r="HC94" s="30"/>
      <c r="HD94" s="30"/>
      <c r="HE94" s="30"/>
      <c r="HF94" s="30"/>
      <c r="HG94" s="30"/>
      <c r="HH94" s="30"/>
      <c r="HI94" s="30"/>
      <c r="HJ94" s="30"/>
      <c r="HK94" s="30"/>
      <c r="HL94" s="30"/>
      <c r="HM94" s="30"/>
      <c r="HN94" s="30"/>
      <c r="HO94" s="30"/>
      <c r="HP94" s="30"/>
      <c r="HQ94" s="30"/>
      <c r="HR94" s="30"/>
      <c r="HS94" s="30"/>
      <c r="HT94" s="30"/>
      <c r="HU94" s="30"/>
      <c r="HV94" s="30"/>
      <c r="HW94" s="30"/>
      <c r="HX94" s="30"/>
      <c r="HY94" s="30"/>
      <c r="HZ94" s="30"/>
      <c r="IA94" s="30"/>
      <c r="IB94" s="30"/>
      <c r="IC94" s="30"/>
      <c r="ID94" s="30"/>
      <c r="IE94" s="30"/>
      <c r="IF94" s="30"/>
      <c r="IG94" s="30"/>
      <c r="IH94" s="30"/>
      <c r="II94" s="30"/>
      <c r="IJ94" s="30"/>
      <c r="IK94" s="30"/>
      <c r="IL94" s="30"/>
      <c r="IM94" s="30"/>
      <c r="IN94" s="30"/>
      <c r="IO94" s="30"/>
      <c r="IP94" s="30"/>
      <c r="IQ94" s="30"/>
      <c r="IR94" s="30"/>
      <c r="IS94" s="30"/>
      <c r="IT94" s="30"/>
      <c r="IU94" s="30"/>
      <c r="IV94" s="30"/>
      <c r="IW94" s="30"/>
      <c r="IX94" s="30"/>
      <c r="IY94" s="30"/>
      <c r="IZ94" s="30"/>
      <c r="JA94" s="30"/>
      <c r="JB94" s="30"/>
      <c r="JC94" s="30"/>
      <c r="JD94" s="30"/>
      <c r="JE94" s="30"/>
      <c r="JF94" s="30"/>
      <c r="JG94" s="30"/>
      <c r="JH94" s="30"/>
      <c r="JI94" s="30"/>
      <c r="JJ94" s="30"/>
      <c r="JK94" s="30"/>
      <c r="JL94" s="30"/>
      <c r="JM94" s="30"/>
      <c r="JN94" s="30"/>
      <c r="JO94" s="30"/>
      <c r="JP94" s="30"/>
      <c r="JQ94" s="30"/>
      <c r="JR94" s="30"/>
      <c r="JS94" s="30"/>
      <c r="JT94" s="30"/>
      <c r="JU94" s="30"/>
      <c r="JV94" s="30"/>
      <c r="JW94" s="30"/>
      <c r="JX94" s="30"/>
      <c r="JY94" s="30"/>
      <c r="JZ94" s="30"/>
      <c r="KA94" s="30"/>
      <c r="KB94" s="30"/>
      <c r="KC94" s="30"/>
      <c r="KD94" s="30"/>
      <c r="KE94" s="30"/>
      <c r="KF94" s="30"/>
      <c r="KG94" s="30"/>
      <c r="KH94" s="30"/>
      <c r="KI94" s="30"/>
      <c r="KJ94" s="30"/>
      <c r="KK94" s="30"/>
      <c r="KL94" s="30"/>
      <c r="KM94" s="30"/>
      <c r="KN94" s="30"/>
      <c r="KO94" s="30"/>
      <c r="KP94" s="1630"/>
    </row>
    <row r="95" spans="1:302" s="97" customFormat="1" ht="21.75" customHeight="1" outlineLevel="1">
      <c r="A95" s="2656" t="s">
        <v>789</v>
      </c>
      <c r="B95" s="1689"/>
      <c r="C95" s="262" t="s">
        <v>319</v>
      </c>
      <c r="D95" s="1689" t="s">
        <v>666</v>
      </c>
      <c r="E95" s="262"/>
      <c r="F95" s="347"/>
      <c r="G95" s="348"/>
      <c r="H95" s="349" t="s">
        <v>26</v>
      </c>
      <c r="I95" s="2936"/>
      <c r="J95" s="362" t="s">
        <v>26</v>
      </c>
      <c r="K95" s="355"/>
      <c r="L95" s="358"/>
      <c r="M95" s="358"/>
      <c r="N95" s="358"/>
      <c r="O95" s="1510">
        <v>150018</v>
      </c>
      <c r="P95" s="383"/>
      <c r="Q95" s="383"/>
      <c r="R95" s="383"/>
      <c r="S95" s="1510">
        <f t="shared" si="99"/>
        <v>0</v>
      </c>
      <c r="T95" s="389"/>
      <c r="U95" s="1746"/>
      <c r="V95" s="1746"/>
      <c r="W95" s="1744">
        <v>150018</v>
      </c>
      <c r="X95" s="359" t="s">
        <v>26</v>
      </c>
      <c r="Y95" s="389"/>
      <c r="Z95" s="1746"/>
      <c r="AA95" s="1509"/>
      <c r="AB95" s="1510">
        <f t="shared" si="97"/>
        <v>150018.00030000001</v>
      </c>
      <c r="AC95" s="1680"/>
      <c r="AD95" s="1680"/>
      <c r="AE95" s="1687"/>
      <c r="AF95" s="1686"/>
      <c r="AG95" s="354"/>
      <c r="AH95" s="354">
        <f t="shared" si="83"/>
        <v>0</v>
      </c>
      <c r="AI95" s="355">
        <f t="shared" ca="1" si="94"/>
        <v>0</v>
      </c>
      <c r="AJ95" s="356">
        <f t="shared" ca="1" si="1"/>
        <v>0</v>
      </c>
      <c r="AK95" s="2185"/>
      <c r="AL95" s="260"/>
      <c r="AM95" s="2258"/>
      <c r="AN95" s="2258"/>
      <c r="AO95" s="359"/>
      <c r="AP95" s="359"/>
      <c r="AQ95" s="359"/>
      <c r="AR95" s="359"/>
      <c r="AS95" s="359"/>
      <c r="AT95" s="390"/>
      <c r="AU95" s="359"/>
      <c r="AV95" s="359"/>
      <c r="AW95" s="377"/>
      <c r="AX95" s="359"/>
      <c r="AY95" s="390"/>
      <c r="AZ95" s="2273"/>
      <c r="BA95" s="497"/>
      <c r="BB95" s="359"/>
      <c r="BC95" s="359"/>
      <c r="BD95" s="359"/>
      <c r="BE95" s="362">
        <v>21431.142899999999</v>
      </c>
      <c r="BF95" s="362">
        <v>21431.142899999999</v>
      </c>
      <c r="BG95" s="362">
        <v>21431.142899999999</v>
      </c>
      <c r="BH95" s="362">
        <v>21431.142899999999</v>
      </c>
      <c r="BI95" s="414">
        <v>21431.142899999999</v>
      </c>
      <c r="BJ95" s="362">
        <v>21431.142899999999</v>
      </c>
      <c r="BK95" s="2123">
        <v>21431.142899999999</v>
      </c>
      <c r="BL95" s="414"/>
      <c r="BM95" s="414"/>
      <c r="BN95" s="414"/>
      <c r="BO95" s="414"/>
      <c r="BP95" s="414"/>
      <c r="BQ95" s="2399"/>
      <c r="BR95" s="362"/>
      <c r="BS95" s="362"/>
      <c r="BT95" s="362"/>
      <c r="BU95" s="364"/>
      <c r="BV95" s="364"/>
      <c r="BW95" s="2366"/>
      <c r="BX95" s="2463"/>
      <c r="BY95" s="2543"/>
      <c r="BZ95" s="2543"/>
      <c r="CA95" s="2591">
        <f t="shared" si="146"/>
        <v>150018.00030000001</v>
      </c>
      <c r="CB95" s="2377">
        <f t="shared" si="147"/>
        <v>1</v>
      </c>
      <c r="CC95" s="365">
        <f t="shared" si="148"/>
        <v>6.6658667493250137E-6</v>
      </c>
      <c r="CD95" s="365"/>
      <c r="CE95" s="365"/>
      <c r="CF95" s="365"/>
      <c r="CG95" s="340"/>
      <c r="CH95" s="367"/>
      <c r="CI95" s="368"/>
      <c r="CJ95" s="368"/>
      <c r="CK95" s="369"/>
      <c r="CL95" s="329">
        <f t="shared" si="130"/>
        <v>-3.0000001424923539E-4</v>
      </c>
      <c r="CM95" s="330">
        <f t="shared" ca="1" si="131"/>
        <v>0</v>
      </c>
      <c r="CN95" s="331">
        <f t="shared" ca="1" si="141"/>
        <v>-150018.00030000001</v>
      </c>
      <c r="CO95" s="86"/>
      <c r="CP95" s="86"/>
      <c r="CQ95" s="1641"/>
      <c r="CR95" s="86"/>
      <c r="CS95" s="86"/>
      <c r="CT95" s="86"/>
      <c r="CU95" s="86"/>
      <c r="CV95" s="86"/>
      <c r="CW95" s="86"/>
      <c r="CX95" s="86"/>
      <c r="CY95" s="86"/>
      <c r="CZ95" s="86"/>
      <c r="DA95" s="86"/>
      <c r="DB95" s="1642"/>
      <c r="DC95" s="1642"/>
      <c r="DD95" s="30"/>
      <c r="DE95" s="30"/>
      <c r="DF95" s="30"/>
      <c r="DG95" s="1642"/>
      <c r="DH95" s="1642"/>
      <c r="DI95" s="1642"/>
      <c r="DJ95" s="1642"/>
      <c r="DK95" s="1642"/>
      <c r="DL95" s="1642"/>
      <c r="DM95" s="1642"/>
      <c r="DN95" s="1642"/>
      <c r="DO95" s="1642"/>
      <c r="DP95" s="1642"/>
      <c r="DQ95" s="1642"/>
      <c r="DR95" s="1642"/>
      <c r="DS95" s="1642"/>
      <c r="DT95" s="1642"/>
      <c r="DU95" s="1642"/>
      <c r="DV95" s="1642"/>
      <c r="DW95" s="1642"/>
      <c r="DX95" s="1642"/>
      <c r="DY95" s="1642"/>
      <c r="DZ95" s="1642"/>
      <c r="EA95" s="1642"/>
      <c r="EB95" s="1642"/>
      <c r="EC95" s="1642"/>
      <c r="ED95" s="1642"/>
      <c r="EE95" s="1642"/>
      <c r="EF95" s="1642"/>
      <c r="EG95" s="1642"/>
      <c r="EH95" s="1643"/>
      <c r="EI95" s="1658"/>
      <c r="EJ95" s="30"/>
      <c r="EK95" s="30"/>
      <c r="EL95" s="30"/>
      <c r="EM95" s="30"/>
      <c r="EN95" s="30"/>
      <c r="EO95" s="30"/>
      <c r="EP95" s="30"/>
      <c r="EQ95" s="30"/>
      <c r="ER95" s="30"/>
      <c r="ES95" s="30"/>
      <c r="ET95" s="30"/>
      <c r="EU95" s="30"/>
      <c r="EV95" s="30"/>
      <c r="EW95" s="30"/>
      <c r="EX95" s="30"/>
      <c r="EY95" s="30"/>
      <c r="EZ95" s="30"/>
      <c r="FA95" s="30"/>
      <c r="FB95" s="30"/>
      <c r="FC95" s="30"/>
      <c r="FD95" s="30"/>
      <c r="FE95" s="30"/>
      <c r="FF95" s="30"/>
      <c r="FG95" s="30"/>
      <c r="FH95" s="30"/>
      <c r="FI95" s="30"/>
      <c r="FJ95" s="30"/>
      <c r="FK95" s="30"/>
      <c r="FL95" s="30"/>
      <c r="FM95" s="30"/>
      <c r="FN95" s="30"/>
      <c r="FO95" s="30"/>
      <c r="FP95" s="30"/>
      <c r="FQ95" s="30"/>
      <c r="FR95" s="30"/>
      <c r="FS95" s="30"/>
      <c r="FT95" s="30"/>
      <c r="FU95" s="30"/>
      <c r="FV95" s="30"/>
      <c r="FW95" s="30"/>
      <c r="FX95" s="30"/>
      <c r="FY95" s="30"/>
      <c r="FZ95" s="30"/>
      <c r="GA95" s="30"/>
      <c r="GB95" s="30"/>
      <c r="GC95" s="30"/>
      <c r="GD95" s="30"/>
      <c r="GE95" s="30"/>
      <c r="GF95" s="30"/>
      <c r="GG95" s="30"/>
      <c r="GH95" s="30"/>
      <c r="GI95" s="30"/>
      <c r="GJ95" s="30"/>
      <c r="GK95" s="30"/>
      <c r="GL95" s="30"/>
      <c r="GM95" s="30"/>
      <c r="GN95" s="30"/>
      <c r="GO95" s="30"/>
      <c r="GP95" s="30"/>
      <c r="GQ95" s="30"/>
      <c r="GR95" s="30"/>
      <c r="GS95" s="30"/>
      <c r="GT95" s="30"/>
      <c r="GU95" s="30"/>
      <c r="GV95" s="30"/>
      <c r="GW95" s="30"/>
      <c r="GX95" s="30"/>
      <c r="GY95" s="30"/>
      <c r="GZ95" s="30"/>
      <c r="HA95" s="30"/>
      <c r="HB95" s="30"/>
      <c r="HC95" s="30"/>
      <c r="HD95" s="30"/>
      <c r="HE95" s="30"/>
      <c r="HF95" s="30"/>
      <c r="HG95" s="30"/>
      <c r="HH95" s="30"/>
      <c r="HI95" s="30"/>
      <c r="HJ95" s="30"/>
      <c r="HK95" s="30"/>
      <c r="HL95" s="30"/>
      <c r="HM95" s="30"/>
      <c r="HN95" s="30"/>
      <c r="HO95" s="30"/>
      <c r="HP95" s="30"/>
      <c r="HQ95" s="30"/>
      <c r="HR95" s="30"/>
      <c r="HS95" s="30"/>
      <c r="HT95" s="30"/>
      <c r="HU95" s="30"/>
      <c r="HV95" s="30"/>
      <c r="HW95" s="30"/>
      <c r="HX95" s="30"/>
      <c r="HY95" s="30"/>
      <c r="HZ95" s="30"/>
      <c r="IA95" s="30"/>
      <c r="IB95" s="30"/>
      <c r="IC95" s="30"/>
      <c r="ID95" s="30"/>
      <c r="IE95" s="30"/>
      <c r="IF95" s="30"/>
      <c r="IG95" s="30"/>
      <c r="IH95" s="30"/>
      <c r="II95" s="30"/>
      <c r="IJ95" s="30"/>
      <c r="IK95" s="30"/>
      <c r="IL95" s="30"/>
      <c r="IM95" s="30"/>
      <c r="IN95" s="30"/>
      <c r="IO95" s="30"/>
      <c r="IP95" s="30"/>
      <c r="IQ95" s="30"/>
      <c r="IR95" s="30"/>
      <c r="IS95" s="30"/>
      <c r="IT95" s="30"/>
      <c r="IU95" s="30"/>
      <c r="IV95" s="30"/>
      <c r="IW95" s="30"/>
      <c r="IX95" s="30"/>
      <c r="IY95" s="30"/>
      <c r="IZ95" s="30"/>
      <c r="JA95" s="30"/>
      <c r="JB95" s="30"/>
      <c r="JC95" s="30"/>
      <c r="JD95" s="30"/>
      <c r="JE95" s="30"/>
      <c r="JF95" s="30"/>
      <c r="JG95" s="30"/>
      <c r="JH95" s="30"/>
      <c r="JI95" s="30"/>
      <c r="JJ95" s="30"/>
      <c r="JK95" s="30"/>
      <c r="JL95" s="30"/>
      <c r="JM95" s="30"/>
      <c r="JN95" s="30"/>
      <c r="JO95" s="30"/>
      <c r="JP95" s="30"/>
      <c r="JQ95" s="30"/>
      <c r="JR95" s="30"/>
      <c r="JS95" s="30"/>
      <c r="JT95" s="30"/>
      <c r="JU95" s="30"/>
      <c r="JV95" s="30"/>
      <c r="JW95" s="30"/>
      <c r="JX95" s="30"/>
      <c r="JY95" s="30"/>
      <c r="JZ95" s="30"/>
      <c r="KA95" s="30"/>
      <c r="KB95" s="30"/>
      <c r="KC95" s="30"/>
      <c r="KD95" s="30"/>
      <c r="KE95" s="30"/>
      <c r="KF95" s="30"/>
      <c r="KG95" s="30"/>
      <c r="KH95" s="30"/>
      <c r="KI95" s="30"/>
      <c r="KJ95" s="30"/>
      <c r="KK95" s="30"/>
      <c r="KL95" s="30"/>
      <c r="KM95" s="30"/>
      <c r="KN95" s="30"/>
      <c r="KO95" s="30"/>
      <c r="KP95" s="1630"/>
    </row>
    <row r="96" spans="1:302" s="97" customFormat="1" ht="21.75" customHeight="1" outlineLevel="1">
      <c r="A96" s="1994" t="s">
        <v>790</v>
      </c>
      <c r="B96" s="2078"/>
      <c r="C96" s="2079" t="s">
        <v>667</v>
      </c>
      <c r="D96" s="2078" t="s">
        <v>668</v>
      </c>
      <c r="E96" s="262"/>
      <c r="F96" s="347"/>
      <c r="G96" s="348"/>
      <c r="H96" s="349" t="s">
        <v>26</v>
      </c>
      <c r="I96" s="2936"/>
      <c r="J96" s="362" t="s">
        <v>26</v>
      </c>
      <c r="K96" s="355"/>
      <c r="L96" s="358"/>
      <c r="M96" s="358"/>
      <c r="N96" s="358"/>
      <c r="O96" s="1510">
        <v>107601</v>
      </c>
      <c r="P96" s="383"/>
      <c r="Q96" s="383"/>
      <c r="R96" s="383"/>
      <c r="S96" s="1510">
        <f t="shared" si="99"/>
        <v>0</v>
      </c>
      <c r="T96" s="389"/>
      <c r="U96" s="1746"/>
      <c r="V96" s="1746"/>
      <c r="W96" s="1744">
        <v>107601</v>
      </c>
      <c r="X96" s="359" t="s">
        <v>26</v>
      </c>
      <c r="Y96" s="389"/>
      <c r="Z96" s="1746"/>
      <c r="AA96" s="1509"/>
      <c r="AB96" s="1510">
        <f t="shared" si="97"/>
        <v>107601</v>
      </c>
      <c r="AC96" s="1680"/>
      <c r="AD96" s="1680"/>
      <c r="AE96" s="1687"/>
      <c r="AF96" s="1686"/>
      <c r="AG96" s="354"/>
      <c r="AH96" s="354">
        <f t="shared" si="83"/>
        <v>0</v>
      </c>
      <c r="AI96" s="355">
        <f t="shared" ca="1" si="94"/>
        <v>0</v>
      </c>
      <c r="AJ96" s="356">
        <f t="shared" ca="1" si="1"/>
        <v>0</v>
      </c>
      <c r="AK96" s="2185"/>
      <c r="AL96" s="260"/>
      <c r="AM96" s="2258"/>
      <c r="AN96" s="2258"/>
      <c r="AO96" s="359"/>
      <c r="AP96" s="359"/>
      <c r="AQ96" s="359"/>
      <c r="AR96" s="359"/>
      <c r="AS96" s="359"/>
      <c r="AT96" s="390"/>
      <c r="AU96" s="359"/>
      <c r="AV96" s="359"/>
      <c r="AW96" s="377"/>
      <c r="AX96" s="359"/>
      <c r="AY96" s="360"/>
      <c r="AZ96" s="2273"/>
      <c r="BA96" s="497"/>
      <c r="BB96" s="359">
        <v>17933.5</v>
      </c>
      <c r="BC96" s="359">
        <v>17933.5</v>
      </c>
      <c r="BD96" s="359">
        <v>17933.5</v>
      </c>
      <c r="BE96" s="362">
        <v>17933.5</v>
      </c>
      <c r="BF96" s="362">
        <v>17933.5</v>
      </c>
      <c r="BG96" s="362">
        <v>17933.5</v>
      </c>
      <c r="BH96" s="362"/>
      <c r="BI96" s="414"/>
      <c r="BJ96" s="362"/>
      <c r="BK96" s="2123"/>
      <c r="BL96" s="414"/>
      <c r="BM96" s="414"/>
      <c r="BN96" s="414"/>
      <c r="BO96" s="414"/>
      <c r="BP96" s="414"/>
      <c r="BQ96" s="2399"/>
      <c r="BR96" s="362"/>
      <c r="BS96" s="362"/>
      <c r="BT96" s="362"/>
      <c r="BU96" s="364"/>
      <c r="BV96" s="364"/>
      <c r="BW96" s="2366"/>
      <c r="BX96" s="2463"/>
      <c r="BY96" s="2543"/>
      <c r="BZ96" s="2543"/>
      <c r="CA96" s="2591">
        <f t="shared" si="146"/>
        <v>107601</v>
      </c>
      <c r="CB96" s="2377">
        <f t="shared" si="147"/>
        <v>1</v>
      </c>
      <c r="CC96" s="365">
        <f t="shared" si="148"/>
        <v>9.2935939257070101E-6</v>
      </c>
      <c r="CD96" s="365"/>
      <c r="CE96" s="365"/>
      <c r="CF96" s="365"/>
      <c r="CG96" s="340"/>
      <c r="CH96" s="367"/>
      <c r="CI96" s="368"/>
      <c r="CJ96" s="368"/>
      <c r="CK96" s="369"/>
      <c r="CL96" s="329">
        <f t="shared" si="130"/>
        <v>0</v>
      </c>
      <c r="CM96" s="330">
        <f t="shared" ca="1" si="131"/>
        <v>0</v>
      </c>
      <c r="CN96" s="331">
        <f t="shared" ca="1" si="141"/>
        <v>-107601</v>
      </c>
      <c r="CO96" s="86"/>
      <c r="CP96" s="86"/>
      <c r="CQ96" s="1641"/>
      <c r="CR96" s="86"/>
      <c r="CS96" s="86"/>
      <c r="CT96" s="86"/>
      <c r="CU96" s="86"/>
      <c r="CV96" s="86"/>
      <c r="CW96" s="86"/>
      <c r="CX96" s="86"/>
      <c r="CY96" s="86"/>
      <c r="CZ96" s="86"/>
      <c r="DA96" s="86"/>
      <c r="DB96" s="1642"/>
      <c r="DC96" s="1642"/>
      <c r="DD96" s="30"/>
      <c r="DE96" s="30"/>
      <c r="DF96" s="30"/>
      <c r="DG96" s="1642"/>
      <c r="DH96" s="1642"/>
      <c r="DI96" s="1642"/>
      <c r="DJ96" s="1642"/>
      <c r="DK96" s="1642"/>
      <c r="DL96" s="1642"/>
      <c r="DM96" s="1642"/>
      <c r="DN96" s="1642"/>
      <c r="DO96" s="1642"/>
      <c r="DP96" s="1642"/>
      <c r="DQ96" s="1642"/>
      <c r="DR96" s="1642"/>
      <c r="DS96" s="1642"/>
      <c r="DT96" s="1642"/>
      <c r="DU96" s="1642"/>
      <c r="DV96" s="1642"/>
      <c r="DW96" s="1642"/>
      <c r="DX96" s="1642"/>
      <c r="DY96" s="1642"/>
      <c r="DZ96" s="1642"/>
      <c r="EA96" s="1642"/>
      <c r="EB96" s="1642"/>
      <c r="EC96" s="1642"/>
      <c r="ED96" s="1642"/>
      <c r="EE96" s="1642"/>
      <c r="EF96" s="1642"/>
      <c r="EG96" s="1642"/>
      <c r="EH96" s="1643"/>
      <c r="EI96" s="1658"/>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0"/>
      <c r="HP96" s="30"/>
      <c r="HQ96" s="30"/>
      <c r="HR96" s="30"/>
      <c r="HS96" s="30"/>
      <c r="HT96" s="30"/>
      <c r="HU96" s="30"/>
      <c r="HV96" s="30"/>
      <c r="HW96" s="30"/>
      <c r="HX96" s="30"/>
      <c r="HY96" s="30"/>
      <c r="HZ96" s="30"/>
      <c r="IA96" s="30"/>
      <c r="IB96" s="30"/>
      <c r="IC96" s="30"/>
      <c r="ID96" s="30"/>
      <c r="IE96" s="30"/>
      <c r="IF96" s="30"/>
      <c r="IG96" s="30"/>
      <c r="IH96" s="30"/>
      <c r="II96" s="30"/>
      <c r="IJ96" s="30"/>
      <c r="IK96" s="30"/>
      <c r="IL96" s="30"/>
      <c r="IM96" s="30"/>
      <c r="IN96" s="30"/>
      <c r="IO96" s="30"/>
      <c r="IP96" s="30"/>
      <c r="IQ96" s="30"/>
      <c r="IR96" s="30"/>
      <c r="IS96" s="30"/>
      <c r="IT96" s="30"/>
      <c r="IU96" s="30"/>
      <c r="IV96" s="30"/>
      <c r="IW96" s="30"/>
      <c r="IX96" s="30"/>
      <c r="IY96" s="30"/>
      <c r="IZ96" s="30"/>
      <c r="JA96" s="30"/>
      <c r="JB96" s="30"/>
      <c r="JC96" s="30"/>
      <c r="JD96" s="30"/>
      <c r="JE96" s="30"/>
      <c r="JF96" s="30"/>
      <c r="JG96" s="30"/>
      <c r="JH96" s="30"/>
      <c r="JI96" s="30"/>
      <c r="JJ96" s="30"/>
      <c r="JK96" s="30"/>
      <c r="JL96" s="30"/>
      <c r="JM96" s="30"/>
      <c r="JN96" s="30"/>
      <c r="JO96" s="30"/>
      <c r="JP96" s="30"/>
      <c r="JQ96" s="30"/>
      <c r="JR96" s="30"/>
      <c r="JS96" s="30"/>
      <c r="JT96" s="30"/>
      <c r="JU96" s="30"/>
      <c r="JV96" s="30"/>
      <c r="JW96" s="30"/>
      <c r="JX96" s="30"/>
      <c r="JY96" s="30"/>
      <c r="JZ96" s="30"/>
      <c r="KA96" s="30"/>
      <c r="KB96" s="30"/>
      <c r="KC96" s="30"/>
      <c r="KD96" s="30"/>
      <c r="KE96" s="30"/>
      <c r="KF96" s="30"/>
      <c r="KG96" s="30"/>
      <c r="KH96" s="30"/>
      <c r="KI96" s="30"/>
      <c r="KJ96" s="30"/>
      <c r="KK96" s="30"/>
      <c r="KL96" s="30"/>
      <c r="KM96" s="30"/>
      <c r="KN96" s="30"/>
      <c r="KO96" s="30"/>
      <c r="KP96" s="1630"/>
    </row>
    <row r="97" spans="1:302" s="97" customFormat="1" ht="27" customHeight="1" outlineLevel="1">
      <c r="A97" s="2658" t="s">
        <v>198</v>
      </c>
      <c r="B97" s="2604"/>
      <c r="C97" s="2587" t="s">
        <v>669</v>
      </c>
      <c r="D97" s="2587" t="s">
        <v>670</v>
      </c>
      <c r="E97" s="262"/>
      <c r="F97" s="347"/>
      <c r="G97" s="348"/>
      <c r="H97" s="349" t="s">
        <v>26</v>
      </c>
      <c r="I97" s="2936"/>
      <c r="J97" s="362" t="s">
        <v>26</v>
      </c>
      <c r="K97" s="355"/>
      <c r="L97" s="358"/>
      <c r="M97" s="358"/>
      <c r="N97" s="358"/>
      <c r="O97" s="1510"/>
      <c r="P97" s="383"/>
      <c r="Q97" s="383"/>
      <c r="R97" s="383"/>
      <c r="S97" s="1510">
        <f t="shared" si="99"/>
        <v>0</v>
      </c>
      <c r="T97" s="389"/>
      <c r="U97" s="1746"/>
      <c r="V97" s="1746"/>
      <c r="W97" s="1744">
        <f t="shared" si="92"/>
        <v>0</v>
      </c>
      <c r="X97" s="359" t="s">
        <v>26</v>
      </c>
      <c r="Y97" s="389"/>
      <c r="Z97" s="1746"/>
      <c r="AA97" s="1509"/>
      <c r="AB97" s="1510">
        <f t="shared" si="97"/>
        <v>0</v>
      </c>
      <c r="AC97" s="1680"/>
      <c r="AD97" s="1444"/>
      <c r="AE97" s="1687"/>
      <c r="AF97" s="1686"/>
      <c r="AG97" s="354"/>
      <c r="AH97" s="354">
        <f t="shared" si="83"/>
        <v>0</v>
      </c>
      <c r="AI97" s="355">
        <f t="shared" ca="1" si="94"/>
        <v>0</v>
      </c>
      <c r="AJ97" s="356" t="str">
        <f t="shared" si="1"/>
        <v/>
      </c>
      <c r="AK97" s="2185"/>
      <c r="AL97" s="260"/>
      <c r="AM97" s="2258"/>
      <c r="AN97" s="2258"/>
      <c r="AO97" s="359"/>
      <c r="AP97" s="359"/>
      <c r="AQ97" s="359"/>
      <c r="AR97" s="359"/>
      <c r="AS97" s="359"/>
      <c r="AT97" s="390"/>
      <c r="AU97" s="359"/>
      <c r="AV97" s="359"/>
      <c r="AW97" s="377"/>
      <c r="AX97" s="359"/>
      <c r="AY97" s="1985"/>
      <c r="AZ97" s="2273"/>
      <c r="BA97" s="497"/>
      <c r="BB97" s="359"/>
      <c r="BC97" s="359"/>
      <c r="BD97" s="359"/>
      <c r="BE97" s="362"/>
      <c r="BF97" s="362"/>
      <c r="BG97" s="362"/>
      <c r="BH97" s="362"/>
      <c r="BI97" s="414"/>
      <c r="BJ97" s="362"/>
      <c r="BK97" s="2123"/>
      <c r="BL97" s="414"/>
      <c r="BM97" s="414"/>
      <c r="BN97" s="414"/>
      <c r="BO97" s="414"/>
      <c r="BP97" s="414"/>
      <c r="BQ97" s="2399"/>
      <c r="BR97" s="362"/>
      <c r="BS97" s="362"/>
      <c r="BT97" s="362"/>
      <c r="BU97" s="364"/>
      <c r="BV97" s="364"/>
      <c r="BW97" s="2366"/>
      <c r="BX97" s="2463"/>
      <c r="BY97" s="2543"/>
      <c r="BZ97" s="2543"/>
      <c r="CA97" s="2591">
        <f t="shared" si="146"/>
        <v>0</v>
      </c>
      <c r="CB97" s="2377" t="str">
        <f t="shared" si="147"/>
        <v/>
      </c>
      <c r="CC97" s="365" t="str">
        <f t="shared" si="148"/>
        <v/>
      </c>
      <c r="CD97" s="365"/>
      <c r="CE97" s="365"/>
      <c r="CF97" s="365"/>
      <c r="CG97" s="340"/>
      <c r="CH97" s="367"/>
      <c r="CI97" s="368"/>
      <c r="CJ97" s="368"/>
      <c r="CK97" s="369"/>
      <c r="CL97" s="329">
        <f t="shared" si="130"/>
        <v>0</v>
      </c>
      <c r="CM97" s="330">
        <f t="shared" ca="1" si="131"/>
        <v>0</v>
      </c>
      <c r="CN97" s="331">
        <f t="shared" ca="1" si="141"/>
        <v>0</v>
      </c>
      <c r="CO97" s="86"/>
      <c r="CP97" s="86"/>
      <c r="CQ97" s="1641"/>
      <c r="CR97" s="86"/>
      <c r="CS97" s="86"/>
      <c r="CT97" s="86"/>
      <c r="CU97" s="86"/>
      <c r="CV97" s="86"/>
      <c r="CW97" s="86"/>
      <c r="CX97" s="86"/>
      <c r="CY97" s="86"/>
      <c r="CZ97" s="86"/>
      <c r="DA97" s="86"/>
      <c r="DB97" s="1642"/>
      <c r="DC97" s="1642"/>
      <c r="DD97" s="30"/>
      <c r="DE97" s="30"/>
      <c r="DF97" s="30"/>
      <c r="DG97" s="1642"/>
      <c r="DH97" s="1642"/>
      <c r="DI97" s="1642"/>
      <c r="DJ97" s="1642"/>
      <c r="DK97" s="1642"/>
      <c r="DL97" s="1642"/>
      <c r="DM97" s="1642"/>
      <c r="DN97" s="1642"/>
      <c r="DO97" s="1642"/>
      <c r="DP97" s="1642"/>
      <c r="DQ97" s="1642"/>
      <c r="DR97" s="1642"/>
      <c r="DS97" s="1642"/>
      <c r="DT97" s="1642"/>
      <c r="DU97" s="1642"/>
      <c r="DV97" s="1642"/>
      <c r="DW97" s="1642"/>
      <c r="DX97" s="1642"/>
      <c r="DY97" s="1642"/>
      <c r="DZ97" s="1642"/>
      <c r="EA97" s="1642"/>
      <c r="EB97" s="1642"/>
      <c r="EC97" s="1642"/>
      <c r="ED97" s="1642"/>
      <c r="EE97" s="1642"/>
      <c r="EF97" s="1642"/>
      <c r="EG97" s="1642"/>
      <c r="EH97" s="1643"/>
      <c r="EI97" s="1658"/>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0"/>
      <c r="HS97" s="30"/>
      <c r="HT97" s="30"/>
      <c r="HU97" s="30"/>
      <c r="HV97" s="30"/>
      <c r="HW97" s="30"/>
      <c r="HX97" s="30"/>
      <c r="HY97" s="30"/>
      <c r="HZ97" s="30"/>
      <c r="IA97" s="30"/>
      <c r="IB97" s="30"/>
      <c r="IC97" s="30"/>
      <c r="ID97" s="30"/>
      <c r="IE97" s="30"/>
      <c r="IF97" s="30"/>
      <c r="IG97" s="30"/>
      <c r="IH97" s="30"/>
      <c r="II97" s="30"/>
      <c r="IJ97" s="30"/>
      <c r="IK97" s="30"/>
      <c r="IL97" s="30"/>
      <c r="IM97" s="30"/>
      <c r="IN97" s="30"/>
      <c r="IO97" s="30"/>
      <c r="IP97" s="30"/>
      <c r="IQ97" s="30"/>
      <c r="IR97" s="30"/>
      <c r="IS97" s="30"/>
      <c r="IT97" s="30"/>
      <c r="IU97" s="30"/>
      <c r="IV97" s="30"/>
      <c r="IW97" s="30"/>
      <c r="IX97" s="30"/>
      <c r="IY97" s="30"/>
      <c r="IZ97" s="30"/>
      <c r="JA97" s="30"/>
      <c r="JB97" s="30"/>
      <c r="JC97" s="30"/>
      <c r="JD97" s="30"/>
      <c r="JE97" s="30"/>
      <c r="JF97" s="30"/>
      <c r="JG97" s="30"/>
      <c r="JH97" s="30"/>
      <c r="JI97" s="30"/>
      <c r="JJ97" s="30"/>
      <c r="JK97" s="30"/>
      <c r="JL97" s="30"/>
      <c r="JM97" s="30"/>
      <c r="JN97" s="30"/>
      <c r="JO97" s="30"/>
      <c r="JP97" s="30"/>
      <c r="JQ97" s="30"/>
      <c r="JR97" s="30"/>
      <c r="JS97" s="30"/>
      <c r="JT97" s="30"/>
      <c r="JU97" s="30"/>
      <c r="JV97" s="30"/>
      <c r="JW97" s="30"/>
      <c r="JX97" s="30"/>
      <c r="JY97" s="30"/>
      <c r="JZ97" s="30"/>
      <c r="KA97" s="30"/>
      <c r="KB97" s="30"/>
      <c r="KC97" s="30"/>
      <c r="KD97" s="30"/>
      <c r="KE97" s="30"/>
      <c r="KF97" s="30"/>
      <c r="KG97" s="30"/>
      <c r="KH97" s="30"/>
      <c r="KI97" s="30"/>
      <c r="KJ97" s="30"/>
      <c r="KK97" s="30"/>
      <c r="KL97" s="30"/>
      <c r="KM97" s="30"/>
      <c r="KN97" s="30"/>
      <c r="KO97" s="30"/>
      <c r="KP97" s="1630"/>
    </row>
    <row r="98" spans="1:302" s="97" customFormat="1" ht="21.75" customHeight="1" outlineLevel="1">
      <c r="A98" s="2656" t="s">
        <v>791</v>
      </c>
      <c r="B98" s="1689"/>
      <c r="C98" s="262" t="s">
        <v>671</v>
      </c>
      <c r="D98" s="1689" t="s">
        <v>672</v>
      </c>
      <c r="E98" s="262"/>
      <c r="F98" s="347"/>
      <c r="G98" s="348"/>
      <c r="H98" s="349" t="s">
        <v>26</v>
      </c>
      <c r="I98" s="2936"/>
      <c r="J98" s="362" t="s">
        <v>26</v>
      </c>
      <c r="K98" s="355"/>
      <c r="L98" s="358"/>
      <c r="M98" s="358"/>
      <c r="N98" s="358"/>
      <c r="O98" s="1510">
        <v>1169929</v>
      </c>
      <c r="P98" s="383"/>
      <c r="Q98" s="383"/>
      <c r="R98" s="383"/>
      <c r="S98" s="1510">
        <f t="shared" si="99"/>
        <v>0</v>
      </c>
      <c r="T98" s="389"/>
      <c r="U98" s="1746"/>
      <c r="V98" s="1746"/>
      <c r="W98" s="1744">
        <f t="shared" si="92"/>
        <v>1169929</v>
      </c>
      <c r="X98" s="359" t="s">
        <v>26</v>
      </c>
      <c r="Y98" s="389"/>
      <c r="Z98" s="1746"/>
      <c r="AA98" s="1509"/>
      <c r="AB98" s="1510">
        <f t="shared" si="97"/>
        <v>1169929.0019999999</v>
      </c>
      <c r="AC98" s="1680"/>
      <c r="AD98" s="1680"/>
      <c r="AE98" s="1687"/>
      <c r="AF98" s="1686"/>
      <c r="AG98" s="354"/>
      <c r="AH98" s="354">
        <f t="shared" si="83"/>
        <v>0</v>
      </c>
      <c r="AI98" s="355">
        <f t="shared" ca="1" si="94"/>
        <v>0</v>
      </c>
      <c r="AJ98" s="356">
        <f t="shared" ca="1" si="1"/>
        <v>0</v>
      </c>
      <c r="AK98" s="2185"/>
      <c r="AL98" s="260"/>
      <c r="AM98" s="2258"/>
      <c r="AN98" s="2258"/>
      <c r="AO98" s="359"/>
      <c r="AP98" s="359"/>
      <c r="AQ98" s="359"/>
      <c r="AR98" s="359"/>
      <c r="AS98" s="359"/>
      <c r="AT98" s="390"/>
      <c r="AU98" s="359"/>
      <c r="AV98" s="359"/>
      <c r="AW98" s="377"/>
      <c r="AX98" s="359"/>
      <c r="AY98" s="390"/>
      <c r="AZ98" s="2258">
        <v>194988.16699999999</v>
      </c>
      <c r="BA98" s="359">
        <v>194988.16699999999</v>
      </c>
      <c r="BB98" s="359">
        <v>194988.16699999999</v>
      </c>
      <c r="BC98" s="359">
        <v>194988.16699999999</v>
      </c>
      <c r="BD98" s="359">
        <v>194988.16699999999</v>
      </c>
      <c r="BE98" s="362">
        <v>194988.16699999999</v>
      </c>
      <c r="BF98" s="362"/>
      <c r="BG98" s="362"/>
      <c r="BH98" s="362"/>
      <c r="BI98" s="414"/>
      <c r="BJ98" s="362"/>
      <c r="BK98" s="2123"/>
      <c r="BL98" s="414"/>
      <c r="BM98" s="414"/>
      <c r="BN98" s="414"/>
      <c r="BO98" s="414"/>
      <c r="BP98" s="414"/>
      <c r="BQ98" s="2399"/>
      <c r="BR98" s="362"/>
      <c r="BS98" s="362"/>
      <c r="BT98" s="362"/>
      <c r="BU98" s="364"/>
      <c r="BV98" s="364"/>
      <c r="BW98" s="2366"/>
      <c r="BX98" s="2463"/>
      <c r="BY98" s="2543"/>
      <c r="BZ98" s="2543"/>
      <c r="CA98" s="2591">
        <f t="shared" si="146"/>
        <v>1169929.0019999999</v>
      </c>
      <c r="CB98" s="2377">
        <f t="shared" si="147"/>
        <v>1</v>
      </c>
      <c r="CC98" s="365">
        <f t="shared" si="148"/>
        <v>8.5475272284941626E-7</v>
      </c>
      <c r="CD98" s="365"/>
      <c r="CE98" s="365"/>
      <c r="CF98" s="365"/>
      <c r="CG98" s="340"/>
      <c r="CH98" s="367"/>
      <c r="CI98" s="368"/>
      <c r="CJ98" s="368"/>
      <c r="CK98" s="369"/>
      <c r="CL98" s="329">
        <f t="shared" si="130"/>
        <v>-1.999999862164259E-3</v>
      </c>
      <c r="CM98" s="330">
        <f t="shared" ca="1" si="131"/>
        <v>0</v>
      </c>
      <c r="CN98" s="331">
        <f t="shared" ca="1" si="141"/>
        <v>-1169929.0019999999</v>
      </c>
      <c r="CO98" s="86"/>
      <c r="CP98" s="86"/>
      <c r="CQ98" s="1641"/>
      <c r="CR98" s="86"/>
      <c r="CS98" s="86"/>
      <c r="CT98" s="86"/>
      <c r="CU98" s="86"/>
      <c r="CV98" s="86"/>
      <c r="CW98" s="86"/>
      <c r="CX98" s="86"/>
      <c r="CY98" s="86"/>
      <c r="CZ98" s="86"/>
      <c r="DA98" s="86"/>
      <c r="DB98" s="1642"/>
      <c r="DC98" s="1642"/>
      <c r="DD98" s="30"/>
      <c r="DE98" s="30"/>
      <c r="DF98" s="30"/>
      <c r="DG98" s="1642"/>
      <c r="DH98" s="1642"/>
      <c r="DI98" s="1642"/>
      <c r="DJ98" s="1642"/>
      <c r="DK98" s="1642"/>
      <c r="DL98" s="1642"/>
      <c r="DM98" s="1642"/>
      <c r="DN98" s="1642"/>
      <c r="DO98" s="1642"/>
      <c r="DP98" s="1642"/>
      <c r="DQ98" s="1642"/>
      <c r="DR98" s="1642"/>
      <c r="DS98" s="1642"/>
      <c r="DT98" s="1642"/>
      <c r="DU98" s="1642"/>
      <c r="DV98" s="1642"/>
      <c r="DW98" s="1642"/>
      <c r="DX98" s="1642"/>
      <c r="DY98" s="1642"/>
      <c r="DZ98" s="1642"/>
      <c r="EA98" s="1642"/>
      <c r="EB98" s="1642"/>
      <c r="EC98" s="1642"/>
      <c r="ED98" s="1642"/>
      <c r="EE98" s="1642"/>
      <c r="EF98" s="1642"/>
      <c r="EG98" s="1642"/>
      <c r="EH98" s="1643"/>
      <c r="EI98" s="1658"/>
      <c r="EJ98" s="30"/>
      <c r="EK98" s="30"/>
      <c r="EL98" s="30"/>
      <c r="EM98" s="30"/>
      <c r="EN98" s="30"/>
      <c r="EO98" s="30"/>
      <c r="EP98" s="30"/>
      <c r="EQ98" s="30"/>
      <c r="ER98" s="30"/>
      <c r="ES98" s="30"/>
      <c r="ET98" s="30"/>
      <c r="EU98" s="30"/>
      <c r="EV98" s="30"/>
      <c r="EW98" s="30"/>
      <c r="EX98" s="30"/>
      <c r="EY98" s="30"/>
      <c r="EZ98" s="30"/>
      <c r="FA98" s="30"/>
      <c r="FB98" s="30"/>
      <c r="FC98" s="30"/>
      <c r="FD98" s="30"/>
      <c r="FE98" s="30"/>
      <c r="FF98" s="30"/>
      <c r="FG98" s="30"/>
      <c r="FH98" s="30"/>
      <c r="FI98" s="30"/>
      <c r="FJ98" s="30"/>
      <c r="FK98" s="30"/>
      <c r="FL98" s="30"/>
      <c r="FM98" s="30"/>
      <c r="FN98" s="30"/>
      <c r="FO98" s="30"/>
      <c r="FP98" s="30"/>
      <c r="FQ98" s="30"/>
      <c r="FR98" s="30"/>
      <c r="FS98" s="30"/>
      <c r="FT98" s="30"/>
      <c r="FU98" s="30"/>
      <c r="FV98" s="30"/>
      <c r="FW98" s="30"/>
      <c r="FX98" s="30"/>
      <c r="FY98" s="30"/>
      <c r="FZ98" s="30"/>
      <c r="GA98" s="30"/>
      <c r="GB98" s="30"/>
      <c r="GC98" s="30"/>
      <c r="GD98" s="30"/>
      <c r="GE98" s="30"/>
      <c r="GF98" s="30"/>
      <c r="GG98" s="30"/>
      <c r="GH98" s="30"/>
      <c r="GI98" s="30"/>
      <c r="GJ98" s="30"/>
      <c r="GK98" s="30"/>
      <c r="GL98" s="30"/>
      <c r="GM98" s="30"/>
      <c r="GN98" s="30"/>
      <c r="GO98" s="30"/>
      <c r="GP98" s="30"/>
      <c r="GQ98" s="30"/>
      <c r="GR98" s="30"/>
      <c r="GS98" s="30"/>
      <c r="GT98" s="30"/>
      <c r="GU98" s="30"/>
      <c r="GV98" s="30"/>
      <c r="GW98" s="30"/>
      <c r="GX98" s="30"/>
      <c r="GY98" s="30"/>
      <c r="GZ98" s="30"/>
      <c r="HA98" s="30"/>
      <c r="HB98" s="30"/>
      <c r="HC98" s="30"/>
      <c r="HD98" s="30"/>
      <c r="HE98" s="30"/>
      <c r="HF98" s="30"/>
      <c r="HG98" s="30"/>
      <c r="HH98" s="30"/>
      <c r="HI98" s="30"/>
      <c r="HJ98" s="30"/>
      <c r="HK98" s="30"/>
      <c r="HL98" s="30"/>
      <c r="HM98" s="30"/>
      <c r="HN98" s="30"/>
      <c r="HO98" s="30"/>
      <c r="HP98" s="30"/>
      <c r="HQ98" s="30"/>
      <c r="HR98" s="30"/>
      <c r="HS98" s="30"/>
      <c r="HT98" s="30"/>
      <c r="HU98" s="30"/>
      <c r="HV98" s="30"/>
      <c r="HW98" s="30"/>
      <c r="HX98" s="30"/>
      <c r="HY98" s="30"/>
      <c r="HZ98" s="30"/>
      <c r="IA98" s="30"/>
      <c r="IB98" s="30"/>
      <c r="IC98" s="30"/>
      <c r="ID98" s="30"/>
      <c r="IE98" s="30"/>
      <c r="IF98" s="30"/>
      <c r="IG98" s="30"/>
      <c r="IH98" s="30"/>
      <c r="II98" s="30"/>
      <c r="IJ98" s="30"/>
      <c r="IK98" s="30"/>
      <c r="IL98" s="30"/>
      <c r="IM98" s="30"/>
      <c r="IN98" s="30"/>
      <c r="IO98" s="30"/>
      <c r="IP98" s="30"/>
      <c r="IQ98" s="30"/>
      <c r="IR98" s="30"/>
      <c r="IS98" s="30"/>
      <c r="IT98" s="30"/>
      <c r="IU98" s="30"/>
      <c r="IV98" s="30"/>
      <c r="IW98" s="30"/>
      <c r="IX98" s="30"/>
      <c r="IY98" s="30"/>
      <c r="IZ98" s="30"/>
      <c r="JA98" s="30"/>
      <c r="JB98" s="30"/>
      <c r="JC98" s="30"/>
      <c r="JD98" s="30"/>
      <c r="JE98" s="30"/>
      <c r="JF98" s="30"/>
      <c r="JG98" s="30"/>
      <c r="JH98" s="30"/>
      <c r="JI98" s="30"/>
      <c r="JJ98" s="30"/>
      <c r="JK98" s="30"/>
      <c r="JL98" s="30"/>
      <c r="JM98" s="30"/>
      <c r="JN98" s="30"/>
      <c r="JO98" s="30"/>
      <c r="JP98" s="30"/>
      <c r="JQ98" s="30"/>
      <c r="JR98" s="30"/>
      <c r="JS98" s="30"/>
      <c r="JT98" s="30"/>
      <c r="JU98" s="30"/>
      <c r="JV98" s="30"/>
      <c r="JW98" s="30"/>
      <c r="JX98" s="30"/>
      <c r="JY98" s="30"/>
      <c r="JZ98" s="30"/>
      <c r="KA98" s="30"/>
      <c r="KB98" s="30"/>
      <c r="KC98" s="30"/>
      <c r="KD98" s="30"/>
      <c r="KE98" s="30"/>
      <c r="KF98" s="30"/>
      <c r="KG98" s="30"/>
      <c r="KH98" s="30"/>
      <c r="KI98" s="30"/>
      <c r="KJ98" s="30"/>
      <c r="KK98" s="30"/>
      <c r="KL98" s="30"/>
      <c r="KM98" s="30"/>
      <c r="KN98" s="30"/>
      <c r="KO98" s="30"/>
      <c r="KP98" s="1630"/>
    </row>
    <row r="99" spans="1:302" s="97" customFormat="1" ht="21.75" customHeight="1" outlineLevel="1">
      <c r="A99" s="2656" t="s">
        <v>792</v>
      </c>
      <c r="B99" s="1689"/>
      <c r="C99" s="262" t="s">
        <v>673</v>
      </c>
      <c r="D99" s="1689" t="s">
        <v>674</v>
      </c>
      <c r="E99" s="262"/>
      <c r="F99" s="347"/>
      <c r="G99" s="348"/>
      <c r="H99" s="349" t="s">
        <v>26</v>
      </c>
      <c r="I99" s="2936"/>
      <c r="J99" s="362" t="s">
        <v>26</v>
      </c>
      <c r="K99" s="355"/>
      <c r="L99" s="358"/>
      <c r="M99" s="358"/>
      <c r="N99" s="358"/>
      <c r="O99" s="1510">
        <v>433042</v>
      </c>
      <c r="P99" s="383"/>
      <c r="Q99" s="383"/>
      <c r="R99" s="383"/>
      <c r="S99" s="1510">
        <f t="shared" si="99"/>
        <v>0</v>
      </c>
      <c r="T99" s="389"/>
      <c r="U99" s="1746"/>
      <c r="V99" s="1746"/>
      <c r="W99" s="1744">
        <f t="shared" si="92"/>
        <v>433042</v>
      </c>
      <c r="X99" s="359" t="s">
        <v>26</v>
      </c>
      <c r="Y99" s="389"/>
      <c r="Z99" s="1746"/>
      <c r="AA99" s="1509"/>
      <c r="AB99" s="1510">
        <f t="shared" si="97"/>
        <v>433042.00020000001</v>
      </c>
      <c r="AC99" s="1680"/>
      <c r="AD99" s="1680"/>
      <c r="AE99" s="1687"/>
      <c r="AF99" s="1686"/>
      <c r="AG99" s="354"/>
      <c r="AH99" s="354">
        <f t="shared" si="83"/>
        <v>0</v>
      </c>
      <c r="AI99" s="355">
        <f t="shared" ca="1" si="94"/>
        <v>0</v>
      </c>
      <c r="AJ99" s="356">
        <f t="shared" ca="1" si="1"/>
        <v>0</v>
      </c>
      <c r="AK99" s="2185"/>
      <c r="AL99" s="260"/>
      <c r="AM99" s="2258"/>
      <c r="AN99" s="2258"/>
      <c r="AO99" s="359"/>
      <c r="AP99" s="359"/>
      <c r="AQ99" s="359"/>
      <c r="AR99" s="359"/>
      <c r="AS99" s="359"/>
      <c r="AT99" s="390"/>
      <c r="AU99" s="359"/>
      <c r="AV99" s="359"/>
      <c r="AW99" s="377"/>
      <c r="AX99" s="359"/>
      <c r="AY99" s="390"/>
      <c r="AZ99" s="2273">
        <v>72173.666700000002</v>
      </c>
      <c r="BA99" s="497">
        <v>72173.666700000002</v>
      </c>
      <c r="BB99" s="359">
        <v>72173.666700000002</v>
      </c>
      <c r="BC99" s="359">
        <v>72173.666700000002</v>
      </c>
      <c r="BD99" s="359">
        <v>72173.666700000002</v>
      </c>
      <c r="BE99" s="362">
        <v>72173.666700000002</v>
      </c>
      <c r="BF99" s="362"/>
      <c r="BG99" s="362"/>
      <c r="BH99" s="362"/>
      <c r="BI99" s="414"/>
      <c r="BJ99" s="362"/>
      <c r="BK99" s="2123"/>
      <c r="BL99" s="414"/>
      <c r="BM99" s="414"/>
      <c r="BN99" s="414"/>
      <c r="BO99" s="414"/>
      <c r="BP99" s="414"/>
      <c r="BQ99" s="2399"/>
      <c r="BR99" s="362"/>
      <c r="BS99" s="362"/>
      <c r="BT99" s="362"/>
      <c r="BU99" s="364"/>
      <c r="BV99" s="364"/>
      <c r="BW99" s="2366"/>
      <c r="BX99" s="2463"/>
      <c r="BY99" s="2543"/>
      <c r="BZ99" s="2543"/>
      <c r="CA99" s="2591">
        <f t="shared" si="146"/>
        <v>433042.00020000001</v>
      </c>
      <c r="CB99" s="2377">
        <f t="shared" si="147"/>
        <v>1</v>
      </c>
      <c r="CC99" s="365">
        <f t="shared" si="148"/>
        <v>2.3092448296889238E-6</v>
      </c>
      <c r="CD99" s="365"/>
      <c r="CE99" s="365"/>
      <c r="CF99" s="365"/>
      <c r="CG99" s="340"/>
      <c r="CH99" s="367"/>
      <c r="CI99" s="368"/>
      <c r="CJ99" s="368"/>
      <c r="CK99" s="369"/>
      <c r="CL99" s="329">
        <f t="shared" si="130"/>
        <v>-2.0000000949949026E-4</v>
      </c>
      <c r="CM99" s="330">
        <f t="shared" ca="1" si="131"/>
        <v>0</v>
      </c>
      <c r="CN99" s="331">
        <f t="shared" ca="1" si="141"/>
        <v>-433042.00020000001</v>
      </c>
      <c r="CO99" s="86"/>
      <c r="CP99" s="86"/>
      <c r="CQ99" s="1641"/>
      <c r="CR99" s="86"/>
      <c r="CS99" s="86"/>
      <c r="CT99" s="86"/>
      <c r="CU99" s="86"/>
      <c r="CV99" s="86"/>
      <c r="CW99" s="86"/>
      <c r="CX99" s="86"/>
      <c r="CY99" s="86"/>
      <c r="CZ99" s="86"/>
      <c r="DA99" s="86"/>
      <c r="DB99" s="1642"/>
      <c r="DC99" s="1642"/>
      <c r="DD99" s="30"/>
      <c r="DE99" s="30"/>
      <c r="DF99" s="30"/>
      <c r="DG99" s="1642"/>
      <c r="DH99" s="1642"/>
      <c r="DI99" s="1642"/>
      <c r="DJ99" s="1642"/>
      <c r="DK99" s="1642"/>
      <c r="DL99" s="1642"/>
      <c r="DM99" s="1642"/>
      <c r="DN99" s="1642"/>
      <c r="DO99" s="1642"/>
      <c r="DP99" s="1642"/>
      <c r="DQ99" s="1642"/>
      <c r="DR99" s="1642"/>
      <c r="DS99" s="1642"/>
      <c r="DT99" s="1642"/>
      <c r="DU99" s="1642"/>
      <c r="DV99" s="1642"/>
      <c r="DW99" s="1642"/>
      <c r="DX99" s="1642"/>
      <c r="DY99" s="1642"/>
      <c r="DZ99" s="1642"/>
      <c r="EA99" s="1642"/>
      <c r="EB99" s="1642"/>
      <c r="EC99" s="1642"/>
      <c r="ED99" s="1642"/>
      <c r="EE99" s="1642"/>
      <c r="EF99" s="1642"/>
      <c r="EG99" s="1642"/>
      <c r="EH99" s="1643"/>
      <c r="EI99" s="1658"/>
      <c r="EJ99" s="30"/>
      <c r="EK99" s="30"/>
      <c r="EL99" s="30"/>
      <c r="EM99" s="30"/>
      <c r="EN99" s="30"/>
      <c r="EO99" s="30"/>
      <c r="EP99" s="30"/>
      <c r="EQ99" s="30"/>
      <c r="ER99" s="30"/>
      <c r="ES99" s="30"/>
      <c r="ET99" s="30"/>
      <c r="EU99" s="30"/>
      <c r="EV99" s="30"/>
      <c r="EW99" s="30"/>
      <c r="EX99" s="30"/>
      <c r="EY99" s="30"/>
      <c r="EZ99" s="30"/>
      <c r="FA99" s="30"/>
      <c r="FB99" s="30"/>
      <c r="FC99" s="30"/>
      <c r="FD99" s="30"/>
      <c r="FE99" s="30"/>
      <c r="FF99" s="30"/>
      <c r="FG99" s="30"/>
      <c r="FH99" s="30"/>
      <c r="FI99" s="30"/>
      <c r="FJ99" s="30"/>
      <c r="FK99" s="30"/>
      <c r="FL99" s="30"/>
      <c r="FM99" s="30"/>
      <c r="FN99" s="30"/>
      <c r="FO99" s="30"/>
      <c r="FP99" s="30"/>
      <c r="FQ99" s="30"/>
      <c r="FR99" s="30"/>
      <c r="FS99" s="30"/>
      <c r="FT99" s="30"/>
      <c r="FU99" s="30"/>
      <c r="FV99" s="30"/>
      <c r="FW99" s="30"/>
      <c r="FX99" s="30"/>
      <c r="FY99" s="30"/>
      <c r="FZ99" s="30"/>
      <c r="GA99" s="30"/>
      <c r="GB99" s="30"/>
      <c r="GC99" s="30"/>
      <c r="GD99" s="30"/>
      <c r="GE99" s="30"/>
      <c r="GF99" s="30"/>
      <c r="GG99" s="30"/>
      <c r="GH99" s="30"/>
      <c r="GI99" s="30"/>
      <c r="GJ99" s="30"/>
      <c r="GK99" s="30"/>
      <c r="GL99" s="30"/>
      <c r="GM99" s="30"/>
      <c r="GN99" s="30"/>
      <c r="GO99" s="30"/>
      <c r="GP99" s="30"/>
      <c r="GQ99" s="30"/>
      <c r="GR99" s="30"/>
      <c r="GS99" s="30"/>
      <c r="GT99" s="30"/>
      <c r="GU99" s="30"/>
      <c r="GV99" s="30"/>
      <c r="GW99" s="30"/>
      <c r="GX99" s="30"/>
      <c r="GY99" s="30"/>
      <c r="GZ99" s="30"/>
      <c r="HA99" s="30"/>
      <c r="HB99" s="30"/>
      <c r="HC99" s="30"/>
      <c r="HD99" s="30"/>
      <c r="HE99" s="30"/>
      <c r="HF99" s="30"/>
      <c r="HG99" s="30"/>
      <c r="HH99" s="30"/>
      <c r="HI99" s="30"/>
      <c r="HJ99" s="30"/>
      <c r="HK99" s="30"/>
      <c r="HL99" s="30"/>
      <c r="HM99" s="30"/>
      <c r="HN99" s="30"/>
      <c r="HO99" s="30"/>
      <c r="HP99" s="30"/>
      <c r="HQ99" s="30"/>
      <c r="HR99" s="30"/>
      <c r="HS99" s="30"/>
      <c r="HT99" s="30"/>
      <c r="HU99" s="30"/>
      <c r="HV99" s="30"/>
      <c r="HW99" s="30"/>
      <c r="HX99" s="30"/>
      <c r="HY99" s="30"/>
      <c r="HZ99" s="30"/>
      <c r="IA99" s="30"/>
      <c r="IB99" s="30"/>
      <c r="IC99" s="30"/>
      <c r="ID99" s="30"/>
      <c r="IE99" s="30"/>
      <c r="IF99" s="30"/>
      <c r="IG99" s="30"/>
      <c r="IH99" s="30"/>
      <c r="II99" s="30"/>
      <c r="IJ99" s="30"/>
      <c r="IK99" s="30"/>
      <c r="IL99" s="30"/>
      <c r="IM99" s="30"/>
      <c r="IN99" s="30"/>
      <c r="IO99" s="30"/>
      <c r="IP99" s="30"/>
      <c r="IQ99" s="30"/>
      <c r="IR99" s="30"/>
      <c r="IS99" s="30"/>
      <c r="IT99" s="30"/>
      <c r="IU99" s="30"/>
      <c r="IV99" s="30"/>
      <c r="IW99" s="30"/>
      <c r="IX99" s="30"/>
      <c r="IY99" s="30"/>
      <c r="IZ99" s="30"/>
      <c r="JA99" s="30"/>
      <c r="JB99" s="30"/>
      <c r="JC99" s="30"/>
      <c r="JD99" s="30"/>
      <c r="JE99" s="30"/>
      <c r="JF99" s="30"/>
      <c r="JG99" s="30"/>
      <c r="JH99" s="30"/>
      <c r="JI99" s="30"/>
      <c r="JJ99" s="30"/>
      <c r="JK99" s="30"/>
      <c r="JL99" s="30"/>
      <c r="JM99" s="30"/>
      <c r="JN99" s="30"/>
      <c r="JO99" s="30"/>
      <c r="JP99" s="30"/>
      <c r="JQ99" s="30"/>
      <c r="JR99" s="30"/>
      <c r="JS99" s="30"/>
      <c r="JT99" s="30"/>
      <c r="JU99" s="30"/>
      <c r="JV99" s="30"/>
      <c r="JW99" s="30"/>
      <c r="JX99" s="30"/>
      <c r="JY99" s="30"/>
      <c r="JZ99" s="30"/>
      <c r="KA99" s="30"/>
      <c r="KB99" s="30"/>
      <c r="KC99" s="30"/>
      <c r="KD99" s="30"/>
      <c r="KE99" s="30"/>
      <c r="KF99" s="30"/>
      <c r="KG99" s="30"/>
      <c r="KH99" s="30"/>
      <c r="KI99" s="30"/>
      <c r="KJ99" s="30"/>
      <c r="KK99" s="30"/>
      <c r="KL99" s="30"/>
      <c r="KM99" s="30"/>
      <c r="KN99" s="30"/>
      <c r="KO99" s="30"/>
      <c r="KP99" s="1630"/>
    </row>
    <row r="100" spans="1:302" s="97" customFormat="1" ht="19.5" customHeight="1" outlineLevel="1">
      <c r="A100" s="2656" t="s">
        <v>793</v>
      </c>
      <c r="B100" s="1689"/>
      <c r="C100" s="253" t="s">
        <v>675</v>
      </c>
      <c r="D100" s="1689" t="s">
        <v>676</v>
      </c>
      <c r="E100" s="253"/>
      <c r="F100" s="347"/>
      <c r="G100" s="348"/>
      <c r="H100" s="349" t="s">
        <v>26</v>
      </c>
      <c r="I100" s="2936"/>
      <c r="J100" s="362" t="s">
        <v>26</v>
      </c>
      <c r="K100" s="1745"/>
      <c r="L100" s="383"/>
      <c r="M100" s="383"/>
      <c r="N100" s="383"/>
      <c r="O100" s="1510">
        <v>164459</v>
      </c>
      <c r="P100" s="383"/>
      <c r="Q100" s="383"/>
      <c r="R100" s="383"/>
      <c r="S100" s="1510">
        <f t="shared" si="99"/>
        <v>0</v>
      </c>
      <c r="T100" s="389"/>
      <c r="U100" s="1746"/>
      <c r="V100" s="1746"/>
      <c r="W100" s="1744">
        <f t="shared" si="92"/>
        <v>164459</v>
      </c>
      <c r="X100" s="359" t="s">
        <v>26</v>
      </c>
      <c r="Y100" s="389"/>
      <c r="Z100" s="1746"/>
      <c r="AA100" s="1509"/>
      <c r="AB100" s="1510">
        <f t="shared" si="97"/>
        <v>164458.99979999999</v>
      </c>
      <c r="AC100" s="1680"/>
      <c r="AD100" s="1682"/>
      <c r="AE100" s="1687"/>
      <c r="AF100" s="1686"/>
      <c r="AG100" s="354"/>
      <c r="AH100" s="354">
        <f t="shared" si="83"/>
        <v>0</v>
      </c>
      <c r="AI100" s="355">
        <f t="shared" ca="1" si="94"/>
        <v>0</v>
      </c>
      <c r="AJ100" s="356">
        <f t="shared" ca="1" si="1"/>
        <v>0</v>
      </c>
      <c r="AK100" s="2185"/>
      <c r="AL100" s="260"/>
      <c r="AM100" s="2258"/>
      <c r="AN100" s="2258"/>
      <c r="AO100" s="359"/>
      <c r="AP100" s="359"/>
      <c r="AQ100" s="359"/>
      <c r="AR100" s="359"/>
      <c r="AS100" s="359"/>
      <c r="AT100" s="390"/>
      <c r="AU100" s="359"/>
      <c r="AV100" s="359"/>
      <c r="AW100" s="377"/>
      <c r="AX100" s="359"/>
      <c r="AY100" s="390"/>
      <c r="AZ100" s="2273">
        <v>27409.833299999998</v>
      </c>
      <c r="BA100" s="497">
        <v>27409.833299999998</v>
      </c>
      <c r="BB100" s="359">
        <v>27409.833299999998</v>
      </c>
      <c r="BC100" s="359">
        <v>27409.833299999998</v>
      </c>
      <c r="BD100" s="359">
        <v>27409.833299999998</v>
      </c>
      <c r="BE100" s="362">
        <v>27409.833299999998</v>
      </c>
      <c r="BF100" s="362"/>
      <c r="BG100" s="362"/>
      <c r="BH100" s="362"/>
      <c r="BI100" s="414"/>
      <c r="BJ100" s="362"/>
      <c r="BK100" s="2123"/>
      <c r="BL100" s="414"/>
      <c r="BM100" s="414"/>
      <c r="BN100" s="414"/>
      <c r="BO100" s="414"/>
      <c r="BP100" s="414"/>
      <c r="BQ100" s="2399"/>
      <c r="BR100" s="362"/>
      <c r="BS100" s="362"/>
      <c r="BT100" s="362"/>
      <c r="BU100" s="364"/>
      <c r="BV100" s="364"/>
      <c r="BW100" s="2366"/>
      <c r="BX100" s="2463"/>
      <c r="BY100" s="2543"/>
      <c r="BZ100" s="2543"/>
      <c r="CA100" s="2591">
        <f t="shared" si="146"/>
        <v>164458.99979999999</v>
      </c>
      <c r="CB100" s="2377">
        <f t="shared" si="147"/>
        <v>1</v>
      </c>
      <c r="CC100" s="365">
        <f t="shared" si="148"/>
        <v>6.0805428782621113E-6</v>
      </c>
      <c r="CD100" s="365"/>
      <c r="CE100" s="365"/>
      <c r="CF100" s="365"/>
      <c r="CG100" s="340"/>
      <c r="CH100" s="367"/>
      <c r="CI100" s="368"/>
      <c r="CJ100" s="368"/>
      <c r="CK100" s="369"/>
      <c r="CL100" s="329">
        <f t="shared" si="130"/>
        <v>2.0000000949949026E-4</v>
      </c>
      <c r="CM100" s="330">
        <f t="shared" ca="1" si="131"/>
        <v>0</v>
      </c>
      <c r="CN100" s="331">
        <f t="shared" ca="1" si="141"/>
        <v>-164458.99979999999</v>
      </c>
      <c r="CO100" s="86"/>
      <c r="CP100" s="86"/>
      <c r="CQ100" s="1641"/>
      <c r="CR100" s="86"/>
      <c r="CS100" s="86"/>
      <c r="CT100" s="86"/>
      <c r="CU100" s="86"/>
      <c r="CV100" s="86"/>
      <c r="CW100" s="86"/>
      <c r="CX100" s="86"/>
      <c r="CY100" s="86"/>
      <c r="CZ100" s="86"/>
      <c r="DA100" s="86"/>
      <c r="DB100" s="1642"/>
      <c r="DC100" s="1642"/>
      <c r="DD100" s="30"/>
      <c r="DE100" s="30"/>
      <c r="DF100" s="30"/>
      <c r="DG100" s="1642"/>
      <c r="DH100" s="1642"/>
      <c r="DI100" s="1642"/>
      <c r="DJ100" s="1642"/>
      <c r="DK100" s="1642"/>
      <c r="DL100" s="1642"/>
      <c r="DM100" s="1642"/>
      <c r="DN100" s="1642"/>
      <c r="DO100" s="1642"/>
      <c r="DP100" s="1642"/>
      <c r="DQ100" s="1642"/>
      <c r="DR100" s="1642"/>
      <c r="DS100" s="1642"/>
      <c r="DT100" s="1642"/>
      <c r="DU100" s="1642"/>
      <c r="DV100" s="1642"/>
      <c r="DW100" s="1642"/>
      <c r="DX100" s="1642"/>
      <c r="DY100" s="1642"/>
      <c r="DZ100" s="1642"/>
      <c r="EA100" s="1642"/>
      <c r="EB100" s="1642"/>
      <c r="EC100" s="1642"/>
      <c r="ED100" s="1642"/>
      <c r="EE100" s="1642"/>
      <c r="EF100" s="1642"/>
      <c r="EG100" s="1642"/>
      <c r="EH100" s="1643"/>
      <c r="EI100" s="1658"/>
      <c r="EJ100" s="30"/>
      <c r="EK100" s="30"/>
      <c r="EL100" s="30"/>
      <c r="EM100" s="30"/>
      <c r="EN100" s="30"/>
      <c r="EO100" s="30"/>
      <c r="EP100" s="30"/>
      <c r="EQ100" s="30"/>
      <c r="ER100" s="30"/>
      <c r="ES100" s="30"/>
      <c r="ET100" s="30"/>
      <c r="EU100" s="30"/>
      <c r="EV100" s="30"/>
      <c r="EW100" s="30"/>
      <c r="EX100" s="30"/>
      <c r="EY100" s="30"/>
      <c r="EZ100" s="30"/>
      <c r="FA100" s="30"/>
      <c r="FB100" s="30"/>
      <c r="FC100" s="30"/>
      <c r="FD100" s="30"/>
      <c r="FE100" s="30"/>
      <c r="FF100" s="30"/>
      <c r="FG100" s="30"/>
      <c r="FH100" s="30"/>
      <c r="FI100" s="30"/>
      <c r="FJ100" s="30"/>
      <c r="FK100" s="30"/>
      <c r="FL100" s="30"/>
      <c r="FM100" s="30"/>
      <c r="FN100" s="30"/>
      <c r="FO100" s="30"/>
      <c r="FP100" s="30"/>
      <c r="FQ100" s="30"/>
      <c r="FR100" s="30"/>
      <c r="FS100" s="30"/>
      <c r="FT100" s="30"/>
      <c r="FU100" s="30"/>
      <c r="FV100" s="30"/>
      <c r="FW100" s="30"/>
      <c r="FX100" s="30"/>
      <c r="FY100" s="30"/>
      <c r="FZ100" s="30"/>
      <c r="GA100" s="30"/>
      <c r="GB100" s="30"/>
      <c r="GC100" s="30"/>
      <c r="GD100" s="30"/>
      <c r="GE100" s="30"/>
      <c r="GF100" s="30"/>
      <c r="GG100" s="30"/>
      <c r="GH100" s="30"/>
      <c r="GI100" s="30"/>
      <c r="GJ100" s="30"/>
      <c r="GK100" s="30"/>
      <c r="GL100" s="30"/>
      <c r="GM100" s="30"/>
      <c r="GN100" s="30"/>
      <c r="GO100" s="30"/>
      <c r="GP100" s="30"/>
      <c r="GQ100" s="30"/>
      <c r="GR100" s="30"/>
      <c r="GS100" s="30"/>
      <c r="GT100" s="30"/>
      <c r="GU100" s="30"/>
      <c r="GV100" s="30"/>
      <c r="GW100" s="30"/>
      <c r="GX100" s="30"/>
      <c r="GY100" s="30"/>
      <c r="GZ100" s="30"/>
      <c r="HA100" s="30"/>
      <c r="HB100" s="30"/>
      <c r="HC100" s="30"/>
      <c r="HD100" s="30"/>
      <c r="HE100" s="30"/>
      <c r="HF100" s="30"/>
      <c r="HG100" s="30"/>
      <c r="HH100" s="30"/>
      <c r="HI100" s="30"/>
      <c r="HJ100" s="30"/>
      <c r="HK100" s="30"/>
      <c r="HL100" s="30"/>
      <c r="HM100" s="30"/>
      <c r="HN100" s="30"/>
      <c r="HO100" s="30"/>
      <c r="HP100" s="30"/>
      <c r="HQ100" s="30"/>
      <c r="HR100" s="30"/>
      <c r="HS100" s="30"/>
      <c r="HT100" s="30"/>
      <c r="HU100" s="30"/>
      <c r="HV100" s="30"/>
      <c r="HW100" s="30"/>
      <c r="HX100" s="30"/>
      <c r="HY100" s="30"/>
      <c r="HZ100" s="30"/>
      <c r="IA100" s="30"/>
      <c r="IB100" s="30"/>
      <c r="IC100" s="30"/>
      <c r="ID100" s="30"/>
      <c r="IE100" s="30"/>
      <c r="IF100" s="30"/>
      <c r="IG100" s="30"/>
      <c r="IH100" s="30"/>
      <c r="II100" s="30"/>
      <c r="IJ100" s="30"/>
      <c r="IK100" s="30"/>
      <c r="IL100" s="30"/>
      <c r="IM100" s="30"/>
      <c r="IN100" s="30"/>
      <c r="IO100" s="30"/>
      <c r="IP100" s="30"/>
      <c r="IQ100" s="30"/>
      <c r="IR100" s="30"/>
      <c r="IS100" s="30"/>
      <c r="IT100" s="30"/>
      <c r="IU100" s="30"/>
      <c r="IV100" s="30"/>
      <c r="IW100" s="30"/>
      <c r="IX100" s="30"/>
      <c r="IY100" s="30"/>
      <c r="IZ100" s="30"/>
      <c r="JA100" s="30"/>
      <c r="JB100" s="30"/>
      <c r="JC100" s="30"/>
      <c r="JD100" s="30"/>
      <c r="JE100" s="30"/>
      <c r="JF100" s="30"/>
      <c r="JG100" s="30"/>
      <c r="JH100" s="30"/>
      <c r="JI100" s="30"/>
      <c r="JJ100" s="30"/>
      <c r="JK100" s="30"/>
      <c r="JL100" s="30"/>
      <c r="JM100" s="30"/>
      <c r="JN100" s="30"/>
      <c r="JO100" s="30"/>
      <c r="JP100" s="30"/>
      <c r="JQ100" s="30"/>
      <c r="JR100" s="30"/>
      <c r="JS100" s="30"/>
      <c r="JT100" s="30"/>
      <c r="JU100" s="30"/>
      <c r="JV100" s="30"/>
      <c r="JW100" s="30"/>
      <c r="JX100" s="30"/>
      <c r="JY100" s="30"/>
      <c r="JZ100" s="30"/>
      <c r="KA100" s="30"/>
      <c r="KB100" s="30"/>
      <c r="KC100" s="30"/>
      <c r="KD100" s="30"/>
      <c r="KE100" s="30"/>
      <c r="KF100" s="30"/>
      <c r="KG100" s="30"/>
      <c r="KH100" s="30"/>
      <c r="KI100" s="30"/>
      <c r="KJ100" s="30"/>
      <c r="KK100" s="30"/>
      <c r="KL100" s="30"/>
      <c r="KM100" s="30"/>
      <c r="KN100" s="30"/>
      <c r="KO100" s="30"/>
      <c r="KP100" s="1630"/>
    </row>
    <row r="101" spans="1:302" s="97" customFormat="1" ht="19.5" customHeight="1" outlineLevel="1">
      <c r="A101" s="2656" t="s">
        <v>489</v>
      </c>
      <c r="B101" s="1689"/>
      <c r="C101" s="253" t="s">
        <v>677</v>
      </c>
      <c r="D101" s="1689" t="s">
        <v>678</v>
      </c>
      <c r="E101" s="253"/>
      <c r="F101" s="347"/>
      <c r="G101" s="348"/>
      <c r="H101" s="349" t="s">
        <v>26</v>
      </c>
      <c r="I101" s="2936"/>
      <c r="J101" s="362" t="s">
        <v>26</v>
      </c>
      <c r="K101" s="1745"/>
      <c r="L101" s="383"/>
      <c r="M101" s="383"/>
      <c r="N101" s="383"/>
      <c r="O101" s="1510">
        <v>366536</v>
      </c>
      <c r="P101" s="383"/>
      <c r="Q101" s="383"/>
      <c r="R101" s="383"/>
      <c r="S101" s="1510">
        <f t="shared" si="99"/>
        <v>0</v>
      </c>
      <c r="T101" s="389"/>
      <c r="U101" s="1746"/>
      <c r="V101" s="1746"/>
      <c r="W101" s="1744">
        <f t="shared" si="92"/>
        <v>366536</v>
      </c>
      <c r="X101" s="359" t="s">
        <v>26</v>
      </c>
      <c r="Y101" s="389"/>
      <c r="Z101" s="1746"/>
      <c r="AA101" s="1509"/>
      <c r="AB101" s="1510">
        <f t="shared" si="97"/>
        <v>366535.99979999999</v>
      </c>
      <c r="AC101" s="1680"/>
      <c r="AD101" s="1682"/>
      <c r="AE101" s="1687"/>
      <c r="AF101" s="1686"/>
      <c r="AG101" s="354"/>
      <c r="AH101" s="354">
        <f t="shared" si="83"/>
        <v>0</v>
      </c>
      <c r="AI101" s="355">
        <f t="shared" ca="1" si="94"/>
        <v>0</v>
      </c>
      <c r="AJ101" s="356">
        <f t="shared" ca="1" si="1"/>
        <v>0</v>
      </c>
      <c r="AK101" s="2185"/>
      <c r="AL101" s="260"/>
      <c r="AM101" s="2258"/>
      <c r="AN101" s="2258"/>
      <c r="AO101" s="359"/>
      <c r="AP101" s="359"/>
      <c r="AQ101" s="359"/>
      <c r="AR101" s="359"/>
      <c r="AS101" s="359"/>
      <c r="AT101" s="390"/>
      <c r="AU101" s="359"/>
      <c r="AV101" s="359"/>
      <c r="AW101" s="377"/>
      <c r="AX101" s="359"/>
      <c r="AY101" s="2315"/>
      <c r="AZ101" s="2273">
        <v>61089.333299999998</v>
      </c>
      <c r="BA101" s="497">
        <v>61089.333299999998</v>
      </c>
      <c r="BB101" s="359">
        <v>61089.333299999998</v>
      </c>
      <c r="BC101" s="359">
        <v>61089.333299999998</v>
      </c>
      <c r="BD101" s="359">
        <v>61089.333299999998</v>
      </c>
      <c r="BE101" s="362">
        <v>61089.333299999998</v>
      </c>
      <c r="BF101" s="362"/>
      <c r="BG101" s="362"/>
      <c r="BH101" s="362"/>
      <c r="BI101" s="414"/>
      <c r="BJ101" s="362"/>
      <c r="BK101" s="2123"/>
      <c r="BL101" s="414"/>
      <c r="BM101" s="414"/>
      <c r="BN101" s="414"/>
      <c r="BO101" s="414"/>
      <c r="BP101" s="414"/>
      <c r="BQ101" s="2399"/>
      <c r="BR101" s="362"/>
      <c r="BS101" s="362"/>
      <c r="BT101" s="362"/>
      <c r="BU101" s="364"/>
      <c r="BV101" s="364"/>
      <c r="BW101" s="2366"/>
      <c r="BX101" s="2463"/>
      <c r="BY101" s="2543"/>
      <c r="BZ101" s="2543"/>
      <c r="CA101" s="2591">
        <f t="shared" si="146"/>
        <v>366535.99979999999</v>
      </c>
      <c r="CB101" s="2377">
        <f t="shared" si="147"/>
        <v>1</v>
      </c>
      <c r="CC101" s="365">
        <f t="shared" si="148"/>
        <v>2.728244976061421E-6</v>
      </c>
      <c r="CD101" s="365"/>
      <c r="CE101" s="365"/>
      <c r="CF101" s="365"/>
      <c r="CG101" s="340"/>
      <c r="CH101" s="367"/>
      <c r="CI101" s="368"/>
      <c r="CJ101" s="368"/>
      <c r="CK101" s="369"/>
      <c r="CL101" s="329">
        <f t="shared" si="130"/>
        <v>2.0000000949949026E-4</v>
      </c>
      <c r="CM101" s="330">
        <f t="shared" ca="1" si="131"/>
        <v>0</v>
      </c>
      <c r="CN101" s="331">
        <f t="shared" ca="1" si="141"/>
        <v>-366535.99979999999</v>
      </c>
      <c r="CO101" s="86"/>
      <c r="CP101" s="86"/>
      <c r="CQ101" s="1641"/>
      <c r="CR101" s="86"/>
      <c r="CS101" s="86"/>
      <c r="CT101" s="86"/>
      <c r="CU101" s="86"/>
      <c r="CV101" s="86"/>
      <c r="CW101" s="86"/>
      <c r="CX101" s="86"/>
      <c r="CY101" s="86"/>
      <c r="CZ101" s="86"/>
      <c r="DA101" s="86"/>
      <c r="DB101" s="1642"/>
      <c r="DC101" s="1642"/>
      <c r="DD101" s="30"/>
      <c r="DE101" s="30"/>
      <c r="DF101" s="30"/>
      <c r="DG101" s="1642"/>
      <c r="DH101" s="1642"/>
      <c r="DI101" s="1642"/>
      <c r="DJ101" s="1642"/>
      <c r="DK101" s="1642"/>
      <c r="DL101" s="1642"/>
      <c r="DM101" s="1642"/>
      <c r="DN101" s="1642"/>
      <c r="DO101" s="1642"/>
      <c r="DP101" s="1642"/>
      <c r="DQ101" s="1642"/>
      <c r="DR101" s="1642"/>
      <c r="DS101" s="1642"/>
      <c r="DT101" s="1642"/>
      <c r="DU101" s="1642"/>
      <c r="DV101" s="1642"/>
      <c r="DW101" s="1642"/>
      <c r="DX101" s="1642"/>
      <c r="DY101" s="1642"/>
      <c r="DZ101" s="1642"/>
      <c r="EA101" s="1642"/>
      <c r="EB101" s="1642"/>
      <c r="EC101" s="1642"/>
      <c r="ED101" s="1642"/>
      <c r="EE101" s="1642"/>
      <c r="EF101" s="1642"/>
      <c r="EG101" s="1642"/>
      <c r="EH101" s="1643"/>
      <c r="EI101" s="1658"/>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0"/>
      <c r="HS101" s="30"/>
      <c r="HT101" s="30"/>
      <c r="HU101" s="30"/>
      <c r="HV101" s="30"/>
      <c r="HW101" s="30"/>
      <c r="HX101" s="30"/>
      <c r="HY101" s="30"/>
      <c r="HZ101" s="30"/>
      <c r="IA101" s="30"/>
      <c r="IB101" s="30"/>
      <c r="IC101" s="30"/>
      <c r="ID101" s="30"/>
      <c r="IE101" s="30"/>
      <c r="IF101" s="30"/>
      <c r="IG101" s="30"/>
      <c r="IH101" s="30"/>
      <c r="II101" s="30"/>
      <c r="IJ101" s="30"/>
      <c r="IK101" s="30"/>
      <c r="IL101" s="30"/>
      <c r="IM101" s="30"/>
      <c r="IN101" s="30"/>
      <c r="IO101" s="30"/>
      <c r="IP101" s="30"/>
      <c r="IQ101" s="30"/>
      <c r="IR101" s="30"/>
      <c r="IS101" s="30"/>
      <c r="IT101" s="30"/>
      <c r="IU101" s="30"/>
      <c r="IV101" s="30"/>
      <c r="IW101" s="30"/>
      <c r="IX101" s="30"/>
      <c r="IY101" s="30"/>
      <c r="IZ101" s="30"/>
      <c r="JA101" s="30"/>
      <c r="JB101" s="30"/>
      <c r="JC101" s="30"/>
      <c r="JD101" s="30"/>
      <c r="JE101" s="30"/>
      <c r="JF101" s="30"/>
      <c r="JG101" s="30"/>
      <c r="JH101" s="30"/>
      <c r="JI101" s="30"/>
      <c r="JJ101" s="30"/>
      <c r="JK101" s="30"/>
      <c r="JL101" s="30"/>
      <c r="JM101" s="30"/>
      <c r="JN101" s="30"/>
      <c r="JO101" s="30"/>
      <c r="JP101" s="30"/>
      <c r="JQ101" s="30"/>
      <c r="JR101" s="30"/>
      <c r="JS101" s="30"/>
      <c r="JT101" s="30"/>
      <c r="JU101" s="30"/>
      <c r="JV101" s="30"/>
      <c r="JW101" s="30"/>
      <c r="JX101" s="30"/>
      <c r="JY101" s="30"/>
      <c r="JZ101" s="30"/>
      <c r="KA101" s="30"/>
      <c r="KB101" s="30"/>
      <c r="KC101" s="30"/>
      <c r="KD101" s="30"/>
      <c r="KE101" s="30"/>
      <c r="KF101" s="30"/>
      <c r="KG101" s="30"/>
      <c r="KH101" s="30"/>
      <c r="KI101" s="30"/>
      <c r="KJ101" s="30"/>
      <c r="KK101" s="30"/>
      <c r="KL101" s="30"/>
      <c r="KM101" s="30"/>
      <c r="KN101" s="30"/>
      <c r="KO101" s="30"/>
      <c r="KP101" s="1630"/>
    </row>
    <row r="102" spans="1:302" s="97" customFormat="1" ht="13.15" outlineLevel="1">
      <c r="A102" s="2656" t="s">
        <v>794</v>
      </c>
      <c r="B102" s="1689"/>
      <c r="C102" s="1414" t="s">
        <v>679</v>
      </c>
      <c r="D102" s="1689" t="s">
        <v>680</v>
      </c>
      <c r="E102" s="1414"/>
      <c r="F102" s="347"/>
      <c r="G102" s="348"/>
      <c r="H102" s="349" t="s">
        <v>26</v>
      </c>
      <c r="I102" s="2936"/>
      <c r="J102" s="362" t="s">
        <v>26</v>
      </c>
      <c r="K102" s="1745"/>
      <c r="L102" s="383"/>
      <c r="M102" s="383"/>
      <c r="N102" s="383"/>
      <c r="O102" s="1510">
        <v>205428</v>
      </c>
      <c r="P102" s="383"/>
      <c r="Q102" s="383"/>
      <c r="R102" s="383"/>
      <c r="S102" s="1510">
        <f t="shared" si="99"/>
        <v>0</v>
      </c>
      <c r="T102" s="389"/>
      <c r="U102" s="1746"/>
      <c r="V102" s="1746"/>
      <c r="W102" s="1744">
        <f t="shared" si="92"/>
        <v>205428</v>
      </c>
      <c r="X102" s="359" t="s">
        <v>26</v>
      </c>
      <c r="Y102" s="389"/>
      <c r="Z102" s="1746"/>
      <c r="AA102" s="1509"/>
      <c r="AB102" s="1510">
        <f t="shared" si="97"/>
        <v>205428</v>
      </c>
      <c r="AC102" s="1680"/>
      <c r="AD102" s="1682"/>
      <c r="AE102" s="1687"/>
      <c r="AF102" s="1686"/>
      <c r="AG102" s="354"/>
      <c r="AH102" s="354">
        <f t="shared" si="83"/>
        <v>0</v>
      </c>
      <c r="AI102" s="355">
        <f t="shared" ca="1" si="94"/>
        <v>0</v>
      </c>
      <c r="AJ102" s="356">
        <f t="shared" ca="1" si="1"/>
        <v>0</v>
      </c>
      <c r="AK102" s="2185"/>
      <c r="AL102" s="260"/>
      <c r="AM102" s="2258"/>
      <c r="AN102" s="2258"/>
      <c r="AO102" s="359"/>
      <c r="AP102" s="359"/>
      <c r="AQ102" s="359"/>
      <c r="AR102" s="359"/>
      <c r="AS102" s="359"/>
      <c r="AT102" s="390"/>
      <c r="AU102" s="359"/>
      <c r="AV102" s="359"/>
      <c r="AW102" s="377"/>
      <c r="AX102" s="359"/>
      <c r="AY102" s="2316"/>
      <c r="AZ102" s="2258">
        <v>34238</v>
      </c>
      <c r="BA102" s="359">
        <v>34238</v>
      </c>
      <c r="BB102" s="359">
        <v>34238</v>
      </c>
      <c r="BC102" s="359">
        <v>34238</v>
      </c>
      <c r="BD102" s="359">
        <v>34238</v>
      </c>
      <c r="BE102" s="362">
        <v>34238</v>
      </c>
      <c r="BF102" s="362"/>
      <c r="BG102" s="362"/>
      <c r="BH102" s="362"/>
      <c r="BI102" s="414"/>
      <c r="BJ102" s="362"/>
      <c r="BK102" s="2123"/>
      <c r="BL102" s="414"/>
      <c r="BM102" s="414"/>
      <c r="BN102" s="414"/>
      <c r="BO102" s="414"/>
      <c r="BP102" s="414"/>
      <c r="BQ102" s="2399"/>
      <c r="BR102" s="362"/>
      <c r="BS102" s="362"/>
      <c r="BT102" s="362"/>
      <c r="BU102" s="364"/>
      <c r="BV102" s="364"/>
      <c r="BW102" s="2366"/>
      <c r="BX102" s="2463"/>
      <c r="BY102" s="2543"/>
      <c r="BZ102" s="2543"/>
      <c r="CA102" s="2591">
        <f t="shared" si="142"/>
        <v>205428</v>
      </c>
      <c r="CB102" s="2377">
        <f t="shared" si="143"/>
        <v>1</v>
      </c>
      <c r="CC102" s="365">
        <f t="shared" si="144"/>
        <v>4.8678855852172048E-6</v>
      </c>
      <c r="CD102" s="365"/>
      <c r="CE102" s="365"/>
      <c r="CF102" s="365"/>
      <c r="CG102" s="340"/>
      <c r="CH102" s="367"/>
      <c r="CI102" s="368"/>
      <c r="CJ102" s="368"/>
      <c r="CK102" s="369"/>
      <c r="CL102" s="329">
        <f t="shared" si="130"/>
        <v>0</v>
      </c>
      <c r="CM102" s="330">
        <f t="shared" ca="1" si="131"/>
        <v>0</v>
      </c>
      <c r="CN102" s="331">
        <f t="shared" ca="1" si="141"/>
        <v>-205428</v>
      </c>
      <c r="CO102" s="86"/>
      <c r="CP102" s="86"/>
      <c r="CQ102" s="1641"/>
      <c r="CR102" s="86"/>
      <c r="CS102" s="86"/>
      <c r="CT102" s="86"/>
      <c r="CU102" s="86"/>
      <c r="CV102" s="86"/>
      <c r="CW102" s="86"/>
      <c r="CX102" s="86"/>
      <c r="CY102" s="86"/>
      <c r="CZ102" s="86"/>
      <c r="DA102" s="86"/>
      <c r="DB102" s="1642"/>
      <c r="DC102" s="1642"/>
      <c r="DD102" s="30"/>
      <c r="DE102" s="30"/>
      <c r="DF102" s="30"/>
      <c r="DG102" s="1642"/>
      <c r="DH102" s="1642"/>
      <c r="DI102" s="1642"/>
      <c r="DJ102" s="1642"/>
      <c r="DK102" s="1642"/>
      <c r="DL102" s="1642"/>
      <c r="DM102" s="1642"/>
      <c r="DN102" s="1642"/>
      <c r="DO102" s="1642"/>
      <c r="DP102" s="1642"/>
      <c r="DQ102" s="1642"/>
      <c r="DR102" s="1642"/>
      <c r="DS102" s="1642"/>
      <c r="DT102" s="1642"/>
      <c r="DU102" s="1642"/>
      <c r="DV102" s="1642"/>
      <c r="DW102" s="1642"/>
      <c r="DX102" s="1642"/>
      <c r="DY102" s="1642"/>
      <c r="DZ102" s="1642"/>
      <c r="EA102" s="1642"/>
      <c r="EB102" s="1642"/>
      <c r="EC102" s="1642"/>
      <c r="ED102" s="1642"/>
      <c r="EE102" s="1642"/>
      <c r="EF102" s="1642"/>
      <c r="EG102" s="1642"/>
      <c r="EH102" s="1643"/>
      <c r="EI102" s="1658"/>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0"/>
      <c r="HP102" s="30"/>
      <c r="HQ102" s="30"/>
      <c r="HR102" s="30"/>
      <c r="HS102" s="30"/>
      <c r="HT102" s="30"/>
      <c r="HU102" s="30"/>
      <c r="HV102" s="30"/>
      <c r="HW102" s="30"/>
      <c r="HX102" s="30"/>
      <c r="HY102" s="30"/>
      <c r="HZ102" s="30"/>
      <c r="IA102" s="30"/>
      <c r="IB102" s="30"/>
      <c r="IC102" s="30"/>
      <c r="ID102" s="30"/>
      <c r="IE102" s="30"/>
      <c r="IF102" s="30"/>
      <c r="IG102" s="30"/>
      <c r="IH102" s="30"/>
      <c r="II102" s="30"/>
      <c r="IJ102" s="30"/>
      <c r="IK102" s="30"/>
      <c r="IL102" s="30"/>
      <c r="IM102" s="30"/>
      <c r="IN102" s="30"/>
      <c r="IO102" s="30"/>
      <c r="IP102" s="30"/>
      <c r="IQ102" s="30"/>
      <c r="IR102" s="30"/>
      <c r="IS102" s="30"/>
      <c r="IT102" s="30"/>
      <c r="IU102" s="30"/>
      <c r="IV102" s="30"/>
      <c r="IW102" s="30"/>
      <c r="IX102" s="30"/>
      <c r="IY102" s="30"/>
      <c r="IZ102" s="30"/>
      <c r="JA102" s="30"/>
      <c r="JB102" s="30"/>
      <c r="JC102" s="30"/>
      <c r="JD102" s="30"/>
      <c r="JE102" s="30"/>
      <c r="JF102" s="30"/>
      <c r="JG102" s="30"/>
      <c r="JH102" s="30"/>
      <c r="JI102" s="30"/>
      <c r="JJ102" s="30"/>
      <c r="JK102" s="30"/>
      <c r="JL102" s="30"/>
      <c r="JM102" s="30"/>
      <c r="JN102" s="30"/>
      <c r="JO102" s="30"/>
      <c r="JP102" s="30"/>
      <c r="JQ102" s="30"/>
      <c r="JR102" s="30"/>
      <c r="JS102" s="30"/>
      <c r="JT102" s="30"/>
      <c r="JU102" s="30"/>
      <c r="JV102" s="30"/>
      <c r="JW102" s="30"/>
      <c r="JX102" s="30"/>
      <c r="JY102" s="30"/>
      <c r="JZ102" s="30"/>
      <c r="KA102" s="30"/>
      <c r="KB102" s="30"/>
      <c r="KC102" s="30"/>
      <c r="KD102" s="30"/>
      <c r="KE102" s="30"/>
      <c r="KF102" s="30"/>
      <c r="KG102" s="30"/>
      <c r="KH102" s="30"/>
      <c r="KI102" s="30"/>
      <c r="KJ102" s="30"/>
      <c r="KK102" s="30"/>
      <c r="KL102" s="30"/>
      <c r="KM102" s="30"/>
      <c r="KN102" s="30"/>
      <c r="KO102" s="30"/>
      <c r="KP102" s="1630"/>
    </row>
    <row r="103" spans="1:302" s="97" customFormat="1" ht="13.15" outlineLevel="1">
      <c r="A103" s="2656" t="s">
        <v>496</v>
      </c>
      <c r="B103" s="1689"/>
      <c r="C103" s="262" t="s">
        <v>681</v>
      </c>
      <c r="D103" s="1689" t="s">
        <v>682</v>
      </c>
      <c r="E103" s="262"/>
      <c r="F103" s="347"/>
      <c r="G103" s="348"/>
      <c r="H103" s="349" t="s">
        <v>26</v>
      </c>
      <c r="I103" s="2936"/>
      <c r="J103" s="362" t="s">
        <v>26</v>
      </c>
      <c r="K103" s="1745"/>
      <c r="L103" s="383"/>
      <c r="M103" s="383"/>
      <c r="N103" s="383"/>
      <c r="O103" s="1510">
        <v>327191</v>
      </c>
      <c r="P103" s="383"/>
      <c r="Q103" s="383"/>
      <c r="R103" s="383"/>
      <c r="S103" s="1510">
        <f t="shared" si="99"/>
        <v>0</v>
      </c>
      <c r="T103" s="389"/>
      <c r="U103" s="1746"/>
      <c r="V103" s="1746"/>
      <c r="W103" s="1744">
        <f t="shared" si="92"/>
        <v>327191</v>
      </c>
      <c r="X103" s="359" t="s">
        <v>26</v>
      </c>
      <c r="Y103" s="389"/>
      <c r="Z103" s="1746"/>
      <c r="AA103" s="1509"/>
      <c r="AB103" s="1510">
        <f t="shared" si="97"/>
        <v>327190.99979999999</v>
      </c>
      <c r="AC103" s="1680"/>
      <c r="AD103" s="1460"/>
      <c r="AE103" s="1687"/>
      <c r="AF103" s="1686"/>
      <c r="AG103" s="354"/>
      <c r="AH103" s="354">
        <f t="shared" si="83"/>
        <v>0</v>
      </c>
      <c r="AI103" s="355">
        <f t="shared" ca="1" si="94"/>
        <v>0</v>
      </c>
      <c r="AJ103" s="356">
        <f t="shared" ca="1" si="1"/>
        <v>0</v>
      </c>
      <c r="AK103" s="2185"/>
      <c r="AL103" s="260"/>
      <c r="AM103" s="2258"/>
      <c r="AN103" s="2258"/>
      <c r="AO103" s="359"/>
      <c r="AP103" s="359"/>
      <c r="AQ103" s="359"/>
      <c r="AR103" s="359"/>
      <c r="AS103" s="359"/>
      <c r="AT103" s="390"/>
      <c r="AU103" s="359"/>
      <c r="AV103" s="359"/>
      <c r="AW103" s="377"/>
      <c r="AX103" s="359"/>
      <c r="AY103" s="2316"/>
      <c r="AZ103" s="2273">
        <v>54531.833299999998</v>
      </c>
      <c r="BA103" s="497">
        <v>54531.833299999998</v>
      </c>
      <c r="BB103" s="359">
        <v>54531.833299999998</v>
      </c>
      <c r="BC103" s="359">
        <v>54531.833299999998</v>
      </c>
      <c r="BD103" s="359">
        <v>54531.833299999998</v>
      </c>
      <c r="BE103" s="362">
        <v>54531.833299999998</v>
      </c>
      <c r="BF103" s="362"/>
      <c r="BG103" s="362"/>
      <c r="BH103" s="362"/>
      <c r="BI103" s="414"/>
      <c r="BJ103" s="362"/>
      <c r="BK103" s="2123"/>
      <c r="BL103" s="414"/>
      <c r="BM103" s="414"/>
      <c r="BN103" s="414"/>
      <c r="BO103" s="414"/>
      <c r="BP103" s="414"/>
      <c r="BQ103" s="2399"/>
      <c r="BR103" s="362"/>
      <c r="BS103" s="362"/>
      <c r="BT103" s="362"/>
      <c r="BU103" s="364"/>
      <c r="BV103" s="364"/>
      <c r="BW103" s="2366"/>
      <c r="BX103" s="2463"/>
      <c r="BY103" s="2543"/>
      <c r="BZ103" s="2543"/>
      <c r="CA103" s="2591">
        <f t="shared" si="142"/>
        <v>327190.99979999999</v>
      </c>
      <c r="CB103" s="2377">
        <f t="shared" si="143"/>
        <v>1</v>
      </c>
      <c r="CC103" s="365">
        <f t="shared" si="144"/>
        <v>3.0563187881429006E-6</v>
      </c>
      <c r="CD103" s="365"/>
      <c r="CE103" s="365"/>
      <c r="CF103" s="365"/>
      <c r="CG103" s="340"/>
      <c r="CH103" s="367"/>
      <c r="CI103" s="368"/>
      <c r="CJ103" s="368"/>
      <c r="CK103" s="369"/>
      <c r="CL103" s="329">
        <f t="shared" si="130"/>
        <v>2.0000000949949026E-4</v>
      </c>
      <c r="CM103" s="330">
        <f t="shared" ca="1" si="131"/>
        <v>0</v>
      </c>
      <c r="CN103" s="331">
        <f t="shared" ca="1" si="141"/>
        <v>-327190.99979999999</v>
      </c>
      <c r="CO103" s="86"/>
      <c r="CP103" s="86"/>
      <c r="CQ103" s="1641"/>
      <c r="CR103" s="86"/>
      <c r="CS103" s="86"/>
      <c r="CT103" s="86"/>
      <c r="CU103" s="86"/>
      <c r="CV103" s="86"/>
      <c r="CW103" s="86"/>
      <c r="CX103" s="86"/>
      <c r="CY103" s="86"/>
      <c r="CZ103" s="86"/>
      <c r="DA103" s="86"/>
      <c r="DB103" s="1642"/>
      <c r="DC103" s="1642"/>
      <c r="DD103" s="30"/>
      <c r="DE103" s="30"/>
      <c r="DF103" s="30"/>
      <c r="DG103" s="1642"/>
      <c r="DH103" s="1642"/>
      <c r="DI103" s="1642"/>
      <c r="DJ103" s="1642"/>
      <c r="DK103" s="1642"/>
      <c r="DL103" s="1642"/>
      <c r="DM103" s="1642"/>
      <c r="DN103" s="1642"/>
      <c r="DO103" s="1642"/>
      <c r="DP103" s="1642"/>
      <c r="DQ103" s="1642"/>
      <c r="DR103" s="1642"/>
      <c r="DS103" s="1642"/>
      <c r="DT103" s="1642"/>
      <c r="DU103" s="1642"/>
      <c r="DV103" s="1642"/>
      <c r="DW103" s="1642"/>
      <c r="DX103" s="1642"/>
      <c r="DY103" s="1642"/>
      <c r="DZ103" s="1642"/>
      <c r="EA103" s="1642"/>
      <c r="EB103" s="1642"/>
      <c r="EC103" s="1642"/>
      <c r="ED103" s="1642"/>
      <c r="EE103" s="1642"/>
      <c r="EF103" s="1642"/>
      <c r="EG103" s="1642"/>
      <c r="EH103" s="1643"/>
      <c r="EI103" s="1658"/>
      <c r="EJ103" s="30"/>
      <c r="EK103" s="30"/>
      <c r="EL103" s="30"/>
      <c r="EM103" s="30"/>
      <c r="EN103" s="30"/>
      <c r="EO103" s="30"/>
      <c r="EP103" s="30"/>
      <c r="EQ103" s="30"/>
      <c r="ER103" s="30"/>
      <c r="ES103" s="30"/>
      <c r="ET103" s="30"/>
      <c r="EU103" s="30"/>
      <c r="EV103" s="30"/>
      <c r="EW103" s="30"/>
      <c r="EX103" s="30"/>
      <c r="EY103" s="30"/>
      <c r="EZ103" s="30"/>
      <c r="FA103" s="30"/>
      <c r="FB103" s="30"/>
      <c r="FC103" s="30"/>
      <c r="FD103" s="30"/>
      <c r="FE103" s="30"/>
      <c r="FF103" s="30"/>
      <c r="FG103" s="30"/>
      <c r="FH103" s="30"/>
      <c r="FI103" s="30"/>
      <c r="FJ103" s="30"/>
      <c r="FK103" s="30"/>
      <c r="FL103" s="30"/>
      <c r="FM103" s="30"/>
      <c r="FN103" s="30"/>
      <c r="FO103" s="30"/>
      <c r="FP103" s="30"/>
      <c r="FQ103" s="30"/>
      <c r="FR103" s="30"/>
      <c r="FS103" s="30"/>
      <c r="FT103" s="30"/>
      <c r="FU103" s="30"/>
      <c r="FV103" s="30"/>
      <c r="FW103" s="30"/>
      <c r="FX103" s="30"/>
      <c r="FY103" s="30"/>
      <c r="FZ103" s="30"/>
      <c r="GA103" s="30"/>
      <c r="GB103" s="30"/>
      <c r="GC103" s="30"/>
      <c r="GD103" s="30"/>
      <c r="GE103" s="30"/>
      <c r="GF103" s="30"/>
      <c r="GG103" s="30"/>
      <c r="GH103" s="30"/>
      <c r="GI103" s="30"/>
      <c r="GJ103" s="30"/>
      <c r="GK103" s="30"/>
      <c r="GL103" s="30"/>
      <c r="GM103" s="30"/>
      <c r="GN103" s="30"/>
      <c r="GO103" s="30"/>
      <c r="GP103" s="30"/>
      <c r="GQ103" s="30"/>
      <c r="GR103" s="30"/>
      <c r="GS103" s="30"/>
      <c r="GT103" s="30"/>
      <c r="GU103" s="30"/>
      <c r="GV103" s="30"/>
      <c r="GW103" s="30"/>
      <c r="GX103" s="30"/>
      <c r="GY103" s="30"/>
      <c r="GZ103" s="30"/>
      <c r="HA103" s="30"/>
      <c r="HB103" s="30"/>
      <c r="HC103" s="30"/>
      <c r="HD103" s="30"/>
      <c r="HE103" s="30"/>
      <c r="HF103" s="30"/>
      <c r="HG103" s="30"/>
      <c r="HH103" s="30"/>
      <c r="HI103" s="30"/>
      <c r="HJ103" s="30"/>
      <c r="HK103" s="30"/>
      <c r="HL103" s="30"/>
      <c r="HM103" s="30"/>
      <c r="HN103" s="30"/>
      <c r="HO103" s="30"/>
      <c r="HP103" s="30"/>
      <c r="HQ103" s="30"/>
      <c r="HR103" s="30"/>
      <c r="HS103" s="30"/>
      <c r="HT103" s="30"/>
      <c r="HU103" s="30"/>
      <c r="HV103" s="30"/>
      <c r="HW103" s="30"/>
      <c r="HX103" s="30"/>
      <c r="HY103" s="30"/>
      <c r="HZ103" s="30"/>
      <c r="IA103" s="30"/>
      <c r="IB103" s="30"/>
      <c r="IC103" s="30"/>
      <c r="ID103" s="30"/>
      <c r="IE103" s="30"/>
      <c r="IF103" s="30"/>
      <c r="IG103" s="30"/>
      <c r="IH103" s="30"/>
      <c r="II103" s="30"/>
      <c r="IJ103" s="30"/>
      <c r="IK103" s="30"/>
      <c r="IL103" s="30"/>
      <c r="IM103" s="30"/>
      <c r="IN103" s="30"/>
      <c r="IO103" s="30"/>
      <c r="IP103" s="30"/>
      <c r="IQ103" s="30"/>
      <c r="IR103" s="30"/>
      <c r="IS103" s="30"/>
      <c r="IT103" s="30"/>
      <c r="IU103" s="30"/>
      <c r="IV103" s="30"/>
      <c r="IW103" s="30"/>
      <c r="IX103" s="30"/>
      <c r="IY103" s="30"/>
      <c r="IZ103" s="30"/>
      <c r="JA103" s="30"/>
      <c r="JB103" s="30"/>
      <c r="JC103" s="30"/>
      <c r="JD103" s="30"/>
      <c r="JE103" s="30"/>
      <c r="JF103" s="30"/>
      <c r="JG103" s="30"/>
      <c r="JH103" s="30"/>
      <c r="JI103" s="30"/>
      <c r="JJ103" s="30"/>
      <c r="JK103" s="30"/>
      <c r="JL103" s="30"/>
      <c r="JM103" s="30"/>
      <c r="JN103" s="30"/>
      <c r="JO103" s="30"/>
      <c r="JP103" s="30"/>
      <c r="JQ103" s="30"/>
      <c r="JR103" s="30"/>
      <c r="JS103" s="30"/>
      <c r="JT103" s="30"/>
      <c r="JU103" s="30"/>
      <c r="JV103" s="30"/>
      <c r="JW103" s="30"/>
      <c r="JX103" s="30"/>
      <c r="JY103" s="30"/>
      <c r="JZ103" s="30"/>
      <c r="KA103" s="30"/>
      <c r="KB103" s="30"/>
      <c r="KC103" s="30"/>
      <c r="KD103" s="30"/>
      <c r="KE103" s="30"/>
      <c r="KF103" s="30"/>
      <c r="KG103" s="30"/>
      <c r="KH103" s="30"/>
      <c r="KI103" s="30"/>
      <c r="KJ103" s="30"/>
      <c r="KK103" s="30"/>
      <c r="KL103" s="30"/>
      <c r="KM103" s="30"/>
      <c r="KN103" s="30"/>
      <c r="KO103" s="30"/>
      <c r="KP103" s="1630"/>
    </row>
    <row r="104" spans="1:302" s="97" customFormat="1" ht="13.9" outlineLevel="1">
      <c r="A104" s="2658" t="s">
        <v>199</v>
      </c>
      <c r="B104" s="2604"/>
      <c r="C104" s="2587" t="s">
        <v>683</v>
      </c>
      <c r="D104" s="2587" t="s">
        <v>684</v>
      </c>
      <c r="E104" s="262"/>
      <c r="F104" s="347"/>
      <c r="G104" s="348"/>
      <c r="H104" s="349" t="s">
        <v>26</v>
      </c>
      <c r="I104" s="2936"/>
      <c r="J104" s="362" t="s">
        <v>26</v>
      </c>
      <c r="K104" s="1745"/>
      <c r="L104" s="383"/>
      <c r="M104" s="383"/>
      <c r="N104" s="383"/>
      <c r="O104" s="1510">
        <v>7198646</v>
      </c>
      <c r="P104" s="383"/>
      <c r="Q104" s="383"/>
      <c r="R104" s="383"/>
      <c r="S104" s="1510">
        <f t="shared" si="99"/>
        <v>0</v>
      </c>
      <c r="T104" s="389"/>
      <c r="U104" s="1746"/>
      <c r="V104" s="1746"/>
      <c r="W104" s="1744">
        <f t="shared" si="92"/>
        <v>7198646</v>
      </c>
      <c r="X104" s="359" t="s">
        <v>26</v>
      </c>
      <c r="Y104" s="389"/>
      <c r="Z104" s="1746"/>
      <c r="AA104" s="1509"/>
      <c r="AB104" s="1510">
        <f t="shared" si="97"/>
        <v>7198646.0020000003</v>
      </c>
      <c r="AC104" s="1680"/>
      <c r="AD104" s="1460"/>
      <c r="AE104" s="1687"/>
      <c r="AF104" s="1686"/>
      <c r="AG104" s="354"/>
      <c r="AH104" s="354">
        <f t="shared" ref="AH104:AH141" si="149">AF104*AG104</f>
        <v>0</v>
      </c>
      <c r="AI104" s="355">
        <f t="shared" ca="1" si="94"/>
        <v>0</v>
      </c>
      <c r="AJ104" s="356">
        <f t="shared" ref="AJ104:AJ177" ca="1" si="150">IF($AB104&lt;&gt;0,AI104/$AB104,"")</f>
        <v>0</v>
      </c>
      <c r="AK104" s="2185"/>
      <c r="AL104" s="260"/>
      <c r="AM104" s="2258"/>
      <c r="AN104" s="2258"/>
      <c r="AO104" s="359"/>
      <c r="AP104" s="359"/>
      <c r="AQ104" s="359"/>
      <c r="AR104" s="359"/>
      <c r="AS104" s="359"/>
      <c r="AT104" s="390"/>
      <c r="AU104" s="359"/>
      <c r="AV104" s="359"/>
      <c r="AW104" s="377"/>
      <c r="AX104" s="359"/>
      <c r="AY104" s="2316"/>
      <c r="AZ104" s="2273">
        <v>1199774.33</v>
      </c>
      <c r="BA104" s="497">
        <v>1199774.33</v>
      </c>
      <c r="BB104" s="359">
        <v>1199774.33</v>
      </c>
      <c r="BC104" s="359">
        <v>1199774.33</v>
      </c>
      <c r="BD104" s="359">
        <v>1199774.352</v>
      </c>
      <c r="BE104" s="362">
        <v>1199774.33</v>
      </c>
      <c r="BF104" s="362"/>
      <c r="BG104" s="362"/>
      <c r="BH104" s="362"/>
      <c r="BI104" s="414"/>
      <c r="BJ104" s="362"/>
      <c r="BK104" s="2123"/>
      <c r="BL104" s="414"/>
      <c r="BM104" s="414"/>
      <c r="BN104" s="414"/>
      <c r="BO104" s="414"/>
      <c r="BP104" s="414"/>
      <c r="BQ104" s="2399"/>
      <c r="BR104" s="362"/>
      <c r="BS104" s="362"/>
      <c r="BT104" s="362"/>
      <c r="BU104" s="364"/>
      <c r="BV104" s="364"/>
      <c r="BW104" s="2366"/>
      <c r="BX104" s="2463"/>
      <c r="BY104" s="2543"/>
      <c r="BZ104" s="2543"/>
      <c r="CA104" s="2591">
        <f t="shared" si="142"/>
        <v>7198646.0020000003</v>
      </c>
      <c r="CB104" s="2377">
        <f t="shared" si="143"/>
        <v>1</v>
      </c>
      <c r="CC104" s="365">
        <f t="shared" si="144"/>
        <v>1.3891501259016903E-7</v>
      </c>
      <c r="CD104" s="365"/>
      <c r="CE104" s="365"/>
      <c r="CF104" s="365"/>
      <c r="CG104" s="340"/>
      <c r="CH104" s="367"/>
      <c r="CI104" s="368"/>
      <c r="CJ104" s="368"/>
      <c r="CK104" s="369"/>
      <c r="CL104" s="329">
        <f t="shared" si="130"/>
        <v>-2.0000003278255463E-3</v>
      </c>
      <c r="CM104" s="330">
        <f t="shared" ca="1" si="131"/>
        <v>0</v>
      </c>
      <c r="CN104" s="331">
        <f t="shared" ca="1" si="141"/>
        <v>-7198646.0020000003</v>
      </c>
      <c r="CO104" s="86"/>
      <c r="CP104" s="86"/>
      <c r="CQ104" s="1641"/>
      <c r="CR104" s="86"/>
      <c r="CS104" s="86"/>
      <c r="CT104" s="86"/>
      <c r="CU104" s="86"/>
      <c r="CV104" s="86"/>
      <c r="CW104" s="86"/>
      <c r="CX104" s="86"/>
      <c r="CY104" s="86"/>
      <c r="CZ104" s="86"/>
      <c r="DA104" s="86"/>
      <c r="DB104" s="1642"/>
      <c r="DC104" s="1642"/>
      <c r="DD104" s="30"/>
      <c r="DE104" s="30"/>
      <c r="DF104" s="30"/>
      <c r="DG104" s="1642"/>
      <c r="DH104" s="1642"/>
      <c r="DI104" s="1642"/>
      <c r="DJ104" s="1642"/>
      <c r="DK104" s="1642"/>
      <c r="DL104" s="1642"/>
      <c r="DM104" s="1642"/>
      <c r="DN104" s="1642"/>
      <c r="DO104" s="1642"/>
      <c r="DP104" s="1642"/>
      <c r="DQ104" s="1642"/>
      <c r="DR104" s="1642"/>
      <c r="DS104" s="1642"/>
      <c r="DT104" s="1642"/>
      <c r="DU104" s="1642"/>
      <c r="DV104" s="1642"/>
      <c r="DW104" s="1642"/>
      <c r="DX104" s="1642"/>
      <c r="DY104" s="1642"/>
      <c r="DZ104" s="1642"/>
      <c r="EA104" s="1642"/>
      <c r="EB104" s="1642"/>
      <c r="EC104" s="1642"/>
      <c r="ED104" s="1642"/>
      <c r="EE104" s="1642"/>
      <c r="EF104" s="1642"/>
      <c r="EG104" s="1642"/>
      <c r="EH104" s="1643"/>
      <c r="EI104" s="1658"/>
      <c r="EJ104" s="30"/>
      <c r="EK104" s="30"/>
      <c r="EL104" s="30"/>
      <c r="EM104" s="30"/>
      <c r="EN104" s="30"/>
      <c r="EO104" s="30"/>
      <c r="EP104" s="30"/>
      <c r="EQ104" s="30"/>
      <c r="ER104" s="30"/>
      <c r="ES104" s="30"/>
      <c r="ET104" s="30"/>
      <c r="EU104" s="30"/>
      <c r="EV104" s="30"/>
      <c r="EW104" s="30"/>
      <c r="EX104" s="30"/>
      <c r="EY104" s="30"/>
      <c r="EZ104" s="30"/>
      <c r="FA104" s="30"/>
      <c r="FB104" s="30"/>
      <c r="FC104" s="30"/>
      <c r="FD104" s="30"/>
      <c r="FE104" s="30"/>
      <c r="FF104" s="30"/>
      <c r="FG104" s="30"/>
      <c r="FH104" s="30"/>
      <c r="FI104" s="30"/>
      <c r="FJ104" s="30"/>
      <c r="FK104" s="30"/>
      <c r="FL104" s="30"/>
      <c r="FM104" s="30"/>
      <c r="FN104" s="30"/>
      <c r="FO104" s="30"/>
      <c r="FP104" s="30"/>
      <c r="FQ104" s="30"/>
      <c r="FR104" s="30"/>
      <c r="FS104" s="30"/>
      <c r="FT104" s="30"/>
      <c r="FU104" s="30"/>
      <c r="FV104" s="30"/>
      <c r="FW104" s="30"/>
      <c r="FX104" s="30"/>
      <c r="FY104" s="30"/>
      <c r="FZ104" s="30"/>
      <c r="GA104" s="30"/>
      <c r="GB104" s="30"/>
      <c r="GC104" s="30"/>
      <c r="GD104" s="30"/>
      <c r="GE104" s="30"/>
      <c r="GF104" s="30"/>
      <c r="GG104" s="30"/>
      <c r="GH104" s="30"/>
      <c r="GI104" s="30"/>
      <c r="GJ104" s="30"/>
      <c r="GK104" s="30"/>
      <c r="GL104" s="30"/>
      <c r="GM104" s="30"/>
      <c r="GN104" s="30"/>
      <c r="GO104" s="30"/>
      <c r="GP104" s="30"/>
      <c r="GQ104" s="30"/>
      <c r="GR104" s="30"/>
      <c r="GS104" s="30"/>
      <c r="GT104" s="30"/>
      <c r="GU104" s="30"/>
      <c r="GV104" s="30"/>
      <c r="GW104" s="30"/>
      <c r="GX104" s="30"/>
      <c r="GY104" s="30"/>
      <c r="GZ104" s="30"/>
      <c r="HA104" s="30"/>
      <c r="HB104" s="30"/>
      <c r="HC104" s="30"/>
      <c r="HD104" s="30"/>
      <c r="HE104" s="30"/>
      <c r="HF104" s="30"/>
      <c r="HG104" s="30"/>
      <c r="HH104" s="30"/>
      <c r="HI104" s="30"/>
      <c r="HJ104" s="30"/>
      <c r="HK104" s="30"/>
      <c r="HL104" s="30"/>
      <c r="HM104" s="30"/>
      <c r="HN104" s="30"/>
      <c r="HO104" s="30"/>
      <c r="HP104" s="30"/>
      <c r="HQ104" s="30"/>
      <c r="HR104" s="30"/>
      <c r="HS104" s="30"/>
      <c r="HT104" s="30"/>
      <c r="HU104" s="30"/>
      <c r="HV104" s="30"/>
      <c r="HW104" s="30"/>
      <c r="HX104" s="30"/>
      <c r="HY104" s="30"/>
      <c r="HZ104" s="30"/>
      <c r="IA104" s="30"/>
      <c r="IB104" s="30"/>
      <c r="IC104" s="30"/>
      <c r="ID104" s="30"/>
      <c r="IE104" s="30"/>
      <c r="IF104" s="30"/>
      <c r="IG104" s="30"/>
      <c r="IH104" s="30"/>
      <c r="II104" s="30"/>
      <c r="IJ104" s="30"/>
      <c r="IK104" s="30"/>
      <c r="IL104" s="30"/>
      <c r="IM104" s="30"/>
      <c r="IN104" s="30"/>
      <c r="IO104" s="30"/>
      <c r="IP104" s="30"/>
      <c r="IQ104" s="30"/>
      <c r="IR104" s="30"/>
      <c r="IS104" s="30"/>
      <c r="IT104" s="30"/>
      <c r="IU104" s="30"/>
      <c r="IV104" s="30"/>
      <c r="IW104" s="30"/>
      <c r="IX104" s="30"/>
      <c r="IY104" s="30"/>
      <c r="IZ104" s="30"/>
      <c r="JA104" s="30"/>
      <c r="JB104" s="30"/>
      <c r="JC104" s="30"/>
      <c r="JD104" s="30"/>
      <c r="JE104" s="30"/>
      <c r="JF104" s="30"/>
      <c r="JG104" s="30"/>
      <c r="JH104" s="30"/>
      <c r="JI104" s="30"/>
      <c r="JJ104" s="30"/>
      <c r="JK104" s="30"/>
      <c r="JL104" s="30"/>
      <c r="JM104" s="30"/>
      <c r="JN104" s="30"/>
      <c r="JO104" s="30"/>
      <c r="JP104" s="30"/>
      <c r="JQ104" s="30"/>
      <c r="JR104" s="30"/>
      <c r="JS104" s="30"/>
      <c r="JT104" s="30"/>
      <c r="JU104" s="30"/>
      <c r="JV104" s="30"/>
      <c r="JW104" s="30"/>
      <c r="JX104" s="30"/>
      <c r="JY104" s="30"/>
      <c r="JZ104" s="30"/>
      <c r="KA104" s="30"/>
      <c r="KB104" s="30"/>
      <c r="KC104" s="30"/>
      <c r="KD104" s="30"/>
      <c r="KE104" s="30"/>
      <c r="KF104" s="30"/>
      <c r="KG104" s="30"/>
      <c r="KH104" s="30"/>
      <c r="KI104" s="30"/>
      <c r="KJ104" s="30"/>
      <c r="KK104" s="30"/>
      <c r="KL104" s="30"/>
      <c r="KM104" s="30"/>
      <c r="KN104" s="30"/>
      <c r="KO104" s="30"/>
      <c r="KP104" s="1630"/>
    </row>
    <row r="105" spans="1:302" s="97" customFormat="1" ht="13.15" outlineLevel="1">
      <c r="A105" s="2656" t="s">
        <v>795</v>
      </c>
      <c r="B105" s="1689"/>
      <c r="C105" s="262"/>
      <c r="D105" s="1689"/>
      <c r="E105" s="262"/>
      <c r="F105" s="347"/>
      <c r="G105" s="348"/>
      <c r="H105" s="349" t="s">
        <v>26</v>
      </c>
      <c r="I105" s="2936"/>
      <c r="J105" s="362" t="s">
        <v>26</v>
      </c>
      <c r="K105" s="1745"/>
      <c r="L105" s="383"/>
      <c r="M105" s="383"/>
      <c r="N105" s="383"/>
      <c r="O105" s="1510"/>
      <c r="P105" s="383"/>
      <c r="Q105" s="383"/>
      <c r="R105" s="383"/>
      <c r="S105" s="1510">
        <f t="shared" si="99"/>
        <v>0</v>
      </c>
      <c r="T105" s="389"/>
      <c r="U105" s="1746"/>
      <c r="V105" s="1746"/>
      <c r="W105" s="1744">
        <f t="shared" si="92"/>
        <v>0</v>
      </c>
      <c r="X105" s="359" t="s">
        <v>26</v>
      </c>
      <c r="Y105" s="389"/>
      <c r="Z105" s="1746"/>
      <c r="AA105" s="1509"/>
      <c r="AB105" s="1510">
        <f t="shared" si="97"/>
        <v>0</v>
      </c>
      <c r="AC105" s="1680"/>
      <c r="AD105" s="1460"/>
      <c r="AE105" s="1687"/>
      <c r="AF105" s="1686"/>
      <c r="AG105" s="354"/>
      <c r="AH105" s="354">
        <f t="shared" si="149"/>
        <v>0</v>
      </c>
      <c r="AI105" s="355">
        <f t="shared" ca="1" si="94"/>
        <v>0</v>
      </c>
      <c r="AJ105" s="356" t="str">
        <f t="shared" si="150"/>
        <v/>
      </c>
      <c r="AK105" s="2185"/>
      <c r="AL105" s="260"/>
      <c r="AM105" s="2258"/>
      <c r="AN105" s="2258"/>
      <c r="AO105" s="359"/>
      <c r="AP105" s="359"/>
      <c r="AQ105" s="359"/>
      <c r="AR105" s="359"/>
      <c r="AS105" s="359"/>
      <c r="AT105" s="390"/>
      <c r="AU105" s="359"/>
      <c r="AV105" s="359"/>
      <c r="AW105" s="377"/>
      <c r="AX105" s="359"/>
      <c r="AY105" s="2316"/>
      <c r="AZ105" s="2273"/>
      <c r="BA105" s="497"/>
      <c r="BB105" s="359"/>
      <c r="BC105" s="359"/>
      <c r="BD105" s="359"/>
      <c r="BE105" s="362"/>
      <c r="BF105" s="362"/>
      <c r="BG105" s="362"/>
      <c r="BH105" s="362"/>
      <c r="BI105" s="414"/>
      <c r="BJ105" s="362"/>
      <c r="BK105" s="2123"/>
      <c r="BL105" s="414"/>
      <c r="BM105" s="414"/>
      <c r="BN105" s="414"/>
      <c r="BO105" s="414"/>
      <c r="BP105" s="414"/>
      <c r="BQ105" s="2399"/>
      <c r="BR105" s="362"/>
      <c r="BS105" s="362"/>
      <c r="BT105" s="362"/>
      <c r="BU105" s="364"/>
      <c r="BV105" s="364"/>
      <c r="BW105" s="2366"/>
      <c r="BX105" s="2463"/>
      <c r="BY105" s="2543"/>
      <c r="BZ105" s="2543"/>
      <c r="CA105" s="2591">
        <f t="shared" ref="CA105:CA125" si="151">SUMIF($AM$10:$BZ$10,$CA$9,AM105:BZ105)</f>
        <v>0</v>
      </c>
      <c r="CB105" s="2377" t="str">
        <f t="shared" ref="CB105:CB125" si="152">IF($AB105&lt;&gt;0,CA105/$AB105,"")</f>
        <v/>
      </c>
      <c r="CC105" s="365" t="str">
        <f t="shared" ref="CC105:CC125" si="153">IF($AB105&lt;&gt;0,CB105/$AB105,"")</f>
        <v/>
      </c>
      <c r="CD105" s="365"/>
      <c r="CE105" s="365"/>
      <c r="CF105" s="365"/>
      <c r="CG105" s="340"/>
      <c r="CH105" s="367"/>
      <c r="CI105" s="368"/>
      <c r="CJ105" s="368"/>
      <c r="CK105" s="369"/>
      <c r="CL105" s="329">
        <f t="shared" si="130"/>
        <v>0</v>
      </c>
      <c r="CM105" s="330">
        <f t="shared" ca="1" si="131"/>
        <v>0</v>
      </c>
      <c r="CN105" s="331">
        <f t="shared" ca="1" si="141"/>
        <v>0</v>
      </c>
      <c r="CO105" s="86"/>
      <c r="CP105" s="86"/>
      <c r="CQ105" s="1641"/>
      <c r="CR105" s="86"/>
      <c r="CS105" s="86"/>
      <c r="CT105" s="86"/>
      <c r="CU105" s="86"/>
      <c r="CV105" s="86"/>
      <c r="CW105" s="86"/>
      <c r="CX105" s="86"/>
      <c r="CY105" s="86"/>
      <c r="CZ105" s="86"/>
      <c r="DA105" s="86"/>
      <c r="DB105" s="1642"/>
      <c r="DC105" s="1642"/>
      <c r="DD105" s="30"/>
      <c r="DE105" s="30"/>
      <c r="DF105" s="30"/>
      <c r="DG105" s="1642"/>
      <c r="DH105" s="1642"/>
      <c r="DI105" s="1642"/>
      <c r="DJ105" s="1642"/>
      <c r="DK105" s="1642"/>
      <c r="DL105" s="1642"/>
      <c r="DM105" s="1642"/>
      <c r="DN105" s="1642"/>
      <c r="DO105" s="1642"/>
      <c r="DP105" s="1642"/>
      <c r="DQ105" s="1642"/>
      <c r="DR105" s="1642"/>
      <c r="DS105" s="1642"/>
      <c r="DT105" s="1642"/>
      <c r="DU105" s="1642"/>
      <c r="DV105" s="1642"/>
      <c r="DW105" s="1642"/>
      <c r="DX105" s="1642"/>
      <c r="DY105" s="1642"/>
      <c r="DZ105" s="1642"/>
      <c r="EA105" s="1642"/>
      <c r="EB105" s="1642"/>
      <c r="EC105" s="1642"/>
      <c r="ED105" s="1642"/>
      <c r="EE105" s="1642"/>
      <c r="EF105" s="1642"/>
      <c r="EG105" s="1642"/>
      <c r="EH105" s="1643"/>
      <c r="EI105" s="1658"/>
      <c r="EJ105" s="30"/>
      <c r="EK105" s="30"/>
      <c r="EL105" s="30"/>
      <c r="EM105" s="30"/>
      <c r="EN105" s="30"/>
      <c r="EO105" s="30"/>
      <c r="EP105" s="30"/>
      <c r="EQ105" s="30"/>
      <c r="ER105" s="30"/>
      <c r="ES105" s="30"/>
      <c r="ET105" s="30"/>
      <c r="EU105" s="30"/>
      <c r="EV105" s="30"/>
      <c r="EW105" s="30"/>
      <c r="EX105" s="30"/>
      <c r="EY105" s="30"/>
      <c r="EZ105" s="30"/>
      <c r="FA105" s="30"/>
      <c r="FB105" s="30"/>
      <c r="FC105" s="30"/>
      <c r="FD105" s="30"/>
      <c r="FE105" s="30"/>
      <c r="FF105" s="30"/>
      <c r="FG105" s="30"/>
      <c r="FH105" s="30"/>
      <c r="FI105" s="30"/>
      <c r="FJ105" s="30"/>
      <c r="FK105" s="30"/>
      <c r="FL105" s="30"/>
      <c r="FM105" s="30"/>
      <c r="FN105" s="30"/>
      <c r="FO105" s="30"/>
      <c r="FP105" s="30"/>
      <c r="FQ105" s="30"/>
      <c r="FR105" s="30"/>
      <c r="FS105" s="30"/>
      <c r="FT105" s="30"/>
      <c r="FU105" s="30"/>
      <c r="FV105" s="30"/>
      <c r="FW105" s="30"/>
      <c r="FX105" s="30"/>
      <c r="FY105" s="30"/>
      <c r="FZ105" s="30"/>
      <c r="GA105" s="30"/>
      <c r="GB105" s="30"/>
      <c r="GC105" s="30"/>
      <c r="GD105" s="30"/>
      <c r="GE105" s="30"/>
      <c r="GF105" s="30"/>
      <c r="GG105" s="30"/>
      <c r="GH105" s="30"/>
      <c r="GI105" s="30"/>
      <c r="GJ105" s="30"/>
      <c r="GK105" s="30"/>
      <c r="GL105" s="30"/>
      <c r="GM105" s="30"/>
      <c r="GN105" s="30"/>
      <c r="GO105" s="30"/>
      <c r="GP105" s="30"/>
      <c r="GQ105" s="30"/>
      <c r="GR105" s="30"/>
      <c r="GS105" s="30"/>
      <c r="GT105" s="30"/>
      <c r="GU105" s="30"/>
      <c r="GV105" s="30"/>
      <c r="GW105" s="30"/>
      <c r="GX105" s="30"/>
      <c r="GY105" s="30"/>
      <c r="GZ105" s="30"/>
      <c r="HA105" s="30"/>
      <c r="HB105" s="30"/>
      <c r="HC105" s="30"/>
      <c r="HD105" s="30"/>
      <c r="HE105" s="30"/>
      <c r="HF105" s="30"/>
      <c r="HG105" s="30"/>
      <c r="HH105" s="30"/>
      <c r="HI105" s="30"/>
      <c r="HJ105" s="30"/>
      <c r="HK105" s="30"/>
      <c r="HL105" s="30"/>
      <c r="HM105" s="30"/>
      <c r="HN105" s="30"/>
      <c r="HO105" s="30"/>
      <c r="HP105" s="30"/>
      <c r="HQ105" s="30"/>
      <c r="HR105" s="30"/>
      <c r="HS105" s="30"/>
      <c r="HT105" s="30"/>
      <c r="HU105" s="30"/>
      <c r="HV105" s="30"/>
      <c r="HW105" s="30"/>
      <c r="HX105" s="30"/>
      <c r="HY105" s="30"/>
      <c r="HZ105" s="30"/>
      <c r="IA105" s="30"/>
      <c r="IB105" s="30"/>
      <c r="IC105" s="30"/>
      <c r="ID105" s="30"/>
      <c r="IE105" s="30"/>
      <c r="IF105" s="30"/>
      <c r="IG105" s="30"/>
      <c r="IH105" s="30"/>
      <c r="II105" s="30"/>
      <c r="IJ105" s="30"/>
      <c r="IK105" s="30"/>
      <c r="IL105" s="30"/>
      <c r="IM105" s="30"/>
      <c r="IN105" s="30"/>
      <c r="IO105" s="30"/>
      <c r="IP105" s="30"/>
      <c r="IQ105" s="30"/>
      <c r="IR105" s="30"/>
      <c r="IS105" s="30"/>
      <c r="IT105" s="30"/>
      <c r="IU105" s="30"/>
      <c r="IV105" s="30"/>
      <c r="IW105" s="30"/>
      <c r="IX105" s="30"/>
      <c r="IY105" s="30"/>
      <c r="IZ105" s="30"/>
      <c r="JA105" s="30"/>
      <c r="JB105" s="30"/>
      <c r="JC105" s="30"/>
      <c r="JD105" s="30"/>
      <c r="JE105" s="30"/>
      <c r="JF105" s="30"/>
      <c r="JG105" s="30"/>
      <c r="JH105" s="30"/>
      <c r="JI105" s="30"/>
      <c r="JJ105" s="30"/>
      <c r="JK105" s="30"/>
      <c r="JL105" s="30"/>
      <c r="JM105" s="30"/>
      <c r="JN105" s="30"/>
      <c r="JO105" s="30"/>
      <c r="JP105" s="30"/>
      <c r="JQ105" s="30"/>
      <c r="JR105" s="30"/>
      <c r="JS105" s="30"/>
      <c r="JT105" s="30"/>
      <c r="JU105" s="30"/>
      <c r="JV105" s="30"/>
      <c r="JW105" s="30"/>
      <c r="JX105" s="30"/>
      <c r="JY105" s="30"/>
      <c r="JZ105" s="30"/>
      <c r="KA105" s="30"/>
      <c r="KB105" s="30"/>
      <c r="KC105" s="30"/>
      <c r="KD105" s="30"/>
      <c r="KE105" s="30"/>
      <c r="KF105" s="30"/>
      <c r="KG105" s="30"/>
      <c r="KH105" s="30"/>
      <c r="KI105" s="30"/>
      <c r="KJ105" s="30"/>
      <c r="KK105" s="30"/>
      <c r="KL105" s="30"/>
      <c r="KM105" s="30"/>
      <c r="KN105" s="30"/>
      <c r="KO105" s="30"/>
      <c r="KP105" s="1630"/>
    </row>
    <row r="106" spans="1:302" s="97" customFormat="1" ht="13.9" outlineLevel="1">
      <c r="A106" s="2658" t="s">
        <v>200</v>
      </c>
      <c r="B106" s="2604"/>
      <c r="C106" s="2587" t="s">
        <v>685</v>
      </c>
      <c r="D106" s="2587" t="s">
        <v>686</v>
      </c>
      <c r="E106" s="262"/>
      <c r="F106" s="347"/>
      <c r="G106" s="348"/>
      <c r="H106" s="349" t="s">
        <v>26</v>
      </c>
      <c r="I106" s="2936"/>
      <c r="J106" s="362" t="s">
        <v>26</v>
      </c>
      <c r="K106" s="1745"/>
      <c r="L106" s="383"/>
      <c r="M106" s="383"/>
      <c r="N106" s="383"/>
      <c r="O106" s="1510"/>
      <c r="P106" s="383"/>
      <c r="Q106" s="383"/>
      <c r="R106" s="383"/>
      <c r="S106" s="1510">
        <f t="shared" si="99"/>
        <v>0</v>
      </c>
      <c r="T106" s="389"/>
      <c r="U106" s="1746"/>
      <c r="V106" s="1746"/>
      <c r="W106" s="1744">
        <f t="shared" si="92"/>
        <v>0</v>
      </c>
      <c r="X106" s="359" t="s">
        <v>26</v>
      </c>
      <c r="Y106" s="389"/>
      <c r="Z106" s="1746"/>
      <c r="AA106" s="1509"/>
      <c r="AB106" s="1510">
        <f t="shared" si="97"/>
        <v>0</v>
      </c>
      <c r="AC106" s="1680"/>
      <c r="AD106" s="1460"/>
      <c r="AE106" s="1687"/>
      <c r="AF106" s="1686"/>
      <c r="AG106" s="354"/>
      <c r="AH106" s="354">
        <f t="shared" si="149"/>
        <v>0</v>
      </c>
      <c r="AI106" s="355">
        <f t="shared" ca="1" si="94"/>
        <v>0</v>
      </c>
      <c r="AJ106" s="356" t="str">
        <f t="shared" si="150"/>
        <v/>
      </c>
      <c r="AK106" s="2185"/>
      <c r="AL106" s="260"/>
      <c r="AM106" s="2258"/>
      <c r="AN106" s="2258"/>
      <c r="AO106" s="359"/>
      <c r="AP106" s="359"/>
      <c r="AQ106" s="359"/>
      <c r="AR106" s="359"/>
      <c r="AS106" s="359"/>
      <c r="AT106" s="390"/>
      <c r="AU106" s="359"/>
      <c r="AV106" s="359"/>
      <c r="AW106" s="377"/>
      <c r="AX106" s="359"/>
      <c r="AY106" s="2316"/>
      <c r="AZ106" s="2273"/>
      <c r="BA106" s="497"/>
      <c r="BB106" s="359"/>
      <c r="BC106" s="359"/>
      <c r="BD106" s="359"/>
      <c r="BE106" s="362"/>
      <c r="BF106" s="362"/>
      <c r="BG106" s="362"/>
      <c r="BH106" s="362"/>
      <c r="BI106" s="414"/>
      <c r="BJ106" s="362"/>
      <c r="BK106" s="2123"/>
      <c r="BL106" s="414"/>
      <c r="BM106" s="414"/>
      <c r="BN106" s="414"/>
      <c r="BO106" s="414"/>
      <c r="BP106" s="414"/>
      <c r="BQ106" s="2399"/>
      <c r="BR106" s="362"/>
      <c r="BS106" s="362"/>
      <c r="BT106" s="362"/>
      <c r="BU106" s="364"/>
      <c r="BV106" s="364"/>
      <c r="BW106" s="2366"/>
      <c r="BX106" s="2463"/>
      <c r="BY106" s="2543"/>
      <c r="BZ106" s="2543"/>
      <c r="CA106" s="2591">
        <f t="shared" si="151"/>
        <v>0</v>
      </c>
      <c r="CB106" s="2377" t="str">
        <f t="shared" si="152"/>
        <v/>
      </c>
      <c r="CC106" s="365" t="str">
        <f t="shared" si="153"/>
        <v/>
      </c>
      <c r="CD106" s="365"/>
      <c r="CE106" s="365"/>
      <c r="CF106" s="365"/>
      <c r="CG106" s="340"/>
      <c r="CH106" s="367"/>
      <c r="CI106" s="368"/>
      <c r="CJ106" s="368"/>
      <c r="CK106" s="369"/>
      <c r="CL106" s="329">
        <f t="shared" si="130"/>
        <v>0</v>
      </c>
      <c r="CM106" s="330">
        <f t="shared" ca="1" si="131"/>
        <v>0</v>
      </c>
      <c r="CN106" s="331">
        <f t="shared" ca="1" si="141"/>
        <v>0</v>
      </c>
      <c r="CO106" s="86"/>
      <c r="CP106" s="86"/>
      <c r="CQ106" s="1641"/>
      <c r="CR106" s="86"/>
      <c r="CS106" s="86"/>
      <c r="CT106" s="86"/>
      <c r="CU106" s="86"/>
      <c r="CV106" s="86"/>
      <c r="CW106" s="86"/>
      <c r="CX106" s="86"/>
      <c r="CY106" s="86"/>
      <c r="CZ106" s="86"/>
      <c r="DA106" s="86"/>
      <c r="DB106" s="1642"/>
      <c r="DC106" s="1642"/>
      <c r="DD106" s="30"/>
      <c r="DE106" s="30"/>
      <c r="DF106" s="30"/>
      <c r="DG106" s="1642"/>
      <c r="DH106" s="1642"/>
      <c r="DI106" s="1642"/>
      <c r="DJ106" s="1642"/>
      <c r="DK106" s="1642"/>
      <c r="DL106" s="1642"/>
      <c r="DM106" s="1642"/>
      <c r="DN106" s="1642"/>
      <c r="DO106" s="1642"/>
      <c r="DP106" s="1642"/>
      <c r="DQ106" s="1642"/>
      <c r="DR106" s="1642"/>
      <c r="DS106" s="1642"/>
      <c r="DT106" s="1642"/>
      <c r="DU106" s="1642"/>
      <c r="DV106" s="1642"/>
      <c r="DW106" s="1642"/>
      <c r="DX106" s="1642"/>
      <c r="DY106" s="1642"/>
      <c r="DZ106" s="1642"/>
      <c r="EA106" s="1642"/>
      <c r="EB106" s="1642"/>
      <c r="EC106" s="1642"/>
      <c r="ED106" s="1642"/>
      <c r="EE106" s="1642"/>
      <c r="EF106" s="1642"/>
      <c r="EG106" s="1642"/>
      <c r="EH106" s="1643"/>
      <c r="EI106" s="1658"/>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0"/>
      <c r="HP106" s="30"/>
      <c r="HQ106" s="30"/>
      <c r="HR106" s="30"/>
      <c r="HS106" s="30"/>
      <c r="HT106" s="30"/>
      <c r="HU106" s="30"/>
      <c r="HV106" s="30"/>
      <c r="HW106" s="30"/>
      <c r="HX106" s="30"/>
      <c r="HY106" s="30"/>
      <c r="HZ106" s="30"/>
      <c r="IA106" s="30"/>
      <c r="IB106" s="30"/>
      <c r="IC106" s="30"/>
      <c r="ID106" s="30"/>
      <c r="IE106" s="30"/>
      <c r="IF106" s="30"/>
      <c r="IG106" s="30"/>
      <c r="IH106" s="30"/>
      <c r="II106" s="30"/>
      <c r="IJ106" s="30"/>
      <c r="IK106" s="30"/>
      <c r="IL106" s="30"/>
      <c r="IM106" s="30"/>
      <c r="IN106" s="30"/>
      <c r="IO106" s="30"/>
      <c r="IP106" s="30"/>
      <c r="IQ106" s="30"/>
      <c r="IR106" s="30"/>
      <c r="IS106" s="30"/>
      <c r="IT106" s="30"/>
      <c r="IU106" s="30"/>
      <c r="IV106" s="30"/>
      <c r="IW106" s="30"/>
      <c r="IX106" s="30"/>
      <c r="IY106" s="30"/>
      <c r="IZ106" s="30"/>
      <c r="JA106" s="30"/>
      <c r="JB106" s="30"/>
      <c r="JC106" s="30"/>
      <c r="JD106" s="30"/>
      <c r="JE106" s="30"/>
      <c r="JF106" s="30"/>
      <c r="JG106" s="30"/>
      <c r="JH106" s="30"/>
      <c r="JI106" s="30"/>
      <c r="JJ106" s="30"/>
      <c r="JK106" s="30"/>
      <c r="JL106" s="30"/>
      <c r="JM106" s="30"/>
      <c r="JN106" s="30"/>
      <c r="JO106" s="30"/>
      <c r="JP106" s="30"/>
      <c r="JQ106" s="30"/>
      <c r="JR106" s="30"/>
      <c r="JS106" s="30"/>
      <c r="JT106" s="30"/>
      <c r="JU106" s="30"/>
      <c r="JV106" s="30"/>
      <c r="JW106" s="30"/>
      <c r="JX106" s="30"/>
      <c r="JY106" s="30"/>
      <c r="JZ106" s="30"/>
      <c r="KA106" s="30"/>
      <c r="KB106" s="30"/>
      <c r="KC106" s="30"/>
      <c r="KD106" s="30"/>
      <c r="KE106" s="30"/>
      <c r="KF106" s="30"/>
      <c r="KG106" s="30"/>
      <c r="KH106" s="30"/>
      <c r="KI106" s="30"/>
      <c r="KJ106" s="30"/>
      <c r="KK106" s="30"/>
      <c r="KL106" s="30"/>
      <c r="KM106" s="30"/>
      <c r="KN106" s="30"/>
      <c r="KO106" s="30"/>
      <c r="KP106" s="1630"/>
    </row>
    <row r="107" spans="1:302" s="97" customFormat="1" ht="13.15" outlineLevel="1">
      <c r="A107" s="2656" t="s">
        <v>796</v>
      </c>
      <c r="B107" s="1689"/>
      <c r="C107" s="262" t="s">
        <v>687</v>
      </c>
      <c r="D107" s="1689" t="s">
        <v>688</v>
      </c>
      <c r="E107" s="262"/>
      <c r="F107" s="347"/>
      <c r="G107" s="348"/>
      <c r="H107" s="349" t="s">
        <v>26</v>
      </c>
      <c r="I107" s="2936"/>
      <c r="J107" s="362" t="s">
        <v>26</v>
      </c>
      <c r="K107" s="1745"/>
      <c r="L107" s="383"/>
      <c r="M107" s="383"/>
      <c r="N107" s="383"/>
      <c r="O107" s="1510">
        <v>669443</v>
      </c>
      <c r="P107" s="383"/>
      <c r="Q107" s="383"/>
      <c r="R107" s="383"/>
      <c r="S107" s="1510">
        <f t="shared" si="99"/>
        <v>0</v>
      </c>
      <c r="T107" s="389"/>
      <c r="U107" s="1746"/>
      <c r="V107" s="1746"/>
      <c r="W107" s="1744">
        <f t="shared" si="92"/>
        <v>669443</v>
      </c>
      <c r="X107" s="359" t="s">
        <v>26</v>
      </c>
      <c r="Y107" s="389"/>
      <c r="Z107" s="1746"/>
      <c r="AA107" s="1509"/>
      <c r="AB107" s="1510">
        <f t="shared" si="97"/>
        <v>669442.99800000002</v>
      </c>
      <c r="AC107" s="1680"/>
      <c r="AD107" s="1460"/>
      <c r="AE107" s="1687"/>
      <c r="AF107" s="1686"/>
      <c r="AG107" s="354"/>
      <c r="AH107" s="354">
        <f t="shared" si="149"/>
        <v>0</v>
      </c>
      <c r="AI107" s="355">
        <f t="shared" ca="1" si="94"/>
        <v>0</v>
      </c>
      <c r="AJ107" s="356">
        <f t="shared" ca="1" si="150"/>
        <v>0</v>
      </c>
      <c r="AK107" s="2185"/>
      <c r="AL107" s="260"/>
      <c r="AM107" s="2258"/>
      <c r="AN107" s="2258"/>
      <c r="AO107" s="359"/>
      <c r="AP107" s="359"/>
      <c r="AQ107" s="359"/>
      <c r="AR107" s="359"/>
      <c r="AS107" s="359"/>
      <c r="AT107" s="390"/>
      <c r="AU107" s="359"/>
      <c r="AV107" s="359"/>
      <c r="AW107" s="377"/>
      <c r="AX107" s="359"/>
      <c r="AY107" s="2316"/>
      <c r="AZ107" s="2273">
        <v>111573.833</v>
      </c>
      <c r="BA107" s="497">
        <v>111573.833</v>
      </c>
      <c r="BB107" s="359">
        <v>111573.833</v>
      </c>
      <c r="BC107" s="359">
        <v>111573.833</v>
      </c>
      <c r="BD107" s="359">
        <v>111573.833</v>
      </c>
      <c r="BE107" s="362">
        <v>111573.833</v>
      </c>
      <c r="BF107" s="362"/>
      <c r="BG107" s="362"/>
      <c r="BH107" s="362"/>
      <c r="BI107" s="414"/>
      <c r="BJ107" s="362"/>
      <c r="BK107" s="2123"/>
      <c r="BL107" s="414"/>
      <c r="BM107" s="414"/>
      <c r="BN107" s="414"/>
      <c r="BO107" s="414"/>
      <c r="BP107" s="414"/>
      <c r="BQ107" s="2399"/>
      <c r="BR107" s="362"/>
      <c r="BS107" s="362"/>
      <c r="BT107" s="362"/>
      <c r="BU107" s="364"/>
      <c r="BV107" s="364"/>
      <c r="BW107" s="2366"/>
      <c r="BX107" s="2463"/>
      <c r="BY107" s="2543"/>
      <c r="BZ107" s="2543"/>
      <c r="CA107" s="2591">
        <f t="shared" si="151"/>
        <v>669442.99800000002</v>
      </c>
      <c r="CB107" s="2377">
        <f t="shared" si="152"/>
        <v>1</v>
      </c>
      <c r="CC107" s="365">
        <f t="shared" si="153"/>
        <v>1.4937791611646671E-6</v>
      </c>
      <c r="CD107" s="365"/>
      <c r="CE107" s="365"/>
      <c r="CF107" s="365"/>
      <c r="CG107" s="340"/>
      <c r="CH107" s="367"/>
      <c r="CI107" s="368"/>
      <c r="CJ107" s="368"/>
      <c r="CK107" s="369"/>
      <c r="CL107" s="329">
        <f t="shared" si="130"/>
        <v>1.9999999785795808E-3</v>
      </c>
      <c r="CM107" s="330">
        <f t="shared" ca="1" si="131"/>
        <v>0</v>
      </c>
      <c r="CN107" s="331">
        <f t="shared" ca="1" si="141"/>
        <v>-669442.99800000002</v>
      </c>
      <c r="CO107" s="86"/>
      <c r="CP107" s="86"/>
      <c r="CQ107" s="1641"/>
      <c r="CR107" s="86"/>
      <c r="CS107" s="86"/>
      <c r="CT107" s="86"/>
      <c r="CU107" s="86"/>
      <c r="CV107" s="86"/>
      <c r="CW107" s="86"/>
      <c r="CX107" s="86"/>
      <c r="CY107" s="86"/>
      <c r="CZ107" s="86"/>
      <c r="DA107" s="86"/>
      <c r="DB107" s="1642"/>
      <c r="DC107" s="1642"/>
      <c r="DD107" s="30"/>
      <c r="DE107" s="30"/>
      <c r="DF107" s="30"/>
      <c r="DG107" s="1642"/>
      <c r="DH107" s="1642"/>
      <c r="DI107" s="1642"/>
      <c r="DJ107" s="1642"/>
      <c r="DK107" s="1642"/>
      <c r="DL107" s="1642"/>
      <c r="DM107" s="1642"/>
      <c r="DN107" s="1642"/>
      <c r="DO107" s="1642"/>
      <c r="DP107" s="1642"/>
      <c r="DQ107" s="1642"/>
      <c r="DR107" s="1642"/>
      <c r="DS107" s="1642"/>
      <c r="DT107" s="1642"/>
      <c r="DU107" s="1642"/>
      <c r="DV107" s="1642"/>
      <c r="DW107" s="1642"/>
      <c r="DX107" s="1642"/>
      <c r="DY107" s="1642"/>
      <c r="DZ107" s="1642"/>
      <c r="EA107" s="1642"/>
      <c r="EB107" s="1642"/>
      <c r="EC107" s="1642"/>
      <c r="ED107" s="1642"/>
      <c r="EE107" s="1642"/>
      <c r="EF107" s="1642"/>
      <c r="EG107" s="1642"/>
      <c r="EH107" s="1643"/>
      <c r="EI107" s="1658"/>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0"/>
      <c r="HP107" s="30"/>
      <c r="HQ107" s="30"/>
      <c r="HR107" s="30"/>
      <c r="HS107" s="30"/>
      <c r="HT107" s="30"/>
      <c r="HU107" s="30"/>
      <c r="HV107" s="30"/>
      <c r="HW107" s="30"/>
      <c r="HX107" s="30"/>
      <c r="HY107" s="30"/>
      <c r="HZ107" s="30"/>
      <c r="IA107" s="30"/>
      <c r="IB107" s="30"/>
      <c r="IC107" s="30"/>
      <c r="ID107" s="30"/>
      <c r="IE107" s="30"/>
      <c r="IF107" s="30"/>
      <c r="IG107" s="30"/>
      <c r="IH107" s="30"/>
      <c r="II107" s="30"/>
      <c r="IJ107" s="30"/>
      <c r="IK107" s="30"/>
      <c r="IL107" s="30"/>
      <c r="IM107" s="30"/>
      <c r="IN107" s="30"/>
      <c r="IO107" s="30"/>
      <c r="IP107" s="30"/>
      <c r="IQ107" s="30"/>
      <c r="IR107" s="30"/>
      <c r="IS107" s="30"/>
      <c r="IT107" s="30"/>
      <c r="IU107" s="30"/>
      <c r="IV107" s="30"/>
      <c r="IW107" s="30"/>
      <c r="IX107" s="30"/>
      <c r="IY107" s="30"/>
      <c r="IZ107" s="30"/>
      <c r="JA107" s="30"/>
      <c r="JB107" s="30"/>
      <c r="JC107" s="30"/>
      <c r="JD107" s="30"/>
      <c r="JE107" s="30"/>
      <c r="JF107" s="30"/>
      <c r="JG107" s="30"/>
      <c r="JH107" s="30"/>
      <c r="JI107" s="30"/>
      <c r="JJ107" s="30"/>
      <c r="JK107" s="30"/>
      <c r="JL107" s="30"/>
      <c r="JM107" s="30"/>
      <c r="JN107" s="30"/>
      <c r="JO107" s="30"/>
      <c r="JP107" s="30"/>
      <c r="JQ107" s="30"/>
      <c r="JR107" s="30"/>
      <c r="JS107" s="30"/>
      <c r="JT107" s="30"/>
      <c r="JU107" s="30"/>
      <c r="JV107" s="30"/>
      <c r="JW107" s="30"/>
      <c r="JX107" s="30"/>
      <c r="JY107" s="30"/>
      <c r="JZ107" s="30"/>
      <c r="KA107" s="30"/>
      <c r="KB107" s="30"/>
      <c r="KC107" s="30"/>
      <c r="KD107" s="30"/>
      <c r="KE107" s="30"/>
      <c r="KF107" s="30"/>
      <c r="KG107" s="30"/>
      <c r="KH107" s="30"/>
      <c r="KI107" s="30"/>
      <c r="KJ107" s="30"/>
      <c r="KK107" s="30"/>
      <c r="KL107" s="30"/>
      <c r="KM107" s="30"/>
      <c r="KN107" s="30"/>
      <c r="KO107" s="30"/>
      <c r="KP107" s="1630"/>
    </row>
    <row r="108" spans="1:302" s="97" customFormat="1" ht="13.15" outlineLevel="1">
      <c r="A108" s="2656" t="s">
        <v>797</v>
      </c>
      <c r="B108" s="1689"/>
      <c r="C108" s="262" t="s">
        <v>689</v>
      </c>
      <c r="D108" s="1689" t="s">
        <v>690</v>
      </c>
      <c r="E108" s="262"/>
      <c r="F108" s="347"/>
      <c r="G108" s="348"/>
      <c r="H108" s="349" t="s">
        <v>26</v>
      </c>
      <c r="I108" s="2936"/>
      <c r="J108" s="362" t="s">
        <v>26</v>
      </c>
      <c r="K108" s="1745"/>
      <c r="L108" s="383"/>
      <c r="M108" s="383"/>
      <c r="N108" s="383"/>
      <c r="O108" s="1510">
        <v>631074</v>
      </c>
      <c r="P108" s="383"/>
      <c r="Q108" s="383"/>
      <c r="R108" s="383"/>
      <c r="S108" s="1510">
        <f t="shared" si="99"/>
        <v>0</v>
      </c>
      <c r="T108" s="389"/>
      <c r="U108" s="1746"/>
      <c r="V108" s="1746"/>
      <c r="W108" s="1744">
        <f t="shared" si="92"/>
        <v>631074</v>
      </c>
      <c r="X108" s="359" t="s">
        <v>26</v>
      </c>
      <c r="Y108" s="389"/>
      <c r="Z108" s="1746"/>
      <c r="AA108" s="1509"/>
      <c r="AB108" s="1510">
        <f t="shared" si="97"/>
        <v>631074</v>
      </c>
      <c r="AC108" s="1680"/>
      <c r="AD108" s="1460"/>
      <c r="AE108" s="1687"/>
      <c r="AF108" s="1686"/>
      <c r="AG108" s="354"/>
      <c r="AH108" s="354">
        <f t="shared" si="149"/>
        <v>0</v>
      </c>
      <c r="AI108" s="355">
        <f t="shared" ca="1" si="94"/>
        <v>0</v>
      </c>
      <c r="AJ108" s="356">
        <f t="shared" ca="1" si="150"/>
        <v>0</v>
      </c>
      <c r="AK108" s="2185"/>
      <c r="AL108" s="260"/>
      <c r="AM108" s="2258"/>
      <c r="AN108" s="2258"/>
      <c r="AO108" s="359"/>
      <c r="AP108" s="359"/>
      <c r="AQ108" s="359"/>
      <c r="AR108" s="359"/>
      <c r="AS108" s="359"/>
      <c r="AT108" s="390"/>
      <c r="AU108" s="359"/>
      <c r="AV108" s="359"/>
      <c r="AW108" s="377"/>
      <c r="AX108" s="359"/>
      <c r="AY108" s="2316"/>
      <c r="AZ108" s="2273"/>
      <c r="BA108" s="497"/>
      <c r="BB108" s="359"/>
      <c r="BC108" s="359"/>
      <c r="BD108" s="359"/>
      <c r="BE108" s="362"/>
      <c r="BF108" s="362"/>
      <c r="BG108" s="362">
        <v>105179</v>
      </c>
      <c r="BH108" s="362">
        <v>105179</v>
      </c>
      <c r="BI108" s="414">
        <v>105179</v>
      </c>
      <c r="BJ108" s="362">
        <v>105179</v>
      </c>
      <c r="BK108" s="2123">
        <v>105179</v>
      </c>
      <c r="BL108" s="414">
        <v>105179</v>
      </c>
      <c r="BM108" s="414"/>
      <c r="BN108" s="414"/>
      <c r="BO108" s="414"/>
      <c r="BP108" s="414"/>
      <c r="BQ108" s="2399"/>
      <c r="BR108" s="362"/>
      <c r="BS108" s="362"/>
      <c r="BT108" s="362"/>
      <c r="BU108" s="364"/>
      <c r="BV108" s="364"/>
      <c r="BW108" s="2366"/>
      <c r="BX108" s="2463"/>
      <c r="BY108" s="2543"/>
      <c r="BZ108" s="2543"/>
      <c r="CA108" s="2591">
        <f t="shared" si="151"/>
        <v>631074</v>
      </c>
      <c r="CB108" s="2377">
        <f t="shared" si="152"/>
        <v>1</v>
      </c>
      <c r="CC108" s="365">
        <f t="shared" si="153"/>
        <v>1.5846002212101909E-6</v>
      </c>
      <c r="CD108" s="365"/>
      <c r="CE108" s="365"/>
      <c r="CF108" s="365"/>
      <c r="CG108" s="340"/>
      <c r="CH108" s="367"/>
      <c r="CI108" s="368"/>
      <c r="CJ108" s="368"/>
      <c r="CK108" s="369"/>
      <c r="CL108" s="329">
        <f t="shared" si="130"/>
        <v>0</v>
      </c>
      <c r="CM108" s="330">
        <f t="shared" ca="1" si="131"/>
        <v>0</v>
      </c>
      <c r="CN108" s="331">
        <f t="shared" ca="1" si="141"/>
        <v>-631074</v>
      </c>
      <c r="CO108" s="86"/>
      <c r="CP108" s="86"/>
      <c r="CQ108" s="1641"/>
      <c r="CR108" s="86"/>
      <c r="CS108" s="86"/>
      <c r="CT108" s="86"/>
      <c r="CU108" s="86"/>
      <c r="CV108" s="86"/>
      <c r="CW108" s="86"/>
      <c r="CX108" s="86"/>
      <c r="CY108" s="86"/>
      <c r="CZ108" s="86"/>
      <c r="DA108" s="86"/>
      <c r="DB108" s="1642"/>
      <c r="DC108" s="1642"/>
      <c r="DD108" s="30"/>
      <c r="DE108" s="30"/>
      <c r="DF108" s="30"/>
      <c r="DG108" s="1642"/>
      <c r="DH108" s="1642"/>
      <c r="DI108" s="1642"/>
      <c r="DJ108" s="1642"/>
      <c r="DK108" s="1642"/>
      <c r="DL108" s="1642"/>
      <c r="DM108" s="1642"/>
      <c r="DN108" s="1642"/>
      <c r="DO108" s="1642"/>
      <c r="DP108" s="1642"/>
      <c r="DQ108" s="1642"/>
      <c r="DR108" s="1642"/>
      <c r="DS108" s="1642"/>
      <c r="DT108" s="1642"/>
      <c r="DU108" s="1642"/>
      <c r="DV108" s="1642"/>
      <c r="DW108" s="1642"/>
      <c r="DX108" s="1642"/>
      <c r="DY108" s="1642"/>
      <c r="DZ108" s="1642"/>
      <c r="EA108" s="1642"/>
      <c r="EB108" s="1642"/>
      <c r="EC108" s="1642"/>
      <c r="ED108" s="1642"/>
      <c r="EE108" s="1642"/>
      <c r="EF108" s="1642"/>
      <c r="EG108" s="1642"/>
      <c r="EH108" s="1643"/>
      <c r="EI108" s="1658"/>
      <c r="EJ108" s="30"/>
      <c r="EK108" s="30"/>
      <c r="EL108" s="30"/>
      <c r="EM108" s="30"/>
      <c r="EN108" s="30"/>
      <c r="EO108" s="30"/>
      <c r="EP108" s="30"/>
      <c r="EQ108" s="30"/>
      <c r="ER108" s="30"/>
      <c r="ES108" s="30"/>
      <c r="ET108" s="30"/>
      <c r="EU108" s="30"/>
      <c r="EV108" s="30"/>
      <c r="EW108" s="30"/>
      <c r="EX108" s="30"/>
      <c r="EY108" s="30"/>
      <c r="EZ108" s="30"/>
      <c r="FA108" s="30"/>
      <c r="FB108" s="30"/>
      <c r="FC108" s="30"/>
      <c r="FD108" s="30"/>
      <c r="FE108" s="30"/>
      <c r="FF108" s="30"/>
      <c r="FG108" s="30"/>
      <c r="FH108" s="30"/>
      <c r="FI108" s="30"/>
      <c r="FJ108" s="30"/>
      <c r="FK108" s="30"/>
      <c r="FL108" s="30"/>
      <c r="FM108" s="30"/>
      <c r="FN108" s="30"/>
      <c r="FO108" s="30"/>
      <c r="FP108" s="30"/>
      <c r="FQ108" s="30"/>
      <c r="FR108" s="30"/>
      <c r="FS108" s="30"/>
      <c r="FT108" s="30"/>
      <c r="FU108" s="30"/>
      <c r="FV108" s="30"/>
      <c r="FW108" s="30"/>
      <c r="FX108" s="30"/>
      <c r="FY108" s="30"/>
      <c r="FZ108" s="30"/>
      <c r="GA108" s="30"/>
      <c r="GB108" s="30"/>
      <c r="GC108" s="30"/>
      <c r="GD108" s="30"/>
      <c r="GE108" s="30"/>
      <c r="GF108" s="30"/>
      <c r="GG108" s="30"/>
      <c r="GH108" s="30"/>
      <c r="GI108" s="30"/>
      <c r="GJ108" s="30"/>
      <c r="GK108" s="30"/>
      <c r="GL108" s="30"/>
      <c r="GM108" s="30"/>
      <c r="GN108" s="30"/>
      <c r="GO108" s="30"/>
      <c r="GP108" s="30"/>
      <c r="GQ108" s="30"/>
      <c r="GR108" s="30"/>
      <c r="GS108" s="30"/>
      <c r="GT108" s="30"/>
      <c r="GU108" s="30"/>
      <c r="GV108" s="30"/>
      <c r="GW108" s="30"/>
      <c r="GX108" s="30"/>
      <c r="GY108" s="30"/>
      <c r="GZ108" s="30"/>
      <c r="HA108" s="30"/>
      <c r="HB108" s="30"/>
      <c r="HC108" s="30"/>
      <c r="HD108" s="30"/>
      <c r="HE108" s="30"/>
      <c r="HF108" s="30"/>
      <c r="HG108" s="30"/>
      <c r="HH108" s="30"/>
      <c r="HI108" s="30"/>
      <c r="HJ108" s="30"/>
      <c r="HK108" s="30"/>
      <c r="HL108" s="30"/>
      <c r="HM108" s="30"/>
      <c r="HN108" s="30"/>
      <c r="HO108" s="30"/>
      <c r="HP108" s="30"/>
      <c r="HQ108" s="30"/>
      <c r="HR108" s="30"/>
      <c r="HS108" s="30"/>
      <c r="HT108" s="30"/>
      <c r="HU108" s="30"/>
      <c r="HV108" s="30"/>
      <c r="HW108" s="30"/>
      <c r="HX108" s="30"/>
      <c r="HY108" s="30"/>
      <c r="HZ108" s="30"/>
      <c r="IA108" s="30"/>
      <c r="IB108" s="30"/>
      <c r="IC108" s="30"/>
      <c r="ID108" s="30"/>
      <c r="IE108" s="30"/>
      <c r="IF108" s="30"/>
      <c r="IG108" s="30"/>
      <c r="IH108" s="30"/>
      <c r="II108" s="30"/>
      <c r="IJ108" s="30"/>
      <c r="IK108" s="30"/>
      <c r="IL108" s="30"/>
      <c r="IM108" s="30"/>
      <c r="IN108" s="30"/>
      <c r="IO108" s="30"/>
      <c r="IP108" s="30"/>
      <c r="IQ108" s="30"/>
      <c r="IR108" s="30"/>
      <c r="IS108" s="30"/>
      <c r="IT108" s="30"/>
      <c r="IU108" s="30"/>
      <c r="IV108" s="30"/>
      <c r="IW108" s="30"/>
      <c r="IX108" s="30"/>
      <c r="IY108" s="30"/>
      <c r="IZ108" s="30"/>
      <c r="JA108" s="30"/>
      <c r="JB108" s="30"/>
      <c r="JC108" s="30"/>
      <c r="JD108" s="30"/>
      <c r="JE108" s="30"/>
      <c r="JF108" s="30"/>
      <c r="JG108" s="30"/>
      <c r="JH108" s="30"/>
      <c r="JI108" s="30"/>
      <c r="JJ108" s="30"/>
      <c r="JK108" s="30"/>
      <c r="JL108" s="30"/>
      <c r="JM108" s="30"/>
      <c r="JN108" s="30"/>
      <c r="JO108" s="30"/>
      <c r="JP108" s="30"/>
      <c r="JQ108" s="30"/>
      <c r="JR108" s="30"/>
      <c r="JS108" s="30"/>
      <c r="JT108" s="30"/>
      <c r="JU108" s="30"/>
      <c r="JV108" s="30"/>
      <c r="JW108" s="30"/>
      <c r="JX108" s="30"/>
      <c r="JY108" s="30"/>
      <c r="JZ108" s="30"/>
      <c r="KA108" s="30"/>
      <c r="KB108" s="30"/>
      <c r="KC108" s="30"/>
      <c r="KD108" s="30"/>
      <c r="KE108" s="30"/>
      <c r="KF108" s="30"/>
      <c r="KG108" s="30"/>
      <c r="KH108" s="30"/>
      <c r="KI108" s="30"/>
      <c r="KJ108" s="30"/>
      <c r="KK108" s="30"/>
      <c r="KL108" s="30"/>
      <c r="KM108" s="30"/>
      <c r="KN108" s="30"/>
      <c r="KO108" s="30"/>
      <c r="KP108" s="1630"/>
    </row>
    <row r="109" spans="1:302" s="97" customFormat="1" ht="13.15" outlineLevel="1">
      <c r="A109" s="2656" t="s">
        <v>798</v>
      </c>
      <c r="B109" s="1689"/>
      <c r="C109" s="262" t="s">
        <v>691</v>
      </c>
      <c r="D109" s="1689" t="s">
        <v>692</v>
      </c>
      <c r="E109" s="262"/>
      <c r="F109" s="347"/>
      <c r="G109" s="348"/>
      <c r="H109" s="349" t="s">
        <v>26</v>
      </c>
      <c r="I109" s="2936"/>
      <c r="J109" s="362" t="s">
        <v>26</v>
      </c>
      <c r="K109" s="1745"/>
      <c r="L109" s="383"/>
      <c r="M109" s="383"/>
      <c r="N109" s="383"/>
      <c r="O109" s="1510">
        <v>498448</v>
      </c>
      <c r="P109" s="383"/>
      <c r="Q109" s="383"/>
      <c r="R109" s="383"/>
      <c r="S109" s="1510">
        <f t="shared" si="99"/>
        <v>0</v>
      </c>
      <c r="T109" s="389"/>
      <c r="U109" s="1746"/>
      <c r="V109" s="1746"/>
      <c r="W109" s="1744">
        <f t="shared" si="92"/>
        <v>498448</v>
      </c>
      <c r="X109" s="359" t="s">
        <v>26</v>
      </c>
      <c r="Y109" s="389"/>
      <c r="Z109" s="1746"/>
      <c r="AA109" s="1509"/>
      <c r="AB109" s="1510">
        <f t="shared" si="97"/>
        <v>498448.00020000001</v>
      </c>
      <c r="AC109" s="1680"/>
      <c r="AD109" s="1460"/>
      <c r="AE109" s="1687"/>
      <c r="AF109" s="1686"/>
      <c r="AG109" s="354"/>
      <c r="AH109" s="354">
        <f t="shared" si="149"/>
        <v>0</v>
      </c>
      <c r="AI109" s="355">
        <f t="shared" ca="1" si="94"/>
        <v>0</v>
      </c>
      <c r="AJ109" s="356">
        <f t="shared" ca="1" si="150"/>
        <v>0</v>
      </c>
      <c r="AK109" s="2185"/>
      <c r="AL109" s="260"/>
      <c r="AM109" s="2258"/>
      <c r="AN109" s="2258"/>
      <c r="AO109" s="359"/>
      <c r="AP109" s="359"/>
      <c r="AQ109" s="359"/>
      <c r="AR109" s="359"/>
      <c r="AS109" s="359"/>
      <c r="AT109" s="390"/>
      <c r="AU109" s="359"/>
      <c r="AV109" s="359"/>
      <c r="AW109" s="377"/>
      <c r="AX109" s="359"/>
      <c r="AY109" s="2316"/>
      <c r="AZ109" s="2273"/>
      <c r="BA109" s="497"/>
      <c r="BB109" s="359">
        <v>83074.666700000002</v>
      </c>
      <c r="BC109" s="359">
        <v>83074.666700000002</v>
      </c>
      <c r="BD109" s="359">
        <v>83074.666700000002</v>
      </c>
      <c r="BE109" s="362">
        <v>83074.666700000002</v>
      </c>
      <c r="BF109" s="362">
        <v>83074.666700000002</v>
      </c>
      <c r="BG109" s="362">
        <v>83074.666700000002</v>
      </c>
      <c r="BH109" s="362"/>
      <c r="BI109" s="414"/>
      <c r="BJ109" s="362"/>
      <c r="BK109" s="2123"/>
      <c r="BL109" s="414"/>
      <c r="BM109" s="414"/>
      <c r="BN109" s="414"/>
      <c r="BO109" s="414"/>
      <c r="BP109" s="414"/>
      <c r="BQ109" s="2399"/>
      <c r="BR109" s="362"/>
      <c r="BS109" s="362"/>
      <c r="BT109" s="362"/>
      <c r="BU109" s="364"/>
      <c r="BV109" s="364"/>
      <c r="BW109" s="2366"/>
      <c r="BX109" s="2463"/>
      <c r="BY109" s="2543"/>
      <c r="BZ109" s="2543"/>
      <c r="CA109" s="2591">
        <f t="shared" si="151"/>
        <v>498448.00020000001</v>
      </c>
      <c r="CB109" s="2377">
        <f t="shared" si="152"/>
        <v>1</v>
      </c>
      <c r="CC109" s="365">
        <f t="shared" si="153"/>
        <v>2.0062273288261853E-6</v>
      </c>
      <c r="CD109" s="365"/>
      <c r="CE109" s="365"/>
      <c r="CF109" s="365"/>
      <c r="CG109" s="340"/>
      <c r="CH109" s="367"/>
      <c r="CI109" s="368"/>
      <c r="CJ109" s="368"/>
      <c r="CK109" s="369"/>
      <c r="CL109" s="329">
        <f t="shared" si="130"/>
        <v>-2.0000000949949026E-4</v>
      </c>
      <c r="CM109" s="330">
        <f t="shared" ca="1" si="131"/>
        <v>0</v>
      </c>
      <c r="CN109" s="331">
        <f t="shared" ca="1" si="141"/>
        <v>-498448.00020000001</v>
      </c>
      <c r="CO109" s="86"/>
      <c r="CP109" s="86"/>
      <c r="CQ109" s="1641"/>
      <c r="CR109" s="86"/>
      <c r="CS109" s="86"/>
      <c r="CT109" s="86"/>
      <c r="CU109" s="86"/>
      <c r="CV109" s="86"/>
      <c r="CW109" s="86"/>
      <c r="CX109" s="86"/>
      <c r="CY109" s="86"/>
      <c r="CZ109" s="86"/>
      <c r="DA109" s="86"/>
      <c r="DB109" s="1642"/>
      <c r="DC109" s="1642"/>
      <c r="DD109" s="30"/>
      <c r="DE109" s="30"/>
      <c r="DF109" s="30"/>
      <c r="DG109" s="1642"/>
      <c r="DH109" s="1642"/>
      <c r="DI109" s="1642"/>
      <c r="DJ109" s="1642"/>
      <c r="DK109" s="1642"/>
      <c r="DL109" s="1642"/>
      <c r="DM109" s="1642"/>
      <c r="DN109" s="1642"/>
      <c r="DO109" s="1642"/>
      <c r="DP109" s="1642"/>
      <c r="DQ109" s="1642"/>
      <c r="DR109" s="1642"/>
      <c r="DS109" s="1642"/>
      <c r="DT109" s="1642"/>
      <c r="DU109" s="1642"/>
      <c r="DV109" s="1642"/>
      <c r="DW109" s="1642"/>
      <c r="DX109" s="1642"/>
      <c r="DY109" s="1642"/>
      <c r="DZ109" s="1642"/>
      <c r="EA109" s="1642"/>
      <c r="EB109" s="1642"/>
      <c r="EC109" s="1642"/>
      <c r="ED109" s="1642"/>
      <c r="EE109" s="1642"/>
      <c r="EF109" s="1642"/>
      <c r="EG109" s="1642"/>
      <c r="EH109" s="1643"/>
      <c r="EI109" s="1658"/>
      <c r="EJ109" s="30"/>
      <c r="EK109" s="30"/>
      <c r="EL109" s="30"/>
      <c r="EM109" s="30"/>
      <c r="EN109" s="30"/>
      <c r="EO109" s="30"/>
      <c r="EP109" s="30"/>
      <c r="EQ109" s="30"/>
      <c r="ER109" s="30"/>
      <c r="ES109" s="30"/>
      <c r="ET109" s="30"/>
      <c r="EU109" s="30"/>
      <c r="EV109" s="30"/>
      <c r="EW109" s="30"/>
      <c r="EX109" s="30"/>
      <c r="EY109" s="30"/>
      <c r="EZ109" s="30"/>
      <c r="FA109" s="30"/>
      <c r="FB109" s="30"/>
      <c r="FC109" s="30"/>
      <c r="FD109" s="30"/>
      <c r="FE109" s="30"/>
      <c r="FF109" s="30"/>
      <c r="FG109" s="30"/>
      <c r="FH109" s="30"/>
      <c r="FI109" s="30"/>
      <c r="FJ109" s="30"/>
      <c r="FK109" s="30"/>
      <c r="FL109" s="30"/>
      <c r="FM109" s="30"/>
      <c r="FN109" s="30"/>
      <c r="FO109" s="30"/>
      <c r="FP109" s="30"/>
      <c r="FQ109" s="30"/>
      <c r="FR109" s="30"/>
      <c r="FS109" s="30"/>
      <c r="FT109" s="30"/>
      <c r="FU109" s="30"/>
      <c r="FV109" s="30"/>
      <c r="FW109" s="30"/>
      <c r="FX109" s="30"/>
      <c r="FY109" s="30"/>
      <c r="FZ109" s="30"/>
      <c r="GA109" s="30"/>
      <c r="GB109" s="30"/>
      <c r="GC109" s="30"/>
      <c r="GD109" s="30"/>
      <c r="GE109" s="30"/>
      <c r="GF109" s="30"/>
      <c r="GG109" s="30"/>
      <c r="GH109" s="30"/>
      <c r="GI109" s="30"/>
      <c r="GJ109" s="30"/>
      <c r="GK109" s="30"/>
      <c r="GL109" s="30"/>
      <c r="GM109" s="30"/>
      <c r="GN109" s="30"/>
      <c r="GO109" s="30"/>
      <c r="GP109" s="30"/>
      <c r="GQ109" s="30"/>
      <c r="GR109" s="30"/>
      <c r="GS109" s="30"/>
      <c r="GT109" s="30"/>
      <c r="GU109" s="30"/>
      <c r="GV109" s="30"/>
      <c r="GW109" s="30"/>
      <c r="GX109" s="30"/>
      <c r="GY109" s="30"/>
      <c r="GZ109" s="30"/>
      <c r="HA109" s="30"/>
      <c r="HB109" s="30"/>
      <c r="HC109" s="30"/>
      <c r="HD109" s="30"/>
      <c r="HE109" s="30"/>
      <c r="HF109" s="30"/>
      <c r="HG109" s="30"/>
      <c r="HH109" s="30"/>
      <c r="HI109" s="30"/>
      <c r="HJ109" s="30"/>
      <c r="HK109" s="30"/>
      <c r="HL109" s="30"/>
      <c r="HM109" s="30"/>
      <c r="HN109" s="30"/>
      <c r="HO109" s="30"/>
      <c r="HP109" s="30"/>
      <c r="HQ109" s="30"/>
      <c r="HR109" s="30"/>
      <c r="HS109" s="30"/>
      <c r="HT109" s="30"/>
      <c r="HU109" s="30"/>
      <c r="HV109" s="30"/>
      <c r="HW109" s="30"/>
      <c r="HX109" s="30"/>
      <c r="HY109" s="30"/>
      <c r="HZ109" s="30"/>
      <c r="IA109" s="30"/>
      <c r="IB109" s="30"/>
      <c r="IC109" s="30"/>
      <c r="ID109" s="30"/>
      <c r="IE109" s="30"/>
      <c r="IF109" s="30"/>
      <c r="IG109" s="30"/>
      <c r="IH109" s="30"/>
      <c r="II109" s="30"/>
      <c r="IJ109" s="30"/>
      <c r="IK109" s="30"/>
      <c r="IL109" s="30"/>
      <c r="IM109" s="30"/>
      <c r="IN109" s="30"/>
      <c r="IO109" s="30"/>
      <c r="IP109" s="30"/>
      <c r="IQ109" s="30"/>
      <c r="IR109" s="30"/>
      <c r="IS109" s="30"/>
      <c r="IT109" s="30"/>
      <c r="IU109" s="30"/>
      <c r="IV109" s="30"/>
      <c r="IW109" s="30"/>
      <c r="IX109" s="30"/>
      <c r="IY109" s="30"/>
      <c r="IZ109" s="30"/>
      <c r="JA109" s="30"/>
      <c r="JB109" s="30"/>
      <c r="JC109" s="30"/>
      <c r="JD109" s="30"/>
      <c r="JE109" s="30"/>
      <c r="JF109" s="30"/>
      <c r="JG109" s="30"/>
      <c r="JH109" s="30"/>
      <c r="JI109" s="30"/>
      <c r="JJ109" s="30"/>
      <c r="JK109" s="30"/>
      <c r="JL109" s="30"/>
      <c r="JM109" s="30"/>
      <c r="JN109" s="30"/>
      <c r="JO109" s="30"/>
      <c r="JP109" s="30"/>
      <c r="JQ109" s="30"/>
      <c r="JR109" s="30"/>
      <c r="JS109" s="30"/>
      <c r="JT109" s="30"/>
      <c r="JU109" s="30"/>
      <c r="JV109" s="30"/>
      <c r="JW109" s="30"/>
      <c r="JX109" s="30"/>
      <c r="JY109" s="30"/>
      <c r="JZ109" s="30"/>
      <c r="KA109" s="30"/>
      <c r="KB109" s="30"/>
      <c r="KC109" s="30"/>
      <c r="KD109" s="30"/>
      <c r="KE109" s="30"/>
      <c r="KF109" s="30"/>
      <c r="KG109" s="30"/>
      <c r="KH109" s="30"/>
      <c r="KI109" s="30"/>
      <c r="KJ109" s="30"/>
      <c r="KK109" s="30"/>
      <c r="KL109" s="30"/>
      <c r="KM109" s="30"/>
      <c r="KN109" s="30"/>
      <c r="KO109" s="30"/>
      <c r="KP109" s="1630"/>
    </row>
    <row r="110" spans="1:302" s="97" customFormat="1" ht="13.15" outlineLevel="1">
      <c r="A110" s="2656" t="s">
        <v>799</v>
      </c>
      <c r="B110" s="1689"/>
      <c r="C110" s="262" t="s">
        <v>693</v>
      </c>
      <c r="D110" s="1689" t="s">
        <v>694</v>
      </c>
      <c r="E110" s="262"/>
      <c r="F110" s="347"/>
      <c r="G110" s="348"/>
      <c r="H110" s="349" t="s">
        <v>26</v>
      </c>
      <c r="I110" s="2936"/>
      <c r="J110" s="362" t="s">
        <v>26</v>
      </c>
      <c r="K110" s="1745"/>
      <c r="L110" s="383"/>
      <c r="M110" s="383"/>
      <c r="N110" s="383"/>
      <c r="O110" s="1510">
        <v>621908</v>
      </c>
      <c r="P110" s="383"/>
      <c r="Q110" s="383"/>
      <c r="R110" s="383"/>
      <c r="S110" s="1510">
        <f t="shared" si="99"/>
        <v>0</v>
      </c>
      <c r="T110" s="389"/>
      <c r="U110" s="1746"/>
      <c r="V110" s="1746"/>
      <c r="W110" s="1744">
        <f t="shared" si="92"/>
        <v>621908</v>
      </c>
      <c r="X110" s="359" t="s">
        <v>26</v>
      </c>
      <c r="Y110" s="389"/>
      <c r="Z110" s="1746"/>
      <c r="AA110" s="1509"/>
      <c r="AB110" s="1510">
        <f t="shared" si="97"/>
        <v>621907.99800000002</v>
      </c>
      <c r="AC110" s="1680"/>
      <c r="AD110" s="1460"/>
      <c r="AE110" s="1687"/>
      <c r="AF110" s="1686"/>
      <c r="AG110" s="354"/>
      <c r="AH110" s="354">
        <f t="shared" si="149"/>
        <v>0</v>
      </c>
      <c r="AI110" s="355">
        <f t="shared" ca="1" si="94"/>
        <v>0</v>
      </c>
      <c r="AJ110" s="356">
        <f t="shared" ca="1" si="150"/>
        <v>0</v>
      </c>
      <c r="AK110" s="2185"/>
      <c r="AL110" s="260"/>
      <c r="AM110" s="2258"/>
      <c r="AN110" s="2258"/>
      <c r="AO110" s="359"/>
      <c r="AP110" s="359"/>
      <c r="AQ110" s="359"/>
      <c r="AR110" s="359"/>
      <c r="AS110" s="359"/>
      <c r="AT110" s="390"/>
      <c r="AU110" s="359"/>
      <c r="AV110" s="359"/>
      <c r="AW110" s="377"/>
      <c r="AX110" s="359"/>
      <c r="AY110" s="2316"/>
      <c r="AZ110" s="2273"/>
      <c r="BA110" s="497"/>
      <c r="BB110" s="359">
        <v>103651.333</v>
      </c>
      <c r="BC110" s="359">
        <v>103651.333</v>
      </c>
      <c r="BD110" s="359">
        <v>103651.333</v>
      </c>
      <c r="BE110" s="362">
        <v>103651.333</v>
      </c>
      <c r="BF110" s="362">
        <v>103651.333</v>
      </c>
      <c r="BG110" s="362">
        <v>103651.333</v>
      </c>
      <c r="BH110" s="362"/>
      <c r="BI110" s="414"/>
      <c r="BJ110" s="362"/>
      <c r="BK110" s="2123"/>
      <c r="BL110" s="414"/>
      <c r="BM110" s="414"/>
      <c r="BN110" s="414"/>
      <c r="BO110" s="414"/>
      <c r="BP110" s="414"/>
      <c r="BQ110" s="2399"/>
      <c r="BR110" s="362"/>
      <c r="BS110" s="362"/>
      <c r="BT110" s="362"/>
      <c r="BU110" s="364"/>
      <c r="BV110" s="364"/>
      <c r="BW110" s="2366"/>
      <c r="BX110" s="2463"/>
      <c r="BY110" s="2543"/>
      <c r="BZ110" s="2543"/>
      <c r="CA110" s="2591">
        <f t="shared" si="151"/>
        <v>621907.99800000002</v>
      </c>
      <c r="CB110" s="2377">
        <f t="shared" si="152"/>
        <v>1</v>
      </c>
      <c r="CC110" s="365">
        <f t="shared" si="153"/>
        <v>1.6079548795254438E-6</v>
      </c>
      <c r="CD110" s="365"/>
      <c r="CE110" s="365"/>
      <c r="CF110" s="365"/>
      <c r="CG110" s="340"/>
      <c r="CH110" s="367"/>
      <c r="CI110" s="368"/>
      <c r="CJ110" s="368"/>
      <c r="CK110" s="369"/>
      <c r="CL110" s="329">
        <f t="shared" si="130"/>
        <v>1.9999999785795808E-3</v>
      </c>
      <c r="CM110" s="330">
        <f t="shared" ca="1" si="131"/>
        <v>0</v>
      </c>
      <c r="CN110" s="331">
        <f t="shared" ca="1" si="141"/>
        <v>-621907.99800000002</v>
      </c>
      <c r="CO110" s="86"/>
      <c r="CP110" s="86"/>
      <c r="CQ110" s="1641"/>
      <c r="CR110" s="86"/>
      <c r="CS110" s="86"/>
      <c r="CT110" s="86"/>
      <c r="CU110" s="86"/>
      <c r="CV110" s="86"/>
      <c r="CW110" s="86"/>
      <c r="CX110" s="86"/>
      <c r="CY110" s="86"/>
      <c r="CZ110" s="86"/>
      <c r="DA110" s="86"/>
      <c r="DB110" s="1642"/>
      <c r="DC110" s="1642"/>
      <c r="DD110" s="30"/>
      <c r="DE110" s="30"/>
      <c r="DF110" s="30"/>
      <c r="DG110" s="1642"/>
      <c r="DH110" s="1642"/>
      <c r="DI110" s="1642"/>
      <c r="DJ110" s="1642"/>
      <c r="DK110" s="1642"/>
      <c r="DL110" s="1642"/>
      <c r="DM110" s="1642"/>
      <c r="DN110" s="1642"/>
      <c r="DO110" s="1642"/>
      <c r="DP110" s="1642"/>
      <c r="DQ110" s="1642"/>
      <c r="DR110" s="1642"/>
      <c r="DS110" s="1642"/>
      <c r="DT110" s="1642"/>
      <c r="DU110" s="1642"/>
      <c r="DV110" s="1642"/>
      <c r="DW110" s="1642"/>
      <c r="DX110" s="1642"/>
      <c r="DY110" s="1642"/>
      <c r="DZ110" s="1642"/>
      <c r="EA110" s="1642"/>
      <c r="EB110" s="1642"/>
      <c r="EC110" s="1642"/>
      <c r="ED110" s="1642"/>
      <c r="EE110" s="1642"/>
      <c r="EF110" s="1642"/>
      <c r="EG110" s="1642"/>
      <c r="EH110" s="1643"/>
      <c r="EI110" s="1658"/>
      <c r="EJ110" s="30"/>
      <c r="EK110" s="30"/>
      <c r="EL110" s="30"/>
      <c r="EM110" s="30"/>
      <c r="EN110" s="30"/>
      <c r="EO110" s="30"/>
      <c r="EP110" s="30"/>
      <c r="EQ110" s="30"/>
      <c r="ER110" s="30"/>
      <c r="ES110" s="30"/>
      <c r="ET110" s="30"/>
      <c r="EU110" s="30"/>
      <c r="EV110" s="30"/>
      <c r="EW110" s="30"/>
      <c r="EX110" s="30"/>
      <c r="EY110" s="30"/>
      <c r="EZ110" s="30"/>
      <c r="FA110" s="30"/>
      <c r="FB110" s="30"/>
      <c r="FC110" s="30"/>
      <c r="FD110" s="30"/>
      <c r="FE110" s="30"/>
      <c r="FF110" s="30"/>
      <c r="FG110" s="30"/>
      <c r="FH110" s="30"/>
      <c r="FI110" s="30"/>
      <c r="FJ110" s="30"/>
      <c r="FK110" s="30"/>
      <c r="FL110" s="30"/>
      <c r="FM110" s="30"/>
      <c r="FN110" s="30"/>
      <c r="FO110" s="30"/>
      <c r="FP110" s="30"/>
      <c r="FQ110" s="30"/>
      <c r="FR110" s="30"/>
      <c r="FS110" s="30"/>
      <c r="FT110" s="30"/>
      <c r="FU110" s="30"/>
      <c r="FV110" s="30"/>
      <c r="FW110" s="30"/>
      <c r="FX110" s="30"/>
      <c r="FY110" s="30"/>
      <c r="FZ110" s="30"/>
      <c r="GA110" s="30"/>
      <c r="GB110" s="30"/>
      <c r="GC110" s="30"/>
      <c r="GD110" s="30"/>
      <c r="GE110" s="30"/>
      <c r="GF110" s="30"/>
      <c r="GG110" s="30"/>
      <c r="GH110" s="30"/>
      <c r="GI110" s="30"/>
      <c r="GJ110" s="30"/>
      <c r="GK110" s="30"/>
      <c r="GL110" s="30"/>
      <c r="GM110" s="30"/>
      <c r="GN110" s="30"/>
      <c r="GO110" s="30"/>
      <c r="GP110" s="30"/>
      <c r="GQ110" s="30"/>
      <c r="GR110" s="30"/>
      <c r="GS110" s="30"/>
      <c r="GT110" s="30"/>
      <c r="GU110" s="30"/>
      <c r="GV110" s="30"/>
      <c r="GW110" s="30"/>
      <c r="GX110" s="30"/>
      <c r="GY110" s="30"/>
      <c r="GZ110" s="30"/>
      <c r="HA110" s="30"/>
      <c r="HB110" s="30"/>
      <c r="HC110" s="30"/>
      <c r="HD110" s="30"/>
      <c r="HE110" s="30"/>
      <c r="HF110" s="30"/>
      <c r="HG110" s="30"/>
      <c r="HH110" s="30"/>
      <c r="HI110" s="30"/>
      <c r="HJ110" s="30"/>
      <c r="HK110" s="30"/>
      <c r="HL110" s="30"/>
      <c r="HM110" s="30"/>
      <c r="HN110" s="30"/>
      <c r="HO110" s="30"/>
      <c r="HP110" s="30"/>
      <c r="HQ110" s="30"/>
      <c r="HR110" s="30"/>
      <c r="HS110" s="30"/>
      <c r="HT110" s="30"/>
      <c r="HU110" s="30"/>
      <c r="HV110" s="30"/>
      <c r="HW110" s="30"/>
      <c r="HX110" s="30"/>
      <c r="HY110" s="30"/>
      <c r="HZ110" s="30"/>
      <c r="IA110" s="30"/>
      <c r="IB110" s="30"/>
      <c r="IC110" s="30"/>
      <c r="ID110" s="30"/>
      <c r="IE110" s="30"/>
      <c r="IF110" s="30"/>
      <c r="IG110" s="30"/>
      <c r="IH110" s="30"/>
      <c r="II110" s="30"/>
      <c r="IJ110" s="30"/>
      <c r="IK110" s="30"/>
      <c r="IL110" s="30"/>
      <c r="IM110" s="30"/>
      <c r="IN110" s="30"/>
      <c r="IO110" s="30"/>
      <c r="IP110" s="30"/>
      <c r="IQ110" s="30"/>
      <c r="IR110" s="30"/>
      <c r="IS110" s="30"/>
      <c r="IT110" s="30"/>
      <c r="IU110" s="30"/>
      <c r="IV110" s="30"/>
      <c r="IW110" s="30"/>
      <c r="IX110" s="30"/>
      <c r="IY110" s="30"/>
      <c r="IZ110" s="30"/>
      <c r="JA110" s="30"/>
      <c r="JB110" s="30"/>
      <c r="JC110" s="30"/>
      <c r="JD110" s="30"/>
      <c r="JE110" s="30"/>
      <c r="JF110" s="30"/>
      <c r="JG110" s="30"/>
      <c r="JH110" s="30"/>
      <c r="JI110" s="30"/>
      <c r="JJ110" s="30"/>
      <c r="JK110" s="30"/>
      <c r="JL110" s="30"/>
      <c r="JM110" s="30"/>
      <c r="JN110" s="30"/>
      <c r="JO110" s="30"/>
      <c r="JP110" s="30"/>
      <c r="JQ110" s="30"/>
      <c r="JR110" s="30"/>
      <c r="JS110" s="30"/>
      <c r="JT110" s="30"/>
      <c r="JU110" s="30"/>
      <c r="JV110" s="30"/>
      <c r="JW110" s="30"/>
      <c r="JX110" s="30"/>
      <c r="JY110" s="30"/>
      <c r="JZ110" s="30"/>
      <c r="KA110" s="30"/>
      <c r="KB110" s="30"/>
      <c r="KC110" s="30"/>
      <c r="KD110" s="30"/>
      <c r="KE110" s="30"/>
      <c r="KF110" s="30"/>
      <c r="KG110" s="30"/>
      <c r="KH110" s="30"/>
      <c r="KI110" s="30"/>
      <c r="KJ110" s="30"/>
      <c r="KK110" s="30"/>
      <c r="KL110" s="30"/>
      <c r="KM110" s="30"/>
      <c r="KN110" s="30"/>
      <c r="KO110" s="30"/>
      <c r="KP110" s="1630"/>
    </row>
    <row r="111" spans="1:302" s="97" customFormat="1" ht="12.6" customHeight="1" outlineLevel="1">
      <c r="A111" s="2656" t="s">
        <v>800</v>
      </c>
      <c r="B111" s="1689"/>
      <c r="C111" s="262" t="s">
        <v>695</v>
      </c>
      <c r="D111" s="1689" t="s">
        <v>696</v>
      </c>
      <c r="E111" s="262"/>
      <c r="F111" s="347"/>
      <c r="G111" s="348"/>
      <c r="H111" s="349" t="s">
        <v>26</v>
      </c>
      <c r="I111" s="2936"/>
      <c r="J111" s="362" t="s">
        <v>26</v>
      </c>
      <c r="K111" s="1745"/>
      <c r="L111" s="383"/>
      <c r="M111" s="383"/>
      <c r="N111" s="383"/>
      <c r="O111" s="2739">
        <v>4432229</v>
      </c>
      <c r="P111" s="383"/>
      <c r="Q111" s="383"/>
      <c r="R111" s="383"/>
      <c r="S111" s="1510">
        <f t="shared" si="99"/>
        <v>0</v>
      </c>
      <c r="T111" s="389"/>
      <c r="U111" s="1746"/>
      <c r="V111" s="1746"/>
      <c r="W111" s="1744">
        <f t="shared" si="92"/>
        <v>4432229</v>
      </c>
      <c r="X111" s="359" t="s">
        <v>26</v>
      </c>
      <c r="Y111" s="389"/>
      <c r="Z111" s="1746"/>
      <c r="AA111" s="2844"/>
      <c r="AB111" s="2722">
        <f t="shared" si="97"/>
        <v>1631867.997</v>
      </c>
      <c r="AC111" s="1680"/>
      <c r="AD111" s="1460"/>
      <c r="AE111" s="1687"/>
      <c r="AF111" s="1686"/>
      <c r="AG111" s="354"/>
      <c r="AH111" s="354">
        <f t="shared" si="149"/>
        <v>0</v>
      </c>
      <c r="AI111" s="355">
        <f t="shared" ca="1" si="94"/>
        <v>0</v>
      </c>
      <c r="AJ111" s="356">
        <f t="shared" ca="1" si="150"/>
        <v>0</v>
      </c>
      <c r="AK111" s="2185"/>
      <c r="AL111" s="260"/>
      <c r="AM111" s="2258"/>
      <c r="AN111" s="2258"/>
      <c r="AO111" s="359"/>
      <c r="AP111" s="359"/>
      <c r="AQ111" s="359"/>
      <c r="AR111" s="359"/>
      <c r="AS111" s="359"/>
      <c r="AT111" s="390"/>
      <c r="AU111" s="359"/>
      <c r="AV111" s="359"/>
      <c r="AW111" s="377"/>
      <c r="AX111" s="359"/>
      <c r="AY111" s="2316"/>
      <c r="AZ111" s="2273">
        <f>633175.571-29639+59278-9891-250000</f>
        <v>402923.571</v>
      </c>
      <c r="BA111" s="497">
        <f>633175.571-356703-250000</f>
        <v>26472.570999999996</v>
      </c>
      <c r="BB111" s="359">
        <f>633175.571-250000</f>
        <v>383175.571</v>
      </c>
      <c r="BC111" s="359">
        <f>633175.571-356703-250000</f>
        <v>26472.570999999996</v>
      </c>
      <c r="BD111" s="359">
        <f>633175.571-250000</f>
        <v>383175.571</v>
      </c>
      <c r="BE111" s="362">
        <f>633175.571-356703-250000</f>
        <v>26472.570999999996</v>
      </c>
      <c r="BF111" s="362">
        <f>633175.571-250000</f>
        <v>383175.571</v>
      </c>
      <c r="BG111" s="362"/>
      <c r="BH111" s="362"/>
      <c r="BI111" s="414"/>
      <c r="BJ111" s="362"/>
      <c r="BK111" s="2123"/>
      <c r="BL111" s="414"/>
      <c r="BM111" s="414"/>
      <c r="BN111" s="414"/>
      <c r="BO111" s="414"/>
      <c r="BP111" s="414"/>
      <c r="BQ111" s="2399"/>
      <c r="BR111" s="362"/>
      <c r="BS111" s="362"/>
      <c r="BT111" s="362"/>
      <c r="BU111" s="364"/>
      <c r="BV111" s="364"/>
      <c r="BW111" s="2366"/>
      <c r="BX111" s="2463"/>
      <c r="BY111" s="2543"/>
      <c r="BZ111" s="2543"/>
      <c r="CA111" s="2591">
        <f t="shared" si="151"/>
        <v>1631867.997</v>
      </c>
      <c r="CB111" s="2377">
        <f t="shared" si="152"/>
        <v>1</v>
      </c>
      <c r="CC111" s="365">
        <f t="shared" si="153"/>
        <v>6.127946634399253E-7</v>
      </c>
      <c r="CD111" s="365"/>
      <c r="CE111" s="365"/>
      <c r="CF111" s="365"/>
      <c r="CG111" s="340"/>
      <c r="CH111" s="367"/>
      <c r="CI111" s="368"/>
      <c r="CJ111" s="368"/>
      <c r="CK111" s="369"/>
      <c r="CL111" s="329">
        <f t="shared" si="130"/>
        <v>2800361.003</v>
      </c>
      <c r="CM111" s="330">
        <f t="shared" ca="1" si="131"/>
        <v>0</v>
      </c>
      <c r="CN111" s="331">
        <f t="shared" ca="1" si="141"/>
        <v>-1631867.997</v>
      </c>
      <c r="CO111" s="86"/>
      <c r="CP111" s="86"/>
      <c r="CQ111" s="1641"/>
      <c r="CR111" s="86"/>
      <c r="CS111" s="86"/>
      <c r="CT111" s="86"/>
      <c r="CU111" s="86"/>
      <c r="CV111" s="86"/>
      <c r="CW111" s="86"/>
      <c r="CX111" s="86"/>
      <c r="CY111" s="86"/>
      <c r="CZ111" s="86"/>
      <c r="DA111" s="86"/>
      <c r="DB111" s="1642"/>
      <c r="DC111" s="1642"/>
      <c r="DD111" s="30"/>
      <c r="DE111" s="30"/>
      <c r="DF111" s="30"/>
      <c r="DG111" s="1642"/>
      <c r="DH111" s="1642"/>
      <c r="DI111" s="1642"/>
      <c r="DJ111" s="1642"/>
      <c r="DK111" s="1642"/>
      <c r="DL111" s="1642"/>
      <c r="DM111" s="1642"/>
      <c r="DN111" s="1642"/>
      <c r="DO111" s="1642"/>
      <c r="DP111" s="1642"/>
      <c r="DQ111" s="1642"/>
      <c r="DR111" s="1642"/>
      <c r="DS111" s="1642"/>
      <c r="DT111" s="1642"/>
      <c r="DU111" s="1642"/>
      <c r="DV111" s="1642"/>
      <c r="DW111" s="1642"/>
      <c r="DX111" s="1642"/>
      <c r="DY111" s="1642"/>
      <c r="DZ111" s="1642"/>
      <c r="EA111" s="1642"/>
      <c r="EB111" s="1642"/>
      <c r="EC111" s="1642"/>
      <c r="ED111" s="1642"/>
      <c r="EE111" s="1642"/>
      <c r="EF111" s="1642"/>
      <c r="EG111" s="1642"/>
      <c r="EH111" s="1643"/>
      <c r="EI111" s="1658"/>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0"/>
      <c r="HP111" s="30"/>
      <c r="HQ111" s="30"/>
      <c r="HR111" s="30"/>
      <c r="HS111" s="30"/>
      <c r="HT111" s="30"/>
      <c r="HU111" s="30"/>
      <c r="HV111" s="30"/>
      <c r="HW111" s="30"/>
      <c r="HX111" s="30"/>
      <c r="HY111" s="30"/>
      <c r="HZ111" s="30"/>
      <c r="IA111" s="30"/>
      <c r="IB111" s="30"/>
      <c r="IC111" s="30"/>
      <c r="ID111" s="30"/>
      <c r="IE111" s="30"/>
      <c r="IF111" s="30"/>
      <c r="IG111" s="30"/>
      <c r="IH111" s="30"/>
      <c r="II111" s="30"/>
      <c r="IJ111" s="30"/>
      <c r="IK111" s="30"/>
      <c r="IL111" s="30"/>
      <c r="IM111" s="30"/>
      <c r="IN111" s="30"/>
      <c r="IO111" s="30"/>
      <c r="IP111" s="30"/>
      <c r="IQ111" s="30"/>
      <c r="IR111" s="30"/>
      <c r="IS111" s="30"/>
      <c r="IT111" s="30"/>
      <c r="IU111" s="30"/>
      <c r="IV111" s="30"/>
      <c r="IW111" s="30"/>
      <c r="IX111" s="30"/>
      <c r="IY111" s="30"/>
      <c r="IZ111" s="30"/>
      <c r="JA111" s="30"/>
      <c r="JB111" s="30"/>
      <c r="JC111" s="30"/>
      <c r="JD111" s="30"/>
      <c r="JE111" s="30"/>
      <c r="JF111" s="30"/>
      <c r="JG111" s="30"/>
      <c r="JH111" s="30"/>
      <c r="JI111" s="30"/>
      <c r="JJ111" s="30"/>
      <c r="JK111" s="30"/>
      <c r="JL111" s="30"/>
      <c r="JM111" s="30"/>
      <c r="JN111" s="30"/>
      <c r="JO111" s="30"/>
      <c r="JP111" s="30"/>
      <c r="JQ111" s="30"/>
      <c r="JR111" s="30"/>
      <c r="JS111" s="30"/>
      <c r="JT111" s="30"/>
      <c r="JU111" s="30"/>
      <c r="JV111" s="30"/>
      <c r="JW111" s="30"/>
      <c r="JX111" s="30"/>
      <c r="JY111" s="30"/>
      <c r="JZ111" s="30"/>
      <c r="KA111" s="30"/>
      <c r="KB111" s="30"/>
      <c r="KC111" s="30"/>
      <c r="KD111" s="30"/>
      <c r="KE111" s="30"/>
      <c r="KF111" s="30"/>
      <c r="KG111" s="30"/>
      <c r="KH111" s="30"/>
      <c r="KI111" s="30"/>
      <c r="KJ111" s="30"/>
      <c r="KK111" s="30"/>
      <c r="KL111" s="30"/>
      <c r="KM111" s="30"/>
      <c r="KN111" s="30"/>
      <c r="KO111" s="30"/>
      <c r="KP111" s="1630"/>
    </row>
    <row r="112" spans="1:302" s="97" customFormat="1" ht="13.15" outlineLevel="1">
      <c r="A112" s="2656"/>
      <c r="B112" s="1689"/>
      <c r="C112" s="262"/>
      <c r="D112" s="1689"/>
      <c r="E112" s="262"/>
      <c r="F112" s="347"/>
      <c r="G112" s="348"/>
      <c r="H112" s="349" t="s">
        <v>26</v>
      </c>
      <c r="I112" s="2936"/>
      <c r="J112" s="362" t="s">
        <v>26</v>
      </c>
      <c r="K112" s="1745"/>
      <c r="L112" s="383"/>
      <c r="M112" s="383"/>
      <c r="N112" s="383"/>
      <c r="O112" s="2739">
        <v>0</v>
      </c>
      <c r="P112" s="383"/>
      <c r="Q112" s="383"/>
      <c r="R112" s="383"/>
      <c r="S112" s="1510">
        <f t="shared" si="99"/>
        <v>0</v>
      </c>
      <c r="T112" s="389"/>
      <c r="U112" s="1746"/>
      <c r="V112" s="1746"/>
      <c r="W112" s="1744">
        <f t="shared" si="92"/>
        <v>0</v>
      </c>
      <c r="X112" s="359" t="s">
        <v>26</v>
      </c>
      <c r="Y112" s="389"/>
      <c r="Z112" s="1746"/>
      <c r="AA112" s="2844"/>
      <c r="AB112" s="2722">
        <f t="shared" si="97"/>
        <v>0</v>
      </c>
      <c r="AC112" s="1680"/>
      <c r="AD112" s="1460"/>
      <c r="AE112" s="1687"/>
      <c r="AF112" s="1686"/>
      <c r="AG112" s="354"/>
      <c r="AH112" s="354">
        <f t="shared" si="149"/>
        <v>0</v>
      </c>
      <c r="AI112" s="355">
        <f t="shared" ref="AI112" ca="1" si="154">SUMIF($AM$10:$BZ$10,$AI$9,AM112:BT112)</f>
        <v>0</v>
      </c>
      <c r="AJ112" s="356" t="str">
        <f t="shared" ref="AJ112" si="155">IF($AB112&lt;&gt;0,AI112/$AB112,"")</f>
        <v/>
      </c>
      <c r="AK112" s="2185"/>
      <c r="AL112" s="260"/>
      <c r="AM112" s="2258"/>
      <c r="AN112" s="2258"/>
      <c r="AO112" s="359"/>
      <c r="AP112" s="359"/>
      <c r="AQ112" s="359"/>
      <c r="AR112" s="359"/>
      <c r="AS112" s="359"/>
      <c r="AT112" s="390"/>
      <c r="AU112" s="359"/>
      <c r="AV112" s="359"/>
      <c r="AW112" s="377"/>
      <c r="AX112" s="359"/>
      <c r="AY112" s="2316"/>
      <c r="AZ112" s="2273"/>
      <c r="BA112" s="497"/>
      <c r="BB112" s="359"/>
      <c r="BC112" s="359"/>
      <c r="BD112" s="359"/>
      <c r="BE112" s="362"/>
      <c r="BF112" s="362"/>
      <c r="BG112" s="362"/>
      <c r="BH112" s="362"/>
      <c r="BI112" s="414"/>
      <c r="BJ112" s="362"/>
      <c r="BK112" s="2123"/>
      <c r="BL112" s="414"/>
      <c r="BM112" s="414"/>
      <c r="BN112" s="414"/>
      <c r="BO112" s="414"/>
      <c r="BP112" s="414"/>
      <c r="BQ112" s="2399"/>
      <c r="BR112" s="362"/>
      <c r="BS112" s="362"/>
      <c r="BT112" s="362"/>
      <c r="BU112" s="364"/>
      <c r="BV112" s="364"/>
      <c r="BW112" s="2366"/>
      <c r="BX112" s="2463"/>
      <c r="BY112" s="2543"/>
      <c r="BZ112" s="2543"/>
      <c r="CA112" s="2591">
        <f t="shared" si="151"/>
        <v>0</v>
      </c>
      <c r="CB112" s="2377" t="str">
        <f t="shared" si="152"/>
        <v/>
      </c>
      <c r="CC112" s="365" t="str">
        <f t="shared" si="153"/>
        <v/>
      </c>
      <c r="CD112" s="365"/>
      <c r="CE112" s="365"/>
      <c r="CF112" s="365"/>
      <c r="CG112" s="340"/>
      <c r="CH112" s="367"/>
      <c r="CI112" s="368"/>
      <c r="CJ112" s="368"/>
      <c r="CK112" s="369"/>
      <c r="CL112" s="329">
        <f t="shared" si="130"/>
        <v>0</v>
      </c>
      <c r="CM112" s="330">
        <f t="shared" ca="1" si="131"/>
        <v>0</v>
      </c>
      <c r="CN112" s="331"/>
      <c r="CO112" s="86"/>
      <c r="CP112" s="86"/>
      <c r="CQ112" s="1641"/>
      <c r="CR112" s="86"/>
      <c r="CS112" s="86"/>
      <c r="CT112" s="86"/>
      <c r="CU112" s="86"/>
      <c r="CV112" s="86"/>
      <c r="CW112" s="86"/>
      <c r="CX112" s="86"/>
      <c r="CY112" s="86"/>
      <c r="CZ112" s="86"/>
      <c r="DA112" s="86"/>
      <c r="DB112" s="1642"/>
      <c r="DC112" s="1642"/>
      <c r="DD112" s="30"/>
      <c r="DE112" s="30"/>
      <c r="DF112" s="30"/>
      <c r="DG112" s="1642"/>
      <c r="DH112" s="1642"/>
      <c r="DI112" s="1642"/>
      <c r="DJ112" s="1642"/>
      <c r="DK112" s="1642"/>
      <c r="DL112" s="1642"/>
      <c r="DM112" s="1642"/>
      <c r="DN112" s="1642"/>
      <c r="DO112" s="1642"/>
      <c r="DP112" s="1642"/>
      <c r="DQ112" s="1642"/>
      <c r="DR112" s="1642"/>
      <c r="DS112" s="1642"/>
      <c r="DT112" s="1642"/>
      <c r="DU112" s="1642"/>
      <c r="DV112" s="1642"/>
      <c r="DW112" s="1642"/>
      <c r="DX112" s="1642"/>
      <c r="DY112" s="1642"/>
      <c r="DZ112" s="1642"/>
      <c r="EA112" s="1642"/>
      <c r="EB112" s="1642"/>
      <c r="EC112" s="1642"/>
      <c r="ED112" s="1642"/>
      <c r="EE112" s="1642"/>
      <c r="EF112" s="1642"/>
      <c r="EG112" s="1642"/>
      <c r="EH112" s="1643"/>
      <c r="EI112" s="1658"/>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0"/>
      <c r="HP112" s="30"/>
      <c r="HQ112" s="30"/>
      <c r="HR112" s="30"/>
      <c r="HS112" s="30"/>
      <c r="HT112" s="30"/>
      <c r="HU112" s="30"/>
      <c r="HV112" s="30"/>
      <c r="HW112" s="30"/>
      <c r="HX112" s="30"/>
      <c r="HY112" s="30"/>
      <c r="HZ112" s="30"/>
      <c r="IA112" s="30"/>
      <c r="IB112" s="30"/>
      <c r="IC112" s="30"/>
      <c r="ID112" s="30"/>
      <c r="IE112" s="30"/>
      <c r="IF112" s="30"/>
      <c r="IG112" s="30"/>
      <c r="IH112" s="30"/>
      <c r="II112" s="30"/>
      <c r="IJ112" s="30"/>
      <c r="IK112" s="30"/>
      <c r="IL112" s="30"/>
      <c r="IM112" s="30"/>
      <c r="IN112" s="30"/>
      <c r="IO112" s="30"/>
      <c r="IP112" s="30"/>
      <c r="IQ112" s="30"/>
      <c r="IR112" s="30"/>
      <c r="IS112" s="30"/>
      <c r="IT112" s="30"/>
      <c r="IU112" s="30"/>
      <c r="IV112" s="30"/>
      <c r="IW112" s="30"/>
      <c r="IX112" s="30"/>
      <c r="IY112" s="30"/>
      <c r="IZ112" s="30"/>
      <c r="JA112" s="30"/>
      <c r="JB112" s="30"/>
      <c r="JC112" s="30"/>
      <c r="JD112" s="30"/>
      <c r="JE112" s="30"/>
      <c r="JF112" s="30"/>
      <c r="JG112" s="30"/>
      <c r="JH112" s="30"/>
      <c r="JI112" s="30"/>
      <c r="JJ112" s="30"/>
      <c r="JK112" s="30"/>
      <c r="JL112" s="30"/>
      <c r="JM112" s="30"/>
      <c r="JN112" s="30"/>
      <c r="JO112" s="30"/>
      <c r="JP112" s="30"/>
      <c r="JQ112" s="30"/>
      <c r="JR112" s="30"/>
      <c r="JS112" s="30"/>
      <c r="JT112" s="30"/>
      <c r="JU112" s="30"/>
      <c r="JV112" s="30"/>
      <c r="JW112" s="30"/>
      <c r="JX112" s="30"/>
      <c r="JY112" s="30"/>
      <c r="JZ112" s="30"/>
      <c r="KA112" s="30"/>
      <c r="KB112" s="30"/>
      <c r="KC112" s="30"/>
      <c r="KD112" s="30"/>
      <c r="KE112" s="30"/>
      <c r="KF112" s="30"/>
      <c r="KG112" s="30"/>
      <c r="KH112" s="30"/>
      <c r="KI112" s="30"/>
      <c r="KJ112" s="30"/>
      <c r="KK112" s="30"/>
      <c r="KL112" s="30"/>
      <c r="KM112" s="30"/>
      <c r="KN112" s="30"/>
      <c r="KO112" s="30"/>
      <c r="KP112" s="1630"/>
    </row>
    <row r="113" spans="1:302" s="97" customFormat="1" ht="13.15" outlineLevel="1">
      <c r="A113" s="2656" t="s">
        <v>1363</v>
      </c>
      <c r="B113" s="1689"/>
      <c r="C113" s="262" t="s">
        <v>1437</v>
      </c>
      <c r="D113" s="1689"/>
      <c r="E113" s="262"/>
      <c r="F113" s="347"/>
      <c r="G113" s="348"/>
      <c r="H113" s="349" t="s">
        <v>26</v>
      </c>
      <c r="I113" s="2936"/>
      <c r="J113" s="362" t="s">
        <v>26</v>
      </c>
      <c r="K113" s="1745"/>
      <c r="L113" s="383"/>
      <c r="M113" s="383"/>
      <c r="N113" s="383"/>
      <c r="O113" s="2739">
        <v>0</v>
      </c>
      <c r="P113" s="383"/>
      <c r="Q113" s="383"/>
      <c r="R113" s="383"/>
      <c r="S113" s="1510">
        <f t="shared" si="99"/>
        <v>0</v>
      </c>
      <c r="T113" s="389"/>
      <c r="U113" s="1746"/>
      <c r="V113" s="1746"/>
      <c r="W113" s="1744">
        <f t="shared" si="92"/>
        <v>0</v>
      </c>
      <c r="X113" s="359" t="s">
        <v>26</v>
      </c>
      <c r="Y113" s="389"/>
      <c r="Z113" s="1746"/>
      <c r="AA113" s="2844"/>
      <c r="AB113" s="2766">
        <f t="shared" si="97"/>
        <v>1050360.9975000001</v>
      </c>
      <c r="AC113" s="1680" t="s">
        <v>1421</v>
      </c>
      <c r="AD113" s="1460">
        <v>4502986603</v>
      </c>
      <c r="AE113" s="1687" t="s">
        <v>1247</v>
      </c>
      <c r="AF113" s="1686">
        <v>1050361</v>
      </c>
      <c r="AG113" s="354">
        <v>1</v>
      </c>
      <c r="AH113" s="354">
        <f t="shared" si="149"/>
        <v>1050361</v>
      </c>
      <c r="AI113" s="355">
        <f t="shared" ca="1" si="94"/>
        <v>0</v>
      </c>
      <c r="AJ113" s="356">
        <f t="shared" ca="1" si="150"/>
        <v>0</v>
      </c>
      <c r="AK113" s="2185"/>
      <c r="AL113" s="260"/>
      <c r="AM113" s="2258"/>
      <c r="AN113" s="2258"/>
      <c r="AO113" s="359"/>
      <c r="AP113" s="359"/>
      <c r="AQ113" s="359">
        <v>66881.8125</v>
      </c>
      <c r="AR113" s="359">
        <v>66881.8125</v>
      </c>
      <c r="AS113" s="359">
        <v>66881.8125</v>
      </c>
      <c r="AT113" s="390">
        <v>66881.8125</v>
      </c>
      <c r="AU113" s="359">
        <f>66881.8125+9891</f>
        <v>76772.8125</v>
      </c>
      <c r="AV113" s="359">
        <f>66881.8125+33881.82</f>
        <v>100763.63250000001</v>
      </c>
      <c r="AW113" s="377">
        <v>66881.8125</v>
      </c>
      <c r="AX113" s="359">
        <f>66881.8125+30000</f>
        <v>96881.8125</v>
      </c>
      <c r="AY113" s="2316">
        <v>66881.8125</v>
      </c>
      <c r="AZ113" s="2273">
        <v>66881.8125</v>
      </c>
      <c r="BA113" s="497">
        <v>66881.8125</v>
      </c>
      <c r="BB113" s="359">
        <v>66881.8125</v>
      </c>
      <c r="BC113" s="359">
        <v>66881.8125</v>
      </c>
      <c r="BD113" s="359">
        <v>66881.8125</v>
      </c>
      <c r="BE113" s="362">
        <f>66881.8125-29639+2999.99</f>
        <v>40242.802499999998</v>
      </c>
      <c r="BF113" s="362"/>
      <c r="BG113" s="362"/>
      <c r="BH113" s="362"/>
      <c r="BI113" s="414"/>
      <c r="BJ113" s="362"/>
      <c r="BK113" s="2123"/>
      <c r="BL113" s="414"/>
      <c r="BM113" s="414"/>
      <c r="BN113" s="414"/>
      <c r="BO113" s="414"/>
      <c r="BP113" s="414"/>
      <c r="BQ113" s="2399"/>
      <c r="BR113" s="362"/>
      <c r="BS113" s="362"/>
      <c r="BT113" s="362"/>
      <c r="BU113" s="364"/>
      <c r="BV113" s="364"/>
      <c r="BW113" s="2366"/>
      <c r="BX113" s="2463"/>
      <c r="BY113" s="2543"/>
      <c r="BZ113" s="2543"/>
      <c r="CA113" s="2591">
        <f t="shared" si="151"/>
        <v>1050360.9975000001</v>
      </c>
      <c r="CB113" s="2377">
        <f t="shared" si="152"/>
        <v>1</v>
      </c>
      <c r="CC113" s="365">
        <f t="shared" si="153"/>
        <v>9.5205362954273243E-7</v>
      </c>
      <c r="CD113" s="365"/>
      <c r="CE113" s="365"/>
      <c r="CF113" s="365"/>
      <c r="CG113" s="340"/>
      <c r="CH113" s="367"/>
      <c r="CI113" s="368"/>
      <c r="CJ113" s="368"/>
      <c r="CK113" s="369"/>
      <c r="CL113" s="329">
        <f t="shared" si="130"/>
        <v>-1050360.9975000001</v>
      </c>
      <c r="CM113" s="330">
        <f t="shared" ca="1" si="131"/>
        <v>0</v>
      </c>
      <c r="CN113" s="331"/>
      <c r="CO113" s="86"/>
      <c r="CP113" s="86"/>
      <c r="CQ113" s="1641"/>
      <c r="CR113" s="86"/>
      <c r="CS113" s="86"/>
      <c r="CT113" s="86"/>
      <c r="CU113" s="86"/>
      <c r="CV113" s="86"/>
      <c r="CW113" s="86"/>
      <c r="CX113" s="86"/>
      <c r="CY113" s="86"/>
      <c r="CZ113" s="86"/>
      <c r="DA113" s="86"/>
      <c r="DB113" s="1642"/>
      <c r="DC113" s="1642"/>
      <c r="DD113" s="30"/>
      <c r="DE113" s="30"/>
      <c r="DF113" s="30"/>
      <c r="DG113" s="1642"/>
      <c r="DH113" s="1642"/>
      <c r="DI113" s="1642"/>
      <c r="DJ113" s="1642"/>
      <c r="DK113" s="1642"/>
      <c r="DL113" s="1642"/>
      <c r="DM113" s="1642"/>
      <c r="DN113" s="1642"/>
      <c r="DO113" s="1642"/>
      <c r="DP113" s="1642"/>
      <c r="DQ113" s="1642"/>
      <c r="DR113" s="1642"/>
      <c r="DS113" s="1642"/>
      <c r="DT113" s="1642"/>
      <c r="DU113" s="1642"/>
      <c r="DV113" s="1642"/>
      <c r="DW113" s="1642"/>
      <c r="DX113" s="1642"/>
      <c r="DY113" s="1642"/>
      <c r="DZ113" s="1642"/>
      <c r="EA113" s="1642"/>
      <c r="EB113" s="1642"/>
      <c r="EC113" s="1642"/>
      <c r="ED113" s="1642"/>
      <c r="EE113" s="1642"/>
      <c r="EF113" s="1642"/>
      <c r="EG113" s="1642"/>
      <c r="EH113" s="1643"/>
      <c r="EI113" s="1658"/>
      <c r="EJ113" s="30"/>
      <c r="EK113" s="30"/>
      <c r="EL113" s="30"/>
      <c r="EM113" s="30"/>
      <c r="EN113" s="30"/>
      <c r="EO113" s="30"/>
      <c r="EP113" s="30"/>
      <c r="EQ113" s="30"/>
      <c r="ER113" s="30"/>
      <c r="ES113" s="30"/>
      <c r="ET113" s="30"/>
      <c r="EU113" s="30"/>
      <c r="EV113" s="30"/>
      <c r="EW113" s="30"/>
      <c r="EX113" s="30"/>
      <c r="EY113" s="30"/>
      <c r="EZ113" s="30"/>
      <c r="FA113" s="30"/>
      <c r="FB113" s="30"/>
      <c r="FC113" s="30"/>
      <c r="FD113" s="30"/>
      <c r="FE113" s="30"/>
      <c r="FF113" s="30"/>
      <c r="FG113" s="30"/>
      <c r="FH113" s="30"/>
      <c r="FI113" s="30"/>
      <c r="FJ113" s="30"/>
      <c r="FK113" s="30"/>
      <c r="FL113" s="30"/>
      <c r="FM113" s="30"/>
      <c r="FN113" s="30"/>
      <c r="FO113" s="30"/>
      <c r="FP113" s="30"/>
      <c r="FQ113" s="30"/>
      <c r="FR113" s="30"/>
      <c r="FS113" s="30"/>
      <c r="FT113" s="30"/>
      <c r="FU113" s="30"/>
      <c r="FV113" s="30"/>
      <c r="FW113" s="30"/>
      <c r="FX113" s="30"/>
      <c r="FY113" s="30"/>
      <c r="FZ113" s="30"/>
      <c r="GA113" s="30"/>
      <c r="GB113" s="30"/>
      <c r="GC113" s="30"/>
      <c r="GD113" s="30"/>
      <c r="GE113" s="30"/>
      <c r="GF113" s="30"/>
      <c r="GG113" s="30"/>
      <c r="GH113" s="30"/>
      <c r="GI113" s="30"/>
      <c r="GJ113" s="30"/>
      <c r="GK113" s="30"/>
      <c r="GL113" s="30"/>
      <c r="GM113" s="30"/>
      <c r="GN113" s="30"/>
      <c r="GO113" s="30"/>
      <c r="GP113" s="30"/>
      <c r="GQ113" s="30"/>
      <c r="GR113" s="30"/>
      <c r="GS113" s="30"/>
      <c r="GT113" s="30"/>
      <c r="GU113" s="30"/>
      <c r="GV113" s="30"/>
      <c r="GW113" s="30"/>
      <c r="GX113" s="30"/>
      <c r="GY113" s="30"/>
      <c r="GZ113" s="30"/>
      <c r="HA113" s="30"/>
      <c r="HB113" s="30"/>
      <c r="HC113" s="30"/>
      <c r="HD113" s="30"/>
      <c r="HE113" s="30"/>
      <c r="HF113" s="30"/>
      <c r="HG113" s="30"/>
      <c r="HH113" s="30"/>
      <c r="HI113" s="30"/>
      <c r="HJ113" s="30"/>
      <c r="HK113" s="30"/>
      <c r="HL113" s="30"/>
      <c r="HM113" s="30"/>
      <c r="HN113" s="30"/>
      <c r="HO113" s="30"/>
      <c r="HP113" s="30"/>
      <c r="HQ113" s="30"/>
      <c r="HR113" s="30"/>
      <c r="HS113" s="30"/>
      <c r="HT113" s="30"/>
      <c r="HU113" s="30"/>
      <c r="HV113" s="30"/>
      <c r="HW113" s="30"/>
      <c r="HX113" s="30"/>
      <c r="HY113" s="30"/>
      <c r="HZ113" s="30"/>
      <c r="IA113" s="30"/>
      <c r="IB113" s="30"/>
      <c r="IC113" s="30"/>
      <c r="ID113" s="30"/>
      <c r="IE113" s="30"/>
      <c r="IF113" s="30"/>
      <c r="IG113" s="30"/>
      <c r="IH113" s="30"/>
      <c r="II113" s="30"/>
      <c r="IJ113" s="30"/>
      <c r="IK113" s="30"/>
      <c r="IL113" s="30"/>
      <c r="IM113" s="30"/>
      <c r="IN113" s="30"/>
      <c r="IO113" s="30"/>
      <c r="IP113" s="30"/>
      <c r="IQ113" s="30"/>
      <c r="IR113" s="30"/>
      <c r="IS113" s="30"/>
      <c r="IT113" s="30"/>
      <c r="IU113" s="30"/>
      <c r="IV113" s="30"/>
      <c r="IW113" s="30"/>
      <c r="IX113" s="30"/>
      <c r="IY113" s="30"/>
      <c r="IZ113" s="30"/>
      <c r="JA113" s="30"/>
      <c r="JB113" s="30"/>
      <c r="JC113" s="30"/>
      <c r="JD113" s="30"/>
      <c r="JE113" s="30"/>
      <c r="JF113" s="30"/>
      <c r="JG113" s="30"/>
      <c r="JH113" s="30"/>
      <c r="JI113" s="30"/>
      <c r="JJ113" s="30"/>
      <c r="JK113" s="30"/>
      <c r="JL113" s="30"/>
      <c r="JM113" s="30"/>
      <c r="JN113" s="30"/>
      <c r="JO113" s="30"/>
      <c r="JP113" s="30"/>
      <c r="JQ113" s="30"/>
      <c r="JR113" s="30"/>
      <c r="JS113" s="30"/>
      <c r="JT113" s="30"/>
      <c r="JU113" s="30"/>
      <c r="JV113" s="30"/>
      <c r="JW113" s="30"/>
      <c r="JX113" s="30"/>
      <c r="JY113" s="30"/>
      <c r="JZ113" s="30"/>
      <c r="KA113" s="30"/>
      <c r="KB113" s="30"/>
      <c r="KC113" s="30"/>
      <c r="KD113" s="30"/>
      <c r="KE113" s="30"/>
      <c r="KF113" s="30"/>
      <c r="KG113" s="30"/>
      <c r="KH113" s="30"/>
      <c r="KI113" s="30"/>
      <c r="KJ113" s="30"/>
      <c r="KK113" s="30"/>
      <c r="KL113" s="30"/>
      <c r="KM113" s="30"/>
      <c r="KN113" s="30"/>
      <c r="KO113" s="30"/>
      <c r="KP113" s="1630"/>
    </row>
    <row r="114" spans="1:302" s="97" customFormat="1" ht="13.15" outlineLevel="1">
      <c r="A114" s="2656" t="s">
        <v>1396</v>
      </c>
      <c r="B114" s="1689"/>
      <c r="C114" s="262" t="s">
        <v>1395</v>
      </c>
      <c r="D114" s="1689"/>
      <c r="E114" s="262"/>
      <c r="F114" s="347"/>
      <c r="G114" s="348"/>
      <c r="H114" s="349" t="s">
        <v>26</v>
      </c>
      <c r="I114" s="2936"/>
      <c r="J114" s="362" t="s">
        <v>26</v>
      </c>
      <c r="K114" s="1745"/>
      <c r="L114" s="383"/>
      <c r="M114" s="383"/>
      <c r="N114" s="383"/>
      <c r="O114" s="2739">
        <v>0</v>
      </c>
      <c r="P114" s="383"/>
      <c r="Q114" s="383"/>
      <c r="R114" s="383"/>
      <c r="S114" s="1510">
        <f t="shared" ref="S114:S115" si="156">R114*Q114</f>
        <v>0</v>
      </c>
      <c r="T114" s="389"/>
      <c r="U114" s="1746"/>
      <c r="V114" s="1746"/>
      <c r="W114" s="1744">
        <f t="shared" ref="W114:W115" si="157">O114+S114</f>
        <v>0</v>
      </c>
      <c r="X114" s="359" t="s">
        <v>26</v>
      </c>
      <c r="Y114" s="389"/>
      <c r="Z114" s="1746"/>
      <c r="AA114" s="2844"/>
      <c r="AB114" s="2722">
        <f t="shared" si="97"/>
        <v>14607</v>
      </c>
      <c r="AC114" s="1680"/>
      <c r="AD114" s="1460"/>
      <c r="AE114" s="1687"/>
      <c r="AF114" s="1686"/>
      <c r="AG114" s="354"/>
      <c r="AH114" s="354">
        <f t="shared" ref="AH114:AH115" si="158">AF114*AG114</f>
        <v>0</v>
      </c>
      <c r="AI114" s="355">
        <f t="shared" ref="AI114:AI115" ca="1" si="159">SUMIF($AM$10:$BZ$10,$AI$9,AM114:BT114)</f>
        <v>0</v>
      </c>
      <c r="AJ114" s="356">
        <f t="shared" ref="AJ114" ca="1" si="160">IF($AB114&lt;&gt;0,AI114/$AB114,"")</f>
        <v>0</v>
      </c>
      <c r="AK114" s="2185"/>
      <c r="AL114" s="260"/>
      <c r="AM114" s="2258"/>
      <c r="AN114" s="2258"/>
      <c r="AO114" s="359"/>
      <c r="AP114" s="359"/>
      <c r="AQ114" s="359"/>
      <c r="AR114" s="359"/>
      <c r="AS114" s="359"/>
      <c r="AT114" s="390"/>
      <c r="AU114" s="359"/>
      <c r="AV114" s="359"/>
      <c r="AW114" s="377"/>
      <c r="AX114" s="359"/>
      <c r="AY114" s="2316"/>
      <c r="AZ114" s="2273"/>
      <c r="BA114" s="497"/>
      <c r="BB114" s="359"/>
      <c r="BC114" s="359"/>
      <c r="BD114" s="359"/>
      <c r="BE114" s="362"/>
      <c r="BF114" s="362"/>
      <c r="BG114" s="362"/>
      <c r="BH114" s="362"/>
      <c r="BI114" s="414"/>
      <c r="BJ114" s="362"/>
      <c r="BK114" s="2123"/>
      <c r="BL114" s="414"/>
      <c r="BM114" s="414"/>
      <c r="BN114" s="414"/>
      <c r="BO114" s="414"/>
      <c r="BP114" s="414"/>
      <c r="BQ114" s="2399"/>
      <c r="BR114" s="362"/>
      <c r="BS114" s="362"/>
      <c r="BT114" s="362"/>
      <c r="BU114" s="364"/>
      <c r="BV114" s="364"/>
      <c r="BW114" s="2463">
        <v>14607</v>
      </c>
      <c r="BX114" s="2463"/>
      <c r="BY114" s="2543"/>
      <c r="BZ114" s="2543"/>
      <c r="CA114" s="2591">
        <f t="shared" si="151"/>
        <v>14607</v>
      </c>
      <c r="CB114" s="2377">
        <f t="shared" si="152"/>
        <v>1</v>
      </c>
      <c r="CC114" s="365">
        <f t="shared" si="153"/>
        <v>6.8460327240364206E-5</v>
      </c>
      <c r="CD114" s="365"/>
      <c r="CE114" s="365"/>
      <c r="CF114" s="365"/>
      <c r="CG114" s="340"/>
      <c r="CH114" s="367"/>
      <c r="CI114" s="368"/>
      <c r="CJ114" s="368"/>
      <c r="CK114" s="369"/>
      <c r="CL114" s="329">
        <f t="shared" si="130"/>
        <v>-14607</v>
      </c>
      <c r="CM114" s="330">
        <f t="shared" ca="1" si="131"/>
        <v>0</v>
      </c>
      <c r="CN114" s="331"/>
      <c r="CO114" s="86"/>
      <c r="CP114" s="86"/>
      <c r="CQ114" s="1641"/>
      <c r="CR114" s="86"/>
      <c r="CS114" s="86"/>
      <c r="CT114" s="86"/>
      <c r="CU114" s="86"/>
      <c r="CV114" s="86"/>
      <c r="CW114" s="86"/>
      <c r="CX114" s="86"/>
      <c r="CY114" s="86"/>
      <c r="CZ114" s="86"/>
      <c r="DA114" s="86"/>
      <c r="DB114" s="1642"/>
      <c r="DC114" s="1642"/>
      <c r="DD114" s="30"/>
      <c r="DE114" s="30"/>
      <c r="DF114" s="30"/>
      <c r="DG114" s="1642"/>
      <c r="DH114" s="1642"/>
      <c r="DI114" s="1642"/>
      <c r="DJ114" s="1642"/>
      <c r="DK114" s="1642"/>
      <c r="DL114" s="1642"/>
      <c r="DM114" s="1642"/>
      <c r="DN114" s="1642"/>
      <c r="DO114" s="1642"/>
      <c r="DP114" s="1642"/>
      <c r="DQ114" s="1642"/>
      <c r="DR114" s="1642"/>
      <c r="DS114" s="1642"/>
      <c r="DT114" s="1642"/>
      <c r="DU114" s="1642"/>
      <c r="DV114" s="1642"/>
      <c r="DW114" s="1642"/>
      <c r="DX114" s="1642"/>
      <c r="DY114" s="1642"/>
      <c r="DZ114" s="1642"/>
      <c r="EA114" s="1642"/>
      <c r="EB114" s="1642"/>
      <c r="EC114" s="1642"/>
      <c r="ED114" s="1642"/>
      <c r="EE114" s="1642"/>
      <c r="EF114" s="1642"/>
      <c r="EG114" s="1642"/>
      <c r="EH114" s="1643"/>
      <c r="EI114" s="1658"/>
      <c r="EJ114" s="30"/>
      <c r="EK114" s="30"/>
      <c r="EL114" s="30"/>
      <c r="EM114" s="30"/>
      <c r="EN114" s="30"/>
      <c r="EO114" s="30"/>
      <c r="EP114" s="30"/>
      <c r="EQ114" s="30"/>
      <c r="ER114" s="30"/>
      <c r="ES114" s="30"/>
      <c r="ET114" s="30"/>
      <c r="EU114" s="30"/>
      <c r="EV114" s="30"/>
      <c r="EW114" s="30"/>
      <c r="EX114" s="30"/>
      <c r="EY114" s="30"/>
      <c r="EZ114" s="30"/>
      <c r="FA114" s="30"/>
      <c r="FB114" s="30"/>
      <c r="FC114" s="30"/>
      <c r="FD114" s="30"/>
      <c r="FE114" s="30"/>
      <c r="FF114" s="30"/>
      <c r="FG114" s="30"/>
      <c r="FH114" s="30"/>
      <c r="FI114" s="30"/>
      <c r="FJ114" s="30"/>
      <c r="FK114" s="30"/>
      <c r="FL114" s="30"/>
      <c r="FM114" s="30"/>
      <c r="FN114" s="30"/>
      <c r="FO114" s="30"/>
      <c r="FP114" s="30"/>
      <c r="FQ114" s="30"/>
      <c r="FR114" s="30"/>
      <c r="FS114" s="30"/>
      <c r="FT114" s="30"/>
      <c r="FU114" s="30"/>
      <c r="FV114" s="30"/>
      <c r="FW114" s="30"/>
      <c r="FX114" s="30"/>
      <c r="FY114" s="30"/>
      <c r="FZ114" s="30"/>
      <c r="GA114" s="30"/>
      <c r="GB114" s="30"/>
      <c r="GC114" s="30"/>
      <c r="GD114" s="30"/>
      <c r="GE114" s="30"/>
      <c r="GF114" s="30"/>
      <c r="GG114" s="30"/>
      <c r="GH114" s="30"/>
      <c r="GI114" s="30"/>
      <c r="GJ114" s="30"/>
      <c r="GK114" s="30"/>
      <c r="GL114" s="30"/>
      <c r="GM114" s="30"/>
      <c r="GN114" s="30"/>
      <c r="GO114" s="30"/>
      <c r="GP114" s="30"/>
      <c r="GQ114" s="30"/>
      <c r="GR114" s="30"/>
      <c r="GS114" s="30"/>
      <c r="GT114" s="30"/>
      <c r="GU114" s="30"/>
      <c r="GV114" s="30"/>
      <c r="GW114" s="30"/>
      <c r="GX114" s="30"/>
      <c r="GY114" s="30"/>
      <c r="GZ114" s="30"/>
      <c r="HA114" s="30"/>
      <c r="HB114" s="30"/>
      <c r="HC114" s="30"/>
      <c r="HD114" s="30"/>
      <c r="HE114" s="30"/>
      <c r="HF114" s="30"/>
      <c r="HG114" s="30"/>
      <c r="HH114" s="30"/>
      <c r="HI114" s="30"/>
      <c r="HJ114" s="30"/>
      <c r="HK114" s="30"/>
      <c r="HL114" s="30"/>
      <c r="HM114" s="30"/>
      <c r="HN114" s="30"/>
      <c r="HO114" s="30"/>
      <c r="HP114" s="30"/>
      <c r="HQ114" s="30"/>
      <c r="HR114" s="30"/>
      <c r="HS114" s="30"/>
      <c r="HT114" s="30"/>
      <c r="HU114" s="30"/>
      <c r="HV114" s="30"/>
      <c r="HW114" s="30"/>
      <c r="HX114" s="30"/>
      <c r="HY114" s="30"/>
      <c r="HZ114" s="30"/>
      <c r="IA114" s="30"/>
      <c r="IB114" s="30"/>
      <c r="IC114" s="30"/>
      <c r="ID114" s="30"/>
      <c r="IE114" s="30"/>
      <c r="IF114" s="30"/>
      <c r="IG114" s="30"/>
      <c r="IH114" s="30"/>
      <c r="II114" s="30"/>
      <c r="IJ114" s="30"/>
      <c r="IK114" s="30"/>
      <c r="IL114" s="30"/>
      <c r="IM114" s="30"/>
      <c r="IN114" s="30"/>
      <c r="IO114" s="30"/>
      <c r="IP114" s="30"/>
      <c r="IQ114" s="30"/>
      <c r="IR114" s="30"/>
      <c r="IS114" s="30"/>
      <c r="IT114" s="30"/>
      <c r="IU114" s="30"/>
      <c r="IV114" s="30"/>
      <c r="IW114" s="30"/>
      <c r="IX114" s="30"/>
      <c r="IY114" s="30"/>
      <c r="IZ114" s="30"/>
      <c r="JA114" s="30"/>
      <c r="JB114" s="30"/>
      <c r="JC114" s="30"/>
      <c r="JD114" s="30"/>
      <c r="JE114" s="30"/>
      <c r="JF114" s="30"/>
      <c r="JG114" s="30"/>
      <c r="JH114" s="30"/>
      <c r="JI114" s="30"/>
      <c r="JJ114" s="30"/>
      <c r="JK114" s="30"/>
      <c r="JL114" s="30"/>
      <c r="JM114" s="30"/>
      <c r="JN114" s="30"/>
      <c r="JO114" s="30"/>
      <c r="JP114" s="30"/>
      <c r="JQ114" s="30"/>
      <c r="JR114" s="30"/>
      <c r="JS114" s="30"/>
      <c r="JT114" s="30"/>
      <c r="JU114" s="30"/>
      <c r="JV114" s="30"/>
      <c r="JW114" s="30"/>
      <c r="JX114" s="30"/>
      <c r="JY114" s="30"/>
      <c r="JZ114" s="30"/>
      <c r="KA114" s="30"/>
      <c r="KB114" s="30"/>
      <c r="KC114" s="30"/>
      <c r="KD114" s="30"/>
      <c r="KE114" s="30"/>
      <c r="KF114" s="30"/>
      <c r="KG114" s="30"/>
      <c r="KH114" s="30"/>
      <c r="KI114" s="30"/>
      <c r="KJ114" s="30"/>
      <c r="KK114" s="30"/>
      <c r="KL114" s="30"/>
      <c r="KM114" s="30"/>
      <c r="KN114" s="30"/>
      <c r="KO114" s="30"/>
      <c r="KP114" s="1630"/>
    </row>
    <row r="115" spans="1:302" s="97" customFormat="1" ht="13.15" outlineLevel="1">
      <c r="A115" s="2656" t="s">
        <v>1396</v>
      </c>
      <c r="B115" s="1689"/>
      <c r="C115" s="262" t="s">
        <v>1391</v>
      </c>
      <c r="D115" s="1689"/>
      <c r="E115" s="262"/>
      <c r="F115" s="347"/>
      <c r="G115" s="348"/>
      <c r="H115" s="349" t="s">
        <v>26</v>
      </c>
      <c r="I115" s="2936"/>
      <c r="J115" s="362" t="s">
        <v>26</v>
      </c>
      <c r="K115" s="1745"/>
      <c r="L115" s="383"/>
      <c r="M115" s="383"/>
      <c r="N115" s="383"/>
      <c r="O115" s="2739">
        <v>0</v>
      </c>
      <c r="P115" s="383"/>
      <c r="Q115" s="383"/>
      <c r="R115" s="383"/>
      <c r="S115" s="1510">
        <f t="shared" si="156"/>
        <v>0</v>
      </c>
      <c r="T115" s="389"/>
      <c r="U115" s="1746"/>
      <c r="V115" s="1746"/>
      <c r="W115" s="1744">
        <f t="shared" si="157"/>
        <v>0</v>
      </c>
      <c r="X115" s="359" t="s">
        <v>26</v>
      </c>
      <c r="Y115" s="389"/>
      <c r="Z115" s="1746"/>
      <c r="AA115" s="2844"/>
      <c r="AB115" s="1510">
        <f t="shared" si="97"/>
        <v>1735393</v>
      </c>
      <c r="AC115" s="1680" t="s">
        <v>1389</v>
      </c>
      <c r="AD115" s="1460"/>
      <c r="AE115" s="1687" t="s">
        <v>564</v>
      </c>
      <c r="AF115" s="1686">
        <v>1735393</v>
      </c>
      <c r="AG115" s="354">
        <v>1</v>
      </c>
      <c r="AH115" s="354">
        <f t="shared" si="158"/>
        <v>1735393</v>
      </c>
      <c r="AI115" s="355">
        <f t="shared" ca="1" si="159"/>
        <v>0</v>
      </c>
      <c r="AJ115" s="356">
        <v>0</v>
      </c>
      <c r="AK115" s="2185"/>
      <c r="AL115" s="260"/>
      <c r="AM115" s="2258"/>
      <c r="AN115" s="2258"/>
      <c r="AO115" s="359"/>
      <c r="AP115" s="359"/>
      <c r="AQ115" s="359"/>
      <c r="AR115" s="359"/>
      <c r="AS115" s="359"/>
      <c r="AT115" s="390"/>
      <c r="AU115" s="359"/>
      <c r="AV115" s="359"/>
      <c r="AW115" s="377">
        <v>433848.25</v>
      </c>
      <c r="AX115" s="359"/>
      <c r="AY115" s="2316">
        <v>433848.25</v>
      </c>
      <c r="AZ115" s="2273">
        <v>433848.25</v>
      </c>
      <c r="BA115" s="497"/>
      <c r="BB115" s="359"/>
      <c r="BC115" s="359"/>
      <c r="BD115" s="359"/>
      <c r="BE115" s="362">
        <v>433848.25</v>
      </c>
      <c r="BF115" s="362"/>
      <c r="BG115" s="362"/>
      <c r="BH115" s="362"/>
      <c r="BI115" s="414"/>
      <c r="BJ115" s="362"/>
      <c r="BK115" s="2123"/>
      <c r="BL115" s="414"/>
      <c r="BM115" s="414"/>
      <c r="BN115" s="414"/>
      <c r="BO115" s="414"/>
      <c r="BP115" s="414"/>
      <c r="BQ115" s="2399"/>
      <c r="BR115" s="362"/>
      <c r="BS115" s="362"/>
      <c r="BT115" s="362"/>
      <c r="BU115" s="364"/>
      <c r="BV115" s="364"/>
      <c r="BW115" s="2366"/>
      <c r="BX115" s="2463"/>
      <c r="BY115" s="2543"/>
      <c r="BZ115" s="2543"/>
      <c r="CA115" s="2591">
        <f t="shared" si="151"/>
        <v>1735393</v>
      </c>
      <c r="CB115" s="2377">
        <f t="shared" si="152"/>
        <v>1</v>
      </c>
      <c r="CC115" s="365">
        <f t="shared" si="153"/>
        <v>5.7623835062144422E-7</v>
      </c>
      <c r="CD115" s="365"/>
      <c r="CE115" s="365"/>
      <c r="CF115" s="365"/>
      <c r="CG115" s="340"/>
      <c r="CH115" s="367"/>
      <c r="CI115" s="368"/>
      <c r="CJ115" s="368"/>
      <c r="CK115" s="369"/>
      <c r="CL115" s="329">
        <f t="shared" si="130"/>
        <v>-1735393</v>
      </c>
      <c r="CM115" s="330">
        <f t="shared" ca="1" si="131"/>
        <v>0</v>
      </c>
      <c r="CN115" s="331"/>
      <c r="CO115" s="86"/>
      <c r="CP115" s="86"/>
      <c r="CQ115" s="1641"/>
      <c r="CR115" s="86"/>
      <c r="CS115" s="86"/>
      <c r="CT115" s="86"/>
      <c r="CU115" s="86"/>
      <c r="CV115" s="86"/>
      <c r="CW115" s="86"/>
      <c r="CX115" s="86"/>
      <c r="CY115" s="86"/>
      <c r="CZ115" s="86"/>
      <c r="DA115" s="86"/>
      <c r="DB115" s="1642"/>
      <c r="DC115" s="1642"/>
      <c r="DD115" s="30"/>
      <c r="DE115" s="30"/>
      <c r="DF115" s="30"/>
      <c r="DG115" s="1642"/>
      <c r="DH115" s="1642"/>
      <c r="DI115" s="1642"/>
      <c r="DJ115" s="1642"/>
      <c r="DK115" s="1642"/>
      <c r="DL115" s="1642"/>
      <c r="DM115" s="1642"/>
      <c r="DN115" s="1642"/>
      <c r="DO115" s="1642"/>
      <c r="DP115" s="1642"/>
      <c r="DQ115" s="1642"/>
      <c r="DR115" s="1642"/>
      <c r="DS115" s="1642"/>
      <c r="DT115" s="1642"/>
      <c r="DU115" s="1642"/>
      <c r="DV115" s="1642"/>
      <c r="DW115" s="1642"/>
      <c r="DX115" s="1642"/>
      <c r="DY115" s="1642"/>
      <c r="DZ115" s="1642"/>
      <c r="EA115" s="1642"/>
      <c r="EB115" s="1642"/>
      <c r="EC115" s="1642"/>
      <c r="ED115" s="1642"/>
      <c r="EE115" s="1642"/>
      <c r="EF115" s="1642"/>
      <c r="EG115" s="1642"/>
      <c r="EH115" s="1643"/>
      <c r="EI115" s="1658"/>
      <c r="EJ115" s="30"/>
      <c r="EK115" s="30"/>
      <c r="EL115" s="30"/>
      <c r="EM115" s="30"/>
      <c r="EN115" s="30"/>
      <c r="EO115" s="30"/>
      <c r="EP115" s="30"/>
      <c r="EQ115" s="30"/>
      <c r="ER115" s="30"/>
      <c r="ES115" s="30"/>
      <c r="ET115" s="30"/>
      <c r="EU115" s="30"/>
      <c r="EV115" s="30"/>
      <c r="EW115" s="30"/>
      <c r="EX115" s="30"/>
      <c r="EY115" s="30"/>
      <c r="EZ115" s="30"/>
      <c r="FA115" s="30"/>
      <c r="FB115" s="30"/>
      <c r="FC115" s="30"/>
      <c r="FD115" s="30"/>
      <c r="FE115" s="30"/>
      <c r="FF115" s="30"/>
      <c r="FG115" s="30"/>
      <c r="FH115" s="30"/>
      <c r="FI115" s="30"/>
      <c r="FJ115" s="30"/>
      <c r="FK115" s="30"/>
      <c r="FL115" s="30"/>
      <c r="FM115" s="30"/>
      <c r="FN115" s="30"/>
      <c r="FO115" s="30"/>
      <c r="FP115" s="30"/>
      <c r="FQ115" s="30"/>
      <c r="FR115" s="30"/>
      <c r="FS115" s="30"/>
      <c r="FT115" s="30"/>
      <c r="FU115" s="30"/>
      <c r="FV115" s="30"/>
      <c r="FW115" s="30"/>
      <c r="FX115" s="30"/>
      <c r="FY115" s="30"/>
      <c r="FZ115" s="30"/>
      <c r="GA115" s="30"/>
      <c r="GB115" s="30"/>
      <c r="GC115" s="30"/>
      <c r="GD115" s="30"/>
      <c r="GE115" s="30"/>
      <c r="GF115" s="30"/>
      <c r="GG115" s="30"/>
      <c r="GH115" s="30"/>
      <c r="GI115" s="30"/>
      <c r="GJ115" s="30"/>
      <c r="GK115" s="30"/>
      <c r="GL115" s="30"/>
      <c r="GM115" s="30"/>
      <c r="GN115" s="30"/>
      <c r="GO115" s="30"/>
      <c r="GP115" s="30"/>
      <c r="GQ115" s="30"/>
      <c r="GR115" s="30"/>
      <c r="GS115" s="30"/>
      <c r="GT115" s="30"/>
      <c r="GU115" s="30"/>
      <c r="GV115" s="30"/>
      <c r="GW115" s="30"/>
      <c r="GX115" s="30"/>
      <c r="GY115" s="30"/>
      <c r="GZ115" s="30"/>
      <c r="HA115" s="30"/>
      <c r="HB115" s="30"/>
      <c r="HC115" s="30"/>
      <c r="HD115" s="30"/>
      <c r="HE115" s="30"/>
      <c r="HF115" s="30"/>
      <c r="HG115" s="30"/>
      <c r="HH115" s="30"/>
      <c r="HI115" s="30"/>
      <c r="HJ115" s="30"/>
      <c r="HK115" s="30"/>
      <c r="HL115" s="30"/>
      <c r="HM115" s="30"/>
      <c r="HN115" s="30"/>
      <c r="HO115" s="30"/>
      <c r="HP115" s="30"/>
      <c r="HQ115" s="30"/>
      <c r="HR115" s="30"/>
      <c r="HS115" s="30"/>
      <c r="HT115" s="30"/>
      <c r="HU115" s="30"/>
      <c r="HV115" s="30"/>
      <c r="HW115" s="30"/>
      <c r="HX115" s="30"/>
      <c r="HY115" s="30"/>
      <c r="HZ115" s="30"/>
      <c r="IA115" s="30"/>
      <c r="IB115" s="30"/>
      <c r="IC115" s="30"/>
      <c r="ID115" s="30"/>
      <c r="IE115" s="30"/>
      <c r="IF115" s="30"/>
      <c r="IG115" s="30"/>
      <c r="IH115" s="30"/>
      <c r="II115" s="30"/>
      <c r="IJ115" s="30"/>
      <c r="IK115" s="30"/>
      <c r="IL115" s="30"/>
      <c r="IM115" s="30"/>
      <c r="IN115" s="30"/>
      <c r="IO115" s="30"/>
      <c r="IP115" s="30"/>
      <c r="IQ115" s="30"/>
      <c r="IR115" s="30"/>
      <c r="IS115" s="30"/>
      <c r="IT115" s="30"/>
      <c r="IU115" s="30"/>
      <c r="IV115" s="30"/>
      <c r="IW115" s="30"/>
      <c r="IX115" s="30"/>
      <c r="IY115" s="30"/>
      <c r="IZ115" s="30"/>
      <c r="JA115" s="30"/>
      <c r="JB115" s="30"/>
      <c r="JC115" s="30"/>
      <c r="JD115" s="30"/>
      <c r="JE115" s="30"/>
      <c r="JF115" s="30"/>
      <c r="JG115" s="30"/>
      <c r="JH115" s="30"/>
      <c r="JI115" s="30"/>
      <c r="JJ115" s="30"/>
      <c r="JK115" s="30"/>
      <c r="JL115" s="30"/>
      <c r="JM115" s="30"/>
      <c r="JN115" s="30"/>
      <c r="JO115" s="30"/>
      <c r="JP115" s="30"/>
      <c r="JQ115" s="30"/>
      <c r="JR115" s="30"/>
      <c r="JS115" s="30"/>
      <c r="JT115" s="30"/>
      <c r="JU115" s="30"/>
      <c r="JV115" s="30"/>
      <c r="JW115" s="30"/>
      <c r="JX115" s="30"/>
      <c r="JY115" s="30"/>
      <c r="JZ115" s="30"/>
      <c r="KA115" s="30"/>
      <c r="KB115" s="30"/>
      <c r="KC115" s="30"/>
      <c r="KD115" s="30"/>
      <c r="KE115" s="30"/>
      <c r="KF115" s="30"/>
      <c r="KG115" s="30"/>
      <c r="KH115" s="30"/>
      <c r="KI115" s="30"/>
      <c r="KJ115" s="30"/>
      <c r="KK115" s="30"/>
      <c r="KL115" s="30"/>
      <c r="KM115" s="30"/>
      <c r="KN115" s="30"/>
      <c r="KO115" s="30"/>
      <c r="KP115" s="1630"/>
    </row>
    <row r="116" spans="1:302" s="97" customFormat="1" ht="13.15" outlineLevel="1">
      <c r="A116" s="2656" t="s">
        <v>801</v>
      </c>
      <c r="B116" s="1689"/>
      <c r="C116" s="262" t="s">
        <v>697</v>
      </c>
      <c r="D116" s="1689" t="s">
        <v>698</v>
      </c>
      <c r="E116" s="262"/>
      <c r="F116" s="347"/>
      <c r="G116" s="348"/>
      <c r="H116" s="349" t="s">
        <v>26</v>
      </c>
      <c r="I116" s="2936"/>
      <c r="J116" s="362" t="s">
        <v>26</v>
      </c>
      <c r="K116" s="1745"/>
      <c r="L116" s="383"/>
      <c r="M116" s="383"/>
      <c r="N116" s="383"/>
      <c r="O116" s="1510">
        <v>133705</v>
      </c>
      <c r="P116" s="383"/>
      <c r="Q116" s="383"/>
      <c r="R116" s="383"/>
      <c r="S116" s="1510">
        <f t="shared" si="99"/>
        <v>0</v>
      </c>
      <c r="T116" s="389"/>
      <c r="U116" s="1746"/>
      <c r="V116" s="1746"/>
      <c r="W116" s="1744">
        <f t="shared" si="92"/>
        <v>133705</v>
      </c>
      <c r="X116" s="359" t="s">
        <v>26</v>
      </c>
      <c r="Y116" s="389"/>
      <c r="Z116" s="1746"/>
      <c r="AA116" s="1509"/>
      <c r="AB116" s="1510">
        <f t="shared" si="97"/>
        <v>133705.00020000001</v>
      </c>
      <c r="AC116" s="1680"/>
      <c r="AD116" s="1460"/>
      <c r="AE116" s="1688"/>
      <c r="AF116" s="1686"/>
      <c r="AG116" s="1686"/>
      <c r="AH116" s="354">
        <f t="shared" si="149"/>
        <v>0</v>
      </c>
      <c r="AI116" s="355">
        <f t="shared" ca="1" si="94"/>
        <v>0</v>
      </c>
      <c r="AJ116" s="356">
        <f t="shared" ca="1" si="150"/>
        <v>0</v>
      </c>
      <c r="AK116" s="2185"/>
      <c r="AL116" s="260"/>
      <c r="AM116" s="2258"/>
      <c r="AN116" s="2258"/>
      <c r="AO116" s="359"/>
      <c r="AP116" s="359"/>
      <c r="AQ116" s="359"/>
      <c r="AR116" s="359"/>
      <c r="AS116" s="359"/>
      <c r="AT116" s="390"/>
      <c r="AU116" s="359"/>
      <c r="AV116" s="359"/>
      <c r="AW116" s="377"/>
      <c r="AX116" s="359"/>
      <c r="AY116" s="2316"/>
      <c r="AZ116" s="2273"/>
      <c r="BA116" s="497"/>
      <c r="BB116" s="359"/>
      <c r="BC116" s="359"/>
      <c r="BD116" s="359">
        <v>22284.166700000002</v>
      </c>
      <c r="BE116" s="362">
        <v>22284.166700000002</v>
      </c>
      <c r="BF116" s="362">
        <v>22284.166700000002</v>
      </c>
      <c r="BG116" s="362">
        <v>22284.166700000002</v>
      </c>
      <c r="BH116" s="362">
        <v>22284.166700000002</v>
      </c>
      <c r="BI116" s="414">
        <v>22284.166700000002</v>
      </c>
      <c r="BJ116" s="362"/>
      <c r="BK116" s="2123"/>
      <c r="BL116" s="414"/>
      <c r="BM116" s="414"/>
      <c r="BN116" s="414"/>
      <c r="BO116" s="414"/>
      <c r="BP116" s="414"/>
      <c r="BQ116" s="2399"/>
      <c r="BR116" s="362"/>
      <c r="BS116" s="362"/>
      <c r="BT116" s="362"/>
      <c r="BU116" s="364"/>
      <c r="BV116" s="364"/>
      <c r="BW116" s="2366"/>
      <c r="BX116" s="2463"/>
      <c r="BY116" s="2543"/>
      <c r="BZ116" s="2543"/>
      <c r="CA116" s="2591">
        <f t="shared" si="151"/>
        <v>133705.00020000001</v>
      </c>
      <c r="CB116" s="2377">
        <f t="shared" si="152"/>
        <v>1</v>
      </c>
      <c r="CC116" s="365">
        <f t="shared" si="153"/>
        <v>7.4791518529910588E-6</v>
      </c>
      <c r="CD116" s="365"/>
      <c r="CE116" s="365"/>
      <c r="CF116" s="365"/>
      <c r="CG116" s="340"/>
      <c r="CH116" s="367"/>
      <c r="CI116" s="368"/>
      <c r="CJ116" s="368"/>
      <c r="CK116" s="369"/>
      <c r="CL116" s="329">
        <f t="shared" si="130"/>
        <v>-2.0000000949949026E-4</v>
      </c>
      <c r="CM116" s="330">
        <f t="shared" ca="1" si="131"/>
        <v>0</v>
      </c>
      <c r="CN116" s="331">
        <f t="shared" ca="1" si="141"/>
        <v>-133705.00020000001</v>
      </c>
      <c r="CO116" s="86"/>
      <c r="CP116" s="86"/>
      <c r="CQ116" s="1641"/>
      <c r="CR116" s="86"/>
      <c r="CS116" s="86"/>
      <c r="CT116" s="86"/>
      <c r="CU116" s="86"/>
      <c r="CV116" s="86"/>
      <c r="CW116" s="86"/>
      <c r="CX116" s="86"/>
      <c r="CY116" s="86"/>
      <c r="CZ116" s="86"/>
      <c r="DA116" s="86"/>
      <c r="DB116" s="1642"/>
      <c r="DC116" s="1642"/>
      <c r="DD116" s="30"/>
      <c r="DE116" s="30"/>
      <c r="DF116" s="30"/>
      <c r="DG116" s="1642"/>
      <c r="DH116" s="1642"/>
      <c r="DI116" s="1642"/>
      <c r="DJ116" s="1642"/>
      <c r="DK116" s="1642"/>
      <c r="DL116" s="1642"/>
      <c r="DM116" s="1642"/>
      <c r="DN116" s="1642"/>
      <c r="DO116" s="1642"/>
      <c r="DP116" s="1642"/>
      <c r="DQ116" s="1642"/>
      <c r="DR116" s="1642"/>
      <c r="DS116" s="1642"/>
      <c r="DT116" s="1642"/>
      <c r="DU116" s="1642"/>
      <c r="DV116" s="1642"/>
      <c r="DW116" s="1642"/>
      <c r="DX116" s="1642"/>
      <c r="DY116" s="1642"/>
      <c r="DZ116" s="1642"/>
      <c r="EA116" s="1642"/>
      <c r="EB116" s="1642"/>
      <c r="EC116" s="1642"/>
      <c r="ED116" s="1642"/>
      <c r="EE116" s="1642"/>
      <c r="EF116" s="1642"/>
      <c r="EG116" s="1642"/>
      <c r="EH116" s="1643"/>
      <c r="EI116" s="1658"/>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0"/>
      <c r="HP116" s="30"/>
      <c r="HQ116" s="30"/>
      <c r="HR116" s="30"/>
      <c r="HS116" s="30"/>
      <c r="HT116" s="30"/>
      <c r="HU116" s="30"/>
      <c r="HV116" s="30"/>
      <c r="HW116" s="30"/>
      <c r="HX116" s="30"/>
      <c r="HY116" s="30"/>
      <c r="HZ116" s="30"/>
      <c r="IA116" s="30"/>
      <c r="IB116" s="30"/>
      <c r="IC116" s="30"/>
      <c r="ID116" s="30"/>
      <c r="IE116" s="30"/>
      <c r="IF116" s="30"/>
      <c r="IG116" s="30"/>
      <c r="IH116" s="30"/>
      <c r="II116" s="30"/>
      <c r="IJ116" s="30"/>
      <c r="IK116" s="30"/>
      <c r="IL116" s="30"/>
      <c r="IM116" s="30"/>
      <c r="IN116" s="30"/>
      <c r="IO116" s="30"/>
      <c r="IP116" s="30"/>
      <c r="IQ116" s="30"/>
      <c r="IR116" s="30"/>
      <c r="IS116" s="30"/>
      <c r="IT116" s="30"/>
      <c r="IU116" s="30"/>
      <c r="IV116" s="30"/>
      <c r="IW116" s="30"/>
      <c r="IX116" s="30"/>
      <c r="IY116" s="30"/>
      <c r="IZ116" s="30"/>
      <c r="JA116" s="30"/>
      <c r="JB116" s="30"/>
      <c r="JC116" s="30"/>
      <c r="JD116" s="30"/>
      <c r="JE116" s="30"/>
      <c r="JF116" s="30"/>
      <c r="JG116" s="30"/>
      <c r="JH116" s="30"/>
      <c r="JI116" s="30"/>
      <c r="JJ116" s="30"/>
      <c r="JK116" s="30"/>
      <c r="JL116" s="30"/>
      <c r="JM116" s="30"/>
      <c r="JN116" s="30"/>
      <c r="JO116" s="30"/>
      <c r="JP116" s="30"/>
      <c r="JQ116" s="30"/>
      <c r="JR116" s="30"/>
      <c r="JS116" s="30"/>
      <c r="JT116" s="30"/>
      <c r="JU116" s="30"/>
      <c r="JV116" s="30"/>
      <c r="JW116" s="30"/>
      <c r="JX116" s="30"/>
      <c r="JY116" s="30"/>
      <c r="JZ116" s="30"/>
      <c r="KA116" s="30"/>
      <c r="KB116" s="30"/>
      <c r="KC116" s="30"/>
      <c r="KD116" s="30"/>
      <c r="KE116" s="30"/>
      <c r="KF116" s="30"/>
      <c r="KG116" s="30"/>
      <c r="KH116" s="30"/>
      <c r="KI116" s="30"/>
      <c r="KJ116" s="30"/>
      <c r="KK116" s="30"/>
      <c r="KL116" s="30"/>
      <c r="KM116" s="30"/>
      <c r="KN116" s="30"/>
      <c r="KO116" s="30"/>
      <c r="KP116" s="1630"/>
    </row>
    <row r="117" spans="1:302" s="97" customFormat="1" ht="13.15" outlineLevel="1">
      <c r="A117" s="2656" t="s">
        <v>802</v>
      </c>
      <c r="B117" s="1689"/>
      <c r="C117" s="262" t="s">
        <v>699</v>
      </c>
      <c r="D117" s="1689" t="s">
        <v>700</v>
      </c>
      <c r="E117" s="262"/>
      <c r="F117" s="347"/>
      <c r="G117" s="348"/>
      <c r="H117" s="349" t="s">
        <v>26</v>
      </c>
      <c r="I117" s="2936"/>
      <c r="J117" s="362" t="s">
        <v>26</v>
      </c>
      <c r="K117" s="1745"/>
      <c r="L117" s="383"/>
      <c r="M117" s="383"/>
      <c r="N117" s="383"/>
      <c r="O117" s="1510">
        <v>655175</v>
      </c>
      <c r="P117" s="383"/>
      <c r="Q117" s="383"/>
      <c r="R117" s="383"/>
      <c r="S117" s="1510">
        <f t="shared" si="99"/>
        <v>0</v>
      </c>
      <c r="T117" s="389"/>
      <c r="U117" s="1746"/>
      <c r="V117" s="1746"/>
      <c r="W117" s="1744">
        <f t="shared" si="92"/>
        <v>655175</v>
      </c>
      <c r="X117" s="359" t="s">
        <v>26</v>
      </c>
      <c r="Y117" s="389"/>
      <c r="Z117" s="1746"/>
      <c r="AA117" s="1509"/>
      <c r="AB117" s="1510">
        <f t="shared" si="97"/>
        <v>655174.99800000002</v>
      </c>
      <c r="AC117" s="1680"/>
      <c r="AD117" s="1460"/>
      <c r="AE117" s="1688"/>
      <c r="AF117" s="1686"/>
      <c r="AG117" s="1686"/>
      <c r="AH117" s="354">
        <f t="shared" si="149"/>
        <v>0</v>
      </c>
      <c r="AI117" s="355">
        <f t="shared" ca="1" si="94"/>
        <v>0</v>
      </c>
      <c r="AJ117" s="356">
        <f t="shared" ca="1" si="150"/>
        <v>0</v>
      </c>
      <c r="AK117" s="2185"/>
      <c r="AL117" s="260"/>
      <c r="AM117" s="2258"/>
      <c r="AN117" s="2258"/>
      <c r="AO117" s="359"/>
      <c r="AP117" s="359"/>
      <c r="AQ117" s="359"/>
      <c r="AR117" s="359"/>
      <c r="AS117" s="359"/>
      <c r="AT117" s="390"/>
      <c r="AU117" s="359"/>
      <c r="AV117" s="359"/>
      <c r="AW117" s="377"/>
      <c r="AX117" s="359"/>
      <c r="AY117" s="2316"/>
      <c r="AZ117" s="2273"/>
      <c r="BA117" s="497"/>
      <c r="BB117" s="359"/>
      <c r="BC117" s="359"/>
      <c r="BD117" s="359">
        <v>109195.833</v>
      </c>
      <c r="BE117" s="362">
        <v>109195.833</v>
      </c>
      <c r="BF117" s="362">
        <v>109195.833</v>
      </c>
      <c r="BG117" s="362">
        <v>109195.833</v>
      </c>
      <c r="BH117" s="362">
        <v>109195.833</v>
      </c>
      <c r="BI117" s="414">
        <v>109195.833</v>
      </c>
      <c r="BJ117" s="362"/>
      <c r="BK117" s="2123"/>
      <c r="BL117" s="414"/>
      <c r="BM117" s="414"/>
      <c r="BN117" s="414"/>
      <c r="BO117" s="414"/>
      <c r="BP117" s="414"/>
      <c r="BQ117" s="2399"/>
      <c r="BR117" s="362"/>
      <c r="BS117" s="362"/>
      <c r="BT117" s="362"/>
      <c r="BU117" s="364"/>
      <c r="BV117" s="364"/>
      <c r="BW117" s="2366"/>
      <c r="BX117" s="2463"/>
      <c r="BY117" s="2543"/>
      <c r="BZ117" s="2543"/>
      <c r="CA117" s="2591">
        <f t="shared" si="151"/>
        <v>655174.99800000002</v>
      </c>
      <c r="CB117" s="2377">
        <f t="shared" si="152"/>
        <v>1</v>
      </c>
      <c r="CC117" s="365">
        <f t="shared" si="153"/>
        <v>1.5263097692259618E-6</v>
      </c>
      <c r="CD117" s="365"/>
      <c r="CE117" s="365"/>
      <c r="CF117" s="365"/>
      <c r="CG117" s="340"/>
      <c r="CH117" s="367"/>
      <c r="CI117" s="368"/>
      <c r="CJ117" s="368"/>
      <c r="CK117" s="369"/>
      <c r="CL117" s="329">
        <f t="shared" si="130"/>
        <v>1.9999999785795808E-3</v>
      </c>
      <c r="CM117" s="330">
        <f t="shared" ca="1" si="131"/>
        <v>0</v>
      </c>
      <c r="CN117" s="331">
        <f t="shared" ca="1" si="141"/>
        <v>-655174.99800000002</v>
      </c>
      <c r="CO117" s="86"/>
      <c r="CP117" s="86"/>
      <c r="CQ117" s="1641"/>
      <c r="CR117" s="86"/>
      <c r="CS117" s="86"/>
      <c r="CT117" s="86"/>
      <c r="CU117" s="86"/>
      <c r="CV117" s="86"/>
      <c r="CW117" s="86"/>
      <c r="CX117" s="86"/>
      <c r="CY117" s="86"/>
      <c r="CZ117" s="86"/>
      <c r="DA117" s="86"/>
      <c r="DB117" s="1642"/>
      <c r="DC117" s="1642"/>
      <c r="DD117" s="30"/>
      <c r="DE117" s="30"/>
      <c r="DF117" s="30"/>
      <c r="DG117" s="1642"/>
      <c r="DH117" s="1642"/>
      <c r="DI117" s="1642"/>
      <c r="DJ117" s="1642"/>
      <c r="DK117" s="1642"/>
      <c r="DL117" s="1642"/>
      <c r="DM117" s="1642"/>
      <c r="DN117" s="1642"/>
      <c r="DO117" s="1642"/>
      <c r="DP117" s="1642"/>
      <c r="DQ117" s="1642"/>
      <c r="DR117" s="1642"/>
      <c r="DS117" s="1642"/>
      <c r="DT117" s="1642"/>
      <c r="DU117" s="1642"/>
      <c r="DV117" s="1642"/>
      <c r="DW117" s="1642"/>
      <c r="DX117" s="1642"/>
      <c r="DY117" s="1642"/>
      <c r="DZ117" s="1642"/>
      <c r="EA117" s="1642"/>
      <c r="EB117" s="1642"/>
      <c r="EC117" s="1642"/>
      <c r="ED117" s="1642"/>
      <c r="EE117" s="1642"/>
      <c r="EF117" s="1642"/>
      <c r="EG117" s="1642"/>
      <c r="EH117" s="1643"/>
      <c r="EI117" s="1658"/>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0"/>
      <c r="HP117" s="30"/>
      <c r="HQ117" s="30"/>
      <c r="HR117" s="30"/>
      <c r="HS117" s="30"/>
      <c r="HT117" s="30"/>
      <c r="HU117" s="30"/>
      <c r="HV117" s="30"/>
      <c r="HW117" s="30"/>
      <c r="HX117" s="30"/>
      <c r="HY117" s="30"/>
      <c r="HZ117" s="30"/>
      <c r="IA117" s="30"/>
      <c r="IB117" s="30"/>
      <c r="IC117" s="30"/>
      <c r="ID117" s="30"/>
      <c r="IE117" s="30"/>
      <c r="IF117" s="30"/>
      <c r="IG117" s="30"/>
      <c r="IH117" s="30"/>
      <c r="II117" s="30"/>
      <c r="IJ117" s="30"/>
      <c r="IK117" s="30"/>
      <c r="IL117" s="30"/>
      <c r="IM117" s="30"/>
      <c r="IN117" s="30"/>
      <c r="IO117" s="30"/>
      <c r="IP117" s="30"/>
      <c r="IQ117" s="30"/>
      <c r="IR117" s="30"/>
      <c r="IS117" s="30"/>
      <c r="IT117" s="30"/>
      <c r="IU117" s="30"/>
      <c r="IV117" s="30"/>
      <c r="IW117" s="30"/>
      <c r="IX117" s="30"/>
      <c r="IY117" s="30"/>
      <c r="IZ117" s="30"/>
      <c r="JA117" s="30"/>
      <c r="JB117" s="30"/>
      <c r="JC117" s="30"/>
      <c r="JD117" s="30"/>
      <c r="JE117" s="30"/>
      <c r="JF117" s="30"/>
      <c r="JG117" s="30"/>
      <c r="JH117" s="30"/>
      <c r="JI117" s="30"/>
      <c r="JJ117" s="30"/>
      <c r="JK117" s="30"/>
      <c r="JL117" s="30"/>
      <c r="JM117" s="30"/>
      <c r="JN117" s="30"/>
      <c r="JO117" s="30"/>
      <c r="JP117" s="30"/>
      <c r="JQ117" s="30"/>
      <c r="JR117" s="30"/>
      <c r="JS117" s="30"/>
      <c r="JT117" s="30"/>
      <c r="JU117" s="30"/>
      <c r="JV117" s="30"/>
      <c r="JW117" s="30"/>
      <c r="JX117" s="30"/>
      <c r="JY117" s="30"/>
      <c r="JZ117" s="30"/>
      <c r="KA117" s="30"/>
      <c r="KB117" s="30"/>
      <c r="KC117" s="30"/>
      <c r="KD117" s="30"/>
      <c r="KE117" s="30"/>
      <c r="KF117" s="30"/>
      <c r="KG117" s="30"/>
      <c r="KH117" s="30"/>
      <c r="KI117" s="30"/>
      <c r="KJ117" s="30"/>
      <c r="KK117" s="30"/>
      <c r="KL117" s="30"/>
      <c r="KM117" s="30"/>
      <c r="KN117" s="30"/>
      <c r="KO117" s="30"/>
      <c r="KP117" s="1630"/>
    </row>
    <row r="118" spans="1:302" s="97" customFormat="1" ht="13.15" outlineLevel="1">
      <c r="A118" s="2656" t="s">
        <v>803</v>
      </c>
      <c r="B118" s="1689"/>
      <c r="C118" s="262" t="s">
        <v>701</v>
      </c>
      <c r="D118" s="1689" t="s">
        <v>702</v>
      </c>
      <c r="E118" s="262"/>
      <c r="F118" s="347"/>
      <c r="G118" s="348"/>
      <c r="H118" s="349" t="s">
        <v>26</v>
      </c>
      <c r="I118" s="2936"/>
      <c r="J118" s="362" t="s">
        <v>26</v>
      </c>
      <c r="K118" s="1745"/>
      <c r="L118" s="383"/>
      <c r="M118" s="383"/>
      <c r="N118" s="383"/>
      <c r="O118" s="1510">
        <v>220670</v>
      </c>
      <c r="P118" s="383"/>
      <c r="Q118" s="383"/>
      <c r="R118" s="383"/>
      <c r="S118" s="1510">
        <f t="shared" si="99"/>
        <v>0</v>
      </c>
      <c r="T118" s="389"/>
      <c r="U118" s="1746"/>
      <c r="V118" s="1746"/>
      <c r="W118" s="1744">
        <f t="shared" si="92"/>
        <v>220670</v>
      </c>
      <c r="X118" s="359" t="s">
        <v>26</v>
      </c>
      <c r="Y118" s="389"/>
      <c r="Z118" s="1746"/>
      <c r="AA118" s="1509"/>
      <c r="AB118" s="1510">
        <f t="shared" si="97"/>
        <v>220669.99979999999</v>
      </c>
      <c r="AC118" s="1680"/>
      <c r="AD118" s="1460"/>
      <c r="AE118" s="1688"/>
      <c r="AF118" s="1686"/>
      <c r="AG118" s="1686"/>
      <c r="AH118" s="354">
        <f t="shared" si="149"/>
        <v>0</v>
      </c>
      <c r="AI118" s="355">
        <f t="shared" ca="1" si="94"/>
        <v>0</v>
      </c>
      <c r="AJ118" s="356">
        <f t="shared" ca="1" si="150"/>
        <v>0</v>
      </c>
      <c r="AK118" s="2185"/>
      <c r="AL118" s="260"/>
      <c r="AM118" s="2258"/>
      <c r="AN118" s="2258"/>
      <c r="AO118" s="359"/>
      <c r="AP118" s="359"/>
      <c r="AQ118" s="359"/>
      <c r="AR118" s="359"/>
      <c r="AS118" s="359"/>
      <c r="AT118" s="390"/>
      <c r="AU118" s="359"/>
      <c r="AV118" s="359"/>
      <c r="AW118" s="377"/>
      <c r="AX118" s="359"/>
      <c r="AY118" s="2316"/>
      <c r="AZ118" s="2273"/>
      <c r="BA118" s="497"/>
      <c r="BB118" s="359">
        <v>36778.333299999998</v>
      </c>
      <c r="BC118" s="359">
        <v>36778.333299999998</v>
      </c>
      <c r="BD118" s="359">
        <v>36778.333299999998</v>
      </c>
      <c r="BE118" s="362">
        <v>36778.333299999998</v>
      </c>
      <c r="BF118" s="362">
        <v>36778.333299999998</v>
      </c>
      <c r="BG118" s="362">
        <v>36778.333299999998</v>
      </c>
      <c r="BH118" s="362"/>
      <c r="BI118" s="414"/>
      <c r="BJ118" s="362"/>
      <c r="BK118" s="2123"/>
      <c r="BL118" s="414"/>
      <c r="BM118" s="414"/>
      <c r="BN118" s="414"/>
      <c r="BO118" s="414"/>
      <c r="BP118" s="414"/>
      <c r="BQ118" s="2399"/>
      <c r="BR118" s="362"/>
      <c r="BS118" s="362"/>
      <c r="BT118" s="362"/>
      <c r="BU118" s="364"/>
      <c r="BV118" s="364"/>
      <c r="BW118" s="2366"/>
      <c r="BX118" s="2463"/>
      <c r="BY118" s="2543"/>
      <c r="BZ118" s="2543"/>
      <c r="CA118" s="2591">
        <f t="shared" si="151"/>
        <v>220669.99979999999</v>
      </c>
      <c r="CB118" s="2377">
        <f t="shared" si="152"/>
        <v>1</v>
      </c>
      <c r="CC118" s="365">
        <f t="shared" si="153"/>
        <v>4.5316536045059624E-6</v>
      </c>
      <c r="CD118" s="365"/>
      <c r="CE118" s="365"/>
      <c r="CF118" s="365"/>
      <c r="CG118" s="340"/>
      <c r="CH118" s="367"/>
      <c r="CI118" s="368"/>
      <c r="CJ118" s="368"/>
      <c r="CK118" s="369"/>
      <c r="CL118" s="329">
        <f t="shared" si="130"/>
        <v>2.0000000949949026E-4</v>
      </c>
      <c r="CM118" s="330">
        <f t="shared" ca="1" si="131"/>
        <v>0</v>
      </c>
      <c r="CN118" s="331">
        <f t="shared" ca="1" si="141"/>
        <v>-220669.99979999999</v>
      </c>
      <c r="CO118" s="86"/>
      <c r="CP118" s="86"/>
      <c r="CQ118" s="1641"/>
      <c r="CR118" s="86"/>
      <c r="CS118" s="86"/>
      <c r="CT118" s="86"/>
      <c r="CU118" s="86"/>
      <c r="CV118" s="86"/>
      <c r="CW118" s="86"/>
      <c r="CX118" s="86"/>
      <c r="CY118" s="86"/>
      <c r="CZ118" s="86"/>
      <c r="DA118" s="86"/>
      <c r="DB118" s="1642"/>
      <c r="DC118" s="1642"/>
      <c r="DD118" s="30"/>
      <c r="DE118" s="30"/>
      <c r="DF118" s="30"/>
      <c r="DG118" s="1642"/>
      <c r="DH118" s="1642"/>
      <c r="DI118" s="1642"/>
      <c r="DJ118" s="1642"/>
      <c r="DK118" s="1642"/>
      <c r="DL118" s="1642"/>
      <c r="DM118" s="1642"/>
      <c r="DN118" s="1642"/>
      <c r="DO118" s="1642"/>
      <c r="DP118" s="1642"/>
      <c r="DQ118" s="1642"/>
      <c r="DR118" s="1642"/>
      <c r="DS118" s="1642"/>
      <c r="DT118" s="1642"/>
      <c r="DU118" s="1642"/>
      <c r="DV118" s="1642"/>
      <c r="DW118" s="1642"/>
      <c r="DX118" s="1642"/>
      <c r="DY118" s="1642"/>
      <c r="DZ118" s="1642"/>
      <c r="EA118" s="1642"/>
      <c r="EB118" s="1642"/>
      <c r="EC118" s="1642"/>
      <c r="ED118" s="1642"/>
      <c r="EE118" s="1642"/>
      <c r="EF118" s="1642"/>
      <c r="EG118" s="1642"/>
      <c r="EH118" s="1643"/>
      <c r="EI118" s="1658"/>
      <c r="EJ118" s="30"/>
      <c r="EK118" s="30"/>
      <c r="EL118" s="30"/>
      <c r="EM118" s="30"/>
      <c r="EN118" s="30"/>
      <c r="EO118" s="30"/>
      <c r="EP118" s="30"/>
      <c r="EQ118" s="30"/>
      <c r="ER118" s="30"/>
      <c r="ES118" s="30"/>
      <c r="ET118" s="30"/>
      <c r="EU118" s="30"/>
      <c r="EV118" s="30"/>
      <c r="EW118" s="30"/>
      <c r="EX118" s="30"/>
      <c r="EY118" s="30"/>
      <c r="EZ118" s="30"/>
      <c r="FA118" s="30"/>
      <c r="FB118" s="30"/>
      <c r="FC118" s="30"/>
      <c r="FD118" s="30"/>
      <c r="FE118" s="30"/>
      <c r="FF118" s="30"/>
      <c r="FG118" s="30"/>
      <c r="FH118" s="30"/>
      <c r="FI118" s="30"/>
      <c r="FJ118" s="30"/>
      <c r="FK118" s="30"/>
      <c r="FL118" s="30"/>
      <c r="FM118" s="30"/>
      <c r="FN118" s="30"/>
      <c r="FO118" s="30"/>
      <c r="FP118" s="30"/>
      <c r="FQ118" s="30"/>
      <c r="FR118" s="30"/>
      <c r="FS118" s="30"/>
      <c r="FT118" s="30"/>
      <c r="FU118" s="30"/>
      <c r="FV118" s="30"/>
      <c r="FW118" s="30"/>
      <c r="FX118" s="30"/>
      <c r="FY118" s="30"/>
      <c r="FZ118" s="30"/>
      <c r="GA118" s="30"/>
      <c r="GB118" s="30"/>
      <c r="GC118" s="30"/>
      <c r="GD118" s="30"/>
      <c r="GE118" s="30"/>
      <c r="GF118" s="30"/>
      <c r="GG118" s="30"/>
      <c r="GH118" s="30"/>
      <c r="GI118" s="30"/>
      <c r="GJ118" s="30"/>
      <c r="GK118" s="30"/>
      <c r="GL118" s="30"/>
      <c r="GM118" s="30"/>
      <c r="GN118" s="30"/>
      <c r="GO118" s="30"/>
      <c r="GP118" s="30"/>
      <c r="GQ118" s="30"/>
      <c r="GR118" s="30"/>
      <c r="GS118" s="30"/>
      <c r="GT118" s="30"/>
      <c r="GU118" s="30"/>
      <c r="GV118" s="30"/>
      <c r="GW118" s="30"/>
      <c r="GX118" s="30"/>
      <c r="GY118" s="30"/>
      <c r="GZ118" s="30"/>
      <c r="HA118" s="30"/>
      <c r="HB118" s="30"/>
      <c r="HC118" s="30"/>
      <c r="HD118" s="30"/>
      <c r="HE118" s="30"/>
      <c r="HF118" s="30"/>
      <c r="HG118" s="30"/>
      <c r="HH118" s="30"/>
      <c r="HI118" s="30"/>
      <c r="HJ118" s="30"/>
      <c r="HK118" s="30"/>
      <c r="HL118" s="30"/>
      <c r="HM118" s="30"/>
      <c r="HN118" s="30"/>
      <c r="HO118" s="30"/>
      <c r="HP118" s="30"/>
      <c r="HQ118" s="30"/>
      <c r="HR118" s="30"/>
      <c r="HS118" s="30"/>
      <c r="HT118" s="30"/>
      <c r="HU118" s="30"/>
      <c r="HV118" s="30"/>
      <c r="HW118" s="30"/>
      <c r="HX118" s="30"/>
      <c r="HY118" s="30"/>
      <c r="HZ118" s="30"/>
      <c r="IA118" s="30"/>
      <c r="IB118" s="30"/>
      <c r="IC118" s="30"/>
      <c r="ID118" s="30"/>
      <c r="IE118" s="30"/>
      <c r="IF118" s="30"/>
      <c r="IG118" s="30"/>
      <c r="IH118" s="30"/>
      <c r="II118" s="30"/>
      <c r="IJ118" s="30"/>
      <c r="IK118" s="30"/>
      <c r="IL118" s="30"/>
      <c r="IM118" s="30"/>
      <c r="IN118" s="30"/>
      <c r="IO118" s="30"/>
      <c r="IP118" s="30"/>
      <c r="IQ118" s="30"/>
      <c r="IR118" s="30"/>
      <c r="IS118" s="30"/>
      <c r="IT118" s="30"/>
      <c r="IU118" s="30"/>
      <c r="IV118" s="30"/>
      <c r="IW118" s="30"/>
      <c r="IX118" s="30"/>
      <c r="IY118" s="30"/>
      <c r="IZ118" s="30"/>
      <c r="JA118" s="30"/>
      <c r="JB118" s="30"/>
      <c r="JC118" s="30"/>
      <c r="JD118" s="30"/>
      <c r="JE118" s="30"/>
      <c r="JF118" s="30"/>
      <c r="JG118" s="30"/>
      <c r="JH118" s="30"/>
      <c r="JI118" s="30"/>
      <c r="JJ118" s="30"/>
      <c r="JK118" s="30"/>
      <c r="JL118" s="30"/>
      <c r="JM118" s="30"/>
      <c r="JN118" s="30"/>
      <c r="JO118" s="30"/>
      <c r="JP118" s="30"/>
      <c r="JQ118" s="30"/>
      <c r="JR118" s="30"/>
      <c r="JS118" s="30"/>
      <c r="JT118" s="30"/>
      <c r="JU118" s="30"/>
      <c r="JV118" s="30"/>
      <c r="JW118" s="30"/>
      <c r="JX118" s="30"/>
      <c r="JY118" s="30"/>
      <c r="JZ118" s="30"/>
      <c r="KA118" s="30"/>
      <c r="KB118" s="30"/>
      <c r="KC118" s="30"/>
      <c r="KD118" s="30"/>
      <c r="KE118" s="30"/>
      <c r="KF118" s="30"/>
      <c r="KG118" s="30"/>
      <c r="KH118" s="30"/>
      <c r="KI118" s="30"/>
      <c r="KJ118" s="30"/>
      <c r="KK118" s="30"/>
      <c r="KL118" s="30"/>
      <c r="KM118" s="30"/>
      <c r="KN118" s="30"/>
      <c r="KO118" s="30"/>
      <c r="KP118" s="1630"/>
    </row>
    <row r="119" spans="1:302" s="97" customFormat="1" ht="13.15" outlineLevel="1">
      <c r="A119" s="2656" t="s">
        <v>804</v>
      </c>
      <c r="B119" s="1689"/>
      <c r="C119" s="262" t="s">
        <v>703</v>
      </c>
      <c r="D119" s="1689" t="s">
        <v>704</v>
      </c>
      <c r="E119" s="262"/>
      <c r="F119" s="347"/>
      <c r="G119" s="348"/>
      <c r="H119" s="349" t="s">
        <v>26</v>
      </c>
      <c r="I119" s="2936"/>
      <c r="J119" s="362" t="s">
        <v>26</v>
      </c>
      <c r="K119" s="1745"/>
      <c r="L119" s="383"/>
      <c r="M119" s="383"/>
      <c r="N119" s="383"/>
      <c r="O119" s="1510">
        <v>65014</v>
      </c>
      <c r="P119" s="383"/>
      <c r="Q119" s="383"/>
      <c r="R119" s="383"/>
      <c r="S119" s="1510">
        <f t="shared" si="99"/>
        <v>0</v>
      </c>
      <c r="T119" s="389"/>
      <c r="U119" s="1746"/>
      <c r="V119" s="1746"/>
      <c r="W119" s="1744">
        <f t="shared" si="92"/>
        <v>65014</v>
      </c>
      <c r="X119" s="359" t="s">
        <v>26</v>
      </c>
      <c r="Y119" s="389"/>
      <c r="Z119" s="1746"/>
      <c r="AA119" s="1509"/>
      <c r="AB119" s="1510">
        <f t="shared" si="97"/>
        <v>65014.000200000002</v>
      </c>
      <c r="AC119" s="1680"/>
      <c r="AD119" s="1460"/>
      <c r="AE119" s="1688"/>
      <c r="AF119" s="1686"/>
      <c r="AG119" s="1686"/>
      <c r="AH119" s="354">
        <f t="shared" si="149"/>
        <v>0</v>
      </c>
      <c r="AI119" s="355">
        <f t="shared" ca="1" si="94"/>
        <v>0</v>
      </c>
      <c r="AJ119" s="356">
        <f t="shared" ca="1" si="150"/>
        <v>0</v>
      </c>
      <c r="AK119" s="2185"/>
      <c r="AL119" s="260"/>
      <c r="AM119" s="2258"/>
      <c r="AN119" s="2258"/>
      <c r="AO119" s="359"/>
      <c r="AP119" s="359"/>
      <c r="AQ119" s="359"/>
      <c r="AR119" s="359"/>
      <c r="AS119" s="359"/>
      <c r="AT119" s="390"/>
      <c r="AU119" s="359"/>
      <c r="AV119" s="359"/>
      <c r="AW119" s="377"/>
      <c r="AX119" s="359"/>
      <c r="AY119" s="2316"/>
      <c r="AZ119" s="2273"/>
      <c r="BA119" s="497"/>
      <c r="BB119" s="359">
        <v>10835.6667</v>
      </c>
      <c r="BC119" s="359">
        <v>10835.6667</v>
      </c>
      <c r="BD119" s="359">
        <v>10835.6667</v>
      </c>
      <c r="BE119" s="362">
        <v>10835.6667</v>
      </c>
      <c r="BF119" s="362">
        <v>10835.6667</v>
      </c>
      <c r="BG119" s="362">
        <v>10835.6667</v>
      </c>
      <c r="BH119" s="362"/>
      <c r="BI119" s="414"/>
      <c r="BJ119" s="362"/>
      <c r="BK119" s="2123"/>
      <c r="BL119" s="414"/>
      <c r="BM119" s="414"/>
      <c r="BN119" s="414"/>
      <c r="BO119" s="414"/>
      <c r="BP119" s="414"/>
      <c r="BQ119" s="2399"/>
      <c r="BR119" s="362"/>
      <c r="BS119" s="362"/>
      <c r="BT119" s="362"/>
      <c r="BU119" s="364"/>
      <c r="BV119" s="364"/>
      <c r="BW119" s="2366"/>
      <c r="BX119" s="2463"/>
      <c r="BY119" s="2543"/>
      <c r="BZ119" s="2543"/>
      <c r="CA119" s="2591">
        <f t="shared" si="151"/>
        <v>65014.000200000002</v>
      </c>
      <c r="CB119" s="2377">
        <f t="shared" si="152"/>
        <v>1</v>
      </c>
      <c r="CC119" s="365">
        <f t="shared" si="153"/>
        <v>1.5381302441377851E-5</v>
      </c>
      <c r="CD119" s="365"/>
      <c r="CE119" s="365"/>
      <c r="CF119" s="365"/>
      <c r="CG119" s="340"/>
      <c r="CH119" s="367"/>
      <c r="CI119" s="368"/>
      <c r="CJ119" s="368"/>
      <c r="CK119" s="369"/>
      <c r="CL119" s="329">
        <f t="shared" si="130"/>
        <v>-2.0000000222353265E-4</v>
      </c>
      <c r="CM119" s="330">
        <f t="shared" ca="1" si="131"/>
        <v>0</v>
      </c>
      <c r="CN119" s="331">
        <f t="shared" ca="1" si="141"/>
        <v>-65014.000200000002</v>
      </c>
      <c r="CO119" s="86"/>
      <c r="CP119" s="86"/>
      <c r="CQ119" s="1641"/>
      <c r="CR119" s="86"/>
      <c r="CS119" s="86"/>
      <c r="CT119" s="86"/>
      <c r="CU119" s="86"/>
      <c r="CV119" s="86"/>
      <c r="CW119" s="86"/>
      <c r="CX119" s="86"/>
      <c r="CY119" s="86"/>
      <c r="CZ119" s="86"/>
      <c r="DA119" s="86"/>
      <c r="DB119" s="1642"/>
      <c r="DC119" s="1642"/>
      <c r="DD119" s="30"/>
      <c r="DE119" s="30"/>
      <c r="DF119" s="30"/>
      <c r="DG119" s="1642"/>
      <c r="DH119" s="1642"/>
      <c r="DI119" s="1642"/>
      <c r="DJ119" s="1642"/>
      <c r="DK119" s="1642"/>
      <c r="DL119" s="1642"/>
      <c r="DM119" s="1642"/>
      <c r="DN119" s="1642"/>
      <c r="DO119" s="1642"/>
      <c r="DP119" s="1642"/>
      <c r="DQ119" s="1642"/>
      <c r="DR119" s="1642"/>
      <c r="DS119" s="1642"/>
      <c r="DT119" s="1642"/>
      <c r="DU119" s="1642"/>
      <c r="DV119" s="1642"/>
      <c r="DW119" s="1642"/>
      <c r="DX119" s="1642"/>
      <c r="DY119" s="1642"/>
      <c r="DZ119" s="1642"/>
      <c r="EA119" s="1642"/>
      <c r="EB119" s="1642"/>
      <c r="EC119" s="1642"/>
      <c r="ED119" s="1642"/>
      <c r="EE119" s="1642"/>
      <c r="EF119" s="1642"/>
      <c r="EG119" s="1642"/>
      <c r="EH119" s="1643"/>
      <c r="EI119" s="1658"/>
      <c r="EJ119" s="30"/>
      <c r="EK119" s="30"/>
      <c r="EL119" s="30"/>
      <c r="EM119" s="30"/>
      <c r="EN119" s="30"/>
      <c r="EO119" s="30"/>
      <c r="EP119" s="30"/>
      <c r="EQ119" s="30"/>
      <c r="ER119" s="30"/>
      <c r="ES119" s="30"/>
      <c r="ET119" s="30"/>
      <c r="EU119" s="30"/>
      <c r="EV119" s="30"/>
      <c r="EW119" s="30"/>
      <c r="EX119" s="30"/>
      <c r="EY119" s="30"/>
      <c r="EZ119" s="30"/>
      <c r="FA119" s="30"/>
      <c r="FB119" s="30"/>
      <c r="FC119" s="30"/>
      <c r="FD119" s="30"/>
      <c r="FE119" s="30"/>
      <c r="FF119" s="30"/>
      <c r="FG119" s="30"/>
      <c r="FH119" s="30"/>
      <c r="FI119" s="30"/>
      <c r="FJ119" s="30"/>
      <c r="FK119" s="30"/>
      <c r="FL119" s="30"/>
      <c r="FM119" s="30"/>
      <c r="FN119" s="30"/>
      <c r="FO119" s="30"/>
      <c r="FP119" s="30"/>
      <c r="FQ119" s="30"/>
      <c r="FR119" s="30"/>
      <c r="FS119" s="30"/>
      <c r="FT119" s="30"/>
      <c r="FU119" s="30"/>
      <c r="FV119" s="30"/>
      <c r="FW119" s="30"/>
      <c r="FX119" s="30"/>
      <c r="FY119" s="30"/>
      <c r="FZ119" s="30"/>
      <c r="GA119" s="30"/>
      <c r="GB119" s="30"/>
      <c r="GC119" s="30"/>
      <c r="GD119" s="30"/>
      <c r="GE119" s="30"/>
      <c r="GF119" s="30"/>
      <c r="GG119" s="30"/>
      <c r="GH119" s="30"/>
      <c r="GI119" s="30"/>
      <c r="GJ119" s="30"/>
      <c r="GK119" s="30"/>
      <c r="GL119" s="30"/>
      <c r="GM119" s="30"/>
      <c r="GN119" s="30"/>
      <c r="GO119" s="30"/>
      <c r="GP119" s="30"/>
      <c r="GQ119" s="30"/>
      <c r="GR119" s="30"/>
      <c r="GS119" s="30"/>
      <c r="GT119" s="30"/>
      <c r="GU119" s="30"/>
      <c r="GV119" s="30"/>
      <c r="GW119" s="30"/>
      <c r="GX119" s="30"/>
      <c r="GY119" s="30"/>
      <c r="GZ119" s="30"/>
      <c r="HA119" s="30"/>
      <c r="HB119" s="30"/>
      <c r="HC119" s="30"/>
      <c r="HD119" s="30"/>
      <c r="HE119" s="30"/>
      <c r="HF119" s="30"/>
      <c r="HG119" s="30"/>
      <c r="HH119" s="30"/>
      <c r="HI119" s="30"/>
      <c r="HJ119" s="30"/>
      <c r="HK119" s="30"/>
      <c r="HL119" s="30"/>
      <c r="HM119" s="30"/>
      <c r="HN119" s="30"/>
      <c r="HO119" s="30"/>
      <c r="HP119" s="30"/>
      <c r="HQ119" s="30"/>
      <c r="HR119" s="30"/>
      <c r="HS119" s="30"/>
      <c r="HT119" s="30"/>
      <c r="HU119" s="30"/>
      <c r="HV119" s="30"/>
      <c r="HW119" s="30"/>
      <c r="HX119" s="30"/>
      <c r="HY119" s="30"/>
      <c r="HZ119" s="30"/>
      <c r="IA119" s="30"/>
      <c r="IB119" s="30"/>
      <c r="IC119" s="30"/>
      <c r="ID119" s="30"/>
      <c r="IE119" s="30"/>
      <c r="IF119" s="30"/>
      <c r="IG119" s="30"/>
      <c r="IH119" s="30"/>
      <c r="II119" s="30"/>
      <c r="IJ119" s="30"/>
      <c r="IK119" s="30"/>
      <c r="IL119" s="30"/>
      <c r="IM119" s="30"/>
      <c r="IN119" s="30"/>
      <c r="IO119" s="30"/>
      <c r="IP119" s="30"/>
      <c r="IQ119" s="30"/>
      <c r="IR119" s="30"/>
      <c r="IS119" s="30"/>
      <c r="IT119" s="30"/>
      <c r="IU119" s="30"/>
      <c r="IV119" s="30"/>
      <c r="IW119" s="30"/>
      <c r="IX119" s="30"/>
      <c r="IY119" s="30"/>
      <c r="IZ119" s="30"/>
      <c r="JA119" s="30"/>
      <c r="JB119" s="30"/>
      <c r="JC119" s="30"/>
      <c r="JD119" s="30"/>
      <c r="JE119" s="30"/>
      <c r="JF119" s="30"/>
      <c r="JG119" s="30"/>
      <c r="JH119" s="30"/>
      <c r="JI119" s="30"/>
      <c r="JJ119" s="30"/>
      <c r="JK119" s="30"/>
      <c r="JL119" s="30"/>
      <c r="JM119" s="30"/>
      <c r="JN119" s="30"/>
      <c r="JO119" s="30"/>
      <c r="JP119" s="30"/>
      <c r="JQ119" s="30"/>
      <c r="JR119" s="30"/>
      <c r="JS119" s="30"/>
      <c r="JT119" s="30"/>
      <c r="JU119" s="30"/>
      <c r="JV119" s="30"/>
      <c r="JW119" s="30"/>
      <c r="JX119" s="30"/>
      <c r="JY119" s="30"/>
      <c r="JZ119" s="30"/>
      <c r="KA119" s="30"/>
      <c r="KB119" s="30"/>
      <c r="KC119" s="30"/>
      <c r="KD119" s="30"/>
      <c r="KE119" s="30"/>
      <c r="KF119" s="30"/>
      <c r="KG119" s="30"/>
      <c r="KH119" s="30"/>
      <c r="KI119" s="30"/>
      <c r="KJ119" s="30"/>
      <c r="KK119" s="30"/>
      <c r="KL119" s="30"/>
      <c r="KM119" s="30"/>
      <c r="KN119" s="30"/>
      <c r="KO119" s="30"/>
      <c r="KP119" s="1630"/>
    </row>
    <row r="120" spans="1:302" s="97" customFormat="1" ht="13.15" outlineLevel="1">
      <c r="A120" s="2656" t="s">
        <v>805</v>
      </c>
      <c r="B120" s="1689"/>
      <c r="C120" s="262" t="s">
        <v>705</v>
      </c>
      <c r="D120" s="1689" t="s">
        <v>706</v>
      </c>
      <c r="E120" s="262"/>
      <c r="F120" s="347"/>
      <c r="G120" s="348"/>
      <c r="H120" s="349" t="s">
        <v>26</v>
      </c>
      <c r="I120" s="2936"/>
      <c r="J120" s="362" t="s">
        <v>26</v>
      </c>
      <c r="K120" s="1745"/>
      <c r="L120" s="383"/>
      <c r="M120" s="383"/>
      <c r="N120" s="383"/>
      <c r="O120" s="1510">
        <v>39027</v>
      </c>
      <c r="P120" s="383"/>
      <c r="Q120" s="383"/>
      <c r="R120" s="383"/>
      <c r="S120" s="1510">
        <f t="shared" si="99"/>
        <v>0</v>
      </c>
      <c r="T120" s="389"/>
      <c r="U120" s="1746"/>
      <c r="V120" s="1746"/>
      <c r="W120" s="1744">
        <f t="shared" si="92"/>
        <v>39027</v>
      </c>
      <c r="X120" s="359" t="s">
        <v>26</v>
      </c>
      <c r="Y120" s="389"/>
      <c r="Z120" s="1746"/>
      <c r="AA120" s="1509"/>
      <c r="AB120" s="1510">
        <f t="shared" si="97"/>
        <v>39027</v>
      </c>
      <c r="AC120" s="1680"/>
      <c r="AD120" s="1460"/>
      <c r="AE120" s="1688"/>
      <c r="AF120" s="1686"/>
      <c r="AG120" s="1686"/>
      <c r="AH120" s="354">
        <f t="shared" si="149"/>
        <v>0</v>
      </c>
      <c r="AI120" s="355">
        <f t="shared" ca="1" si="94"/>
        <v>0</v>
      </c>
      <c r="AJ120" s="356">
        <f t="shared" ca="1" si="150"/>
        <v>0</v>
      </c>
      <c r="AK120" s="2185"/>
      <c r="AL120" s="260"/>
      <c r="AM120" s="2258"/>
      <c r="AN120" s="2258"/>
      <c r="AO120" s="359"/>
      <c r="AP120" s="359"/>
      <c r="AQ120" s="359"/>
      <c r="AR120" s="359"/>
      <c r="AS120" s="359"/>
      <c r="AT120" s="390"/>
      <c r="AU120" s="359"/>
      <c r="AV120" s="359"/>
      <c r="AW120" s="377"/>
      <c r="AX120" s="359"/>
      <c r="AY120" s="2316"/>
      <c r="AZ120" s="2273"/>
      <c r="BA120" s="497"/>
      <c r="BB120" s="359">
        <v>6504.5</v>
      </c>
      <c r="BC120" s="359">
        <v>6504.5</v>
      </c>
      <c r="BD120" s="359">
        <v>6504.5</v>
      </c>
      <c r="BE120" s="362">
        <v>6504.5</v>
      </c>
      <c r="BF120" s="362">
        <v>6504.5</v>
      </c>
      <c r="BG120" s="362">
        <v>6504.5</v>
      </c>
      <c r="BH120" s="362"/>
      <c r="BI120" s="414"/>
      <c r="BJ120" s="362"/>
      <c r="BK120" s="2123"/>
      <c r="BL120" s="414"/>
      <c r="BM120" s="414"/>
      <c r="BN120" s="414"/>
      <c r="BO120" s="414"/>
      <c r="BP120" s="414"/>
      <c r="BQ120" s="2399"/>
      <c r="BR120" s="362"/>
      <c r="BS120" s="362"/>
      <c r="BT120" s="362"/>
      <c r="BU120" s="364"/>
      <c r="BV120" s="364"/>
      <c r="BW120" s="2366"/>
      <c r="BX120" s="2463"/>
      <c r="BY120" s="2543"/>
      <c r="BZ120" s="2543"/>
      <c r="CA120" s="2591">
        <f t="shared" si="151"/>
        <v>39027</v>
      </c>
      <c r="CB120" s="2377">
        <f t="shared" si="152"/>
        <v>1</v>
      </c>
      <c r="CC120" s="365">
        <f t="shared" si="153"/>
        <v>2.5623286442719142E-5</v>
      </c>
      <c r="CD120" s="365"/>
      <c r="CE120" s="365"/>
      <c r="CF120" s="365"/>
      <c r="CG120" s="340"/>
      <c r="CH120" s="367"/>
      <c r="CI120" s="368"/>
      <c r="CJ120" s="368"/>
      <c r="CK120" s="369"/>
      <c r="CL120" s="329">
        <f t="shared" si="130"/>
        <v>0</v>
      </c>
      <c r="CM120" s="330">
        <f t="shared" ca="1" si="131"/>
        <v>0</v>
      </c>
      <c r="CN120" s="331">
        <f t="shared" ca="1" si="141"/>
        <v>-39027</v>
      </c>
      <c r="CO120" s="86"/>
      <c r="CP120" s="86"/>
      <c r="CQ120" s="1641"/>
      <c r="CR120" s="86"/>
      <c r="CS120" s="86"/>
      <c r="CT120" s="86"/>
      <c r="CU120" s="86"/>
      <c r="CV120" s="86"/>
      <c r="CW120" s="86"/>
      <c r="CX120" s="86"/>
      <c r="CY120" s="86"/>
      <c r="CZ120" s="86"/>
      <c r="DA120" s="86"/>
      <c r="DB120" s="1642"/>
      <c r="DC120" s="1642"/>
      <c r="DD120" s="30"/>
      <c r="DE120" s="30"/>
      <c r="DF120" s="30"/>
      <c r="DG120" s="1642"/>
      <c r="DH120" s="1642"/>
      <c r="DI120" s="1642"/>
      <c r="DJ120" s="1642"/>
      <c r="DK120" s="1642"/>
      <c r="DL120" s="1642"/>
      <c r="DM120" s="1642"/>
      <c r="DN120" s="1642"/>
      <c r="DO120" s="1642"/>
      <c r="DP120" s="1642"/>
      <c r="DQ120" s="1642"/>
      <c r="DR120" s="1642"/>
      <c r="DS120" s="1642"/>
      <c r="DT120" s="1642"/>
      <c r="DU120" s="1642"/>
      <c r="DV120" s="1642"/>
      <c r="DW120" s="1642"/>
      <c r="DX120" s="1642"/>
      <c r="DY120" s="1642"/>
      <c r="DZ120" s="1642"/>
      <c r="EA120" s="1642"/>
      <c r="EB120" s="1642"/>
      <c r="EC120" s="1642"/>
      <c r="ED120" s="1642"/>
      <c r="EE120" s="1642"/>
      <c r="EF120" s="1642"/>
      <c r="EG120" s="1642"/>
      <c r="EH120" s="1643"/>
      <c r="EI120" s="1658"/>
      <c r="EJ120" s="30"/>
      <c r="EK120" s="30"/>
      <c r="EL120" s="30"/>
      <c r="EM120" s="30"/>
      <c r="EN120" s="30"/>
      <c r="EO120" s="30"/>
      <c r="EP120" s="30"/>
      <c r="EQ120" s="30"/>
      <c r="ER120" s="30"/>
      <c r="ES120" s="30"/>
      <c r="ET120" s="30"/>
      <c r="EU120" s="30"/>
      <c r="EV120" s="30"/>
      <c r="EW120" s="30"/>
      <c r="EX120" s="30"/>
      <c r="EY120" s="30"/>
      <c r="EZ120" s="30"/>
      <c r="FA120" s="30"/>
      <c r="FB120" s="30"/>
      <c r="FC120" s="30"/>
      <c r="FD120" s="30"/>
      <c r="FE120" s="30"/>
      <c r="FF120" s="30"/>
      <c r="FG120" s="30"/>
      <c r="FH120" s="30"/>
      <c r="FI120" s="30"/>
      <c r="FJ120" s="30"/>
      <c r="FK120" s="30"/>
      <c r="FL120" s="30"/>
      <c r="FM120" s="30"/>
      <c r="FN120" s="30"/>
      <c r="FO120" s="30"/>
      <c r="FP120" s="30"/>
      <c r="FQ120" s="30"/>
      <c r="FR120" s="30"/>
      <c r="FS120" s="30"/>
      <c r="FT120" s="30"/>
      <c r="FU120" s="30"/>
      <c r="FV120" s="30"/>
      <c r="FW120" s="30"/>
      <c r="FX120" s="30"/>
      <c r="FY120" s="30"/>
      <c r="FZ120" s="30"/>
      <c r="GA120" s="30"/>
      <c r="GB120" s="30"/>
      <c r="GC120" s="30"/>
      <c r="GD120" s="30"/>
      <c r="GE120" s="30"/>
      <c r="GF120" s="30"/>
      <c r="GG120" s="30"/>
      <c r="GH120" s="30"/>
      <c r="GI120" s="30"/>
      <c r="GJ120" s="30"/>
      <c r="GK120" s="30"/>
      <c r="GL120" s="30"/>
      <c r="GM120" s="30"/>
      <c r="GN120" s="30"/>
      <c r="GO120" s="30"/>
      <c r="GP120" s="30"/>
      <c r="GQ120" s="30"/>
      <c r="GR120" s="30"/>
      <c r="GS120" s="30"/>
      <c r="GT120" s="30"/>
      <c r="GU120" s="30"/>
      <c r="GV120" s="30"/>
      <c r="GW120" s="30"/>
      <c r="GX120" s="30"/>
      <c r="GY120" s="30"/>
      <c r="GZ120" s="30"/>
      <c r="HA120" s="30"/>
      <c r="HB120" s="30"/>
      <c r="HC120" s="30"/>
      <c r="HD120" s="30"/>
      <c r="HE120" s="30"/>
      <c r="HF120" s="30"/>
      <c r="HG120" s="30"/>
      <c r="HH120" s="30"/>
      <c r="HI120" s="30"/>
      <c r="HJ120" s="30"/>
      <c r="HK120" s="30"/>
      <c r="HL120" s="30"/>
      <c r="HM120" s="30"/>
      <c r="HN120" s="30"/>
      <c r="HO120" s="30"/>
      <c r="HP120" s="30"/>
      <c r="HQ120" s="30"/>
      <c r="HR120" s="30"/>
      <c r="HS120" s="30"/>
      <c r="HT120" s="30"/>
      <c r="HU120" s="30"/>
      <c r="HV120" s="30"/>
      <c r="HW120" s="30"/>
      <c r="HX120" s="30"/>
      <c r="HY120" s="30"/>
      <c r="HZ120" s="30"/>
      <c r="IA120" s="30"/>
      <c r="IB120" s="30"/>
      <c r="IC120" s="30"/>
      <c r="ID120" s="30"/>
      <c r="IE120" s="30"/>
      <c r="IF120" s="30"/>
      <c r="IG120" s="30"/>
      <c r="IH120" s="30"/>
      <c r="II120" s="30"/>
      <c r="IJ120" s="30"/>
      <c r="IK120" s="30"/>
      <c r="IL120" s="30"/>
      <c r="IM120" s="30"/>
      <c r="IN120" s="30"/>
      <c r="IO120" s="30"/>
      <c r="IP120" s="30"/>
      <c r="IQ120" s="30"/>
      <c r="IR120" s="30"/>
      <c r="IS120" s="30"/>
      <c r="IT120" s="30"/>
      <c r="IU120" s="30"/>
      <c r="IV120" s="30"/>
      <c r="IW120" s="30"/>
      <c r="IX120" s="30"/>
      <c r="IY120" s="30"/>
      <c r="IZ120" s="30"/>
      <c r="JA120" s="30"/>
      <c r="JB120" s="30"/>
      <c r="JC120" s="30"/>
      <c r="JD120" s="30"/>
      <c r="JE120" s="30"/>
      <c r="JF120" s="30"/>
      <c r="JG120" s="30"/>
      <c r="JH120" s="30"/>
      <c r="JI120" s="30"/>
      <c r="JJ120" s="30"/>
      <c r="JK120" s="30"/>
      <c r="JL120" s="30"/>
      <c r="JM120" s="30"/>
      <c r="JN120" s="30"/>
      <c r="JO120" s="30"/>
      <c r="JP120" s="30"/>
      <c r="JQ120" s="30"/>
      <c r="JR120" s="30"/>
      <c r="JS120" s="30"/>
      <c r="JT120" s="30"/>
      <c r="JU120" s="30"/>
      <c r="JV120" s="30"/>
      <c r="JW120" s="30"/>
      <c r="JX120" s="30"/>
      <c r="JY120" s="30"/>
      <c r="JZ120" s="30"/>
      <c r="KA120" s="30"/>
      <c r="KB120" s="30"/>
      <c r="KC120" s="30"/>
      <c r="KD120" s="30"/>
      <c r="KE120" s="30"/>
      <c r="KF120" s="30"/>
      <c r="KG120" s="30"/>
      <c r="KH120" s="30"/>
      <c r="KI120" s="30"/>
      <c r="KJ120" s="30"/>
      <c r="KK120" s="30"/>
      <c r="KL120" s="30"/>
      <c r="KM120" s="30"/>
      <c r="KN120" s="30"/>
      <c r="KO120" s="30"/>
      <c r="KP120" s="1630"/>
    </row>
    <row r="121" spans="1:302" s="97" customFormat="1" ht="13.15" outlineLevel="1">
      <c r="A121" s="2656" t="s">
        <v>806</v>
      </c>
      <c r="B121" s="1689"/>
      <c r="C121" s="262" t="s">
        <v>707</v>
      </c>
      <c r="D121" s="1689" t="s">
        <v>708</v>
      </c>
      <c r="E121" s="262"/>
      <c r="F121" s="347"/>
      <c r="G121" s="348"/>
      <c r="H121" s="349" t="s">
        <v>26</v>
      </c>
      <c r="I121" s="2936"/>
      <c r="J121" s="362" t="s">
        <v>26</v>
      </c>
      <c r="K121" s="1745"/>
      <c r="L121" s="383"/>
      <c r="M121" s="383"/>
      <c r="N121" s="383"/>
      <c r="O121" s="1510">
        <v>75045</v>
      </c>
      <c r="P121" s="383"/>
      <c r="Q121" s="383"/>
      <c r="R121" s="383"/>
      <c r="S121" s="1510">
        <f t="shared" si="99"/>
        <v>0</v>
      </c>
      <c r="T121" s="389"/>
      <c r="U121" s="1746"/>
      <c r="V121" s="1746"/>
      <c r="W121" s="1744">
        <f t="shared" si="92"/>
        <v>75045</v>
      </c>
      <c r="X121" s="359" t="s">
        <v>26</v>
      </c>
      <c r="Y121" s="389"/>
      <c r="Z121" s="1746"/>
      <c r="AA121" s="1509"/>
      <c r="AB121" s="1510">
        <f t="shared" si="97"/>
        <v>75045</v>
      </c>
      <c r="AC121" s="1680"/>
      <c r="AD121" s="1460"/>
      <c r="AE121" s="1688"/>
      <c r="AF121" s="1686"/>
      <c r="AG121" s="1686"/>
      <c r="AH121" s="354">
        <f t="shared" si="149"/>
        <v>0</v>
      </c>
      <c r="AI121" s="355">
        <f t="shared" ca="1" si="94"/>
        <v>0</v>
      </c>
      <c r="AJ121" s="356">
        <f t="shared" ca="1" si="150"/>
        <v>0</v>
      </c>
      <c r="AK121" s="2185"/>
      <c r="AL121" s="260"/>
      <c r="AM121" s="2258"/>
      <c r="AN121" s="2258"/>
      <c r="AO121" s="359"/>
      <c r="AP121" s="359"/>
      <c r="AQ121" s="359"/>
      <c r="AR121" s="359"/>
      <c r="AS121" s="359"/>
      <c r="AT121" s="390"/>
      <c r="AU121" s="359"/>
      <c r="AV121" s="359"/>
      <c r="AW121" s="377"/>
      <c r="AX121" s="359"/>
      <c r="AY121" s="2316"/>
      <c r="AZ121" s="2273"/>
      <c r="BA121" s="497">
        <v>18761.25</v>
      </c>
      <c r="BB121" s="359">
        <v>18761.25</v>
      </c>
      <c r="BC121" s="359">
        <v>18761.25</v>
      </c>
      <c r="BD121" s="359">
        <v>18761.25</v>
      </c>
      <c r="BE121" s="362"/>
      <c r="BF121" s="362"/>
      <c r="BG121" s="362"/>
      <c r="BH121" s="362"/>
      <c r="BI121" s="414"/>
      <c r="BJ121" s="362"/>
      <c r="BK121" s="2123"/>
      <c r="BL121" s="414"/>
      <c r="BM121" s="414"/>
      <c r="BN121" s="414"/>
      <c r="BO121" s="414"/>
      <c r="BP121" s="414"/>
      <c r="BQ121" s="2399"/>
      <c r="BR121" s="362"/>
      <c r="BS121" s="362"/>
      <c r="BT121" s="362"/>
      <c r="BU121" s="364"/>
      <c r="BV121" s="364"/>
      <c r="BW121" s="2366"/>
      <c r="BX121" s="2463"/>
      <c r="BY121" s="2543"/>
      <c r="BZ121" s="2543"/>
      <c r="CA121" s="2591">
        <f t="shared" si="151"/>
        <v>75045</v>
      </c>
      <c r="CB121" s="2377">
        <f t="shared" si="152"/>
        <v>1</v>
      </c>
      <c r="CC121" s="365">
        <f t="shared" si="153"/>
        <v>1.3325338130455061E-5</v>
      </c>
      <c r="CD121" s="365"/>
      <c r="CE121" s="365"/>
      <c r="CF121" s="365"/>
      <c r="CG121" s="340"/>
      <c r="CH121" s="367"/>
      <c r="CI121" s="368"/>
      <c r="CJ121" s="368"/>
      <c r="CK121" s="369"/>
      <c r="CL121" s="329">
        <f t="shared" si="130"/>
        <v>0</v>
      </c>
      <c r="CM121" s="330">
        <f t="shared" ca="1" si="131"/>
        <v>0</v>
      </c>
      <c r="CN121" s="331">
        <f t="shared" ca="1" si="141"/>
        <v>-75045</v>
      </c>
      <c r="CO121" s="86"/>
      <c r="CP121" s="86"/>
      <c r="CQ121" s="1641"/>
      <c r="CR121" s="86"/>
      <c r="CS121" s="86"/>
      <c r="CT121" s="86"/>
      <c r="CU121" s="86"/>
      <c r="CV121" s="86"/>
      <c r="CW121" s="86"/>
      <c r="CX121" s="86"/>
      <c r="CY121" s="86"/>
      <c r="CZ121" s="86"/>
      <c r="DA121" s="86"/>
      <c r="DB121" s="1642"/>
      <c r="DC121" s="1642"/>
      <c r="DD121" s="30"/>
      <c r="DE121" s="30"/>
      <c r="DF121" s="30"/>
      <c r="DG121" s="1642"/>
      <c r="DH121" s="1642"/>
      <c r="DI121" s="1642"/>
      <c r="DJ121" s="1642"/>
      <c r="DK121" s="1642"/>
      <c r="DL121" s="1642"/>
      <c r="DM121" s="1642"/>
      <c r="DN121" s="1642"/>
      <c r="DO121" s="1642"/>
      <c r="DP121" s="1642"/>
      <c r="DQ121" s="1642"/>
      <c r="DR121" s="1642"/>
      <c r="DS121" s="1642"/>
      <c r="DT121" s="1642"/>
      <c r="DU121" s="1642"/>
      <c r="DV121" s="1642"/>
      <c r="DW121" s="1642"/>
      <c r="DX121" s="1642"/>
      <c r="DY121" s="1642"/>
      <c r="DZ121" s="1642"/>
      <c r="EA121" s="1642"/>
      <c r="EB121" s="1642"/>
      <c r="EC121" s="1642"/>
      <c r="ED121" s="1642"/>
      <c r="EE121" s="1642"/>
      <c r="EF121" s="1642"/>
      <c r="EG121" s="1642"/>
      <c r="EH121" s="1643"/>
      <c r="EI121" s="1658"/>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0"/>
      <c r="HP121" s="30"/>
      <c r="HQ121" s="30"/>
      <c r="HR121" s="30"/>
      <c r="HS121" s="30"/>
      <c r="HT121" s="30"/>
      <c r="HU121" s="30"/>
      <c r="HV121" s="30"/>
      <c r="HW121" s="30"/>
      <c r="HX121" s="30"/>
      <c r="HY121" s="30"/>
      <c r="HZ121" s="30"/>
      <c r="IA121" s="30"/>
      <c r="IB121" s="30"/>
      <c r="IC121" s="30"/>
      <c r="ID121" s="30"/>
      <c r="IE121" s="30"/>
      <c r="IF121" s="30"/>
      <c r="IG121" s="30"/>
      <c r="IH121" s="30"/>
      <c r="II121" s="30"/>
      <c r="IJ121" s="30"/>
      <c r="IK121" s="30"/>
      <c r="IL121" s="30"/>
      <c r="IM121" s="30"/>
      <c r="IN121" s="30"/>
      <c r="IO121" s="30"/>
      <c r="IP121" s="30"/>
      <c r="IQ121" s="30"/>
      <c r="IR121" s="30"/>
      <c r="IS121" s="30"/>
      <c r="IT121" s="30"/>
      <c r="IU121" s="30"/>
      <c r="IV121" s="30"/>
      <c r="IW121" s="30"/>
      <c r="IX121" s="30"/>
      <c r="IY121" s="30"/>
      <c r="IZ121" s="30"/>
      <c r="JA121" s="30"/>
      <c r="JB121" s="30"/>
      <c r="JC121" s="30"/>
      <c r="JD121" s="30"/>
      <c r="JE121" s="30"/>
      <c r="JF121" s="30"/>
      <c r="JG121" s="30"/>
      <c r="JH121" s="30"/>
      <c r="JI121" s="30"/>
      <c r="JJ121" s="30"/>
      <c r="JK121" s="30"/>
      <c r="JL121" s="30"/>
      <c r="JM121" s="30"/>
      <c r="JN121" s="30"/>
      <c r="JO121" s="30"/>
      <c r="JP121" s="30"/>
      <c r="JQ121" s="30"/>
      <c r="JR121" s="30"/>
      <c r="JS121" s="30"/>
      <c r="JT121" s="30"/>
      <c r="JU121" s="30"/>
      <c r="JV121" s="30"/>
      <c r="JW121" s="30"/>
      <c r="JX121" s="30"/>
      <c r="JY121" s="30"/>
      <c r="JZ121" s="30"/>
      <c r="KA121" s="30"/>
      <c r="KB121" s="30"/>
      <c r="KC121" s="30"/>
      <c r="KD121" s="30"/>
      <c r="KE121" s="30"/>
      <c r="KF121" s="30"/>
      <c r="KG121" s="30"/>
      <c r="KH121" s="30"/>
      <c r="KI121" s="30"/>
      <c r="KJ121" s="30"/>
      <c r="KK121" s="30"/>
      <c r="KL121" s="30"/>
      <c r="KM121" s="30"/>
      <c r="KN121" s="30"/>
      <c r="KO121" s="30"/>
      <c r="KP121" s="1630"/>
    </row>
    <row r="122" spans="1:302" s="97" customFormat="1" ht="13.15" outlineLevel="1">
      <c r="A122" s="2656" t="s">
        <v>807</v>
      </c>
      <c r="B122" s="1689"/>
      <c r="C122" s="262" t="s">
        <v>709</v>
      </c>
      <c r="D122" s="1689" t="s">
        <v>710</v>
      </c>
      <c r="E122" s="262"/>
      <c r="F122" s="347"/>
      <c r="G122" s="348"/>
      <c r="H122" s="349" t="s">
        <v>26</v>
      </c>
      <c r="I122" s="2936"/>
      <c r="J122" s="362" t="s">
        <v>26</v>
      </c>
      <c r="K122" s="1745"/>
      <c r="L122" s="383"/>
      <c r="M122" s="383"/>
      <c r="N122" s="383"/>
      <c r="O122" s="1510">
        <v>1241085</v>
      </c>
      <c r="P122" s="383"/>
      <c r="Q122" s="383"/>
      <c r="R122" s="383"/>
      <c r="S122" s="1510">
        <f t="shared" si="99"/>
        <v>0</v>
      </c>
      <c r="T122" s="389"/>
      <c r="U122" s="1746"/>
      <c r="V122" s="1746"/>
      <c r="W122" s="1744">
        <f t="shared" si="92"/>
        <v>1241085</v>
      </c>
      <c r="X122" s="359" t="s">
        <v>26</v>
      </c>
      <c r="Y122" s="389"/>
      <c r="Z122" s="1746"/>
      <c r="AA122" s="1509"/>
      <c r="AB122" s="1510">
        <f t="shared" si="97"/>
        <v>1241085</v>
      </c>
      <c r="AC122" s="1680"/>
      <c r="AD122" s="1460"/>
      <c r="AE122" s="1688"/>
      <c r="AF122" s="1686"/>
      <c r="AG122" s="1686"/>
      <c r="AH122" s="354">
        <f t="shared" si="149"/>
        <v>0</v>
      </c>
      <c r="AI122" s="355">
        <f t="shared" ca="1" si="94"/>
        <v>0</v>
      </c>
      <c r="AJ122" s="356">
        <f t="shared" ca="1" si="150"/>
        <v>0</v>
      </c>
      <c r="AK122" s="2185"/>
      <c r="AL122" s="260"/>
      <c r="AM122" s="2258"/>
      <c r="AN122" s="2258"/>
      <c r="AO122" s="359"/>
      <c r="AP122" s="359"/>
      <c r="AQ122" s="359"/>
      <c r="AR122" s="359"/>
      <c r="AS122" s="359"/>
      <c r="AT122" s="390"/>
      <c r="AU122" s="359"/>
      <c r="AV122" s="359"/>
      <c r="AW122" s="377"/>
      <c r="AX122" s="359"/>
      <c r="AY122" s="2316"/>
      <c r="AZ122" s="2273">
        <v>248217</v>
      </c>
      <c r="BA122" s="497">
        <v>248217</v>
      </c>
      <c r="BB122" s="359">
        <v>248217</v>
      </c>
      <c r="BC122" s="359">
        <v>248217</v>
      </c>
      <c r="BD122" s="359">
        <v>248217</v>
      </c>
      <c r="BE122" s="362"/>
      <c r="BF122" s="362"/>
      <c r="BG122" s="362"/>
      <c r="BH122" s="362"/>
      <c r="BI122" s="414"/>
      <c r="BJ122" s="362"/>
      <c r="BK122" s="2123"/>
      <c r="BL122" s="414"/>
      <c r="BM122" s="414"/>
      <c r="BN122" s="414"/>
      <c r="BO122" s="414"/>
      <c r="BP122" s="414"/>
      <c r="BQ122" s="2399"/>
      <c r="BR122" s="362"/>
      <c r="BS122" s="362"/>
      <c r="BT122" s="362"/>
      <c r="BU122" s="364"/>
      <c r="BV122" s="364"/>
      <c r="BW122" s="2366"/>
      <c r="BX122" s="2463"/>
      <c r="BY122" s="2543"/>
      <c r="BZ122" s="2543"/>
      <c r="CA122" s="2591">
        <f t="shared" si="151"/>
        <v>1241085</v>
      </c>
      <c r="CB122" s="2377">
        <f t="shared" si="152"/>
        <v>1</v>
      </c>
      <c r="CC122" s="365">
        <f t="shared" si="153"/>
        <v>8.0574658464166438E-7</v>
      </c>
      <c r="CD122" s="365"/>
      <c r="CE122" s="365"/>
      <c r="CF122" s="365"/>
      <c r="CG122" s="340"/>
      <c r="CH122" s="367"/>
      <c r="CI122" s="368"/>
      <c r="CJ122" s="368"/>
      <c r="CK122" s="369"/>
      <c r="CL122" s="329">
        <f t="shared" si="130"/>
        <v>0</v>
      </c>
      <c r="CM122" s="330">
        <f t="shared" ca="1" si="131"/>
        <v>0</v>
      </c>
      <c r="CN122" s="331">
        <f t="shared" ca="1" si="141"/>
        <v>-1241085</v>
      </c>
      <c r="CO122" s="86"/>
      <c r="CP122" s="86"/>
      <c r="CQ122" s="1641"/>
      <c r="CR122" s="86"/>
      <c r="CS122" s="86"/>
      <c r="CT122" s="86"/>
      <c r="CU122" s="86"/>
      <c r="CV122" s="86"/>
      <c r="CW122" s="86"/>
      <c r="CX122" s="86"/>
      <c r="CY122" s="86"/>
      <c r="CZ122" s="86"/>
      <c r="DA122" s="86"/>
      <c r="DB122" s="1642"/>
      <c r="DC122" s="1642"/>
      <c r="DD122" s="30"/>
      <c r="DE122" s="30"/>
      <c r="DF122" s="30"/>
      <c r="DG122" s="1642"/>
      <c r="DH122" s="1642"/>
      <c r="DI122" s="1642"/>
      <c r="DJ122" s="1642"/>
      <c r="DK122" s="1642"/>
      <c r="DL122" s="1642"/>
      <c r="DM122" s="1642"/>
      <c r="DN122" s="1642"/>
      <c r="DO122" s="1642"/>
      <c r="DP122" s="1642"/>
      <c r="DQ122" s="1642"/>
      <c r="DR122" s="1642"/>
      <c r="DS122" s="1642"/>
      <c r="DT122" s="1642"/>
      <c r="DU122" s="1642"/>
      <c r="DV122" s="1642"/>
      <c r="DW122" s="1642"/>
      <c r="DX122" s="1642"/>
      <c r="DY122" s="1642"/>
      <c r="DZ122" s="1642"/>
      <c r="EA122" s="1642"/>
      <c r="EB122" s="1642"/>
      <c r="EC122" s="1642"/>
      <c r="ED122" s="1642"/>
      <c r="EE122" s="1642"/>
      <c r="EF122" s="1642"/>
      <c r="EG122" s="1642"/>
      <c r="EH122" s="1643"/>
      <c r="EI122" s="1658"/>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0"/>
      <c r="HP122" s="30"/>
      <c r="HQ122" s="30"/>
      <c r="HR122" s="30"/>
      <c r="HS122" s="30"/>
      <c r="HT122" s="30"/>
      <c r="HU122" s="30"/>
      <c r="HV122" s="30"/>
      <c r="HW122" s="30"/>
      <c r="HX122" s="30"/>
      <c r="HY122" s="30"/>
      <c r="HZ122" s="30"/>
      <c r="IA122" s="30"/>
      <c r="IB122" s="30"/>
      <c r="IC122" s="30"/>
      <c r="ID122" s="30"/>
      <c r="IE122" s="30"/>
      <c r="IF122" s="30"/>
      <c r="IG122" s="30"/>
      <c r="IH122" s="30"/>
      <c r="II122" s="30"/>
      <c r="IJ122" s="30"/>
      <c r="IK122" s="30"/>
      <c r="IL122" s="30"/>
      <c r="IM122" s="30"/>
      <c r="IN122" s="30"/>
      <c r="IO122" s="30"/>
      <c r="IP122" s="30"/>
      <c r="IQ122" s="30"/>
      <c r="IR122" s="30"/>
      <c r="IS122" s="30"/>
      <c r="IT122" s="30"/>
      <c r="IU122" s="30"/>
      <c r="IV122" s="30"/>
      <c r="IW122" s="30"/>
      <c r="IX122" s="30"/>
      <c r="IY122" s="30"/>
      <c r="IZ122" s="30"/>
      <c r="JA122" s="30"/>
      <c r="JB122" s="30"/>
      <c r="JC122" s="30"/>
      <c r="JD122" s="30"/>
      <c r="JE122" s="30"/>
      <c r="JF122" s="30"/>
      <c r="JG122" s="30"/>
      <c r="JH122" s="30"/>
      <c r="JI122" s="30"/>
      <c r="JJ122" s="30"/>
      <c r="JK122" s="30"/>
      <c r="JL122" s="30"/>
      <c r="JM122" s="30"/>
      <c r="JN122" s="30"/>
      <c r="JO122" s="30"/>
      <c r="JP122" s="30"/>
      <c r="JQ122" s="30"/>
      <c r="JR122" s="30"/>
      <c r="JS122" s="30"/>
      <c r="JT122" s="30"/>
      <c r="JU122" s="30"/>
      <c r="JV122" s="30"/>
      <c r="JW122" s="30"/>
      <c r="JX122" s="30"/>
      <c r="JY122" s="30"/>
      <c r="JZ122" s="30"/>
      <c r="KA122" s="30"/>
      <c r="KB122" s="30"/>
      <c r="KC122" s="30"/>
      <c r="KD122" s="30"/>
      <c r="KE122" s="30"/>
      <c r="KF122" s="30"/>
      <c r="KG122" s="30"/>
      <c r="KH122" s="30"/>
      <c r="KI122" s="30"/>
      <c r="KJ122" s="30"/>
      <c r="KK122" s="30"/>
      <c r="KL122" s="30"/>
      <c r="KM122" s="30"/>
      <c r="KN122" s="30"/>
      <c r="KO122" s="30"/>
      <c r="KP122" s="1630"/>
    </row>
    <row r="123" spans="1:302" s="97" customFormat="1" ht="13.15" outlineLevel="1">
      <c r="A123" s="2656" t="s">
        <v>808</v>
      </c>
      <c r="B123" s="1689"/>
      <c r="C123" s="262" t="s">
        <v>711</v>
      </c>
      <c r="D123" s="1689" t="s">
        <v>712</v>
      </c>
      <c r="E123" s="262"/>
      <c r="F123" s="347"/>
      <c r="G123" s="348"/>
      <c r="H123" s="349" t="s">
        <v>26</v>
      </c>
      <c r="I123" s="2936"/>
      <c r="J123" s="362" t="s">
        <v>26</v>
      </c>
      <c r="K123" s="1745"/>
      <c r="L123" s="383"/>
      <c r="M123" s="383"/>
      <c r="N123" s="383"/>
      <c r="O123" s="1510">
        <v>87498</v>
      </c>
      <c r="P123" s="383"/>
      <c r="Q123" s="383"/>
      <c r="R123" s="383"/>
      <c r="S123" s="1510">
        <f t="shared" si="99"/>
        <v>0</v>
      </c>
      <c r="T123" s="389"/>
      <c r="U123" s="1746"/>
      <c r="V123" s="1746"/>
      <c r="W123" s="1744">
        <f t="shared" si="92"/>
        <v>87498</v>
      </c>
      <c r="X123" s="359" t="s">
        <v>26</v>
      </c>
      <c r="Y123" s="389"/>
      <c r="Z123" s="1746"/>
      <c r="AA123" s="1509"/>
      <c r="AB123" s="1510">
        <f t="shared" si="97"/>
        <v>87498</v>
      </c>
      <c r="AC123" s="1680"/>
      <c r="AD123" s="1460"/>
      <c r="AE123" s="1688"/>
      <c r="AF123" s="1686"/>
      <c r="AG123" s="1686"/>
      <c r="AH123" s="354">
        <f t="shared" si="149"/>
        <v>0</v>
      </c>
      <c r="AI123" s="355">
        <f t="shared" ca="1" si="94"/>
        <v>0</v>
      </c>
      <c r="AJ123" s="356">
        <f t="shared" ca="1" si="150"/>
        <v>0</v>
      </c>
      <c r="AK123" s="2185"/>
      <c r="AL123" s="260"/>
      <c r="AM123" s="2258"/>
      <c r="AN123" s="2258"/>
      <c r="AO123" s="359"/>
      <c r="AP123" s="359"/>
      <c r="AQ123" s="359"/>
      <c r="AR123" s="359"/>
      <c r="AS123" s="359"/>
      <c r="AT123" s="390"/>
      <c r="AU123" s="359"/>
      <c r="AV123" s="359"/>
      <c r="AW123" s="377"/>
      <c r="AX123" s="359"/>
      <c r="AY123" s="2316"/>
      <c r="AZ123" s="2273"/>
      <c r="BA123" s="497"/>
      <c r="BB123" s="359"/>
      <c r="BC123" s="359"/>
      <c r="BD123" s="359"/>
      <c r="BE123" s="362"/>
      <c r="BF123" s="362"/>
      <c r="BG123" s="362">
        <v>17499.599999999999</v>
      </c>
      <c r="BH123" s="362">
        <v>17499.599999999999</v>
      </c>
      <c r="BI123" s="414">
        <v>17499.599999999999</v>
      </c>
      <c r="BJ123" s="362">
        <v>17499.599999999999</v>
      </c>
      <c r="BK123" s="2123">
        <v>17499.599999999999</v>
      </c>
      <c r="BL123" s="414"/>
      <c r="BM123" s="414"/>
      <c r="BN123" s="414"/>
      <c r="BO123" s="414"/>
      <c r="BP123" s="414"/>
      <c r="BQ123" s="2399"/>
      <c r="BR123" s="362"/>
      <c r="BS123" s="362"/>
      <c r="BT123" s="362"/>
      <c r="BU123" s="364"/>
      <c r="BV123" s="364"/>
      <c r="BW123" s="2366"/>
      <c r="BX123" s="2463"/>
      <c r="BY123" s="2543"/>
      <c r="BZ123" s="2543"/>
      <c r="CA123" s="2591">
        <f t="shared" si="151"/>
        <v>87498</v>
      </c>
      <c r="CB123" s="2377">
        <f t="shared" si="152"/>
        <v>1</v>
      </c>
      <c r="CC123" s="365">
        <f t="shared" si="153"/>
        <v>1.1428832659032206E-5</v>
      </c>
      <c r="CD123" s="365"/>
      <c r="CE123" s="365"/>
      <c r="CF123" s="365"/>
      <c r="CG123" s="340"/>
      <c r="CH123" s="367"/>
      <c r="CI123" s="368"/>
      <c r="CJ123" s="368"/>
      <c r="CK123" s="369"/>
      <c r="CL123" s="329">
        <f t="shared" si="130"/>
        <v>0</v>
      </c>
      <c r="CM123" s="330">
        <f t="shared" ca="1" si="131"/>
        <v>0</v>
      </c>
      <c r="CN123" s="331">
        <f t="shared" ca="1" si="141"/>
        <v>-87498</v>
      </c>
      <c r="CO123" s="86"/>
      <c r="CP123" s="86"/>
      <c r="CQ123" s="1641"/>
      <c r="CR123" s="86"/>
      <c r="CS123" s="86"/>
      <c r="CT123" s="86"/>
      <c r="CU123" s="86"/>
      <c r="CV123" s="86"/>
      <c r="CW123" s="86"/>
      <c r="CX123" s="86"/>
      <c r="CY123" s="86"/>
      <c r="CZ123" s="86"/>
      <c r="DA123" s="86"/>
      <c r="DB123" s="1642"/>
      <c r="DC123" s="1642"/>
      <c r="DD123" s="30"/>
      <c r="DE123" s="30"/>
      <c r="DF123" s="30"/>
      <c r="DG123" s="1642"/>
      <c r="DH123" s="1642"/>
      <c r="DI123" s="1642"/>
      <c r="DJ123" s="1642"/>
      <c r="DK123" s="1642"/>
      <c r="DL123" s="1642"/>
      <c r="DM123" s="1642"/>
      <c r="DN123" s="1642"/>
      <c r="DO123" s="1642"/>
      <c r="DP123" s="1642"/>
      <c r="DQ123" s="1642"/>
      <c r="DR123" s="1642"/>
      <c r="DS123" s="1642"/>
      <c r="DT123" s="1642"/>
      <c r="DU123" s="1642"/>
      <c r="DV123" s="1642"/>
      <c r="DW123" s="1642"/>
      <c r="DX123" s="1642"/>
      <c r="DY123" s="1642"/>
      <c r="DZ123" s="1642"/>
      <c r="EA123" s="1642"/>
      <c r="EB123" s="1642"/>
      <c r="EC123" s="1642"/>
      <c r="ED123" s="1642"/>
      <c r="EE123" s="1642"/>
      <c r="EF123" s="1642"/>
      <c r="EG123" s="1642"/>
      <c r="EH123" s="1643"/>
      <c r="EI123" s="1658"/>
      <c r="EJ123" s="30"/>
      <c r="EK123" s="30"/>
      <c r="EL123" s="30"/>
      <c r="EM123" s="30"/>
      <c r="EN123" s="30"/>
      <c r="EO123" s="30"/>
      <c r="EP123" s="30"/>
      <c r="EQ123" s="30"/>
      <c r="ER123" s="30"/>
      <c r="ES123" s="30"/>
      <c r="ET123" s="30"/>
      <c r="EU123" s="30"/>
      <c r="EV123" s="30"/>
      <c r="EW123" s="30"/>
      <c r="EX123" s="30"/>
      <c r="EY123" s="30"/>
      <c r="EZ123" s="30"/>
      <c r="FA123" s="30"/>
      <c r="FB123" s="30"/>
      <c r="FC123" s="30"/>
      <c r="FD123" s="30"/>
      <c r="FE123" s="30"/>
      <c r="FF123" s="30"/>
      <c r="FG123" s="30"/>
      <c r="FH123" s="30"/>
      <c r="FI123" s="30"/>
      <c r="FJ123" s="30"/>
      <c r="FK123" s="30"/>
      <c r="FL123" s="30"/>
      <c r="FM123" s="30"/>
      <c r="FN123" s="30"/>
      <c r="FO123" s="30"/>
      <c r="FP123" s="30"/>
      <c r="FQ123" s="30"/>
      <c r="FR123" s="30"/>
      <c r="FS123" s="30"/>
      <c r="FT123" s="30"/>
      <c r="FU123" s="30"/>
      <c r="FV123" s="30"/>
      <c r="FW123" s="30"/>
      <c r="FX123" s="30"/>
      <c r="FY123" s="30"/>
      <c r="FZ123" s="30"/>
      <c r="GA123" s="30"/>
      <c r="GB123" s="30"/>
      <c r="GC123" s="30"/>
      <c r="GD123" s="30"/>
      <c r="GE123" s="30"/>
      <c r="GF123" s="30"/>
      <c r="GG123" s="30"/>
      <c r="GH123" s="30"/>
      <c r="GI123" s="30"/>
      <c r="GJ123" s="30"/>
      <c r="GK123" s="30"/>
      <c r="GL123" s="30"/>
      <c r="GM123" s="30"/>
      <c r="GN123" s="30"/>
      <c r="GO123" s="30"/>
      <c r="GP123" s="30"/>
      <c r="GQ123" s="30"/>
      <c r="GR123" s="30"/>
      <c r="GS123" s="30"/>
      <c r="GT123" s="30"/>
      <c r="GU123" s="30"/>
      <c r="GV123" s="30"/>
      <c r="GW123" s="30"/>
      <c r="GX123" s="30"/>
      <c r="GY123" s="30"/>
      <c r="GZ123" s="30"/>
      <c r="HA123" s="30"/>
      <c r="HB123" s="30"/>
      <c r="HC123" s="30"/>
      <c r="HD123" s="30"/>
      <c r="HE123" s="30"/>
      <c r="HF123" s="30"/>
      <c r="HG123" s="30"/>
      <c r="HH123" s="30"/>
      <c r="HI123" s="30"/>
      <c r="HJ123" s="30"/>
      <c r="HK123" s="30"/>
      <c r="HL123" s="30"/>
      <c r="HM123" s="30"/>
      <c r="HN123" s="30"/>
      <c r="HO123" s="30"/>
      <c r="HP123" s="30"/>
      <c r="HQ123" s="30"/>
      <c r="HR123" s="30"/>
      <c r="HS123" s="30"/>
      <c r="HT123" s="30"/>
      <c r="HU123" s="30"/>
      <c r="HV123" s="30"/>
      <c r="HW123" s="30"/>
      <c r="HX123" s="30"/>
      <c r="HY123" s="30"/>
      <c r="HZ123" s="30"/>
      <c r="IA123" s="30"/>
      <c r="IB123" s="30"/>
      <c r="IC123" s="30"/>
      <c r="ID123" s="30"/>
      <c r="IE123" s="30"/>
      <c r="IF123" s="30"/>
      <c r="IG123" s="30"/>
      <c r="IH123" s="30"/>
      <c r="II123" s="30"/>
      <c r="IJ123" s="30"/>
      <c r="IK123" s="30"/>
      <c r="IL123" s="30"/>
      <c r="IM123" s="30"/>
      <c r="IN123" s="30"/>
      <c r="IO123" s="30"/>
      <c r="IP123" s="30"/>
      <c r="IQ123" s="30"/>
      <c r="IR123" s="30"/>
      <c r="IS123" s="30"/>
      <c r="IT123" s="30"/>
      <c r="IU123" s="30"/>
      <c r="IV123" s="30"/>
      <c r="IW123" s="30"/>
      <c r="IX123" s="30"/>
      <c r="IY123" s="30"/>
      <c r="IZ123" s="30"/>
      <c r="JA123" s="30"/>
      <c r="JB123" s="30"/>
      <c r="JC123" s="30"/>
      <c r="JD123" s="30"/>
      <c r="JE123" s="30"/>
      <c r="JF123" s="30"/>
      <c r="JG123" s="30"/>
      <c r="JH123" s="30"/>
      <c r="JI123" s="30"/>
      <c r="JJ123" s="30"/>
      <c r="JK123" s="30"/>
      <c r="JL123" s="30"/>
      <c r="JM123" s="30"/>
      <c r="JN123" s="30"/>
      <c r="JO123" s="30"/>
      <c r="JP123" s="30"/>
      <c r="JQ123" s="30"/>
      <c r="JR123" s="30"/>
      <c r="JS123" s="30"/>
      <c r="JT123" s="30"/>
      <c r="JU123" s="30"/>
      <c r="JV123" s="30"/>
      <c r="JW123" s="30"/>
      <c r="JX123" s="30"/>
      <c r="JY123" s="30"/>
      <c r="JZ123" s="30"/>
      <c r="KA123" s="30"/>
      <c r="KB123" s="30"/>
      <c r="KC123" s="30"/>
      <c r="KD123" s="30"/>
      <c r="KE123" s="30"/>
      <c r="KF123" s="30"/>
      <c r="KG123" s="30"/>
      <c r="KH123" s="30"/>
      <c r="KI123" s="30"/>
      <c r="KJ123" s="30"/>
      <c r="KK123" s="30"/>
      <c r="KL123" s="30"/>
      <c r="KM123" s="30"/>
      <c r="KN123" s="30"/>
      <c r="KO123" s="30"/>
      <c r="KP123" s="1630"/>
    </row>
    <row r="124" spans="1:302" s="97" customFormat="1" ht="13.15" outlineLevel="1">
      <c r="A124" s="2656" t="s">
        <v>809</v>
      </c>
      <c r="B124" s="1689"/>
      <c r="C124" s="262" t="s">
        <v>713</v>
      </c>
      <c r="D124" s="1689" t="s">
        <v>714</v>
      </c>
      <c r="E124" s="262"/>
      <c r="F124" s="347"/>
      <c r="G124" s="348"/>
      <c r="H124" s="349" t="s">
        <v>26</v>
      </c>
      <c r="I124" s="2936"/>
      <c r="J124" s="362" t="s">
        <v>26</v>
      </c>
      <c r="K124" s="1745"/>
      <c r="L124" s="383"/>
      <c r="M124" s="383"/>
      <c r="N124" s="383"/>
      <c r="O124" s="1510">
        <v>186490</v>
      </c>
      <c r="P124" s="383"/>
      <c r="Q124" s="383"/>
      <c r="R124" s="383"/>
      <c r="S124" s="1510">
        <f t="shared" si="99"/>
        <v>0</v>
      </c>
      <c r="T124" s="389"/>
      <c r="U124" s="1746"/>
      <c r="V124" s="1746"/>
      <c r="W124" s="1744">
        <f t="shared" si="92"/>
        <v>186490</v>
      </c>
      <c r="X124" s="359" t="s">
        <v>26</v>
      </c>
      <c r="Y124" s="389"/>
      <c r="Z124" s="1746"/>
      <c r="AA124" s="1509"/>
      <c r="AB124" s="1510">
        <f t="shared" si="97"/>
        <v>186490</v>
      </c>
      <c r="AC124" s="1680"/>
      <c r="AD124" s="1460"/>
      <c r="AE124" s="1688"/>
      <c r="AF124" s="1686"/>
      <c r="AG124" s="1686"/>
      <c r="AH124" s="354">
        <f t="shared" si="149"/>
        <v>0</v>
      </c>
      <c r="AI124" s="355">
        <f t="shared" ca="1" si="94"/>
        <v>0</v>
      </c>
      <c r="AJ124" s="356">
        <f t="shared" ca="1" si="150"/>
        <v>0</v>
      </c>
      <c r="AK124" s="2185"/>
      <c r="AL124" s="260"/>
      <c r="AM124" s="2258"/>
      <c r="AN124" s="2258"/>
      <c r="AO124" s="359"/>
      <c r="AP124" s="359"/>
      <c r="AQ124" s="359"/>
      <c r="AR124" s="359"/>
      <c r="AS124" s="359"/>
      <c r="AT124" s="390"/>
      <c r="AU124" s="359"/>
      <c r="AV124" s="359"/>
      <c r="AW124" s="377"/>
      <c r="AX124" s="359"/>
      <c r="AY124" s="2316"/>
      <c r="AZ124" s="2273"/>
      <c r="BA124" s="497"/>
      <c r="BB124" s="359"/>
      <c r="BC124" s="359"/>
      <c r="BD124" s="359"/>
      <c r="BE124" s="362"/>
      <c r="BF124" s="362">
        <v>46622.5</v>
      </c>
      <c r="BG124" s="362">
        <v>46622.5</v>
      </c>
      <c r="BH124" s="362">
        <v>46622.5</v>
      </c>
      <c r="BI124" s="414">
        <v>46622.5</v>
      </c>
      <c r="BJ124" s="362"/>
      <c r="BK124" s="2123"/>
      <c r="BL124" s="414"/>
      <c r="BM124" s="414"/>
      <c r="BN124" s="414"/>
      <c r="BO124" s="414"/>
      <c r="BP124" s="414"/>
      <c r="BQ124" s="2399"/>
      <c r="BR124" s="362"/>
      <c r="BS124" s="362"/>
      <c r="BT124" s="362"/>
      <c r="BU124" s="364"/>
      <c r="BV124" s="364"/>
      <c r="BW124" s="2366"/>
      <c r="BX124" s="2463"/>
      <c r="BY124" s="2543"/>
      <c r="BZ124" s="2543"/>
      <c r="CA124" s="2591">
        <f t="shared" si="151"/>
        <v>186490</v>
      </c>
      <c r="CB124" s="2377">
        <f t="shared" si="152"/>
        <v>1</v>
      </c>
      <c r="CC124" s="365">
        <f t="shared" si="153"/>
        <v>5.3622178132875755E-6</v>
      </c>
      <c r="CD124" s="365"/>
      <c r="CE124" s="365"/>
      <c r="CF124" s="365"/>
      <c r="CG124" s="340"/>
      <c r="CH124" s="367"/>
      <c r="CI124" s="368"/>
      <c r="CJ124" s="368"/>
      <c r="CK124" s="369"/>
      <c r="CL124" s="329">
        <f t="shared" si="130"/>
        <v>0</v>
      </c>
      <c r="CM124" s="330">
        <f t="shared" ca="1" si="131"/>
        <v>0</v>
      </c>
      <c r="CN124" s="331">
        <f t="shared" ca="1" si="141"/>
        <v>-186490</v>
      </c>
      <c r="CO124" s="86"/>
      <c r="CP124" s="86"/>
      <c r="CQ124" s="1641"/>
      <c r="CR124" s="86"/>
      <c r="CS124" s="86"/>
      <c r="CT124" s="86"/>
      <c r="CU124" s="86"/>
      <c r="CV124" s="86"/>
      <c r="CW124" s="86"/>
      <c r="CX124" s="86"/>
      <c r="CY124" s="86"/>
      <c r="CZ124" s="86"/>
      <c r="DA124" s="86"/>
      <c r="DB124" s="1642"/>
      <c r="DC124" s="1642"/>
      <c r="DD124" s="30"/>
      <c r="DE124" s="30"/>
      <c r="DF124" s="30"/>
      <c r="DG124" s="1642"/>
      <c r="DH124" s="1642"/>
      <c r="DI124" s="1642"/>
      <c r="DJ124" s="1642"/>
      <c r="DK124" s="1642"/>
      <c r="DL124" s="1642"/>
      <c r="DM124" s="1642"/>
      <c r="DN124" s="1642"/>
      <c r="DO124" s="1642"/>
      <c r="DP124" s="1642"/>
      <c r="DQ124" s="1642"/>
      <c r="DR124" s="1642"/>
      <c r="DS124" s="1642"/>
      <c r="DT124" s="1642"/>
      <c r="DU124" s="1642"/>
      <c r="DV124" s="1642"/>
      <c r="DW124" s="1642"/>
      <c r="DX124" s="1642"/>
      <c r="DY124" s="1642"/>
      <c r="DZ124" s="1642"/>
      <c r="EA124" s="1642"/>
      <c r="EB124" s="1642"/>
      <c r="EC124" s="1642"/>
      <c r="ED124" s="1642"/>
      <c r="EE124" s="1642"/>
      <c r="EF124" s="1642"/>
      <c r="EG124" s="1642"/>
      <c r="EH124" s="1643"/>
      <c r="EI124" s="1658"/>
      <c r="EJ124" s="30"/>
      <c r="EK124" s="30"/>
      <c r="EL124" s="30"/>
      <c r="EM124" s="30"/>
      <c r="EN124" s="30"/>
      <c r="EO124" s="30"/>
      <c r="EP124" s="30"/>
      <c r="EQ124" s="30"/>
      <c r="ER124" s="30"/>
      <c r="ES124" s="30"/>
      <c r="ET124" s="30"/>
      <c r="EU124" s="30"/>
      <c r="EV124" s="30"/>
      <c r="EW124" s="30"/>
      <c r="EX124" s="30"/>
      <c r="EY124" s="30"/>
      <c r="EZ124" s="30"/>
      <c r="FA124" s="30"/>
      <c r="FB124" s="30"/>
      <c r="FC124" s="30"/>
      <c r="FD124" s="30"/>
      <c r="FE124" s="30"/>
      <c r="FF124" s="30"/>
      <c r="FG124" s="30"/>
      <c r="FH124" s="30"/>
      <c r="FI124" s="30"/>
      <c r="FJ124" s="30"/>
      <c r="FK124" s="30"/>
      <c r="FL124" s="30"/>
      <c r="FM124" s="30"/>
      <c r="FN124" s="30"/>
      <c r="FO124" s="30"/>
      <c r="FP124" s="30"/>
      <c r="FQ124" s="30"/>
      <c r="FR124" s="30"/>
      <c r="FS124" s="30"/>
      <c r="FT124" s="30"/>
      <c r="FU124" s="30"/>
      <c r="FV124" s="30"/>
      <c r="FW124" s="30"/>
      <c r="FX124" s="30"/>
      <c r="FY124" s="30"/>
      <c r="FZ124" s="30"/>
      <c r="GA124" s="30"/>
      <c r="GB124" s="30"/>
      <c r="GC124" s="30"/>
      <c r="GD124" s="30"/>
      <c r="GE124" s="30"/>
      <c r="GF124" s="30"/>
      <c r="GG124" s="30"/>
      <c r="GH124" s="30"/>
      <c r="GI124" s="30"/>
      <c r="GJ124" s="30"/>
      <c r="GK124" s="30"/>
      <c r="GL124" s="30"/>
      <c r="GM124" s="30"/>
      <c r="GN124" s="30"/>
      <c r="GO124" s="30"/>
      <c r="GP124" s="30"/>
      <c r="GQ124" s="30"/>
      <c r="GR124" s="30"/>
      <c r="GS124" s="30"/>
      <c r="GT124" s="30"/>
      <c r="GU124" s="30"/>
      <c r="GV124" s="30"/>
      <c r="GW124" s="30"/>
      <c r="GX124" s="30"/>
      <c r="GY124" s="30"/>
      <c r="GZ124" s="30"/>
      <c r="HA124" s="30"/>
      <c r="HB124" s="30"/>
      <c r="HC124" s="30"/>
      <c r="HD124" s="30"/>
      <c r="HE124" s="30"/>
      <c r="HF124" s="30"/>
      <c r="HG124" s="30"/>
      <c r="HH124" s="30"/>
      <c r="HI124" s="30"/>
      <c r="HJ124" s="30"/>
      <c r="HK124" s="30"/>
      <c r="HL124" s="30"/>
      <c r="HM124" s="30"/>
      <c r="HN124" s="30"/>
      <c r="HO124" s="30"/>
      <c r="HP124" s="30"/>
      <c r="HQ124" s="30"/>
      <c r="HR124" s="30"/>
      <c r="HS124" s="30"/>
      <c r="HT124" s="30"/>
      <c r="HU124" s="30"/>
      <c r="HV124" s="30"/>
      <c r="HW124" s="30"/>
      <c r="HX124" s="30"/>
      <c r="HY124" s="30"/>
      <c r="HZ124" s="30"/>
      <c r="IA124" s="30"/>
      <c r="IB124" s="30"/>
      <c r="IC124" s="30"/>
      <c r="ID124" s="30"/>
      <c r="IE124" s="30"/>
      <c r="IF124" s="30"/>
      <c r="IG124" s="30"/>
      <c r="IH124" s="30"/>
      <c r="II124" s="30"/>
      <c r="IJ124" s="30"/>
      <c r="IK124" s="30"/>
      <c r="IL124" s="30"/>
      <c r="IM124" s="30"/>
      <c r="IN124" s="30"/>
      <c r="IO124" s="30"/>
      <c r="IP124" s="30"/>
      <c r="IQ124" s="30"/>
      <c r="IR124" s="30"/>
      <c r="IS124" s="30"/>
      <c r="IT124" s="30"/>
      <c r="IU124" s="30"/>
      <c r="IV124" s="30"/>
      <c r="IW124" s="30"/>
      <c r="IX124" s="30"/>
      <c r="IY124" s="30"/>
      <c r="IZ124" s="30"/>
      <c r="JA124" s="30"/>
      <c r="JB124" s="30"/>
      <c r="JC124" s="30"/>
      <c r="JD124" s="30"/>
      <c r="JE124" s="30"/>
      <c r="JF124" s="30"/>
      <c r="JG124" s="30"/>
      <c r="JH124" s="30"/>
      <c r="JI124" s="30"/>
      <c r="JJ124" s="30"/>
      <c r="JK124" s="30"/>
      <c r="JL124" s="30"/>
      <c r="JM124" s="30"/>
      <c r="JN124" s="30"/>
      <c r="JO124" s="30"/>
      <c r="JP124" s="30"/>
      <c r="JQ124" s="30"/>
      <c r="JR124" s="30"/>
      <c r="JS124" s="30"/>
      <c r="JT124" s="30"/>
      <c r="JU124" s="30"/>
      <c r="JV124" s="30"/>
      <c r="JW124" s="30"/>
      <c r="JX124" s="30"/>
      <c r="JY124" s="30"/>
      <c r="JZ124" s="30"/>
      <c r="KA124" s="30"/>
      <c r="KB124" s="30"/>
      <c r="KC124" s="30"/>
      <c r="KD124" s="30"/>
      <c r="KE124" s="30"/>
      <c r="KF124" s="30"/>
      <c r="KG124" s="30"/>
      <c r="KH124" s="30"/>
      <c r="KI124" s="30"/>
      <c r="KJ124" s="30"/>
      <c r="KK124" s="30"/>
      <c r="KL124" s="30"/>
      <c r="KM124" s="30"/>
      <c r="KN124" s="30"/>
      <c r="KO124" s="30"/>
      <c r="KP124" s="1630"/>
    </row>
    <row r="125" spans="1:302" s="97" customFormat="1" ht="13.9" outlineLevel="1">
      <c r="A125" s="2658" t="s">
        <v>201</v>
      </c>
      <c r="B125" s="2604"/>
      <c r="C125" s="2587" t="s">
        <v>715</v>
      </c>
      <c r="D125" s="2587" t="s">
        <v>716</v>
      </c>
      <c r="E125" s="262"/>
      <c r="F125" s="347"/>
      <c r="G125" s="348"/>
      <c r="H125" s="349" t="s">
        <v>26</v>
      </c>
      <c r="I125" s="2936"/>
      <c r="J125" s="362" t="s">
        <v>26</v>
      </c>
      <c r="K125" s="1745"/>
      <c r="L125" s="383"/>
      <c r="M125" s="383"/>
      <c r="N125" s="383"/>
      <c r="O125" s="1510"/>
      <c r="P125" s="383"/>
      <c r="Q125" s="383"/>
      <c r="R125" s="383"/>
      <c r="S125" s="1510">
        <f t="shared" si="99"/>
        <v>0</v>
      </c>
      <c r="T125" s="389"/>
      <c r="U125" s="1746"/>
      <c r="V125" s="1746"/>
      <c r="W125" s="1744">
        <f t="shared" si="92"/>
        <v>0</v>
      </c>
      <c r="X125" s="359" t="s">
        <v>26</v>
      </c>
      <c r="Y125" s="389"/>
      <c r="Z125" s="1746"/>
      <c r="AA125" s="1509"/>
      <c r="AB125" s="1510">
        <f t="shared" si="97"/>
        <v>0</v>
      </c>
      <c r="AC125" s="1680"/>
      <c r="AD125" s="1460"/>
      <c r="AE125" s="1688"/>
      <c r="AF125" s="1686"/>
      <c r="AG125" s="1686"/>
      <c r="AH125" s="354">
        <f t="shared" si="149"/>
        <v>0</v>
      </c>
      <c r="AI125" s="355">
        <f t="shared" ca="1" si="94"/>
        <v>0</v>
      </c>
      <c r="AJ125" s="356" t="str">
        <f t="shared" si="150"/>
        <v/>
      </c>
      <c r="AK125" s="2185"/>
      <c r="AL125" s="260"/>
      <c r="AM125" s="2258"/>
      <c r="AN125" s="2258"/>
      <c r="AO125" s="359"/>
      <c r="AP125" s="359"/>
      <c r="AQ125" s="359"/>
      <c r="AR125" s="359"/>
      <c r="AS125" s="359"/>
      <c r="AT125" s="390"/>
      <c r="AU125" s="359"/>
      <c r="AV125" s="359"/>
      <c r="AW125" s="377"/>
      <c r="AX125" s="359"/>
      <c r="AY125" s="2316"/>
      <c r="AZ125" s="2273"/>
      <c r="BA125" s="497"/>
      <c r="BB125" s="359"/>
      <c r="BC125" s="359"/>
      <c r="BD125" s="359"/>
      <c r="BE125" s="362"/>
      <c r="BF125" s="362"/>
      <c r="BG125" s="362"/>
      <c r="BH125" s="362"/>
      <c r="BI125" s="414"/>
      <c r="BJ125" s="362"/>
      <c r="BK125" s="2123"/>
      <c r="BL125" s="414"/>
      <c r="BM125" s="414"/>
      <c r="BN125" s="414"/>
      <c r="BO125" s="414"/>
      <c r="BP125" s="414"/>
      <c r="BQ125" s="2399"/>
      <c r="BR125" s="362"/>
      <c r="BS125" s="362"/>
      <c r="BT125" s="362"/>
      <c r="BU125" s="364"/>
      <c r="BV125" s="364"/>
      <c r="BW125" s="2366"/>
      <c r="BX125" s="2463"/>
      <c r="BY125" s="2543"/>
      <c r="BZ125" s="2543"/>
      <c r="CA125" s="2591">
        <f t="shared" si="151"/>
        <v>0</v>
      </c>
      <c r="CB125" s="2377" t="str">
        <f t="shared" si="152"/>
        <v/>
      </c>
      <c r="CC125" s="365" t="str">
        <f t="shared" si="153"/>
        <v/>
      </c>
      <c r="CD125" s="365"/>
      <c r="CE125" s="365"/>
      <c r="CF125" s="365"/>
      <c r="CG125" s="340"/>
      <c r="CH125" s="367"/>
      <c r="CI125" s="368"/>
      <c r="CJ125" s="368"/>
      <c r="CK125" s="369"/>
      <c r="CL125" s="329">
        <f t="shared" si="130"/>
        <v>0</v>
      </c>
      <c r="CM125" s="330">
        <f t="shared" ca="1" si="131"/>
        <v>0</v>
      </c>
      <c r="CN125" s="331">
        <f t="shared" ca="1" si="141"/>
        <v>0</v>
      </c>
      <c r="CO125" s="86"/>
      <c r="CP125" s="86"/>
      <c r="CQ125" s="1641"/>
      <c r="CR125" s="86"/>
      <c r="CS125" s="86"/>
      <c r="CT125" s="86"/>
      <c r="CU125" s="86"/>
      <c r="CV125" s="86"/>
      <c r="CW125" s="86"/>
      <c r="CX125" s="86"/>
      <c r="CY125" s="86"/>
      <c r="CZ125" s="86"/>
      <c r="DA125" s="86"/>
      <c r="DB125" s="1642"/>
      <c r="DC125" s="1642"/>
      <c r="DD125" s="30"/>
      <c r="DE125" s="30"/>
      <c r="DF125" s="30"/>
      <c r="DG125" s="1642"/>
      <c r="DH125" s="1642"/>
      <c r="DI125" s="1642"/>
      <c r="DJ125" s="1642"/>
      <c r="DK125" s="1642"/>
      <c r="DL125" s="1642"/>
      <c r="DM125" s="1642"/>
      <c r="DN125" s="1642"/>
      <c r="DO125" s="1642"/>
      <c r="DP125" s="1642"/>
      <c r="DQ125" s="1642"/>
      <c r="DR125" s="1642"/>
      <c r="DS125" s="1642"/>
      <c r="DT125" s="1642"/>
      <c r="DU125" s="1642"/>
      <c r="DV125" s="1642"/>
      <c r="DW125" s="1642"/>
      <c r="DX125" s="1642"/>
      <c r="DY125" s="1642"/>
      <c r="DZ125" s="1642"/>
      <c r="EA125" s="1642"/>
      <c r="EB125" s="1642"/>
      <c r="EC125" s="1642"/>
      <c r="ED125" s="1642"/>
      <c r="EE125" s="1642"/>
      <c r="EF125" s="1642"/>
      <c r="EG125" s="1642"/>
      <c r="EH125" s="1643"/>
      <c r="EI125" s="1658"/>
      <c r="EJ125" s="30"/>
      <c r="EK125" s="30"/>
      <c r="EL125" s="30"/>
      <c r="EM125" s="30"/>
      <c r="EN125" s="30"/>
      <c r="EO125" s="30"/>
      <c r="EP125" s="30"/>
      <c r="EQ125" s="30"/>
      <c r="ER125" s="30"/>
      <c r="ES125" s="30"/>
      <c r="ET125" s="30"/>
      <c r="EU125" s="30"/>
      <c r="EV125" s="30"/>
      <c r="EW125" s="30"/>
      <c r="EX125" s="30"/>
      <c r="EY125" s="30"/>
      <c r="EZ125" s="30"/>
      <c r="FA125" s="30"/>
      <c r="FB125" s="30"/>
      <c r="FC125" s="30"/>
      <c r="FD125" s="30"/>
      <c r="FE125" s="30"/>
      <c r="FF125" s="30"/>
      <c r="FG125" s="30"/>
      <c r="FH125" s="30"/>
      <c r="FI125" s="30"/>
      <c r="FJ125" s="30"/>
      <c r="FK125" s="30"/>
      <c r="FL125" s="30"/>
      <c r="FM125" s="30"/>
      <c r="FN125" s="30"/>
      <c r="FO125" s="30"/>
      <c r="FP125" s="30"/>
      <c r="FQ125" s="30"/>
      <c r="FR125" s="30"/>
      <c r="FS125" s="30"/>
      <c r="FT125" s="30"/>
      <c r="FU125" s="30"/>
      <c r="FV125" s="30"/>
      <c r="FW125" s="30"/>
      <c r="FX125" s="30"/>
      <c r="FY125" s="30"/>
      <c r="FZ125" s="30"/>
      <c r="GA125" s="30"/>
      <c r="GB125" s="30"/>
      <c r="GC125" s="30"/>
      <c r="GD125" s="30"/>
      <c r="GE125" s="30"/>
      <c r="GF125" s="30"/>
      <c r="GG125" s="30"/>
      <c r="GH125" s="30"/>
      <c r="GI125" s="30"/>
      <c r="GJ125" s="30"/>
      <c r="GK125" s="30"/>
      <c r="GL125" s="30"/>
      <c r="GM125" s="30"/>
      <c r="GN125" s="30"/>
      <c r="GO125" s="30"/>
      <c r="GP125" s="30"/>
      <c r="GQ125" s="30"/>
      <c r="GR125" s="30"/>
      <c r="GS125" s="30"/>
      <c r="GT125" s="30"/>
      <c r="GU125" s="30"/>
      <c r="GV125" s="30"/>
      <c r="GW125" s="30"/>
      <c r="GX125" s="30"/>
      <c r="GY125" s="30"/>
      <c r="GZ125" s="30"/>
      <c r="HA125" s="30"/>
      <c r="HB125" s="30"/>
      <c r="HC125" s="30"/>
      <c r="HD125" s="30"/>
      <c r="HE125" s="30"/>
      <c r="HF125" s="30"/>
      <c r="HG125" s="30"/>
      <c r="HH125" s="30"/>
      <c r="HI125" s="30"/>
      <c r="HJ125" s="30"/>
      <c r="HK125" s="30"/>
      <c r="HL125" s="30"/>
      <c r="HM125" s="30"/>
      <c r="HN125" s="30"/>
      <c r="HO125" s="30"/>
      <c r="HP125" s="30"/>
      <c r="HQ125" s="30"/>
      <c r="HR125" s="30"/>
      <c r="HS125" s="30"/>
      <c r="HT125" s="30"/>
      <c r="HU125" s="30"/>
      <c r="HV125" s="30"/>
      <c r="HW125" s="30"/>
      <c r="HX125" s="30"/>
      <c r="HY125" s="30"/>
      <c r="HZ125" s="30"/>
      <c r="IA125" s="30"/>
      <c r="IB125" s="30"/>
      <c r="IC125" s="30"/>
      <c r="ID125" s="30"/>
      <c r="IE125" s="30"/>
      <c r="IF125" s="30"/>
      <c r="IG125" s="30"/>
      <c r="IH125" s="30"/>
      <c r="II125" s="30"/>
      <c r="IJ125" s="30"/>
      <c r="IK125" s="30"/>
      <c r="IL125" s="30"/>
      <c r="IM125" s="30"/>
      <c r="IN125" s="30"/>
      <c r="IO125" s="30"/>
      <c r="IP125" s="30"/>
      <c r="IQ125" s="30"/>
      <c r="IR125" s="30"/>
      <c r="IS125" s="30"/>
      <c r="IT125" s="30"/>
      <c r="IU125" s="30"/>
      <c r="IV125" s="30"/>
      <c r="IW125" s="30"/>
      <c r="IX125" s="30"/>
      <c r="IY125" s="30"/>
      <c r="IZ125" s="30"/>
      <c r="JA125" s="30"/>
      <c r="JB125" s="30"/>
      <c r="JC125" s="30"/>
      <c r="JD125" s="30"/>
      <c r="JE125" s="30"/>
      <c r="JF125" s="30"/>
      <c r="JG125" s="30"/>
      <c r="JH125" s="30"/>
      <c r="JI125" s="30"/>
      <c r="JJ125" s="30"/>
      <c r="JK125" s="30"/>
      <c r="JL125" s="30"/>
      <c r="JM125" s="30"/>
      <c r="JN125" s="30"/>
      <c r="JO125" s="30"/>
      <c r="JP125" s="30"/>
      <c r="JQ125" s="30"/>
      <c r="JR125" s="30"/>
      <c r="JS125" s="30"/>
      <c r="JT125" s="30"/>
      <c r="JU125" s="30"/>
      <c r="JV125" s="30"/>
      <c r="JW125" s="30"/>
      <c r="JX125" s="30"/>
      <c r="JY125" s="30"/>
      <c r="JZ125" s="30"/>
      <c r="KA125" s="30"/>
      <c r="KB125" s="30"/>
      <c r="KC125" s="30"/>
      <c r="KD125" s="30"/>
      <c r="KE125" s="30"/>
      <c r="KF125" s="30"/>
      <c r="KG125" s="30"/>
      <c r="KH125" s="30"/>
      <c r="KI125" s="30"/>
      <c r="KJ125" s="30"/>
      <c r="KK125" s="30"/>
      <c r="KL125" s="30"/>
      <c r="KM125" s="30"/>
      <c r="KN125" s="30"/>
      <c r="KO125" s="30"/>
      <c r="KP125" s="1630"/>
    </row>
    <row r="126" spans="1:302" s="97" customFormat="1" ht="13.15" outlineLevel="1">
      <c r="A126" s="2656" t="s">
        <v>506</v>
      </c>
      <c r="B126" s="1689"/>
      <c r="C126" s="262" t="s">
        <v>717</v>
      </c>
      <c r="D126" s="1689" t="s">
        <v>718</v>
      </c>
      <c r="E126" s="262"/>
      <c r="F126" s="347"/>
      <c r="G126" s="348"/>
      <c r="H126" s="349" t="s">
        <v>26</v>
      </c>
      <c r="I126" s="2936"/>
      <c r="J126" s="362" t="s">
        <v>26</v>
      </c>
      <c r="K126" s="1745"/>
      <c r="L126" s="383"/>
      <c r="M126" s="383"/>
      <c r="N126" s="383"/>
      <c r="O126" s="1510">
        <v>415350</v>
      </c>
      <c r="P126" s="383"/>
      <c r="Q126" s="383"/>
      <c r="R126" s="383"/>
      <c r="S126" s="1510">
        <f t="shared" si="99"/>
        <v>0</v>
      </c>
      <c r="T126" s="389"/>
      <c r="U126" s="1746"/>
      <c r="V126" s="1746"/>
      <c r="W126" s="1744">
        <f t="shared" si="92"/>
        <v>415350</v>
      </c>
      <c r="X126" s="359" t="s">
        <v>26</v>
      </c>
      <c r="Y126" s="389"/>
      <c r="Z126" s="1746"/>
      <c r="AA126" s="1509"/>
      <c r="AB126" s="1510">
        <f t="shared" si="97"/>
        <v>415350</v>
      </c>
      <c r="AC126" s="1680"/>
      <c r="AD126" s="1460"/>
      <c r="AE126" s="1688"/>
      <c r="AF126" s="1686"/>
      <c r="AG126" s="1686"/>
      <c r="AH126" s="354">
        <f t="shared" si="149"/>
        <v>0</v>
      </c>
      <c r="AI126" s="355">
        <f t="shared" ca="1" si="94"/>
        <v>0</v>
      </c>
      <c r="AJ126" s="356">
        <f t="shared" ca="1" si="150"/>
        <v>0</v>
      </c>
      <c r="AK126" s="2185"/>
      <c r="AL126" s="260"/>
      <c r="AM126" s="2258"/>
      <c r="AN126" s="2258"/>
      <c r="AO126" s="359"/>
      <c r="AP126" s="359"/>
      <c r="AQ126" s="359"/>
      <c r="AR126" s="359"/>
      <c r="AS126" s="359"/>
      <c r="AT126" s="390"/>
      <c r="AU126" s="359"/>
      <c r="AV126" s="359"/>
      <c r="AW126" s="377"/>
      <c r="AX126" s="359"/>
      <c r="AY126" s="2316"/>
      <c r="AZ126" s="2273"/>
      <c r="BA126" s="497"/>
      <c r="BB126" s="359"/>
      <c r="BC126" s="359"/>
      <c r="BD126" s="359"/>
      <c r="BE126" s="362">
        <v>83070</v>
      </c>
      <c r="BF126" s="362">
        <v>83070</v>
      </c>
      <c r="BG126" s="362">
        <v>83070</v>
      </c>
      <c r="BH126" s="362">
        <v>83070</v>
      </c>
      <c r="BI126" s="414">
        <v>83070</v>
      </c>
      <c r="BJ126" s="362"/>
      <c r="BK126" s="2123"/>
      <c r="BL126" s="414"/>
      <c r="BM126" s="414"/>
      <c r="BN126" s="414"/>
      <c r="BO126" s="414"/>
      <c r="BP126" s="414"/>
      <c r="BQ126" s="2399"/>
      <c r="BR126" s="362"/>
      <c r="BS126" s="362"/>
      <c r="BT126" s="362"/>
      <c r="BU126" s="364"/>
      <c r="BV126" s="364"/>
      <c r="BW126" s="2366"/>
      <c r="BX126" s="2463"/>
      <c r="BY126" s="2543"/>
      <c r="BZ126" s="2543"/>
      <c r="CA126" s="2591">
        <f t="shared" ref="CA126:CA128" si="161">SUMIF($AM$10:$BZ$10,$CA$9,AM126:BZ126)</f>
        <v>415350</v>
      </c>
      <c r="CB126" s="2377">
        <f t="shared" ref="CB126:CB128" si="162">IF($AB126&lt;&gt;0,CA126/$AB126,"")</f>
        <v>1</v>
      </c>
      <c r="CC126" s="365">
        <f t="shared" ref="CC126:CC128" si="163">IF($AB126&lt;&gt;0,CB126/$AB126,"")</f>
        <v>2.4076080414108583E-6</v>
      </c>
      <c r="CD126" s="365"/>
      <c r="CE126" s="365"/>
      <c r="CF126" s="365"/>
      <c r="CG126" s="340"/>
      <c r="CH126" s="367"/>
      <c r="CI126" s="368"/>
      <c r="CJ126" s="368"/>
      <c r="CK126" s="369"/>
      <c r="CL126" s="329">
        <f t="shared" si="130"/>
        <v>0</v>
      </c>
      <c r="CM126" s="330">
        <f t="shared" ca="1" si="131"/>
        <v>0</v>
      </c>
      <c r="CN126" s="331">
        <f t="shared" ca="1" si="141"/>
        <v>-415350</v>
      </c>
      <c r="CO126" s="86"/>
      <c r="CP126" s="86"/>
      <c r="CQ126" s="1641"/>
      <c r="CR126" s="86"/>
      <c r="CS126" s="86"/>
      <c r="CT126" s="86"/>
      <c r="CU126" s="86"/>
      <c r="CV126" s="86"/>
      <c r="CW126" s="86"/>
      <c r="CX126" s="86"/>
      <c r="CY126" s="86"/>
      <c r="CZ126" s="86"/>
      <c r="DA126" s="86"/>
      <c r="DB126" s="1642"/>
      <c r="DC126" s="1642"/>
      <c r="DD126" s="30"/>
      <c r="DE126" s="30"/>
      <c r="DF126" s="30"/>
      <c r="DG126" s="1642"/>
      <c r="DH126" s="1642"/>
      <c r="DI126" s="1642"/>
      <c r="DJ126" s="1642"/>
      <c r="DK126" s="1642"/>
      <c r="DL126" s="1642"/>
      <c r="DM126" s="1642"/>
      <c r="DN126" s="1642"/>
      <c r="DO126" s="1642"/>
      <c r="DP126" s="1642"/>
      <c r="DQ126" s="1642"/>
      <c r="DR126" s="1642"/>
      <c r="DS126" s="1642"/>
      <c r="DT126" s="1642"/>
      <c r="DU126" s="1642"/>
      <c r="DV126" s="1642"/>
      <c r="DW126" s="1642"/>
      <c r="DX126" s="1642"/>
      <c r="DY126" s="1642"/>
      <c r="DZ126" s="1642"/>
      <c r="EA126" s="1642"/>
      <c r="EB126" s="1642"/>
      <c r="EC126" s="1642"/>
      <c r="ED126" s="1642"/>
      <c r="EE126" s="1642"/>
      <c r="EF126" s="1642"/>
      <c r="EG126" s="1642"/>
      <c r="EH126" s="1643"/>
      <c r="EI126" s="1658"/>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0"/>
      <c r="HP126" s="30"/>
      <c r="HQ126" s="30"/>
      <c r="HR126" s="30"/>
      <c r="HS126" s="30"/>
      <c r="HT126" s="30"/>
      <c r="HU126" s="30"/>
      <c r="HV126" s="30"/>
      <c r="HW126" s="30"/>
      <c r="HX126" s="30"/>
      <c r="HY126" s="30"/>
      <c r="HZ126" s="30"/>
      <c r="IA126" s="30"/>
      <c r="IB126" s="30"/>
      <c r="IC126" s="30"/>
      <c r="ID126" s="30"/>
      <c r="IE126" s="30"/>
      <c r="IF126" s="30"/>
      <c r="IG126" s="30"/>
      <c r="IH126" s="30"/>
      <c r="II126" s="30"/>
      <c r="IJ126" s="30"/>
      <c r="IK126" s="30"/>
      <c r="IL126" s="30"/>
      <c r="IM126" s="30"/>
      <c r="IN126" s="30"/>
      <c r="IO126" s="30"/>
      <c r="IP126" s="30"/>
      <c r="IQ126" s="30"/>
      <c r="IR126" s="30"/>
      <c r="IS126" s="30"/>
      <c r="IT126" s="30"/>
      <c r="IU126" s="30"/>
      <c r="IV126" s="30"/>
      <c r="IW126" s="30"/>
      <c r="IX126" s="30"/>
      <c r="IY126" s="30"/>
      <c r="IZ126" s="30"/>
      <c r="JA126" s="30"/>
      <c r="JB126" s="30"/>
      <c r="JC126" s="30"/>
      <c r="JD126" s="30"/>
      <c r="JE126" s="30"/>
      <c r="JF126" s="30"/>
      <c r="JG126" s="30"/>
      <c r="JH126" s="30"/>
      <c r="JI126" s="30"/>
      <c r="JJ126" s="30"/>
      <c r="JK126" s="30"/>
      <c r="JL126" s="30"/>
      <c r="JM126" s="30"/>
      <c r="JN126" s="30"/>
      <c r="JO126" s="30"/>
      <c r="JP126" s="30"/>
      <c r="JQ126" s="30"/>
      <c r="JR126" s="30"/>
      <c r="JS126" s="30"/>
      <c r="JT126" s="30"/>
      <c r="JU126" s="30"/>
      <c r="JV126" s="30"/>
      <c r="JW126" s="30"/>
      <c r="JX126" s="30"/>
      <c r="JY126" s="30"/>
      <c r="JZ126" s="30"/>
      <c r="KA126" s="30"/>
      <c r="KB126" s="30"/>
      <c r="KC126" s="30"/>
      <c r="KD126" s="30"/>
      <c r="KE126" s="30"/>
      <c r="KF126" s="30"/>
      <c r="KG126" s="30"/>
      <c r="KH126" s="30"/>
      <c r="KI126" s="30"/>
      <c r="KJ126" s="30"/>
      <c r="KK126" s="30"/>
      <c r="KL126" s="30"/>
      <c r="KM126" s="30"/>
      <c r="KN126" s="30"/>
      <c r="KO126" s="30"/>
      <c r="KP126" s="1630"/>
    </row>
    <row r="127" spans="1:302" s="97" customFormat="1" ht="13.15" outlineLevel="1">
      <c r="A127" s="2656" t="s">
        <v>507</v>
      </c>
      <c r="B127" s="1689"/>
      <c r="C127" s="262" t="s">
        <v>719</v>
      </c>
      <c r="D127" s="1689" t="s">
        <v>720</v>
      </c>
      <c r="E127" s="262"/>
      <c r="F127" s="347"/>
      <c r="G127" s="348"/>
      <c r="H127" s="349" t="s">
        <v>26</v>
      </c>
      <c r="I127" s="2936"/>
      <c r="J127" s="362" t="s">
        <v>26</v>
      </c>
      <c r="K127" s="1745"/>
      <c r="L127" s="383"/>
      <c r="M127" s="383"/>
      <c r="N127" s="383"/>
      <c r="O127" s="2739">
        <v>98644</v>
      </c>
      <c r="P127" s="383"/>
      <c r="Q127" s="383"/>
      <c r="R127" s="383"/>
      <c r="S127" s="1510">
        <f t="shared" si="99"/>
        <v>0</v>
      </c>
      <c r="T127" s="389"/>
      <c r="U127" s="1746"/>
      <c r="V127" s="1746"/>
      <c r="W127" s="1744">
        <v>98644</v>
      </c>
      <c r="X127" s="359" t="s">
        <v>26</v>
      </c>
      <c r="Y127" s="389"/>
      <c r="Z127" s="1746"/>
      <c r="AA127" s="1509"/>
      <c r="AB127" s="1510">
        <f t="shared" si="97"/>
        <v>98644</v>
      </c>
      <c r="AC127" s="1680"/>
      <c r="AD127" s="1460"/>
      <c r="AE127" s="1688"/>
      <c r="AF127" s="1686"/>
      <c r="AG127" s="1686"/>
      <c r="AH127" s="354">
        <f t="shared" si="149"/>
        <v>0</v>
      </c>
      <c r="AI127" s="355">
        <f t="shared" ca="1" si="94"/>
        <v>0</v>
      </c>
      <c r="AJ127" s="356">
        <f t="shared" ca="1" si="150"/>
        <v>0</v>
      </c>
      <c r="AK127" s="2185"/>
      <c r="AL127" s="260"/>
      <c r="AM127" s="2258"/>
      <c r="AN127" s="2258"/>
      <c r="AO127" s="359"/>
      <c r="AP127" s="359"/>
      <c r="AQ127" s="359"/>
      <c r="AR127" s="359"/>
      <c r="AS127" s="359"/>
      <c r="AT127" s="390"/>
      <c r="AU127" s="359"/>
      <c r="AV127" s="359"/>
      <c r="AW127" s="377"/>
      <c r="AX127" s="359"/>
      <c r="AY127" s="2316"/>
      <c r="AZ127" s="2273"/>
      <c r="BA127" s="497"/>
      <c r="BB127" s="359"/>
      <c r="BC127" s="359"/>
      <c r="BD127" s="359"/>
      <c r="BE127" s="362">
        <v>19728.8</v>
      </c>
      <c r="BF127" s="362">
        <v>19728.8</v>
      </c>
      <c r="BG127" s="362">
        <v>19728.8</v>
      </c>
      <c r="BH127" s="362">
        <v>19728.8</v>
      </c>
      <c r="BI127" s="414">
        <v>19728.8</v>
      </c>
      <c r="BJ127" s="362"/>
      <c r="BK127" s="2123"/>
      <c r="BL127" s="414"/>
      <c r="BM127" s="414"/>
      <c r="BN127" s="414"/>
      <c r="BO127" s="414"/>
      <c r="BP127" s="414"/>
      <c r="BQ127" s="2399"/>
      <c r="BR127" s="362"/>
      <c r="BS127" s="362"/>
      <c r="BT127" s="362"/>
      <c r="BU127" s="364"/>
      <c r="BV127" s="364"/>
      <c r="BW127" s="2366"/>
      <c r="BX127" s="2463"/>
      <c r="BY127" s="2543"/>
      <c r="BZ127" s="2543"/>
      <c r="CA127" s="2591">
        <f t="shared" si="161"/>
        <v>98644</v>
      </c>
      <c r="CB127" s="2377">
        <f t="shared" si="162"/>
        <v>1</v>
      </c>
      <c r="CC127" s="365">
        <f t="shared" si="163"/>
        <v>1.0137464012002757E-5</v>
      </c>
      <c r="CD127" s="365"/>
      <c r="CE127" s="365"/>
      <c r="CF127" s="365"/>
      <c r="CG127" s="340"/>
      <c r="CH127" s="367"/>
      <c r="CI127" s="368"/>
      <c r="CJ127" s="368"/>
      <c r="CK127" s="369"/>
      <c r="CL127" s="329">
        <f t="shared" si="130"/>
        <v>0</v>
      </c>
      <c r="CM127" s="330">
        <f t="shared" ca="1" si="131"/>
        <v>0</v>
      </c>
      <c r="CN127" s="331">
        <f t="shared" ca="1" si="141"/>
        <v>-98644</v>
      </c>
      <c r="CO127" s="86"/>
      <c r="CP127" s="86"/>
      <c r="CQ127" s="1641"/>
      <c r="CR127" s="86"/>
      <c r="CS127" s="86"/>
      <c r="CT127" s="86"/>
      <c r="CU127" s="86"/>
      <c r="CV127" s="86"/>
      <c r="CW127" s="86"/>
      <c r="CX127" s="86"/>
      <c r="CY127" s="86"/>
      <c r="CZ127" s="86"/>
      <c r="DA127" s="86"/>
      <c r="DB127" s="1642"/>
      <c r="DC127" s="1642"/>
      <c r="DD127" s="30"/>
      <c r="DE127" s="30"/>
      <c r="DF127" s="30"/>
      <c r="DG127" s="1642"/>
      <c r="DH127" s="1642"/>
      <c r="DI127" s="1642"/>
      <c r="DJ127" s="1642"/>
      <c r="DK127" s="1642"/>
      <c r="DL127" s="1642"/>
      <c r="DM127" s="1642"/>
      <c r="DN127" s="1642"/>
      <c r="DO127" s="1642"/>
      <c r="DP127" s="1642"/>
      <c r="DQ127" s="1642"/>
      <c r="DR127" s="1642"/>
      <c r="DS127" s="1642"/>
      <c r="DT127" s="1642"/>
      <c r="DU127" s="1642"/>
      <c r="DV127" s="1642"/>
      <c r="DW127" s="1642"/>
      <c r="DX127" s="1642"/>
      <c r="DY127" s="1642"/>
      <c r="DZ127" s="1642"/>
      <c r="EA127" s="1642"/>
      <c r="EB127" s="1642"/>
      <c r="EC127" s="1642"/>
      <c r="ED127" s="1642"/>
      <c r="EE127" s="1642"/>
      <c r="EF127" s="1642"/>
      <c r="EG127" s="1642"/>
      <c r="EH127" s="1643"/>
      <c r="EI127" s="1658"/>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0"/>
      <c r="HP127" s="30"/>
      <c r="HQ127" s="30"/>
      <c r="HR127" s="30"/>
      <c r="HS127" s="30"/>
      <c r="HT127" s="30"/>
      <c r="HU127" s="30"/>
      <c r="HV127" s="30"/>
      <c r="HW127" s="30"/>
      <c r="HX127" s="30"/>
      <c r="HY127" s="30"/>
      <c r="HZ127" s="30"/>
      <c r="IA127" s="30"/>
      <c r="IB127" s="30"/>
      <c r="IC127" s="30"/>
      <c r="ID127" s="30"/>
      <c r="IE127" s="30"/>
      <c r="IF127" s="30"/>
      <c r="IG127" s="30"/>
      <c r="IH127" s="30"/>
      <c r="II127" s="30"/>
      <c r="IJ127" s="30"/>
      <c r="IK127" s="30"/>
      <c r="IL127" s="30"/>
      <c r="IM127" s="30"/>
      <c r="IN127" s="30"/>
      <c r="IO127" s="30"/>
      <c r="IP127" s="30"/>
      <c r="IQ127" s="30"/>
      <c r="IR127" s="30"/>
      <c r="IS127" s="30"/>
      <c r="IT127" s="30"/>
      <c r="IU127" s="30"/>
      <c r="IV127" s="30"/>
      <c r="IW127" s="30"/>
      <c r="IX127" s="30"/>
      <c r="IY127" s="30"/>
      <c r="IZ127" s="30"/>
      <c r="JA127" s="30"/>
      <c r="JB127" s="30"/>
      <c r="JC127" s="30"/>
      <c r="JD127" s="30"/>
      <c r="JE127" s="30"/>
      <c r="JF127" s="30"/>
      <c r="JG127" s="30"/>
      <c r="JH127" s="30"/>
      <c r="JI127" s="30"/>
      <c r="JJ127" s="30"/>
      <c r="JK127" s="30"/>
      <c r="JL127" s="30"/>
      <c r="JM127" s="30"/>
      <c r="JN127" s="30"/>
      <c r="JO127" s="30"/>
      <c r="JP127" s="30"/>
      <c r="JQ127" s="30"/>
      <c r="JR127" s="30"/>
      <c r="JS127" s="30"/>
      <c r="JT127" s="30"/>
      <c r="JU127" s="30"/>
      <c r="JV127" s="30"/>
      <c r="JW127" s="30"/>
      <c r="JX127" s="30"/>
      <c r="JY127" s="30"/>
      <c r="JZ127" s="30"/>
      <c r="KA127" s="30"/>
      <c r="KB127" s="30"/>
      <c r="KC127" s="30"/>
      <c r="KD127" s="30"/>
      <c r="KE127" s="30"/>
      <c r="KF127" s="30"/>
      <c r="KG127" s="30"/>
      <c r="KH127" s="30"/>
      <c r="KI127" s="30"/>
      <c r="KJ127" s="30"/>
      <c r="KK127" s="30"/>
      <c r="KL127" s="30"/>
      <c r="KM127" s="30"/>
      <c r="KN127" s="30"/>
      <c r="KO127" s="30"/>
      <c r="KP127" s="1630"/>
    </row>
    <row r="128" spans="1:302" s="97" customFormat="1" ht="13.9" outlineLevel="1">
      <c r="A128" s="2658" t="s">
        <v>262</v>
      </c>
      <c r="B128" s="2604"/>
      <c r="C128" s="2587" t="s">
        <v>721</v>
      </c>
      <c r="D128" s="2587" t="s">
        <v>722</v>
      </c>
      <c r="E128" s="262"/>
      <c r="F128" s="347"/>
      <c r="G128" s="348"/>
      <c r="H128" s="349" t="s">
        <v>26</v>
      </c>
      <c r="I128" s="2936"/>
      <c r="J128" s="362" t="s">
        <v>26</v>
      </c>
      <c r="K128" s="1745"/>
      <c r="L128" s="383"/>
      <c r="M128" s="383"/>
      <c r="N128" s="383"/>
      <c r="O128" s="1510">
        <v>551900</v>
      </c>
      <c r="P128" s="383"/>
      <c r="Q128" s="383"/>
      <c r="R128" s="383"/>
      <c r="S128" s="1510">
        <f t="shared" si="99"/>
        <v>0</v>
      </c>
      <c r="T128" s="389"/>
      <c r="U128" s="1746"/>
      <c r="V128" s="1746"/>
      <c r="W128" s="1744">
        <f t="shared" si="92"/>
        <v>551900</v>
      </c>
      <c r="X128" s="359" t="s">
        <v>26</v>
      </c>
      <c r="Y128" s="389"/>
      <c r="Z128" s="1746"/>
      <c r="AA128" s="1509"/>
      <c r="AB128" s="1510">
        <f t="shared" si="97"/>
        <v>551900</v>
      </c>
      <c r="AC128" s="1680"/>
      <c r="AD128" s="1460"/>
      <c r="AE128" s="1688"/>
      <c r="AF128" s="1686"/>
      <c r="AG128" s="1686"/>
      <c r="AH128" s="354">
        <f t="shared" si="149"/>
        <v>0</v>
      </c>
      <c r="AI128" s="355">
        <f t="shared" ca="1" si="94"/>
        <v>0</v>
      </c>
      <c r="AJ128" s="356">
        <f t="shared" ca="1" si="150"/>
        <v>0</v>
      </c>
      <c r="AK128" s="2185"/>
      <c r="AL128" s="260"/>
      <c r="AM128" s="2258"/>
      <c r="AN128" s="2258"/>
      <c r="AO128" s="359"/>
      <c r="AP128" s="359"/>
      <c r="AQ128" s="359"/>
      <c r="AR128" s="359"/>
      <c r="AS128" s="359"/>
      <c r="AT128" s="390"/>
      <c r="AU128" s="359"/>
      <c r="AV128" s="359"/>
      <c r="AW128" s="377"/>
      <c r="AX128" s="359"/>
      <c r="AY128" s="2316"/>
      <c r="AZ128" s="2273"/>
      <c r="BA128" s="497"/>
      <c r="BB128" s="359"/>
      <c r="BC128" s="359"/>
      <c r="BD128" s="359"/>
      <c r="BE128" s="362">
        <v>110380</v>
      </c>
      <c r="BF128" s="362">
        <v>110380</v>
      </c>
      <c r="BG128" s="362">
        <v>110380</v>
      </c>
      <c r="BH128" s="362">
        <v>110380</v>
      </c>
      <c r="BI128" s="414">
        <v>110380</v>
      </c>
      <c r="BJ128" s="362"/>
      <c r="BK128" s="2123"/>
      <c r="BL128" s="414"/>
      <c r="BM128" s="414"/>
      <c r="BN128" s="414"/>
      <c r="BO128" s="414"/>
      <c r="BP128" s="414"/>
      <c r="BQ128" s="2399"/>
      <c r="BR128" s="362"/>
      <c r="BS128" s="362"/>
      <c r="BT128" s="362"/>
      <c r="BU128" s="364"/>
      <c r="BV128" s="364"/>
      <c r="BW128" s="2366"/>
      <c r="BX128" s="2463"/>
      <c r="BY128" s="2543"/>
      <c r="BZ128" s="2543"/>
      <c r="CA128" s="2591">
        <f t="shared" si="161"/>
        <v>551900</v>
      </c>
      <c r="CB128" s="2377">
        <f t="shared" si="162"/>
        <v>1</v>
      </c>
      <c r="CC128" s="365">
        <f t="shared" si="163"/>
        <v>1.8119224497191521E-6</v>
      </c>
      <c r="CD128" s="365"/>
      <c r="CE128" s="365"/>
      <c r="CF128" s="365"/>
      <c r="CG128" s="340"/>
      <c r="CH128" s="367"/>
      <c r="CI128" s="368"/>
      <c r="CJ128" s="368"/>
      <c r="CK128" s="369"/>
      <c r="CL128" s="329">
        <f t="shared" si="130"/>
        <v>0</v>
      </c>
      <c r="CM128" s="330">
        <f t="shared" ca="1" si="131"/>
        <v>0</v>
      </c>
      <c r="CN128" s="331">
        <f t="shared" ca="1" si="141"/>
        <v>-551900</v>
      </c>
      <c r="CO128" s="86"/>
      <c r="CP128" s="86"/>
      <c r="CQ128" s="1641"/>
      <c r="CR128" s="86"/>
      <c r="CS128" s="86"/>
      <c r="CT128" s="86"/>
      <c r="CU128" s="86"/>
      <c r="CV128" s="86"/>
      <c r="CW128" s="86"/>
      <c r="CX128" s="86"/>
      <c r="CY128" s="86"/>
      <c r="CZ128" s="86"/>
      <c r="DA128" s="86"/>
      <c r="DB128" s="1642"/>
      <c r="DC128" s="1642"/>
      <c r="DD128" s="30"/>
      <c r="DE128" s="30"/>
      <c r="DF128" s="30"/>
      <c r="DG128" s="1642"/>
      <c r="DH128" s="1642"/>
      <c r="DI128" s="1642"/>
      <c r="DJ128" s="1642"/>
      <c r="DK128" s="1642"/>
      <c r="DL128" s="1642"/>
      <c r="DM128" s="1642"/>
      <c r="DN128" s="1642"/>
      <c r="DO128" s="1642"/>
      <c r="DP128" s="1642"/>
      <c r="DQ128" s="1642"/>
      <c r="DR128" s="1642"/>
      <c r="DS128" s="1642"/>
      <c r="DT128" s="1642"/>
      <c r="DU128" s="1642"/>
      <c r="DV128" s="1642"/>
      <c r="DW128" s="1642"/>
      <c r="DX128" s="1642"/>
      <c r="DY128" s="1642"/>
      <c r="DZ128" s="1642"/>
      <c r="EA128" s="1642"/>
      <c r="EB128" s="1642"/>
      <c r="EC128" s="1642"/>
      <c r="ED128" s="1642"/>
      <c r="EE128" s="1642"/>
      <c r="EF128" s="1642"/>
      <c r="EG128" s="1642"/>
      <c r="EH128" s="1643"/>
      <c r="EI128" s="1658"/>
      <c r="EJ128" s="30"/>
      <c r="EK128" s="30"/>
      <c r="EL128" s="30"/>
      <c r="EM128" s="30"/>
      <c r="EN128" s="30"/>
      <c r="EO128" s="30"/>
      <c r="EP128" s="30"/>
      <c r="EQ128" s="30"/>
      <c r="ER128" s="30"/>
      <c r="ES128" s="30"/>
      <c r="ET128" s="30"/>
      <c r="EU128" s="30"/>
      <c r="EV128" s="30"/>
      <c r="EW128" s="30"/>
      <c r="EX128" s="30"/>
      <c r="EY128" s="30"/>
      <c r="EZ128" s="30"/>
      <c r="FA128" s="30"/>
      <c r="FB128" s="30"/>
      <c r="FC128" s="30"/>
      <c r="FD128" s="30"/>
      <c r="FE128" s="30"/>
      <c r="FF128" s="30"/>
      <c r="FG128" s="30"/>
      <c r="FH128" s="30"/>
      <c r="FI128" s="30"/>
      <c r="FJ128" s="30"/>
      <c r="FK128" s="30"/>
      <c r="FL128" s="30"/>
      <c r="FM128" s="30"/>
      <c r="FN128" s="30"/>
      <c r="FO128" s="30"/>
      <c r="FP128" s="30"/>
      <c r="FQ128" s="30"/>
      <c r="FR128" s="30"/>
      <c r="FS128" s="30"/>
      <c r="FT128" s="30"/>
      <c r="FU128" s="30"/>
      <c r="FV128" s="30"/>
      <c r="FW128" s="30"/>
      <c r="FX128" s="30"/>
      <c r="FY128" s="30"/>
      <c r="FZ128" s="30"/>
      <c r="GA128" s="30"/>
      <c r="GB128" s="30"/>
      <c r="GC128" s="30"/>
      <c r="GD128" s="30"/>
      <c r="GE128" s="30"/>
      <c r="GF128" s="30"/>
      <c r="GG128" s="30"/>
      <c r="GH128" s="30"/>
      <c r="GI128" s="30"/>
      <c r="GJ128" s="30"/>
      <c r="GK128" s="30"/>
      <c r="GL128" s="30"/>
      <c r="GM128" s="30"/>
      <c r="GN128" s="30"/>
      <c r="GO128" s="30"/>
      <c r="GP128" s="30"/>
      <c r="GQ128" s="30"/>
      <c r="GR128" s="30"/>
      <c r="GS128" s="30"/>
      <c r="GT128" s="30"/>
      <c r="GU128" s="30"/>
      <c r="GV128" s="30"/>
      <c r="GW128" s="30"/>
      <c r="GX128" s="30"/>
      <c r="GY128" s="30"/>
      <c r="GZ128" s="30"/>
      <c r="HA128" s="30"/>
      <c r="HB128" s="30"/>
      <c r="HC128" s="30"/>
      <c r="HD128" s="30"/>
      <c r="HE128" s="30"/>
      <c r="HF128" s="30"/>
      <c r="HG128" s="30"/>
      <c r="HH128" s="30"/>
      <c r="HI128" s="30"/>
      <c r="HJ128" s="30"/>
      <c r="HK128" s="30"/>
      <c r="HL128" s="30"/>
      <c r="HM128" s="30"/>
      <c r="HN128" s="30"/>
      <c r="HO128" s="30"/>
      <c r="HP128" s="30"/>
      <c r="HQ128" s="30"/>
      <c r="HR128" s="30"/>
      <c r="HS128" s="30"/>
      <c r="HT128" s="30"/>
      <c r="HU128" s="30"/>
      <c r="HV128" s="30"/>
      <c r="HW128" s="30"/>
      <c r="HX128" s="30"/>
      <c r="HY128" s="30"/>
      <c r="HZ128" s="30"/>
      <c r="IA128" s="30"/>
      <c r="IB128" s="30"/>
      <c r="IC128" s="30"/>
      <c r="ID128" s="30"/>
      <c r="IE128" s="30"/>
      <c r="IF128" s="30"/>
      <c r="IG128" s="30"/>
      <c r="IH128" s="30"/>
      <c r="II128" s="30"/>
      <c r="IJ128" s="30"/>
      <c r="IK128" s="30"/>
      <c r="IL128" s="30"/>
      <c r="IM128" s="30"/>
      <c r="IN128" s="30"/>
      <c r="IO128" s="30"/>
      <c r="IP128" s="30"/>
      <c r="IQ128" s="30"/>
      <c r="IR128" s="30"/>
      <c r="IS128" s="30"/>
      <c r="IT128" s="30"/>
      <c r="IU128" s="30"/>
      <c r="IV128" s="30"/>
      <c r="IW128" s="30"/>
      <c r="IX128" s="30"/>
      <c r="IY128" s="30"/>
      <c r="IZ128" s="30"/>
      <c r="JA128" s="30"/>
      <c r="JB128" s="30"/>
      <c r="JC128" s="30"/>
      <c r="JD128" s="30"/>
      <c r="JE128" s="30"/>
      <c r="JF128" s="30"/>
      <c r="JG128" s="30"/>
      <c r="JH128" s="30"/>
      <c r="JI128" s="30"/>
      <c r="JJ128" s="30"/>
      <c r="JK128" s="30"/>
      <c r="JL128" s="30"/>
      <c r="JM128" s="30"/>
      <c r="JN128" s="30"/>
      <c r="JO128" s="30"/>
      <c r="JP128" s="30"/>
      <c r="JQ128" s="30"/>
      <c r="JR128" s="30"/>
      <c r="JS128" s="30"/>
      <c r="JT128" s="30"/>
      <c r="JU128" s="30"/>
      <c r="JV128" s="30"/>
      <c r="JW128" s="30"/>
      <c r="JX128" s="30"/>
      <c r="JY128" s="30"/>
      <c r="JZ128" s="30"/>
      <c r="KA128" s="30"/>
      <c r="KB128" s="30"/>
      <c r="KC128" s="30"/>
      <c r="KD128" s="30"/>
      <c r="KE128" s="30"/>
      <c r="KF128" s="30"/>
      <c r="KG128" s="30"/>
      <c r="KH128" s="30"/>
      <c r="KI128" s="30"/>
      <c r="KJ128" s="30"/>
      <c r="KK128" s="30"/>
      <c r="KL128" s="30"/>
      <c r="KM128" s="30"/>
      <c r="KN128" s="30"/>
      <c r="KO128" s="30"/>
      <c r="KP128" s="1630"/>
    </row>
    <row r="129" spans="1:302" s="97" customFormat="1" ht="13.15" outlineLevel="1">
      <c r="A129" s="2656" t="s">
        <v>815</v>
      </c>
      <c r="B129" s="1689"/>
      <c r="C129" s="262"/>
      <c r="D129" s="1689"/>
      <c r="E129" s="262"/>
      <c r="F129" s="347"/>
      <c r="G129" s="348"/>
      <c r="H129" s="349" t="s">
        <v>26</v>
      </c>
      <c r="I129" s="2936"/>
      <c r="J129" s="362" t="s">
        <v>26</v>
      </c>
      <c r="K129" s="1745"/>
      <c r="L129" s="383"/>
      <c r="M129" s="383"/>
      <c r="N129" s="383"/>
      <c r="O129" s="1510"/>
      <c r="P129" s="383"/>
      <c r="Q129" s="383"/>
      <c r="R129" s="383"/>
      <c r="S129" s="1510">
        <f t="shared" si="99"/>
        <v>0</v>
      </c>
      <c r="T129" s="389"/>
      <c r="U129" s="1746"/>
      <c r="V129" s="1746"/>
      <c r="W129" s="1744">
        <f t="shared" si="92"/>
        <v>0</v>
      </c>
      <c r="X129" s="359" t="s">
        <v>26</v>
      </c>
      <c r="Y129" s="389"/>
      <c r="Z129" s="1746"/>
      <c r="AA129" s="1509"/>
      <c r="AB129" s="1510">
        <f t="shared" si="97"/>
        <v>0</v>
      </c>
      <c r="AC129" s="1680"/>
      <c r="AD129" s="1460"/>
      <c r="AE129" s="1688"/>
      <c r="AF129" s="1686"/>
      <c r="AG129" s="1686"/>
      <c r="AH129" s="354">
        <f t="shared" si="149"/>
        <v>0</v>
      </c>
      <c r="AI129" s="355">
        <f t="shared" ca="1" si="94"/>
        <v>0</v>
      </c>
      <c r="AJ129" s="356" t="str">
        <f t="shared" si="150"/>
        <v/>
      </c>
      <c r="AK129" s="2185"/>
      <c r="AL129" s="260"/>
      <c r="AM129" s="2258"/>
      <c r="AN129" s="2258"/>
      <c r="AO129" s="359"/>
      <c r="AP129" s="359"/>
      <c r="AQ129" s="359"/>
      <c r="AR129" s="359"/>
      <c r="AS129" s="359"/>
      <c r="AT129" s="390"/>
      <c r="AU129" s="359"/>
      <c r="AV129" s="359"/>
      <c r="AW129" s="377"/>
      <c r="AX129" s="359"/>
      <c r="AY129" s="2316"/>
      <c r="AZ129" s="2273"/>
      <c r="BA129" s="497"/>
      <c r="BB129" s="359"/>
      <c r="BC129" s="359"/>
      <c r="BD129" s="359"/>
      <c r="BE129" s="362"/>
      <c r="BF129" s="362"/>
      <c r="BG129" s="362"/>
      <c r="BH129" s="362"/>
      <c r="BI129" s="414"/>
      <c r="BJ129" s="362"/>
      <c r="BK129" s="2123"/>
      <c r="BL129" s="414"/>
      <c r="BM129" s="414"/>
      <c r="BN129" s="414"/>
      <c r="BO129" s="414"/>
      <c r="BP129" s="414"/>
      <c r="BQ129" s="2399"/>
      <c r="BR129" s="362"/>
      <c r="BS129" s="362"/>
      <c r="BT129" s="362"/>
      <c r="BU129" s="364"/>
      <c r="BV129" s="364"/>
      <c r="BW129" s="2366"/>
      <c r="BX129" s="2463"/>
      <c r="BY129" s="2543"/>
      <c r="BZ129" s="2543"/>
      <c r="CA129" s="2591">
        <f t="shared" ref="CA129:CA139" si="164">SUMIF($AM$10:$BZ$10,$CA$9,AM129:BZ129)</f>
        <v>0</v>
      </c>
      <c r="CB129" s="2377" t="str">
        <f t="shared" ref="CB129:CB139" si="165">IF($AB129&lt;&gt;0,CA129/$AB129,"")</f>
        <v/>
      </c>
      <c r="CC129" s="365" t="str">
        <f t="shared" ref="CC129:CC139" si="166">IF($AB129&lt;&gt;0,CB129/$AB129,"")</f>
        <v/>
      </c>
      <c r="CD129" s="365"/>
      <c r="CE129" s="365"/>
      <c r="CF129" s="365"/>
      <c r="CG129" s="340"/>
      <c r="CH129" s="367"/>
      <c r="CI129" s="368"/>
      <c r="CJ129" s="368"/>
      <c r="CK129" s="369"/>
      <c r="CL129" s="329">
        <f t="shared" ref="CL129:CL139" si="167">O129-CA129</f>
        <v>0</v>
      </c>
      <c r="CM129" s="330">
        <f t="shared" ref="CM129:CM139" ca="1" si="168">CA129+AI129-AB129</f>
        <v>0</v>
      </c>
      <c r="CN129" s="331">
        <f t="shared" ref="CN129:CN141" ca="1" si="169">SUM(AN129:AY129)-CA129-AI129</f>
        <v>0</v>
      </c>
      <c r="CO129" s="86"/>
      <c r="CP129" s="86"/>
      <c r="CQ129" s="1641"/>
      <c r="CR129" s="86"/>
      <c r="CS129" s="86"/>
      <c r="CT129" s="86"/>
      <c r="CU129" s="86"/>
      <c r="CV129" s="86"/>
      <c r="CW129" s="86"/>
      <c r="CX129" s="86"/>
      <c r="CY129" s="86"/>
      <c r="CZ129" s="86"/>
      <c r="DA129" s="86"/>
      <c r="DB129" s="1642"/>
      <c r="DC129" s="1642"/>
      <c r="DD129" s="30"/>
      <c r="DE129" s="30"/>
      <c r="DF129" s="30"/>
      <c r="DG129" s="1642"/>
      <c r="DH129" s="1642"/>
      <c r="DI129" s="1642"/>
      <c r="DJ129" s="1642"/>
      <c r="DK129" s="1642"/>
      <c r="DL129" s="1642"/>
      <c r="DM129" s="1642"/>
      <c r="DN129" s="1642"/>
      <c r="DO129" s="1642"/>
      <c r="DP129" s="1642"/>
      <c r="DQ129" s="1642"/>
      <c r="DR129" s="1642"/>
      <c r="DS129" s="1642"/>
      <c r="DT129" s="1642"/>
      <c r="DU129" s="1642"/>
      <c r="DV129" s="1642"/>
      <c r="DW129" s="1642"/>
      <c r="DX129" s="1642"/>
      <c r="DY129" s="1642"/>
      <c r="DZ129" s="1642"/>
      <c r="EA129" s="1642"/>
      <c r="EB129" s="1642"/>
      <c r="EC129" s="1642"/>
      <c r="ED129" s="1642"/>
      <c r="EE129" s="1642"/>
      <c r="EF129" s="1642"/>
      <c r="EG129" s="1642"/>
      <c r="EH129" s="1643"/>
      <c r="EI129" s="1658"/>
      <c r="EJ129" s="30"/>
      <c r="EK129" s="30"/>
      <c r="EL129" s="30"/>
      <c r="EM129" s="30"/>
      <c r="EN129" s="30"/>
      <c r="EO129" s="30"/>
      <c r="EP129" s="30"/>
      <c r="EQ129" s="30"/>
      <c r="ER129" s="30"/>
      <c r="ES129" s="30"/>
      <c r="ET129" s="30"/>
      <c r="EU129" s="30"/>
      <c r="EV129" s="30"/>
      <c r="EW129" s="30"/>
      <c r="EX129" s="30"/>
      <c r="EY129" s="30"/>
      <c r="EZ129" s="30"/>
      <c r="FA129" s="30"/>
      <c r="FB129" s="30"/>
      <c r="FC129" s="30"/>
      <c r="FD129" s="30"/>
      <c r="FE129" s="30"/>
      <c r="FF129" s="30"/>
      <c r="FG129" s="30"/>
      <c r="FH129" s="30"/>
      <c r="FI129" s="30"/>
      <c r="FJ129" s="30"/>
      <c r="FK129" s="30"/>
      <c r="FL129" s="30"/>
      <c r="FM129" s="30"/>
      <c r="FN129" s="30"/>
      <c r="FO129" s="30"/>
      <c r="FP129" s="30"/>
      <c r="FQ129" s="30"/>
      <c r="FR129" s="30"/>
      <c r="FS129" s="30"/>
      <c r="FT129" s="30"/>
      <c r="FU129" s="30"/>
      <c r="FV129" s="30"/>
      <c r="FW129" s="30"/>
      <c r="FX129" s="30"/>
      <c r="FY129" s="30"/>
      <c r="FZ129" s="30"/>
      <c r="GA129" s="30"/>
      <c r="GB129" s="30"/>
      <c r="GC129" s="30"/>
      <c r="GD129" s="30"/>
      <c r="GE129" s="30"/>
      <c r="GF129" s="30"/>
      <c r="GG129" s="30"/>
      <c r="GH129" s="30"/>
      <c r="GI129" s="30"/>
      <c r="GJ129" s="30"/>
      <c r="GK129" s="30"/>
      <c r="GL129" s="30"/>
      <c r="GM129" s="30"/>
      <c r="GN129" s="30"/>
      <c r="GO129" s="30"/>
      <c r="GP129" s="30"/>
      <c r="GQ129" s="30"/>
      <c r="GR129" s="30"/>
      <c r="GS129" s="30"/>
      <c r="GT129" s="30"/>
      <c r="GU129" s="30"/>
      <c r="GV129" s="30"/>
      <c r="GW129" s="30"/>
      <c r="GX129" s="30"/>
      <c r="GY129" s="30"/>
      <c r="GZ129" s="30"/>
      <c r="HA129" s="30"/>
      <c r="HB129" s="30"/>
      <c r="HC129" s="30"/>
      <c r="HD129" s="30"/>
      <c r="HE129" s="30"/>
      <c r="HF129" s="30"/>
      <c r="HG129" s="30"/>
      <c r="HH129" s="30"/>
      <c r="HI129" s="30"/>
      <c r="HJ129" s="30"/>
      <c r="HK129" s="30"/>
      <c r="HL129" s="30"/>
      <c r="HM129" s="30"/>
      <c r="HN129" s="30"/>
      <c r="HO129" s="30"/>
      <c r="HP129" s="30"/>
      <c r="HQ129" s="30"/>
      <c r="HR129" s="30"/>
      <c r="HS129" s="30"/>
      <c r="HT129" s="30"/>
      <c r="HU129" s="30"/>
      <c r="HV129" s="30"/>
      <c r="HW129" s="30"/>
      <c r="HX129" s="30"/>
      <c r="HY129" s="30"/>
      <c r="HZ129" s="30"/>
      <c r="IA129" s="30"/>
      <c r="IB129" s="30"/>
      <c r="IC129" s="30"/>
      <c r="ID129" s="30"/>
      <c r="IE129" s="30"/>
      <c r="IF129" s="30"/>
      <c r="IG129" s="30"/>
      <c r="IH129" s="30"/>
      <c r="II129" s="30"/>
      <c r="IJ129" s="30"/>
      <c r="IK129" s="30"/>
      <c r="IL129" s="30"/>
      <c r="IM129" s="30"/>
      <c r="IN129" s="30"/>
      <c r="IO129" s="30"/>
      <c r="IP129" s="30"/>
      <c r="IQ129" s="30"/>
      <c r="IR129" s="30"/>
      <c r="IS129" s="30"/>
      <c r="IT129" s="30"/>
      <c r="IU129" s="30"/>
      <c r="IV129" s="30"/>
      <c r="IW129" s="30"/>
      <c r="IX129" s="30"/>
      <c r="IY129" s="30"/>
      <c r="IZ129" s="30"/>
      <c r="JA129" s="30"/>
      <c r="JB129" s="30"/>
      <c r="JC129" s="30"/>
      <c r="JD129" s="30"/>
      <c r="JE129" s="30"/>
      <c r="JF129" s="30"/>
      <c r="JG129" s="30"/>
      <c r="JH129" s="30"/>
      <c r="JI129" s="30"/>
      <c r="JJ129" s="30"/>
      <c r="JK129" s="30"/>
      <c r="JL129" s="30"/>
      <c r="JM129" s="30"/>
      <c r="JN129" s="30"/>
      <c r="JO129" s="30"/>
      <c r="JP129" s="30"/>
      <c r="JQ129" s="30"/>
      <c r="JR129" s="30"/>
      <c r="JS129" s="30"/>
      <c r="JT129" s="30"/>
      <c r="JU129" s="30"/>
      <c r="JV129" s="30"/>
      <c r="JW129" s="30"/>
      <c r="JX129" s="30"/>
      <c r="JY129" s="30"/>
      <c r="JZ129" s="30"/>
      <c r="KA129" s="30"/>
      <c r="KB129" s="30"/>
      <c r="KC129" s="30"/>
      <c r="KD129" s="30"/>
      <c r="KE129" s="30"/>
      <c r="KF129" s="30"/>
      <c r="KG129" s="30"/>
      <c r="KH129" s="30"/>
      <c r="KI129" s="30"/>
      <c r="KJ129" s="30"/>
      <c r="KK129" s="30"/>
      <c r="KL129" s="30"/>
      <c r="KM129" s="30"/>
      <c r="KN129" s="30"/>
      <c r="KO129" s="30"/>
      <c r="KP129" s="1630"/>
    </row>
    <row r="130" spans="1:302" s="97" customFormat="1" ht="13.9" outlineLevel="1">
      <c r="A130" s="2658" t="s">
        <v>263</v>
      </c>
      <c r="B130" s="2604"/>
      <c r="C130" s="2587" t="s">
        <v>723</v>
      </c>
      <c r="D130" s="2587" t="s">
        <v>724</v>
      </c>
      <c r="E130" s="262"/>
      <c r="F130" s="347"/>
      <c r="G130" s="348"/>
      <c r="H130" s="349" t="s">
        <v>26</v>
      </c>
      <c r="I130" s="2936">
        <v>10970149</v>
      </c>
      <c r="J130" s="362" t="s">
        <v>26</v>
      </c>
      <c r="K130" s="1745"/>
      <c r="L130" s="383"/>
      <c r="M130" s="383"/>
      <c r="N130" s="383"/>
      <c r="O130" s="1510"/>
      <c r="P130" s="383"/>
      <c r="Q130" s="383"/>
      <c r="R130" s="383"/>
      <c r="S130" s="1510">
        <f t="shared" si="99"/>
        <v>0</v>
      </c>
      <c r="T130" s="389"/>
      <c r="U130" s="1746"/>
      <c r="V130" s="1746"/>
      <c r="W130" s="1744">
        <f t="shared" si="92"/>
        <v>0</v>
      </c>
      <c r="X130" s="359" t="s">
        <v>26</v>
      </c>
      <c r="Y130" s="389"/>
      <c r="Z130" s="1746"/>
      <c r="AA130" s="1509"/>
      <c r="AB130" s="1510">
        <f t="shared" si="97"/>
        <v>0</v>
      </c>
      <c r="AC130" s="1680"/>
      <c r="AD130" s="1460"/>
      <c r="AE130" s="1688"/>
      <c r="AF130" s="1686"/>
      <c r="AG130" s="1686"/>
      <c r="AH130" s="354">
        <f t="shared" si="149"/>
        <v>0</v>
      </c>
      <c r="AI130" s="355">
        <f t="shared" ca="1" si="94"/>
        <v>0</v>
      </c>
      <c r="AJ130" s="356" t="str">
        <f t="shared" si="150"/>
        <v/>
      </c>
      <c r="AK130" s="2185"/>
      <c r="AL130" s="260"/>
      <c r="AM130" s="2258"/>
      <c r="AN130" s="2258"/>
      <c r="AO130" s="359"/>
      <c r="AP130" s="359"/>
      <c r="AQ130" s="359"/>
      <c r="AR130" s="359"/>
      <c r="AS130" s="359"/>
      <c r="AT130" s="390"/>
      <c r="AU130" s="359"/>
      <c r="AV130" s="359"/>
      <c r="AW130" s="377"/>
      <c r="AX130" s="359"/>
      <c r="AY130" s="2316"/>
      <c r="AZ130" s="2273"/>
      <c r="BA130" s="497"/>
      <c r="BB130" s="359"/>
      <c r="BC130" s="359"/>
      <c r="BD130" s="359"/>
      <c r="BE130" s="362"/>
      <c r="BF130" s="362"/>
      <c r="BG130" s="362"/>
      <c r="BH130" s="362"/>
      <c r="BI130" s="414"/>
      <c r="BJ130" s="362"/>
      <c r="BK130" s="2123"/>
      <c r="BL130" s="414"/>
      <c r="BM130" s="414"/>
      <c r="BN130" s="414"/>
      <c r="BO130" s="414"/>
      <c r="BP130" s="414"/>
      <c r="BQ130" s="2399"/>
      <c r="BR130" s="362"/>
      <c r="BS130" s="362"/>
      <c r="BT130" s="362"/>
      <c r="BU130" s="364"/>
      <c r="BV130" s="364"/>
      <c r="BW130" s="2366"/>
      <c r="BX130" s="2463"/>
      <c r="BY130" s="2543"/>
      <c r="BZ130" s="2543"/>
      <c r="CA130" s="2591">
        <f t="shared" si="164"/>
        <v>0</v>
      </c>
      <c r="CB130" s="2377" t="str">
        <f t="shared" si="165"/>
        <v/>
      </c>
      <c r="CC130" s="365" t="str">
        <f t="shared" si="166"/>
        <v/>
      </c>
      <c r="CD130" s="365"/>
      <c r="CE130" s="365"/>
      <c r="CF130" s="365"/>
      <c r="CG130" s="340"/>
      <c r="CH130" s="367"/>
      <c r="CI130" s="368"/>
      <c r="CJ130" s="368"/>
      <c r="CK130" s="369"/>
      <c r="CL130" s="329">
        <f t="shared" si="167"/>
        <v>0</v>
      </c>
      <c r="CM130" s="330">
        <f t="shared" ca="1" si="168"/>
        <v>0</v>
      </c>
      <c r="CN130" s="331">
        <f t="shared" ca="1" si="169"/>
        <v>0</v>
      </c>
      <c r="CO130" s="86"/>
      <c r="CP130" s="86"/>
      <c r="CQ130" s="1641"/>
      <c r="CR130" s="86"/>
      <c r="CS130" s="86"/>
      <c r="CT130" s="86"/>
      <c r="CU130" s="86"/>
      <c r="CV130" s="86"/>
      <c r="CW130" s="86"/>
      <c r="CX130" s="86"/>
      <c r="CY130" s="86"/>
      <c r="CZ130" s="86"/>
      <c r="DA130" s="86"/>
      <c r="DB130" s="1642"/>
      <c r="DC130" s="1642"/>
      <c r="DD130" s="30"/>
      <c r="DE130" s="30"/>
      <c r="DF130" s="30"/>
      <c r="DG130" s="1642"/>
      <c r="DH130" s="1642"/>
      <c r="DI130" s="1642"/>
      <c r="DJ130" s="1642"/>
      <c r="DK130" s="1642"/>
      <c r="DL130" s="1642"/>
      <c r="DM130" s="1642"/>
      <c r="DN130" s="1642"/>
      <c r="DO130" s="1642"/>
      <c r="DP130" s="1642"/>
      <c r="DQ130" s="1642"/>
      <c r="DR130" s="1642"/>
      <c r="DS130" s="1642"/>
      <c r="DT130" s="1642"/>
      <c r="DU130" s="1642"/>
      <c r="DV130" s="1642"/>
      <c r="DW130" s="1642"/>
      <c r="DX130" s="1642"/>
      <c r="DY130" s="1642"/>
      <c r="DZ130" s="1642"/>
      <c r="EA130" s="1642"/>
      <c r="EB130" s="1642"/>
      <c r="EC130" s="1642"/>
      <c r="ED130" s="1642"/>
      <c r="EE130" s="1642"/>
      <c r="EF130" s="1642"/>
      <c r="EG130" s="1642"/>
      <c r="EH130" s="1643"/>
      <c r="EI130" s="1658"/>
      <c r="EJ130" s="30"/>
      <c r="EK130" s="30"/>
      <c r="EL130" s="30"/>
      <c r="EM130" s="30"/>
      <c r="EN130" s="30"/>
      <c r="EO130" s="30"/>
      <c r="EP130" s="30"/>
      <c r="EQ130" s="30"/>
      <c r="ER130" s="30"/>
      <c r="ES130" s="30"/>
      <c r="ET130" s="30"/>
      <c r="EU130" s="30"/>
      <c r="EV130" s="30"/>
      <c r="EW130" s="30"/>
      <c r="EX130" s="30"/>
      <c r="EY130" s="30"/>
      <c r="EZ130" s="30"/>
      <c r="FA130" s="30"/>
      <c r="FB130" s="30"/>
      <c r="FC130" s="30"/>
      <c r="FD130" s="30"/>
      <c r="FE130" s="30"/>
      <c r="FF130" s="30"/>
      <c r="FG130" s="30"/>
      <c r="FH130" s="30"/>
      <c r="FI130" s="30"/>
      <c r="FJ130" s="30"/>
      <c r="FK130" s="30"/>
      <c r="FL130" s="30"/>
      <c r="FM130" s="30"/>
      <c r="FN130" s="30"/>
      <c r="FO130" s="30"/>
      <c r="FP130" s="30"/>
      <c r="FQ130" s="30"/>
      <c r="FR130" s="30"/>
      <c r="FS130" s="30"/>
      <c r="FT130" s="30"/>
      <c r="FU130" s="30"/>
      <c r="FV130" s="30"/>
      <c r="FW130" s="30"/>
      <c r="FX130" s="30"/>
      <c r="FY130" s="30"/>
      <c r="FZ130" s="30"/>
      <c r="GA130" s="30"/>
      <c r="GB130" s="30"/>
      <c r="GC130" s="30"/>
      <c r="GD130" s="30"/>
      <c r="GE130" s="30"/>
      <c r="GF130" s="30"/>
      <c r="GG130" s="30"/>
      <c r="GH130" s="30"/>
      <c r="GI130" s="30"/>
      <c r="GJ130" s="30"/>
      <c r="GK130" s="30"/>
      <c r="GL130" s="30"/>
      <c r="GM130" s="30"/>
      <c r="GN130" s="30"/>
      <c r="GO130" s="30"/>
      <c r="GP130" s="30"/>
      <c r="GQ130" s="30"/>
      <c r="GR130" s="30"/>
      <c r="GS130" s="30"/>
      <c r="GT130" s="30"/>
      <c r="GU130" s="30"/>
      <c r="GV130" s="30"/>
      <c r="GW130" s="30"/>
      <c r="GX130" s="30"/>
      <c r="GY130" s="30"/>
      <c r="GZ130" s="30"/>
      <c r="HA130" s="30"/>
      <c r="HB130" s="30"/>
      <c r="HC130" s="30"/>
      <c r="HD130" s="30"/>
      <c r="HE130" s="30"/>
      <c r="HF130" s="30"/>
      <c r="HG130" s="30"/>
      <c r="HH130" s="30"/>
      <c r="HI130" s="30"/>
      <c r="HJ130" s="30"/>
      <c r="HK130" s="30"/>
      <c r="HL130" s="30"/>
      <c r="HM130" s="30"/>
      <c r="HN130" s="30"/>
      <c r="HO130" s="30"/>
      <c r="HP130" s="30"/>
      <c r="HQ130" s="30"/>
      <c r="HR130" s="30"/>
      <c r="HS130" s="30"/>
      <c r="HT130" s="30"/>
      <c r="HU130" s="30"/>
      <c r="HV130" s="30"/>
      <c r="HW130" s="30"/>
      <c r="HX130" s="30"/>
      <c r="HY130" s="30"/>
      <c r="HZ130" s="30"/>
      <c r="IA130" s="30"/>
      <c r="IB130" s="30"/>
      <c r="IC130" s="30"/>
      <c r="ID130" s="30"/>
      <c r="IE130" s="30"/>
      <c r="IF130" s="30"/>
      <c r="IG130" s="30"/>
      <c r="IH130" s="30"/>
      <c r="II130" s="30"/>
      <c r="IJ130" s="30"/>
      <c r="IK130" s="30"/>
      <c r="IL130" s="30"/>
      <c r="IM130" s="30"/>
      <c r="IN130" s="30"/>
      <c r="IO130" s="30"/>
      <c r="IP130" s="30"/>
      <c r="IQ130" s="30"/>
      <c r="IR130" s="30"/>
      <c r="IS130" s="30"/>
      <c r="IT130" s="30"/>
      <c r="IU130" s="30"/>
      <c r="IV130" s="30"/>
      <c r="IW130" s="30"/>
      <c r="IX130" s="30"/>
      <c r="IY130" s="30"/>
      <c r="IZ130" s="30"/>
      <c r="JA130" s="30"/>
      <c r="JB130" s="30"/>
      <c r="JC130" s="30"/>
      <c r="JD130" s="30"/>
      <c r="JE130" s="30"/>
      <c r="JF130" s="30"/>
      <c r="JG130" s="30"/>
      <c r="JH130" s="30"/>
      <c r="JI130" s="30"/>
      <c r="JJ130" s="30"/>
      <c r="JK130" s="30"/>
      <c r="JL130" s="30"/>
      <c r="JM130" s="30"/>
      <c r="JN130" s="30"/>
      <c r="JO130" s="30"/>
      <c r="JP130" s="30"/>
      <c r="JQ130" s="30"/>
      <c r="JR130" s="30"/>
      <c r="JS130" s="30"/>
      <c r="JT130" s="30"/>
      <c r="JU130" s="30"/>
      <c r="JV130" s="30"/>
      <c r="JW130" s="30"/>
      <c r="JX130" s="30"/>
      <c r="JY130" s="30"/>
      <c r="JZ130" s="30"/>
      <c r="KA130" s="30"/>
      <c r="KB130" s="30"/>
      <c r="KC130" s="30"/>
      <c r="KD130" s="30"/>
      <c r="KE130" s="30"/>
      <c r="KF130" s="30"/>
      <c r="KG130" s="30"/>
      <c r="KH130" s="30"/>
      <c r="KI130" s="30"/>
      <c r="KJ130" s="30"/>
      <c r="KK130" s="30"/>
      <c r="KL130" s="30"/>
      <c r="KM130" s="30"/>
      <c r="KN130" s="30"/>
      <c r="KO130" s="30"/>
      <c r="KP130" s="1630"/>
    </row>
    <row r="131" spans="1:302" s="97" customFormat="1" ht="13.15" outlineLevel="1">
      <c r="A131" s="2656" t="s">
        <v>810</v>
      </c>
      <c r="B131" s="1689"/>
      <c r="C131" s="262" t="s">
        <v>725</v>
      </c>
      <c r="D131" s="1689" t="s">
        <v>726</v>
      </c>
      <c r="E131" s="262"/>
      <c r="F131" s="347"/>
      <c r="G131" s="348"/>
      <c r="H131" s="349" t="s">
        <v>26</v>
      </c>
      <c r="I131" s="2936"/>
      <c r="J131" s="362" t="s">
        <v>26</v>
      </c>
      <c r="K131" s="1745"/>
      <c r="L131" s="383"/>
      <c r="M131" s="383"/>
      <c r="N131" s="383"/>
      <c r="O131" s="1510">
        <v>4457840</v>
      </c>
      <c r="P131" s="383"/>
      <c r="Q131" s="383"/>
      <c r="R131" s="383"/>
      <c r="S131" s="1510">
        <f t="shared" si="99"/>
        <v>0</v>
      </c>
      <c r="T131" s="389"/>
      <c r="U131" s="1746"/>
      <c r="V131" s="1746"/>
      <c r="W131" s="1744">
        <f t="shared" si="92"/>
        <v>4457840</v>
      </c>
      <c r="X131" s="359" t="s">
        <v>26</v>
      </c>
      <c r="Y131" s="389"/>
      <c r="Z131" s="1746"/>
      <c r="AA131" s="1509"/>
      <c r="AB131" s="1510">
        <f t="shared" si="97"/>
        <v>4457840.0019999994</v>
      </c>
      <c r="AC131" s="1680"/>
      <c r="AD131" s="1460"/>
      <c r="AE131" s="1688"/>
      <c r="AF131" s="1686"/>
      <c r="AG131" s="1686"/>
      <c r="AH131" s="354">
        <f t="shared" si="149"/>
        <v>0</v>
      </c>
      <c r="AI131" s="355">
        <f t="shared" ref="AI131:AI142" ca="1" si="170">SUMIF($AM$10:$BZ$10,$AI$9,AM131:BT131)</f>
        <v>0</v>
      </c>
      <c r="AJ131" s="356">
        <f t="shared" ca="1" si="150"/>
        <v>0</v>
      </c>
      <c r="AK131" s="2185"/>
      <c r="AL131" s="260"/>
      <c r="AM131" s="2258"/>
      <c r="AN131" s="2258"/>
      <c r="AO131" s="359"/>
      <c r="AP131" s="359"/>
      <c r="AQ131" s="359"/>
      <c r="AR131" s="359"/>
      <c r="AS131" s="359"/>
      <c r="AT131" s="390"/>
      <c r="AU131" s="359"/>
      <c r="AV131" s="359"/>
      <c r="AW131" s="377"/>
      <c r="AX131" s="359"/>
      <c r="AY131" s="2316"/>
      <c r="AZ131" s="2273"/>
      <c r="BA131" s="497"/>
      <c r="BB131" s="359"/>
      <c r="BC131" s="359"/>
      <c r="BD131" s="359"/>
      <c r="BE131" s="362">
        <v>636834.28599999996</v>
      </c>
      <c r="BF131" s="362">
        <v>636834.28599999996</v>
      </c>
      <c r="BG131" s="362">
        <v>636834.28599999996</v>
      </c>
      <c r="BH131" s="362">
        <v>636834.28599999996</v>
      </c>
      <c r="BI131" s="414">
        <v>636834.28599999996</v>
      </c>
      <c r="BJ131" s="362">
        <v>636834.28599999996</v>
      </c>
      <c r="BK131" s="2123">
        <v>636834.28599999996</v>
      </c>
      <c r="BL131" s="414"/>
      <c r="BM131" s="414"/>
      <c r="BN131" s="414"/>
      <c r="BO131" s="414"/>
      <c r="BP131" s="414"/>
      <c r="BQ131" s="2399"/>
      <c r="BR131" s="362"/>
      <c r="BS131" s="362"/>
      <c r="BT131" s="362"/>
      <c r="BU131" s="364"/>
      <c r="BV131" s="364"/>
      <c r="BW131" s="2366"/>
      <c r="BX131" s="2463"/>
      <c r="BY131" s="2543"/>
      <c r="BZ131" s="2543"/>
      <c r="CA131" s="2591">
        <f t="shared" si="164"/>
        <v>4457840.0019999994</v>
      </c>
      <c r="CB131" s="2377">
        <f t="shared" si="165"/>
        <v>1</v>
      </c>
      <c r="CC131" s="365">
        <f t="shared" si="166"/>
        <v>2.243238877015219E-7</v>
      </c>
      <c r="CD131" s="365"/>
      <c r="CE131" s="365"/>
      <c r="CF131" s="365"/>
      <c r="CG131" s="340"/>
      <c r="CH131" s="367"/>
      <c r="CI131" s="368"/>
      <c r="CJ131" s="368"/>
      <c r="CK131" s="369"/>
      <c r="CL131" s="329">
        <f t="shared" si="167"/>
        <v>-1.9999993965029716E-3</v>
      </c>
      <c r="CM131" s="330">
        <f t="shared" ca="1" si="168"/>
        <v>0</v>
      </c>
      <c r="CN131" s="331">
        <f t="shared" ca="1" si="169"/>
        <v>-4457840.0019999994</v>
      </c>
      <c r="CO131" s="86"/>
      <c r="CP131" s="86"/>
      <c r="CQ131" s="1641"/>
      <c r="CR131" s="86"/>
      <c r="CS131" s="86"/>
      <c r="CT131" s="86"/>
      <c r="CU131" s="86"/>
      <c r="CV131" s="86"/>
      <c r="CW131" s="86"/>
      <c r="CX131" s="86"/>
      <c r="CY131" s="86"/>
      <c r="CZ131" s="86"/>
      <c r="DA131" s="86"/>
      <c r="DB131" s="1642"/>
      <c r="DC131" s="1642"/>
      <c r="DD131" s="30"/>
      <c r="DE131" s="30"/>
      <c r="DF131" s="30"/>
      <c r="DG131" s="1642"/>
      <c r="DH131" s="1642"/>
      <c r="DI131" s="1642"/>
      <c r="DJ131" s="1642"/>
      <c r="DK131" s="1642"/>
      <c r="DL131" s="1642"/>
      <c r="DM131" s="1642"/>
      <c r="DN131" s="1642"/>
      <c r="DO131" s="1642"/>
      <c r="DP131" s="1642"/>
      <c r="DQ131" s="1642"/>
      <c r="DR131" s="1642"/>
      <c r="DS131" s="1642"/>
      <c r="DT131" s="1642"/>
      <c r="DU131" s="1642"/>
      <c r="DV131" s="1642"/>
      <c r="DW131" s="1642"/>
      <c r="DX131" s="1642"/>
      <c r="DY131" s="1642"/>
      <c r="DZ131" s="1642"/>
      <c r="EA131" s="1642"/>
      <c r="EB131" s="1642"/>
      <c r="EC131" s="1642"/>
      <c r="ED131" s="1642"/>
      <c r="EE131" s="1642"/>
      <c r="EF131" s="1642"/>
      <c r="EG131" s="1642"/>
      <c r="EH131" s="1643"/>
      <c r="EI131" s="1658"/>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0"/>
      <c r="HP131" s="30"/>
      <c r="HQ131" s="30"/>
      <c r="HR131" s="30"/>
      <c r="HS131" s="30"/>
      <c r="HT131" s="30"/>
      <c r="HU131" s="30"/>
      <c r="HV131" s="30"/>
      <c r="HW131" s="30"/>
      <c r="HX131" s="30"/>
      <c r="HY131" s="30"/>
      <c r="HZ131" s="30"/>
      <c r="IA131" s="30"/>
      <c r="IB131" s="30"/>
      <c r="IC131" s="30"/>
      <c r="ID131" s="30"/>
      <c r="IE131" s="30"/>
      <c r="IF131" s="30"/>
      <c r="IG131" s="30"/>
      <c r="IH131" s="30"/>
      <c r="II131" s="30"/>
      <c r="IJ131" s="30"/>
      <c r="IK131" s="30"/>
      <c r="IL131" s="30"/>
      <c r="IM131" s="30"/>
      <c r="IN131" s="30"/>
      <c r="IO131" s="30"/>
      <c r="IP131" s="30"/>
      <c r="IQ131" s="30"/>
      <c r="IR131" s="30"/>
      <c r="IS131" s="30"/>
      <c r="IT131" s="30"/>
      <c r="IU131" s="30"/>
      <c r="IV131" s="30"/>
      <c r="IW131" s="30"/>
      <c r="IX131" s="30"/>
      <c r="IY131" s="30"/>
      <c r="IZ131" s="30"/>
      <c r="JA131" s="30"/>
      <c r="JB131" s="30"/>
      <c r="JC131" s="30"/>
      <c r="JD131" s="30"/>
      <c r="JE131" s="30"/>
      <c r="JF131" s="30"/>
      <c r="JG131" s="30"/>
      <c r="JH131" s="30"/>
      <c r="JI131" s="30"/>
      <c r="JJ131" s="30"/>
      <c r="JK131" s="30"/>
      <c r="JL131" s="30"/>
      <c r="JM131" s="30"/>
      <c r="JN131" s="30"/>
      <c r="JO131" s="30"/>
      <c r="JP131" s="30"/>
      <c r="JQ131" s="30"/>
      <c r="JR131" s="30"/>
      <c r="JS131" s="30"/>
      <c r="JT131" s="30"/>
      <c r="JU131" s="30"/>
      <c r="JV131" s="30"/>
      <c r="JW131" s="30"/>
      <c r="JX131" s="30"/>
      <c r="JY131" s="30"/>
      <c r="JZ131" s="30"/>
      <c r="KA131" s="30"/>
      <c r="KB131" s="30"/>
      <c r="KC131" s="30"/>
      <c r="KD131" s="30"/>
      <c r="KE131" s="30"/>
      <c r="KF131" s="30"/>
      <c r="KG131" s="30"/>
      <c r="KH131" s="30"/>
      <c r="KI131" s="30"/>
      <c r="KJ131" s="30"/>
      <c r="KK131" s="30"/>
      <c r="KL131" s="30"/>
      <c r="KM131" s="30"/>
      <c r="KN131" s="30"/>
      <c r="KO131" s="30"/>
      <c r="KP131" s="1630"/>
    </row>
    <row r="132" spans="1:302" s="97" customFormat="1" ht="13.15" outlineLevel="1">
      <c r="A132" s="2656" t="s">
        <v>811</v>
      </c>
      <c r="B132" s="1689"/>
      <c r="C132" s="262" t="s">
        <v>727</v>
      </c>
      <c r="D132" s="1689" t="s">
        <v>728</v>
      </c>
      <c r="E132" s="262"/>
      <c r="F132" s="347"/>
      <c r="G132" s="348"/>
      <c r="H132" s="349" t="s">
        <v>26</v>
      </c>
      <c r="I132" s="2936"/>
      <c r="J132" s="362" t="s">
        <v>26</v>
      </c>
      <c r="K132" s="1745"/>
      <c r="L132" s="383"/>
      <c r="M132" s="383"/>
      <c r="N132" s="383"/>
      <c r="O132" s="1510">
        <v>1833166</v>
      </c>
      <c r="P132" s="383"/>
      <c r="Q132" s="383"/>
      <c r="R132" s="383"/>
      <c r="S132" s="1510">
        <f t="shared" si="99"/>
        <v>0</v>
      </c>
      <c r="T132" s="389"/>
      <c r="U132" s="1746"/>
      <c r="V132" s="1746"/>
      <c r="W132" s="1744">
        <f t="shared" si="92"/>
        <v>1833166</v>
      </c>
      <c r="X132" s="359" t="s">
        <v>26</v>
      </c>
      <c r="Y132" s="389"/>
      <c r="Z132" s="1746"/>
      <c r="AA132" s="1509"/>
      <c r="AB132" s="2722">
        <f>SUM(AM132:BZ132)</f>
        <v>1448126.0019999999</v>
      </c>
      <c r="AC132" s="1680"/>
      <c r="AD132" s="1460"/>
      <c r="AE132" s="1688"/>
      <c r="AF132" s="1686"/>
      <c r="AG132" s="1686"/>
      <c r="AH132" s="354">
        <f t="shared" si="149"/>
        <v>0</v>
      </c>
      <c r="AI132" s="355">
        <f t="shared" ca="1" si="170"/>
        <v>0</v>
      </c>
      <c r="AJ132" s="356">
        <f t="shared" ca="1" si="150"/>
        <v>0</v>
      </c>
      <c r="AK132" s="2185"/>
      <c r="AL132" s="260"/>
      <c r="AM132" s="2258"/>
      <c r="AN132" s="2258"/>
      <c r="AO132" s="359"/>
      <c r="AP132" s="359"/>
      <c r="AQ132" s="359"/>
      <c r="AR132" s="359"/>
      <c r="AS132" s="359"/>
      <c r="AT132" s="390"/>
      <c r="AU132" s="359"/>
      <c r="AV132" s="359"/>
      <c r="AW132" s="377"/>
      <c r="AX132" s="359"/>
      <c r="AY132" s="2316"/>
      <c r="AZ132" s="2273"/>
      <c r="BA132" s="497"/>
      <c r="BB132" s="359"/>
      <c r="BC132" s="359"/>
      <c r="BD132" s="359"/>
      <c r="BE132" s="362">
        <f>305527.667-134400</f>
        <v>171127.66700000002</v>
      </c>
      <c r="BF132" s="362">
        <v>305527.66700000002</v>
      </c>
      <c r="BG132" s="362">
        <v>305527.66700000002</v>
      </c>
      <c r="BH132" s="362">
        <v>305527.66700000002</v>
      </c>
      <c r="BI132" s="414">
        <v>305527.66700000002</v>
      </c>
      <c r="BJ132" s="362">
        <f>305527.667-250640</f>
        <v>54887.667000000016</v>
      </c>
      <c r="BK132" s="2123"/>
      <c r="BL132" s="414"/>
      <c r="BM132" s="414"/>
      <c r="BN132" s="414"/>
      <c r="BO132" s="414"/>
      <c r="BP132" s="414"/>
      <c r="BQ132" s="2399"/>
      <c r="BR132" s="362"/>
      <c r="BS132" s="362"/>
      <c r="BT132" s="362"/>
      <c r="BU132" s="364"/>
      <c r="BV132" s="364"/>
      <c r="BW132" s="2366"/>
      <c r="BX132" s="2463"/>
      <c r="BY132" s="2543"/>
      <c r="BZ132" s="2543"/>
      <c r="CA132" s="2591">
        <f t="shared" si="164"/>
        <v>1448126.0019999999</v>
      </c>
      <c r="CB132" s="2377">
        <f t="shared" si="165"/>
        <v>1</v>
      </c>
      <c r="CC132" s="365">
        <f t="shared" si="166"/>
        <v>6.9054764476219945E-7</v>
      </c>
      <c r="CD132" s="365"/>
      <c r="CE132" s="365"/>
      <c r="CF132" s="365"/>
      <c r="CG132" s="340"/>
      <c r="CH132" s="367"/>
      <c r="CI132" s="368"/>
      <c r="CJ132" s="368"/>
      <c r="CK132" s="369"/>
      <c r="CL132" s="329">
        <f t="shared" si="167"/>
        <v>385039.99800000014</v>
      </c>
      <c r="CM132" s="330">
        <f t="shared" ca="1" si="168"/>
        <v>0</v>
      </c>
      <c r="CN132" s="331">
        <f t="shared" ca="1" si="169"/>
        <v>-1448126.0019999999</v>
      </c>
      <c r="CO132" s="86"/>
      <c r="CP132" s="86"/>
      <c r="CQ132" s="1641"/>
      <c r="CR132" s="86"/>
      <c r="CS132" s="86"/>
      <c r="CT132" s="86"/>
      <c r="CU132" s="86"/>
      <c r="CV132" s="86"/>
      <c r="CW132" s="86"/>
      <c r="CX132" s="86"/>
      <c r="CY132" s="86"/>
      <c r="CZ132" s="86"/>
      <c r="DA132" s="86"/>
      <c r="DB132" s="1642"/>
      <c r="DC132" s="1642"/>
      <c r="DD132" s="30"/>
      <c r="DE132" s="30"/>
      <c r="DF132" s="30"/>
      <c r="DG132" s="1642"/>
      <c r="DH132" s="1642"/>
      <c r="DI132" s="1642"/>
      <c r="DJ132" s="1642"/>
      <c r="DK132" s="1642"/>
      <c r="DL132" s="1642"/>
      <c r="DM132" s="1642"/>
      <c r="DN132" s="1642"/>
      <c r="DO132" s="1642"/>
      <c r="DP132" s="1642"/>
      <c r="DQ132" s="1642"/>
      <c r="DR132" s="1642"/>
      <c r="DS132" s="1642"/>
      <c r="DT132" s="1642"/>
      <c r="DU132" s="1642"/>
      <c r="DV132" s="1642"/>
      <c r="DW132" s="1642"/>
      <c r="DX132" s="1642"/>
      <c r="DY132" s="1642"/>
      <c r="DZ132" s="1642"/>
      <c r="EA132" s="1642"/>
      <c r="EB132" s="1642"/>
      <c r="EC132" s="1642"/>
      <c r="ED132" s="1642"/>
      <c r="EE132" s="1642"/>
      <c r="EF132" s="1642"/>
      <c r="EG132" s="1642"/>
      <c r="EH132" s="1643"/>
      <c r="EI132" s="1658"/>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0"/>
      <c r="HP132" s="30"/>
      <c r="HQ132" s="30"/>
      <c r="HR132" s="30"/>
      <c r="HS132" s="30"/>
      <c r="HT132" s="30"/>
      <c r="HU132" s="30"/>
      <c r="HV132" s="30"/>
      <c r="HW132" s="30"/>
      <c r="HX132" s="30"/>
      <c r="HY132" s="30"/>
      <c r="HZ132" s="30"/>
      <c r="IA132" s="30"/>
      <c r="IB132" s="30"/>
      <c r="IC132" s="30"/>
      <c r="ID132" s="30"/>
      <c r="IE132" s="30"/>
      <c r="IF132" s="30"/>
      <c r="IG132" s="30"/>
      <c r="IH132" s="30"/>
      <c r="II132" s="30"/>
      <c r="IJ132" s="30"/>
      <c r="IK132" s="30"/>
      <c r="IL132" s="30"/>
      <c r="IM132" s="30"/>
      <c r="IN132" s="30"/>
      <c r="IO132" s="30"/>
      <c r="IP132" s="30"/>
      <c r="IQ132" s="30"/>
      <c r="IR132" s="30"/>
      <c r="IS132" s="30"/>
      <c r="IT132" s="30"/>
      <c r="IU132" s="30"/>
      <c r="IV132" s="30"/>
      <c r="IW132" s="30"/>
      <c r="IX132" s="30"/>
      <c r="IY132" s="30"/>
      <c r="IZ132" s="30"/>
      <c r="JA132" s="30"/>
      <c r="JB132" s="30"/>
      <c r="JC132" s="30"/>
      <c r="JD132" s="30"/>
      <c r="JE132" s="30"/>
      <c r="JF132" s="30"/>
      <c r="JG132" s="30"/>
      <c r="JH132" s="30"/>
      <c r="JI132" s="30"/>
      <c r="JJ132" s="30"/>
      <c r="JK132" s="30"/>
      <c r="JL132" s="30"/>
      <c r="JM132" s="30"/>
      <c r="JN132" s="30"/>
      <c r="JO132" s="30"/>
      <c r="JP132" s="30"/>
      <c r="JQ132" s="30"/>
      <c r="JR132" s="30"/>
      <c r="JS132" s="30"/>
      <c r="JT132" s="30"/>
      <c r="JU132" s="30"/>
      <c r="JV132" s="30"/>
      <c r="JW132" s="30"/>
      <c r="JX132" s="30"/>
      <c r="JY132" s="30"/>
      <c r="JZ132" s="30"/>
      <c r="KA132" s="30"/>
      <c r="KB132" s="30"/>
      <c r="KC132" s="30"/>
      <c r="KD132" s="30"/>
      <c r="KE132" s="30"/>
      <c r="KF132" s="30"/>
      <c r="KG132" s="30"/>
      <c r="KH132" s="30"/>
      <c r="KI132" s="30"/>
      <c r="KJ132" s="30"/>
      <c r="KK132" s="30"/>
      <c r="KL132" s="30"/>
      <c r="KM132" s="30"/>
      <c r="KN132" s="30"/>
      <c r="KO132" s="30"/>
      <c r="KP132" s="1630"/>
    </row>
    <row r="133" spans="1:302" s="97" customFormat="1" ht="13.15" outlineLevel="1">
      <c r="A133" s="2656" t="s">
        <v>1410</v>
      </c>
      <c r="B133" s="1689"/>
      <c r="C133" s="262" t="s">
        <v>1411</v>
      </c>
      <c r="D133" s="1689"/>
      <c r="E133" s="262"/>
      <c r="F133" s="347"/>
      <c r="G133" s="348"/>
      <c r="H133" s="349" t="s">
        <v>26</v>
      </c>
      <c r="I133" s="2936"/>
      <c r="J133" s="362" t="s">
        <v>26</v>
      </c>
      <c r="K133" s="1745"/>
      <c r="L133" s="383"/>
      <c r="M133" s="383"/>
      <c r="N133" s="383"/>
      <c r="O133" s="1510">
        <v>0</v>
      </c>
      <c r="P133" s="383"/>
      <c r="Q133" s="383"/>
      <c r="R133" s="383"/>
      <c r="S133" s="1510">
        <f t="shared" si="99"/>
        <v>0</v>
      </c>
      <c r="T133" s="389"/>
      <c r="U133" s="1746"/>
      <c r="V133" s="1746"/>
      <c r="W133" s="1744">
        <f t="shared" si="92"/>
        <v>0</v>
      </c>
      <c r="X133" s="359" t="s">
        <v>26</v>
      </c>
      <c r="Y133" s="389"/>
      <c r="Z133" s="1746"/>
      <c r="AA133" s="1509"/>
      <c r="AB133" s="1510">
        <f t="shared" ref="AB133:AB142" si="171">SUM(AM133:BZ133)</f>
        <v>134400</v>
      </c>
      <c r="AC133" s="1680" t="s">
        <v>1412</v>
      </c>
      <c r="AD133" s="1460">
        <v>4503012737</v>
      </c>
      <c r="AE133" s="1688" t="s">
        <v>564</v>
      </c>
      <c r="AF133" s="1686">
        <v>134400</v>
      </c>
      <c r="AG133" s="1686">
        <v>1</v>
      </c>
      <c r="AH133" s="354">
        <f t="shared" ref="AH133:AH134" si="172">AF133*AG133</f>
        <v>134400</v>
      </c>
      <c r="AI133" s="355">
        <f t="shared" ref="AI133" ca="1" si="173">SUMIF($AM$10:$BZ$10,$AI$9,AM133:BT133)</f>
        <v>0</v>
      </c>
      <c r="AJ133" s="356">
        <f t="shared" ref="AJ133:AJ134" ca="1" si="174">IF($AB133&lt;&gt;0,AI133/$AB133,"")</f>
        <v>0</v>
      </c>
      <c r="AK133" s="2185"/>
      <c r="AL133" s="260"/>
      <c r="AM133" s="2258"/>
      <c r="AN133" s="2258"/>
      <c r="AO133" s="359"/>
      <c r="AP133" s="359"/>
      <c r="AQ133" s="359">
        <f>AF133/5</f>
        <v>26880</v>
      </c>
      <c r="AR133" s="359">
        <v>26880</v>
      </c>
      <c r="AS133" s="359">
        <v>26880</v>
      </c>
      <c r="AT133" s="390">
        <v>26880</v>
      </c>
      <c r="AU133" s="359">
        <v>26880</v>
      </c>
      <c r="AV133" s="359"/>
      <c r="AW133" s="377"/>
      <c r="AX133" s="359"/>
      <c r="AY133" s="2316"/>
      <c r="AZ133" s="2273"/>
      <c r="BA133" s="497"/>
      <c r="BB133" s="359"/>
      <c r="BC133" s="359"/>
      <c r="BD133" s="359"/>
      <c r="BE133" s="362"/>
      <c r="BF133" s="362"/>
      <c r="BG133" s="362"/>
      <c r="BH133" s="362"/>
      <c r="BI133" s="414"/>
      <c r="BJ133" s="362"/>
      <c r="BK133" s="2123"/>
      <c r="BL133" s="414"/>
      <c r="BM133" s="414"/>
      <c r="BN133" s="414"/>
      <c r="BO133" s="414"/>
      <c r="BP133" s="414"/>
      <c r="BQ133" s="2399"/>
      <c r="BR133" s="362"/>
      <c r="BS133" s="362"/>
      <c r="BT133" s="362"/>
      <c r="BU133" s="364"/>
      <c r="BV133" s="364"/>
      <c r="BW133" s="2366"/>
      <c r="BX133" s="2463"/>
      <c r="BY133" s="2543"/>
      <c r="BZ133" s="2543"/>
      <c r="CA133" s="2591">
        <f t="shared" si="164"/>
        <v>134400</v>
      </c>
      <c r="CB133" s="2377">
        <f t="shared" si="165"/>
        <v>1</v>
      </c>
      <c r="CC133" s="365">
        <f t="shared" si="166"/>
        <v>7.4404761904761905E-6</v>
      </c>
      <c r="CD133" s="365"/>
      <c r="CE133" s="365"/>
      <c r="CF133" s="365"/>
      <c r="CG133" s="340"/>
      <c r="CH133" s="367"/>
      <c r="CI133" s="368"/>
      <c r="CJ133" s="368"/>
      <c r="CK133" s="369"/>
      <c r="CL133" s="329">
        <f t="shared" si="167"/>
        <v>-134400</v>
      </c>
      <c r="CM133" s="330">
        <f t="shared" ca="1" si="168"/>
        <v>0</v>
      </c>
      <c r="CN133" s="331">
        <f t="shared" ca="1" si="169"/>
        <v>0</v>
      </c>
      <c r="CO133" s="86"/>
      <c r="CP133" s="86"/>
      <c r="CQ133" s="1641"/>
      <c r="CR133" s="86"/>
      <c r="CS133" s="86"/>
      <c r="CT133" s="86"/>
      <c r="CU133" s="86"/>
      <c r="CV133" s="86"/>
      <c r="CW133" s="86"/>
      <c r="CX133" s="86"/>
      <c r="CY133" s="86"/>
      <c r="CZ133" s="86"/>
      <c r="DA133" s="86"/>
      <c r="DB133" s="1642"/>
      <c r="DC133" s="1642"/>
      <c r="DD133" s="30"/>
      <c r="DE133" s="30"/>
      <c r="DF133" s="30"/>
      <c r="DG133" s="1642"/>
      <c r="DH133" s="1642"/>
      <c r="DI133" s="1642"/>
      <c r="DJ133" s="1642"/>
      <c r="DK133" s="1642"/>
      <c r="DL133" s="1642"/>
      <c r="DM133" s="1642"/>
      <c r="DN133" s="1642"/>
      <c r="DO133" s="1642"/>
      <c r="DP133" s="1642"/>
      <c r="DQ133" s="1642"/>
      <c r="DR133" s="1642"/>
      <c r="DS133" s="1642"/>
      <c r="DT133" s="1642"/>
      <c r="DU133" s="1642"/>
      <c r="DV133" s="1642"/>
      <c r="DW133" s="1642"/>
      <c r="DX133" s="1642"/>
      <c r="DY133" s="1642"/>
      <c r="DZ133" s="1642"/>
      <c r="EA133" s="1642"/>
      <c r="EB133" s="1642"/>
      <c r="EC133" s="1642"/>
      <c r="ED133" s="1642"/>
      <c r="EE133" s="1642"/>
      <c r="EF133" s="1642"/>
      <c r="EG133" s="1642"/>
      <c r="EH133" s="1643"/>
      <c r="EI133" s="1658"/>
      <c r="EJ133" s="30"/>
      <c r="EK133" s="30"/>
      <c r="EL133" s="30"/>
      <c r="EM133" s="30"/>
      <c r="EN133" s="30"/>
      <c r="EO133" s="30"/>
      <c r="EP133" s="30"/>
      <c r="EQ133" s="30"/>
      <c r="ER133" s="30"/>
      <c r="ES133" s="30"/>
      <c r="ET133" s="30"/>
      <c r="EU133" s="30"/>
      <c r="EV133" s="30"/>
      <c r="EW133" s="30"/>
      <c r="EX133" s="30"/>
      <c r="EY133" s="30"/>
      <c r="EZ133" s="30"/>
      <c r="FA133" s="30"/>
      <c r="FB133" s="30"/>
      <c r="FC133" s="30"/>
      <c r="FD133" s="30"/>
      <c r="FE133" s="30"/>
      <c r="FF133" s="30"/>
      <c r="FG133" s="30"/>
      <c r="FH133" s="30"/>
      <c r="FI133" s="30"/>
      <c r="FJ133" s="30"/>
      <c r="FK133" s="30"/>
      <c r="FL133" s="30"/>
      <c r="FM133" s="30"/>
      <c r="FN133" s="30"/>
      <c r="FO133" s="30"/>
      <c r="FP133" s="30"/>
      <c r="FQ133" s="30"/>
      <c r="FR133" s="30"/>
      <c r="FS133" s="30"/>
      <c r="FT133" s="30"/>
      <c r="FU133" s="30"/>
      <c r="FV133" s="30"/>
      <c r="FW133" s="30"/>
      <c r="FX133" s="30"/>
      <c r="FY133" s="30"/>
      <c r="FZ133" s="30"/>
      <c r="GA133" s="30"/>
      <c r="GB133" s="30"/>
      <c r="GC133" s="30"/>
      <c r="GD133" s="30"/>
      <c r="GE133" s="30"/>
      <c r="GF133" s="30"/>
      <c r="GG133" s="30"/>
      <c r="GH133" s="30"/>
      <c r="GI133" s="30"/>
      <c r="GJ133" s="30"/>
      <c r="GK133" s="30"/>
      <c r="GL133" s="30"/>
      <c r="GM133" s="30"/>
      <c r="GN133" s="30"/>
      <c r="GO133" s="30"/>
      <c r="GP133" s="30"/>
      <c r="GQ133" s="30"/>
      <c r="GR133" s="30"/>
      <c r="GS133" s="30"/>
      <c r="GT133" s="30"/>
      <c r="GU133" s="30"/>
      <c r="GV133" s="30"/>
      <c r="GW133" s="30"/>
      <c r="GX133" s="30"/>
      <c r="GY133" s="30"/>
      <c r="GZ133" s="30"/>
      <c r="HA133" s="30"/>
      <c r="HB133" s="30"/>
      <c r="HC133" s="30"/>
      <c r="HD133" s="30"/>
      <c r="HE133" s="30"/>
      <c r="HF133" s="30"/>
      <c r="HG133" s="30"/>
      <c r="HH133" s="30"/>
      <c r="HI133" s="30"/>
      <c r="HJ133" s="30"/>
      <c r="HK133" s="30"/>
      <c r="HL133" s="30"/>
      <c r="HM133" s="30"/>
      <c r="HN133" s="30"/>
      <c r="HO133" s="30"/>
      <c r="HP133" s="30"/>
      <c r="HQ133" s="30"/>
      <c r="HR133" s="30"/>
      <c r="HS133" s="30"/>
      <c r="HT133" s="30"/>
      <c r="HU133" s="30"/>
      <c r="HV133" s="30"/>
      <c r="HW133" s="30"/>
      <c r="HX133" s="30"/>
      <c r="HY133" s="30"/>
      <c r="HZ133" s="30"/>
      <c r="IA133" s="30"/>
      <c r="IB133" s="30"/>
      <c r="IC133" s="30"/>
      <c r="ID133" s="30"/>
      <c r="IE133" s="30"/>
      <c r="IF133" s="30"/>
      <c r="IG133" s="30"/>
      <c r="IH133" s="30"/>
      <c r="II133" s="30"/>
      <c r="IJ133" s="30"/>
      <c r="IK133" s="30"/>
      <c r="IL133" s="30"/>
      <c r="IM133" s="30"/>
      <c r="IN133" s="30"/>
      <c r="IO133" s="30"/>
      <c r="IP133" s="30"/>
      <c r="IQ133" s="30"/>
      <c r="IR133" s="30"/>
      <c r="IS133" s="30"/>
      <c r="IT133" s="30"/>
      <c r="IU133" s="30"/>
      <c r="IV133" s="30"/>
      <c r="IW133" s="30"/>
      <c r="IX133" s="30"/>
      <c r="IY133" s="30"/>
      <c r="IZ133" s="30"/>
      <c r="JA133" s="30"/>
      <c r="JB133" s="30"/>
      <c r="JC133" s="30"/>
      <c r="JD133" s="30"/>
      <c r="JE133" s="30"/>
      <c r="JF133" s="30"/>
      <c r="JG133" s="30"/>
      <c r="JH133" s="30"/>
      <c r="JI133" s="30"/>
      <c r="JJ133" s="30"/>
      <c r="JK133" s="30"/>
      <c r="JL133" s="30"/>
      <c r="JM133" s="30"/>
      <c r="JN133" s="30"/>
      <c r="JO133" s="30"/>
      <c r="JP133" s="30"/>
      <c r="JQ133" s="30"/>
      <c r="JR133" s="30"/>
      <c r="JS133" s="30"/>
      <c r="JT133" s="30"/>
      <c r="JU133" s="30"/>
      <c r="JV133" s="30"/>
      <c r="JW133" s="30"/>
      <c r="JX133" s="30"/>
      <c r="JY133" s="30"/>
      <c r="JZ133" s="30"/>
      <c r="KA133" s="30"/>
      <c r="KB133" s="30"/>
      <c r="KC133" s="30"/>
      <c r="KD133" s="30"/>
      <c r="KE133" s="30"/>
      <c r="KF133" s="30"/>
      <c r="KG133" s="30"/>
      <c r="KH133" s="30"/>
      <c r="KI133" s="30"/>
      <c r="KJ133" s="30"/>
      <c r="KK133" s="30"/>
      <c r="KL133" s="30"/>
      <c r="KM133" s="30"/>
      <c r="KN133" s="30"/>
      <c r="KO133" s="30"/>
      <c r="KP133" s="1630"/>
    </row>
    <row r="134" spans="1:302" s="97" customFormat="1" ht="13.15" outlineLevel="1">
      <c r="A134" s="2656" t="s">
        <v>1426</v>
      </c>
      <c r="B134" s="1689" t="s">
        <v>1410</v>
      </c>
      <c r="C134" s="262" t="s">
        <v>1427</v>
      </c>
      <c r="D134" s="1689"/>
      <c r="E134" s="262"/>
      <c r="F134" s="347"/>
      <c r="G134" s="348"/>
      <c r="H134" s="349" t="s">
        <v>26</v>
      </c>
      <c r="I134" s="2936"/>
      <c r="J134" s="362" t="s">
        <v>26</v>
      </c>
      <c r="K134" s="1745"/>
      <c r="L134" s="383"/>
      <c r="M134" s="383"/>
      <c r="N134" s="383"/>
      <c r="O134" s="1510">
        <v>0</v>
      </c>
      <c r="P134" s="383"/>
      <c r="Q134" s="383"/>
      <c r="R134" s="383"/>
      <c r="S134" s="1510">
        <f t="shared" ref="S134" si="175">R134*Q134</f>
        <v>0</v>
      </c>
      <c r="T134" s="389"/>
      <c r="U134" s="1746"/>
      <c r="V134" s="1746"/>
      <c r="W134" s="1744">
        <f t="shared" si="92"/>
        <v>0</v>
      </c>
      <c r="X134" s="359" t="s">
        <v>26</v>
      </c>
      <c r="Y134" s="389"/>
      <c r="Z134" s="1746"/>
      <c r="AA134" s="1509"/>
      <c r="AB134" s="2897">
        <f t="shared" si="171"/>
        <v>250640</v>
      </c>
      <c r="AC134" s="2896" t="s">
        <v>740</v>
      </c>
      <c r="AD134" s="1681">
        <v>4502939064</v>
      </c>
      <c r="AE134" s="1688" t="s">
        <v>564</v>
      </c>
      <c r="AF134" s="1686">
        <v>250640</v>
      </c>
      <c r="AG134" s="1686">
        <v>1</v>
      </c>
      <c r="AH134" s="354">
        <f t="shared" si="172"/>
        <v>250640</v>
      </c>
      <c r="AI134" s="355"/>
      <c r="AJ134" s="356">
        <f t="shared" si="174"/>
        <v>0</v>
      </c>
      <c r="AK134" s="2185"/>
      <c r="AL134" s="260"/>
      <c r="AM134" s="2258"/>
      <c r="AN134" s="2258"/>
      <c r="AO134" s="359"/>
      <c r="AP134" s="359"/>
      <c r="AQ134" s="359"/>
      <c r="AR134" s="359"/>
      <c r="AS134" s="359"/>
      <c r="AT134" s="390"/>
      <c r="AU134" s="359"/>
      <c r="AV134" s="359">
        <v>250640</v>
      </c>
      <c r="AW134" s="377"/>
      <c r="AX134" s="359"/>
      <c r="AY134" s="2316"/>
      <c r="AZ134" s="2273"/>
      <c r="BA134" s="497"/>
      <c r="BB134" s="359"/>
      <c r="BC134" s="359"/>
      <c r="BD134" s="359"/>
      <c r="BE134" s="362"/>
      <c r="BF134" s="362"/>
      <c r="BG134" s="362"/>
      <c r="BH134" s="362"/>
      <c r="BI134" s="414"/>
      <c r="BJ134" s="362"/>
      <c r="BK134" s="2123"/>
      <c r="BL134" s="414"/>
      <c r="BM134" s="414"/>
      <c r="BN134" s="414"/>
      <c r="BO134" s="414"/>
      <c r="BP134" s="414"/>
      <c r="BQ134" s="2399"/>
      <c r="BR134" s="362"/>
      <c r="BS134" s="362"/>
      <c r="BT134" s="362"/>
      <c r="BU134" s="364"/>
      <c r="BV134" s="364"/>
      <c r="BW134" s="2366"/>
      <c r="BX134" s="2463"/>
      <c r="BY134" s="2543"/>
      <c r="BZ134" s="2543"/>
      <c r="CA134" s="2591">
        <f t="shared" si="164"/>
        <v>250640</v>
      </c>
      <c r="CB134" s="2377">
        <f t="shared" si="165"/>
        <v>1</v>
      </c>
      <c r="CC134" s="365">
        <f t="shared" si="166"/>
        <v>3.9897861474624962E-6</v>
      </c>
      <c r="CD134" s="365"/>
      <c r="CE134" s="365"/>
      <c r="CF134" s="365"/>
      <c r="CG134" s="340"/>
      <c r="CH134" s="367"/>
      <c r="CI134" s="368"/>
      <c r="CJ134" s="368"/>
      <c r="CK134" s="369"/>
      <c r="CL134" s="329">
        <f t="shared" si="167"/>
        <v>-250640</v>
      </c>
      <c r="CM134" s="330">
        <f t="shared" si="168"/>
        <v>0</v>
      </c>
      <c r="CN134" s="331"/>
      <c r="CO134" s="86"/>
      <c r="CP134" s="86"/>
      <c r="CQ134" s="1641"/>
      <c r="CR134" s="86"/>
      <c r="CS134" s="86"/>
      <c r="CT134" s="86"/>
      <c r="CU134" s="86"/>
      <c r="CV134" s="86"/>
      <c r="CW134" s="86"/>
      <c r="CX134" s="86"/>
      <c r="CY134" s="86"/>
      <c r="CZ134" s="86"/>
      <c r="DA134" s="86"/>
      <c r="DB134" s="1642"/>
      <c r="DC134" s="1642"/>
      <c r="DD134" s="30"/>
      <c r="DE134" s="30"/>
      <c r="DF134" s="30"/>
      <c r="DG134" s="1642"/>
      <c r="DH134" s="1642"/>
      <c r="DI134" s="1642"/>
      <c r="DJ134" s="1642"/>
      <c r="DK134" s="1642"/>
      <c r="DL134" s="1642"/>
      <c r="DM134" s="1642"/>
      <c r="DN134" s="1642"/>
      <c r="DO134" s="1642"/>
      <c r="DP134" s="1642"/>
      <c r="DQ134" s="1642"/>
      <c r="DR134" s="1642"/>
      <c r="DS134" s="1642"/>
      <c r="DT134" s="1642"/>
      <c r="DU134" s="1642"/>
      <c r="DV134" s="1642"/>
      <c r="DW134" s="1642"/>
      <c r="DX134" s="1642"/>
      <c r="DY134" s="1642"/>
      <c r="DZ134" s="1642"/>
      <c r="EA134" s="1642"/>
      <c r="EB134" s="1642"/>
      <c r="EC134" s="1642"/>
      <c r="ED134" s="1642"/>
      <c r="EE134" s="1642"/>
      <c r="EF134" s="1642"/>
      <c r="EG134" s="1642"/>
      <c r="EH134" s="1643"/>
      <c r="EI134" s="1658"/>
      <c r="EJ134" s="30"/>
      <c r="EK134" s="30"/>
      <c r="EL134" s="30"/>
      <c r="EM134" s="30"/>
      <c r="EN134" s="30"/>
      <c r="EO134" s="30"/>
      <c r="EP134" s="30"/>
      <c r="EQ134" s="30"/>
      <c r="ER134" s="30"/>
      <c r="ES134" s="30"/>
      <c r="ET134" s="30"/>
      <c r="EU134" s="30"/>
      <c r="EV134" s="30"/>
      <c r="EW134" s="30"/>
      <c r="EX134" s="30"/>
      <c r="EY134" s="30"/>
      <c r="EZ134" s="30"/>
      <c r="FA134" s="30"/>
      <c r="FB134" s="30"/>
      <c r="FC134" s="30"/>
      <c r="FD134" s="30"/>
      <c r="FE134" s="30"/>
      <c r="FF134" s="30"/>
      <c r="FG134" s="30"/>
      <c r="FH134" s="30"/>
      <c r="FI134" s="30"/>
      <c r="FJ134" s="30"/>
      <c r="FK134" s="30"/>
      <c r="FL134" s="30"/>
      <c r="FM134" s="30"/>
      <c r="FN134" s="30"/>
      <c r="FO134" s="30"/>
      <c r="FP134" s="30"/>
      <c r="FQ134" s="30"/>
      <c r="FR134" s="30"/>
      <c r="FS134" s="30"/>
      <c r="FT134" s="30"/>
      <c r="FU134" s="30"/>
      <c r="FV134" s="30"/>
      <c r="FW134" s="30"/>
      <c r="FX134" s="30"/>
      <c r="FY134" s="30"/>
      <c r="FZ134" s="30"/>
      <c r="GA134" s="30"/>
      <c r="GB134" s="30"/>
      <c r="GC134" s="30"/>
      <c r="GD134" s="30"/>
      <c r="GE134" s="30"/>
      <c r="GF134" s="30"/>
      <c r="GG134" s="30"/>
      <c r="GH134" s="30"/>
      <c r="GI134" s="30"/>
      <c r="GJ134" s="30"/>
      <c r="GK134" s="30"/>
      <c r="GL134" s="30"/>
      <c r="GM134" s="30"/>
      <c r="GN134" s="30"/>
      <c r="GO134" s="30"/>
      <c r="GP134" s="30"/>
      <c r="GQ134" s="30"/>
      <c r="GR134" s="30"/>
      <c r="GS134" s="30"/>
      <c r="GT134" s="30"/>
      <c r="GU134" s="30"/>
      <c r="GV134" s="30"/>
      <c r="GW134" s="30"/>
      <c r="GX134" s="30"/>
      <c r="GY134" s="30"/>
      <c r="GZ134" s="30"/>
      <c r="HA134" s="30"/>
      <c r="HB134" s="30"/>
      <c r="HC134" s="30"/>
      <c r="HD134" s="30"/>
      <c r="HE134" s="30"/>
      <c r="HF134" s="30"/>
      <c r="HG134" s="30"/>
      <c r="HH134" s="30"/>
      <c r="HI134" s="30"/>
      <c r="HJ134" s="30"/>
      <c r="HK134" s="30"/>
      <c r="HL134" s="30"/>
      <c r="HM134" s="30"/>
      <c r="HN134" s="30"/>
      <c r="HO134" s="30"/>
      <c r="HP134" s="30"/>
      <c r="HQ134" s="30"/>
      <c r="HR134" s="30"/>
      <c r="HS134" s="30"/>
      <c r="HT134" s="30"/>
      <c r="HU134" s="30"/>
      <c r="HV134" s="30"/>
      <c r="HW134" s="30"/>
      <c r="HX134" s="30"/>
      <c r="HY134" s="30"/>
      <c r="HZ134" s="30"/>
      <c r="IA134" s="30"/>
      <c r="IB134" s="30"/>
      <c r="IC134" s="30"/>
      <c r="ID134" s="30"/>
      <c r="IE134" s="30"/>
      <c r="IF134" s="30"/>
      <c r="IG134" s="30"/>
      <c r="IH134" s="30"/>
      <c r="II134" s="30"/>
      <c r="IJ134" s="30"/>
      <c r="IK134" s="30"/>
      <c r="IL134" s="30"/>
      <c r="IM134" s="30"/>
      <c r="IN134" s="30"/>
      <c r="IO134" s="30"/>
      <c r="IP134" s="30"/>
      <c r="IQ134" s="30"/>
      <c r="IR134" s="30"/>
      <c r="IS134" s="30"/>
      <c r="IT134" s="30"/>
      <c r="IU134" s="30"/>
      <c r="IV134" s="30"/>
      <c r="IW134" s="30"/>
      <c r="IX134" s="30"/>
      <c r="IY134" s="30"/>
      <c r="IZ134" s="30"/>
      <c r="JA134" s="30"/>
      <c r="JB134" s="30"/>
      <c r="JC134" s="30"/>
      <c r="JD134" s="30"/>
      <c r="JE134" s="30"/>
      <c r="JF134" s="30"/>
      <c r="JG134" s="30"/>
      <c r="JH134" s="30"/>
      <c r="JI134" s="30"/>
      <c r="JJ134" s="30"/>
      <c r="JK134" s="30"/>
      <c r="JL134" s="30"/>
      <c r="JM134" s="30"/>
      <c r="JN134" s="30"/>
      <c r="JO134" s="30"/>
      <c r="JP134" s="30"/>
      <c r="JQ134" s="30"/>
      <c r="JR134" s="30"/>
      <c r="JS134" s="30"/>
      <c r="JT134" s="30"/>
      <c r="JU134" s="30"/>
      <c r="JV134" s="30"/>
      <c r="JW134" s="30"/>
      <c r="JX134" s="30"/>
      <c r="JY134" s="30"/>
      <c r="JZ134" s="30"/>
      <c r="KA134" s="30"/>
      <c r="KB134" s="30"/>
      <c r="KC134" s="30"/>
      <c r="KD134" s="30"/>
      <c r="KE134" s="30"/>
      <c r="KF134" s="30"/>
      <c r="KG134" s="30"/>
      <c r="KH134" s="30"/>
      <c r="KI134" s="30"/>
      <c r="KJ134" s="30"/>
      <c r="KK134" s="30"/>
      <c r="KL134" s="30"/>
      <c r="KM134" s="30"/>
      <c r="KN134" s="30"/>
      <c r="KO134" s="30"/>
      <c r="KP134" s="1630"/>
    </row>
    <row r="135" spans="1:302" s="97" customFormat="1" ht="13.15" outlineLevel="1">
      <c r="A135" s="2656" t="s">
        <v>812</v>
      </c>
      <c r="B135" s="1689"/>
      <c r="C135" s="262" t="s">
        <v>729</v>
      </c>
      <c r="D135" s="1689" t="s">
        <v>730</v>
      </c>
      <c r="E135" s="262"/>
      <c r="F135" s="347"/>
      <c r="G135" s="348"/>
      <c r="H135" s="349" t="s">
        <v>26</v>
      </c>
      <c r="I135" s="2936"/>
      <c r="J135" s="362" t="s">
        <v>26</v>
      </c>
      <c r="K135" s="1745"/>
      <c r="L135" s="383"/>
      <c r="M135" s="383"/>
      <c r="N135" s="383"/>
      <c r="O135" s="1510">
        <v>1112965</v>
      </c>
      <c r="P135" s="383"/>
      <c r="Q135" s="383"/>
      <c r="R135" s="383"/>
      <c r="S135" s="1510">
        <f t="shared" si="99"/>
        <v>0</v>
      </c>
      <c r="T135" s="389"/>
      <c r="U135" s="1746"/>
      <c r="V135" s="1746"/>
      <c r="W135" s="1744">
        <f t="shared" si="92"/>
        <v>1112965</v>
      </c>
      <c r="X135" s="359" t="s">
        <v>26</v>
      </c>
      <c r="Y135" s="389"/>
      <c r="Z135" s="1746"/>
      <c r="AA135" s="1509"/>
      <c r="AB135" s="1510">
        <f t="shared" si="171"/>
        <v>1112965</v>
      </c>
      <c r="AC135" s="1680"/>
      <c r="AD135" s="1460"/>
      <c r="AE135" s="1688"/>
      <c r="AF135" s="1686"/>
      <c r="AG135" s="1686"/>
      <c r="AH135" s="354">
        <f t="shared" si="149"/>
        <v>0</v>
      </c>
      <c r="AI135" s="355">
        <f t="shared" ca="1" si="170"/>
        <v>0</v>
      </c>
      <c r="AJ135" s="356">
        <f t="shared" ca="1" si="150"/>
        <v>0</v>
      </c>
      <c r="AK135" s="2185"/>
      <c r="AL135" s="260"/>
      <c r="AM135" s="2258"/>
      <c r="AN135" s="2258"/>
      <c r="AO135" s="359"/>
      <c r="AP135" s="359"/>
      <c r="AQ135" s="359"/>
      <c r="AR135" s="359"/>
      <c r="AS135" s="359"/>
      <c r="AT135" s="390"/>
      <c r="AU135" s="359"/>
      <c r="AV135" s="359"/>
      <c r="AW135" s="377"/>
      <c r="AX135" s="359"/>
      <c r="AY135" s="2316"/>
      <c r="AZ135" s="2273"/>
      <c r="BA135" s="497"/>
      <c r="BB135" s="359"/>
      <c r="BC135" s="359"/>
      <c r="BD135" s="359"/>
      <c r="BE135" s="362">
        <v>158995</v>
      </c>
      <c r="BF135" s="362">
        <v>158995</v>
      </c>
      <c r="BG135" s="362">
        <v>158995</v>
      </c>
      <c r="BH135" s="362">
        <v>158995</v>
      </c>
      <c r="BI135" s="414">
        <v>158995</v>
      </c>
      <c r="BJ135" s="362">
        <v>158995</v>
      </c>
      <c r="BK135" s="2123">
        <v>158995</v>
      </c>
      <c r="BL135" s="414"/>
      <c r="BM135" s="414"/>
      <c r="BN135" s="414"/>
      <c r="BO135" s="414"/>
      <c r="BP135" s="414"/>
      <c r="BQ135" s="2399"/>
      <c r="BR135" s="362"/>
      <c r="BS135" s="362"/>
      <c r="BT135" s="362"/>
      <c r="BU135" s="364"/>
      <c r="BV135" s="364"/>
      <c r="BW135" s="2366"/>
      <c r="BX135" s="2463"/>
      <c r="BY135" s="2543"/>
      <c r="BZ135" s="2543"/>
      <c r="CA135" s="2591">
        <f t="shared" si="164"/>
        <v>1112965</v>
      </c>
      <c r="CB135" s="2377">
        <f t="shared" si="165"/>
        <v>1</v>
      </c>
      <c r="CC135" s="365">
        <f t="shared" si="166"/>
        <v>8.9850085132955667E-7</v>
      </c>
      <c r="CD135" s="365"/>
      <c r="CE135" s="365"/>
      <c r="CF135" s="365"/>
      <c r="CG135" s="340"/>
      <c r="CH135" s="367"/>
      <c r="CI135" s="368"/>
      <c r="CJ135" s="368"/>
      <c r="CK135" s="369"/>
      <c r="CL135" s="329">
        <f t="shared" si="167"/>
        <v>0</v>
      </c>
      <c r="CM135" s="330">
        <f t="shared" ca="1" si="168"/>
        <v>0</v>
      </c>
      <c r="CN135" s="331">
        <f t="shared" ca="1" si="169"/>
        <v>-1112965</v>
      </c>
      <c r="CO135" s="86"/>
      <c r="CP135" s="86"/>
      <c r="CQ135" s="1641"/>
      <c r="CR135" s="86"/>
      <c r="CS135" s="86"/>
      <c r="CT135" s="86"/>
      <c r="CU135" s="86"/>
      <c r="CV135" s="86"/>
      <c r="CW135" s="86"/>
      <c r="CX135" s="86"/>
      <c r="CY135" s="86"/>
      <c r="CZ135" s="86"/>
      <c r="DA135" s="86"/>
      <c r="DB135" s="1642"/>
      <c r="DC135" s="1642"/>
      <c r="DD135" s="30"/>
      <c r="DE135" s="30"/>
      <c r="DF135" s="30"/>
      <c r="DG135" s="1642"/>
      <c r="DH135" s="1642"/>
      <c r="DI135" s="1642"/>
      <c r="DJ135" s="1642"/>
      <c r="DK135" s="1642"/>
      <c r="DL135" s="1642"/>
      <c r="DM135" s="1642"/>
      <c r="DN135" s="1642"/>
      <c r="DO135" s="1642"/>
      <c r="DP135" s="1642"/>
      <c r="DQ135" s="1642"/>
      <c r="DR135" s="1642"/>
      <c r="DS135" s="1642"/>
      <c r="DT135" s="1642"/>
      <c r="DU135" s="1642"/>
      <c r="DV135" s="1642"/>
      <c r="DW135" s="1642"/>
      <c r="DX135" s="1642"/>
      <c r="DY135" s="1642"/>
      <c r="DZ135" s="1642"/>
      <c r="EA135" s="1642"/>
      <c r="EB135" s="1642"/>
      <c r="EC135" s="1642"/>
      <c r="ED135" s="1642"/>
      <c r="EE135" s="1642"/>
      <c r="EF135" s="1642"/>
      <c r="EG135" s="1642"/>
      <c r="EH135" s="1643"/>
      <c r="EI135" s="1658"/>
      <c r="EJ135" s="30"/>
      <c r="EK135" s="30"/>
      <c r="EL135" s="30"/>
      <c r="EM135" s="30"/>
      <c r="EN135" s="30"/>
      <c r="EO135" s="30"/>
      <c r="EP135" s="30"/>
      <c r="EQ135" s="30"/>
      <c r="ER135" s="30"/>
      <c r="ES135" s="30"/>
      <c r="ET135" s="30"/>
      <c r="EU135" s="30"/>
      <c r="EV135" s="30"/>
      <c r="EW135" s="30"/>
      <c r="EX135" s="30"/>
      <c r="EY135" s="30"/>
      <c r="EZ135" s="30"/>
      <c r="FA135" s="30"/>
      <c r="FB135" s="30"/>
      <c r="FC135" s="30"/>
      <c r="FD135" s="30"/>
      <c r="FE135" s="30"/>
      <c r="FF135" s="30"/>
      <c r="FG135" s="30"/>
      <c r="FH135" s="30"/>
      <c r="FI135" s="30"/>
      <c r="FJ135" s="30"/>
      <c r="FK135" s="30"/>
      <c r="FL135" s="30"/>
      <c r="FM135" s="30"/>
      <c r="FN135" s="30"/>
      <c r="FO135" s="30"/>
      <c r="FP135" s="30"/>
      <c r="FQ135" s="30"/>
      <c r="FR135" s="30"/>
      <c r="FS135" s="30"/>
      <c r="FT135" s="30"/>
      <c r="FU135" s="30"/>
      <c r="FV135" s="30"/>
      <c r="FW135" s="30"/>
      <c r="FX135" s="30"/>
      <c r="FY135" s="30"/>
      <c r="FZ135" s="30"/>
      <c r="GA135" s="30"/>
      <c r="GB135" s="30"/>
      <c r="GC135" s="30"/>
      <c r="GD135" s="30"/>
      <c r="GE135" s="30"/>
      <c r="GF135" s="30"/>
      <c r="GG135" s="30"/>
      <c r="GH135" s="30"/>
      <c r="GI135" s="30"/>
      <c r="GJ135" s="30"/>
      <c r="GK135" s="30"/>
      <c r="GL135" s="30"/>
      <c r="GM135" s="30"/>
      <c r="GN135" s="30"/>
      <c r="GO135" s="30"/>
      <c r="GP135" s="30"/>
      <c r="GQ135" s="30"/>
      <c r="GR135" s="30"/>
      <c r="GS135" s="30"/>
      <c r="GT135" s="30"/>
      <c r="GU135" s="30"/>
      <c r="GV135" s="30"/>
      <c r="GW135" s="30"/>
      <c r="GX135" s="30"/>
      <c r="GY135" s="30"/>
      <c r="GZ135" s="30"/>
      <c r="HA135" s="30"/>
      <c r="HB135" s="30"/>
      <c r="HC135" s="30"/>
      <c r="HD135" s="30"/>
      <c r="HE135" s="30"/>
      <c r="HF135" s="30"/>
      <c r="HG135" s="30"/>
      <c r="HH135" s="30"/>
      <c r="HI135" s="30"/>
      <c r="HJ135" s="30"/>
      <c r="HK135" s="30"/>
      <c r="HL135" s="30"/>
      <c r="HM135" s="30"/>
      <c r="HN135" s="30"/>
      <c r="HO135" s="30"/>
      <c r="HP135" s="30"/>
      <c r="HQ135" s="30"/>
      <c r="HR135" s="30"/>
      <c r="HS135" s="30"/>
      <c r="HT135" s="30"/>
      <c r="HU135" s="30"/>
      <c r="HV135" s="30"/>
      <c r="HW135" s="30"/>
      <c r="HX135" s="30"/>
      <c r="HY135" s="30"/>
      <c r="HZ135" s="30"/>
      <c r="IA135" s="30"/>
      <c r="IB135" s="30"/>
      <c r="IC135" s="30"/>
      <c r="ID135" s="30"/>
      <c r="IE135" s="30"/>
      <c r="IF135" s="30"/>
      <c r="IG135" s="30"/>
      <c r="IH135" s="30"/>
      <c r="II135" s="30"/>
      <c r="IJ135" s="30"/>
      <c r="IK135" s="30"/>
      <c r="IL135" s="30"/>
      <c r="IM135" s="30"/>
      <c r="IN135" s="30"/>
      <c r="IO135" s="30"/>
      <c r="IP135" s="30"/>
      <c r="IQ135" s="30"/>
      <c r="IR135" s="30"/>
      <c r="IS135" s="30"/>
      <c r="IT135" s="30"/>
      <c r="IU135" s="30"/>
      <c r="IV135" s="30"/>
      <c r="IW135" s="30"/>
      <c r="IX135" s="30"/>
      <c r="IY135" s="30"/>
      <c r="IZ135" s="30"/>
      <c r="JA135" s="30"/>
      <c r="JB135" s="30"/>
      <c r="JC135" s="30"/>
      <c r="JD135" s="30"/>
      <c r="JE135" s="30"/>
      <c r="JF135" s="30"/>
      <c r="JG135" s="30"/>
      <c r="JH135" s="30"/>
      <c r="JI135" s="30"/>
      <c r="JJ135" s="30"/>
      <c r="JK135" s="30"/>
      <c r="JL135" s="30"/>
      <c r="JM135" s="30"/>
      <c r="JN135" s="30"/>
      <c r="JO135" s="30"/>
      <c r="JP135" s="30"/>
      <c r="JQ135" s="30"/>
      <c r="JR135" s="30"/>
      <c r="JS135" s="30"/>
      <c r="JT135" s="30"/>
      <c r="JU135" s="30"/>
      <c r="JV135" s="30"/>
      <c r="JW135" s="30"/>
      <c r="JX135" s="30"/>
      <c r="JY135" s="30"/>
      <c r="JZ135" s="30"/>
      <c r="KA135" s="30"/>
      <c r="KB135" s="30"/>
      <c r="KC135" s="30"/>
      <c r="KD135" s="30"/>
      <c r="KE135" s="30"/>
      <c r="KF135" s="30"/>
      <c r="KG135" s="30"/>
      <c r="KH135" s="30"/>
      <c r="KI135" s="30"/>
      <c r="KJ135" s="30"/>
      <c r="KK135" s="30"/>
      <c r="KL135" s="30"/>
      <c r="KM135" s="30"/>
      <c r="KN135" s="30"/>
      <c r="KO135" s="30"/>
      <c r="KP135" s="1630"/>
    </row>
    <row r="136" spans="1:302" s="97" customFormat="1" ht="13.9" outlineLevel="1">
      <c r="A136" s="2658" t="s">
        <v>264</v>
      </c>
      <c r="B136" s="2604"/>
      <c r="C136" s="2587" t="s">
        <v>731</v>
      </c>
      <c r="D136" s="2587" t="s">
        <v>732</v>
      </c>
      <c r="E136" s="262"/>
      <c r="F136" s="347"/>
      <c r="G136" s="348"/>
      <c r="H136" s="349" t="s">
        <v>26</v>
      </c>
      <c r="I136" s="2936"/>
      <c r="J136" s="362" t="s">
        <v>26</v>
      </c>
      <c r="K136" s="1745"/>
      <c r="L136" s="383"/>
      <c r="M136" s="383"/>
      <c r="N136" s="383"/>
      <c r="O136" s="1510">
        <v>1097187</v>
      </c>
      <c r="P136" s="383"/>
      <c r="Q136" s="383"/>
      <c r="R136" s="383"/>
      <c r="S136" s="1510">
        <f t="shared" ref="S136:S141" si="176">R136*Q136</f>
        <v>0</v>
      </c>
      <c r="T136" s="389"/>
      <c r="U136" s="1746"/>
      <c r="V136" s="1746"/>
      <c r="W136" s="1744">
        <f t="shared" ref="W136:W140" si="177">O136+S136</f>
        <v>1097187</v>
      </c>
      <c r="X136" s="359" t="s">
        <v>26</v>
      </c>
      <c r="Y136" s="389"/>
      <c r="Z136" s="1746"/>
      <c r="AA136" s="1509"/>
      <c r="AB136" s="1510">
        <f t="shared" si="171"/>
        <v>1097187</v>
      </c>
      <c r="AC136" s="1680"/>
      <c r="AD136" s="1460"/>
      <c r="AE136" s="1688"/>
      <c r="AF136" s="1686"/>
      <c r="AG136" s="1686"/>
      <c r="AH136" s="354">
        <f t="shared" si="149"/>
        <v>0</v>
      </c>
      <c r="AI136" s="355">
        <f t="shared" ca="1" si="170"/>
        <v>0</v>
      </c>
      <c r="AJ136" s="356">
        <f t="shared" ca="1" si="150"/>
        <v>0</v>
      </c>
      <c r="AK136" s="2185"/>
      <c r="AL136" s="260"/>
      <c r="AM136" s="2258"/>
      <c r="AN136" s="2258"/>
      <c r="AO136" s="359"/>
      <c r="AP136" s="359"/>
      <c r="AQ136" s="359"/>
      <c r="AR136" s="359"/>
      <c r="AS136" s="359"/>
      <c r="AT136" s="390"/>
      <c r="AU136" s="359"/>
      <c r="AV136" s="359"/>
      <c r="AW136" s="377"/>
      <c r="AX136" s="359"/>
      <c r="AY136" s="2316"/>
      <c r="AZ136" s="2273"/>
      <c r="BA136" s="497"/>
      <c r="BB136" s="359"/>
      <c r="BC136" s="359"/>
      <c r="BD136" s="359"/>
      <c r="BE136" s="362">
        <f>W136/7</f>
        <v>156741</v>
      </c>
      <c r="BF136" s="362">
        <v>156741</v>
      </c>
      <c r="BG136" s="362">
        <v>156741</v>
      </c>
      <c r="BH136" s="362">
        <v>156741</v>
      </c>
      <c r="BI136" s="414">
        <v>156741</v>
      </c>
      <c r="BJ136" s="362">
        <v>156741</v>
      </c>
      <c r="BK136" s="2123">
        <v>156741</v>
      </c>
      <c r="BL136" s="414"/>
      <c r="BM136" s="414"/>
      <c r="BN136" s="414"/>
      <c r="BO136" s="414"/>
      <c r="BP136" s="414"/>
      <c r="BQ136" s="2399"/>
      <c r="BR136" s="362"/>
      <c r="BS136" s="362"/>
      <c r="BT136" s="362"/>
      <c r="BU136" s="364"/>
      <c r="BV136" s="364"/>
      <c r="BW136" s="2366"/>
      <c r="BX136" s="2463"/>
      <c r="BY136" s="2543"/>
      <c r="BZ136" s="2543"/>
      <c r="CA136" s="2591">
        <f t="shared" si="164"/>
        <v>1097187</v>
      </c>
      <c r="CB136" s="2377">
        <f t="shared" si="165"/>
        <v>1</v>
      </c>
      <c r="CC136" s="365">
        <f t="shared" si="166"/>
        <v>9.1142166285236702E-7</v>
      </c>
      <c r="CD136" s="365"/>
      <c r="CE136" s="365"/>
      <c r="CF136" s="365"/>
      <c r="CG136" s="340"/>
      <c r="CH136" s="367"/>
      <c r="CI136" s="368"/>
      <c r="CJ136" s="368"/>
      <c r="CK136" s="369"/>
      <c r="CL136" s="329">
        <f t="shared" si="167"/>
        <v>0</v>
      </c>
      <c r="CM136" s="330">
        <f t="shared" ca="1" si="168"/>
        <v>0</v>
      </c>
      <c r="CN136" s="331">
        <f t="shared" ca="1" si="169"/>
        <v>-1097187</v>
      </c>
      <c r="CO136" s="86"/>
      <c r="CP136" s="86"/>
      <c r="CQ136" s="1641"/>
      <c r="CR136" s="86"/>
      <c r="CS136" s="86"/>
      <c r="CT136" s="86"/>
      <c r="CU136" s="86"/>
      <c r="CV136" s="86"/>
      <c r="CW136" s="86"/>
      <c r="CX136" s="86"/>
      <c r="CY136" s="86"/>
      <c r="CZ136" s="86"/>
      <c r="DA136" s="86"/>
      <c r="DB136" s="1642"/>
      <c r="DC136" s="1642"/>
      <c r="DD136" s="30"/>
      <c r="DE136" s="30"/>
      <c r="DF136" s="30"/>
      <c r="DG136" s="1642"/>
      <c r="DH136" s="1642"/>
      <c r="DI136" s="1642"/>
      <c r="DJ136" s="1642"/>
      <c r="DK136" s="1642"/>
      <c r="DL136" s="1642"/>
      <c r="DM136" s="1642"/>
      <c r="DN136" s="1642"/>
      <c r="DO136" s="1642"/>
      <c r="DP136" s="1642"/>
      <c r="DQ136" s="1642"/>
      <c r="DR136" s="1642"/>
      <c r="DS136" s="1642"/>
      <c r="DT136" s="1642"/>
      <c r="DU136" s="1642"/>
      <c r="DV136" s="1642"/>
      <c r="DW136" s="1642"/>
      <c r="DX136" s="1642"/>
      <c r="DY136" s="1642"/>
      <c r="DZ136" s="1642"/>
      <c r="EA136" s="1642"/>
      <c r="EB136" s="1642"/>
      <c r="EC136" s="1642"/>
      <c r="ED136" s="1642"/>
      <c r="EE136" s="1642"/>
      <c r="EF136" s="1642"/>
      <c r="EG136" s="1642"/>
      <c r="EH136" s="1643"/>
      <c r="EI136" s="1658"/>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0"/>
      <c r="HP136" s="30"/>
      <c r="HQ136" s="30"/>
      <c r="HR136" s="30"/>
      <c r="HS136" s="30"/>
      <c r="HT136" s="30"/>
      <c r="HU136" s="30"/>
      <c r="HV136" s="30"/>
      <c r="HW136" s="30"/>
      <c r="HX136" s="30"/>
      <c r="HY136" s="30"/>
      <c r="HZ136" s="30"/>
      <c r="IA136" s="30"/>
      <c r="IB136" s="30"/>
      <c r="IC136" s="30"/>
      <c r="ID136" s="30"/>
      <c r="IE136" s="30"/>
      <c r="IF136" s="30"/>
      <c r="IG136" s="30"/>
      <c r="IH136" s="30"/>
      <c r="II136" s="30"/>
      <c r="IJ136" s="30"/>
      <c r="IK136" s="30"/>
      <c r="IL136" s="30"/>
      <c r="IM136" s="30"/>
      <c r="IN136" s="30"/>
      <c r="IO136" s="30"/>
      <c r="IP136" s="30"/>
      <c r="IQ136" s="30"/>
      <c r="IR136" s="30"/>
      <c r="IS136" s="30"/>
      <c r="IT136" s="30"/>
      <c r="IU136" s="30"/>
      <c r="IV136" s="30"/>
      <c r="IW136" s="30"/>
      <c r="IX136" s="30"/>
      <c r="IY136" s="30"/>
      <c r="IZ136" s="30"/>
      <c r="JA136" s="30"/>
      <c r="JB136" s="30"/>
      <c r="JC136" s="30"/>
      <c r="JD136" s="30"/>
      <c r="JE136" s="30"/>
      <c r="JF136" s="30"/>
      <c r="JG136" s="30"/>
      <c r="JH136" s="30"/>
      <c r="JI136" s="30"/>
      <c r="JJ136" s="30"/>
      <c r="JK136" s="30"/>
      <c r="JL136" s="30"/>
      <c r="JM136" s="30"/>
      <c r="JN136" s="30"/>
      <c r="JO136" s="30"/>
      <c r="JP136" s="30"/>
      <c r="JQ136" s="30"/>
      <c r="JR136" s="30"/>
      <c r="JS136" s="30"/>
      <c r="JT136" s="30"/>
      <c r="JU136" s="30"/>
      <c r="JV136" s="30"/>
      <c r="JW136" s="30"/>
      <c r="JX136" s="30"/>
      <c r="JY136" s="30"/>
      <c r="JZ136" s="30"/>
      <c r="KA136" s="30"/>
      <c r="KB136" s="30"/>
      <c r="KC136" s="30"/>
      <c r="KD136" s="30"/>
      <c r="KE136" s="30"/>
      <c r="KF136" s="30"/>
      <c r="KG136" s="30"/>
      <c r="KH136" s="30"/>
      <c r="KI136" s="30"/>
      <c r="KJ136" s="30"/>
      <c r="KK136" s="30"/>
      <c r="KL136" s="30"/>
      <c r="KM136" s="30"/>
      <c r="KN136" s="30"/>
      <c r="KO136" s="30"/>
      <c r="KP136" s="1630"/>
    </row>
    <row r="137" spans="1:302" s="97" customFormat="1" ht="13.15" outlineLevel="1">
      <c r="A137" s="2656" t="s">
        <v>816</v>
      </c>
      <c r="B137" s="1689"/>
      <c r="C137" s="262"/>
      <c r="D137" s="1689"/>
      <c r="E137" s="262"/>
      <c r="F137" s="347"/>
      <c r="G137" s="348"/>
      <c r="H137" s="349" t="s">
        <v>26</v>
      </c>
      <c r="I137" s="2936"/>
      <c r="J137" s="362" t="s">
        <v>26</v>
      </c>
      <c r="K137" s="1745"/>
      <c r="L137" s="383"/>
      <c r="M137" s="383"/>
      <c r="N137" s="383"/>
      <c r="O137" s="1510"/>
      <c r="P137" s="383"/>
      <c r="Q137" s="383"/>
      <c r="R137" s="383"/>
      <c r="S137" s="1510">
        <f t="shared" si="176"/>
        <v>0</v>
      </c>
      <c r="T137" s="389"/>
      <c r="U137" s="1746"/>
      <c r="V137" s="1746"/>
      <c r="W137" s="1744">
        <f t="shared" si="177"/>
        <v>0</v>
      </c>
      <c r="X137" s="359" t="s">
        <v>26</v>
      </c>
      <c r="Y137" s="389"/>
      <c r="Z137" s="1746"/>
      <c r="AA137" s="1509"/>
      <c r="AB137" s="1510">
        <f t="shared" si="171"/>
        <v>0</v>
      </c>
      <c r="AC137" s="1680"/>
      <c r="AD137" s="1460"/>
      <c r="AE137" s="1688"/>
      <c r="AF137" s="1686"/>
      <c r="AG137" s="1686"/>
      <c r="AH137" s="354">
        <f t="shared" si="149"/>
        <v>0</v>
      </c>
      <c r="AI137" s="355">
        <f t="shared" ca="1" si="170"/>
        <v>0</v>
      </c>
      <c r="AJ137" s="356" t="str">
        <f t="shared" si="150"/>
        <v/>
      </c>
      <c r="AK137" s="2185"/>
      <c r="AL137" s="260"/>
      <c r="AM137" s="2258"/>
      <c r="AN137" s="2258"/>
      <c r="AO137" s="359"/>
      <c r="AP137" s="359"/>
      <c r="AQ137" s="359"/>
      <c r="AR137" s="359"/>
      <c r="AS137" s="359"/>
      <c r="AT137" s="390"/>
      <c r="AU137" s="359"/>
      <c r="AV137" s="359"/>
      <c r="AW137" s="377"/>
      <c r="AX137" s="359"/>
      <c r="AY137" s="2316"/>
      <c r="AZ137" s="2273"/>
      <c r="BA137" s="497"/>
      <c r="BB137" s="359"/>
      <c r="BC137" s="359"/>
      <c r="BD137" s="359"/>
      <c r="BE137" s="362"/>
      <c r="BF137" s="362"/>
      <c r="BG137" s="362"/>
      <c r="BH137" s="362"/>
      <c r="BI137" s="414"/>
      <c r="BJ137" s="362"/>
      <c r="BK137" s="2123"/>
      <c r="BL137" s="414"/>
      <c r="BM137" s="414"/>
      <c r="BN137" s="414"/>
      <c r="BO137" s="414"/>
      <c r="BP137" s="414"/>
      <c r="BQ137" s="2399"/>
      <c r="BR137" s="362"/>
      <c r="BS137" s="362"/>
      <c r="BT137" s="362"/>
      <c r="BU137" s="364"/>
      <c r="BV137" s="364"/>
      <c r="BW137" s="2366"/>
      <c r="BX137" s="2463"/>
      <c r="BY137" s="2543"/>
      <c r="BZ137" s="2543"/>
      <c r="CA137" s="2591">
        <f t="shared" si="164"/>
        <v>0</v>
      </c>
      <c r="CB137" s="2377" t="str">
        <f t="shared" si="165"/>
        <v/>
      </c>
      <c r="CC137" s="365" t="str">
        <f t="shared" si="166"/>
        <v/>
      </c>
      <c r="CD137" s="365"/>
      <c r="CE137" s="365"/>
      <c r="CF137" s="365"/>
      <c r="CG137" s="340"/>
      <c r="CH137" s="367"/>
      <c r="CI137" s="368"/>
      <c r="CJ137" s="368"/>
      <c r="CK137" s="369"/>
      <c r="CL137" s="329">
        <f t="shared" si="167"/>
        <v>0</v>
      </c>
      <c r="CM137" s="330">
        <f t="shared" ca="1" si="168"/>
        <v>0</v>
      </c>
      <c r="CN137" s="331">
        <f t="shared" ca="1" si="169"/>
        <v>0</v>
      </c>
      <c r="CO137" s="86"/>
      <c r="CP137" s="86"/>
      <c r="CQ137" s="1641"/>
      <c r="CR137" s="86"/>
      <c r="CS137" s="86"/>
      <c r="CT137" s="86"/>
      <c r="CU137" s="86"/>
      <c r="CV137" s="86"/>
      <c r="CW137" s="86"/>
      <c r="CX137" s="86"/>
      <c r="CY137" s="86"/>
      <c r="CZ137" s="86"/>
      <c r="DA137" s="86"/>
      <c r="DB137" s="1642"/>
      <c r="DC137" s="1642"/>
      <c r="DD137" s="30"/>
      <c r="DE137" s="30"/>
      <c r="DF137" s="30"/>
      <c r="DG137" s="1642"/>
      <c r="DH137" s="1642"/>
      <c r="DI137" s="1642"/>
      <c r="DJ137" s="1642"/>
      <c r="DK137" s="1642"/>
      <c r="DL137" s="1642"/>
      <c r="DM137" s="1642"/>
      <c r="DN137" s="1642"/>
      <c r="DO137" s="1642"/>
      <c r="DP137" s="1642"/>
      <c r="DQ137" s="1642"/>
      <c r="DR137" s="1642"/>
      <c r="DS137" s="1642"/>
      <c r="DT137" s="1642"/>
      <c r="DU137" s="1642"/>
      <c r="DV137" s="1642"/>
      <c r="DW137" s="1642"/>
      <c r="DX137" s="1642"/>
      <c r="DY137" s="1642"/>
      <c r="DZ137" s="1642"/>
      <c r="EA137" s="1642"/>
      <c r="EB137" s="1642"/>
      <c r="EC137" s="1642"/>
      <c r="ED137" s="1642"/>
      <c r="EE137" s="1642"/>
      <c r="EF137" s="1642"/>
      <c r="EG137" s="1642"/>
      <c r="EH137" s="1643"/>
      <c r="EI137" s="1658"/>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0"/>
      <c r="HP137" s="30"/>
      <c r="HQ137" s="30"/>
      <c r="HR137" s="30"/>
      <c r="HS137" s="30"/>
      <c r="HT137" s="30"/>
      <c r="HU137" s="30"/>
      <c r="HV137" s="30"/>
      <c r="HW137" s="30"/>
      <c r="HX137" s="30"/>
      <c r="HY137" s="30"/>
      <c r="HZ137" s="30"/>
      <c r="IA137" s="30"/>
      <c r="IB137" s="30"/>
      <c r="IC137" s="30"/>
      <c r="ID137" s="30"/>
      <c r="IE137" s="30"/>
      <c r="IF137" s="30"/>
      <c r="IG137" s="30"/>
      <c r="IH137" s="30"/>
      <c r="II137" s="30"/>
      <c r="IJ137" s="30"/>
      <c r="IK137" s="30"/>
      <c r="IL137" s="30"/>
      <c r="IM137" s="30"/>
      <c r="IN137" s="30"/>
      <c r="IO137" s="30"/>
      <c r="IP137" s="30"/>
      <c r="IQ137" s="30"/>
      <c r="IR137" s="30"/>
      <c r="IS137" s="30"/>
      <c r="IT137" s="30"/>
      <c r="IU137" s="30"/>
      <c r="IV137" s="30"/>
      <c r="IW137" s="30"/>
      <c r="IX137" s="30"/>
      <c r="IY137" s="30"/>
      <c r="IZ137" s="30"/>
      <c r="JA137" s="30"/>
      <c r="JB137" s="30"/>
      <c r="JC137" s="30"/>
      <c r="JD137" s="30"/>
      <c r="JE137" s="30"/>
      <c r="JF137" s="30"/>
      <c r="JG137" s="30"/>
      <c r="JH137" s="30"/>
      <c r="JI137" s="30"/>
      <c r="JJ137" s="30"/>
      <c r="JK137" s="30"/>
      <c r="JL137" s="30"/>
      <c r="JM137" s="30"/>
      <c r="JN137" s="30"/>
      <c r="JO137" s="30"/>
      <c r="JP137" s="30"/>
      <c r="JQ137" s="30"/>
      <c r="JR137" s="30"/>
      <c r="JS137" s="30"/>
      <c r="JT137" s="30"/>
      <c r="JU137" s="30"/>
      <c r="JV137" s="30"/>
      <c r="JW137" s="30"/>
      <c r="JX137" s="30"/>
      <c r="JY137" s="30"/>
      <c r="JZ137" s="30"/>
      <c r="KA137" s="30"/>
      <c r="KB137" s="30"/>
      <c r="KC137" s="30"/>
      <c r="KD137" s="30"/>
      <c r="KE137" s="30"/>
      <c r="KF137" s="30"/>
      <c r="KG137" s="30"/>
      <c r="KH137" s="30"/>
      <c r="KI137" s="30"/>
      <c r="KJ137" s="30"/>
      <c r="KK137" s="30"/>
      <c r="KL137" s="30"/>
      <c r="KM137" s="30"/>
      <c r="KN137" s="30"/>
      <c r="KO137" s="30"/>
      <c r="KP137" s="1630"/>
    </row>
    <row r="138" spans="1:302" s="97" customFormat="1" ht="13.9" outlineLevel="1">
      <c r="A138" s="2658" t="s">
        <v>265</v>
      </c>
      <c r="B138" s="2604"/>
      <c r="C138" s="2587" t="s">
        <v>733</v>
      </c>
      <c r="D138" s="2587" t="s">
        <v>734</v>
      </c>
      <c r="E138" s="262"/>
      <c r="F138" s="347"/>
      <c r="G138" s="348"/>
      <c r="H138" s="349" t="s">
        <v>26</v>
      </c>
      <c r="I138" s="2936"/>
      <c r="J138" s="362" t="s">
        <v>26</v>
      </c>
      <c r="K138" s="1745"/>
      <c r="L138" s="383"/>
      <c r="M138" s="383"/>
      <c r="N138" s="383"/>
      <c r="O138" s="1510"/>
      <c r="P138" s="383"/>
      <c r="Q138" s="383"/>
      <c r="R138" s="383"/>
      <c r="S138" s="1510">
        <f t="shared" si="176"/>
        <v>0</v>
      </c>
      <c r="T138" s="389"/>
      <c r="U138" s="1746"/>
      <c r="V138" s="1746"/>
      <c r="W138" s="1744">
        <f t="shared" si="177"/>
        <v>0</v>
      </c>
      <c r="X138" s="359" t="s">
        <v>26</v>
      </c>
      <c r="Y138" s="389"/>
      <c r="Z138" s="1746"/>
      <c r="AA138" s="1509"/>
      <c r="AB138" s="1510">
        <f t="shared" si="171"/>
        <v>0</v>
      </c>
      <c r="AC138" s="1680"/>
      <c r="AD138" s="1460"/>
      <c r="AE138" s="1688"/>
      <c r="AF138" s="1686"/>
      <c r="AG138" s="1686"/>
      <c r="AH138" s="354">
        <f t="shared" si="149"/>
        <v>0</v>
      </c>
      <c r="AI138" s="355">
        <f t="shared" ca="1" si="170"/>
        <v>0</v>
      </c>
      <c r="AJ138" s="356" t="str">
        <f t="shared" si="150"/>
        <v/>
      </c>
      <c r="AK138" s="2185"/>
      <c r="AL138" s="260"/>
      <c r="AM138" s="2258"/>
      <c r="AN138" s="2258"/>
      <c r="AO138" s="359"/>
      <c r="AP138" s="359"/>
      <c r="AQ138" s="359"/>
      <c r="AR138" s="359"/>
      <c r="AS138" s="359"/>
      <c r="AT138" s="390"/>
      <c r="AU138" s="359"/>
      <c r="AV138" s="359"/>
      <c r="AW138" s="377"/>
      <c r="AX138" s="359"/>
      <c r="AY138" s="2316"/>
      <c r="AZ138" s="2273"/>
      <c r="BA138" s="497"/>
      <c r="BB138" s="359"/>
      <c r="BC138" s="359"/>
      <c r="BD138" s="359"/>
      <c r="BE138" s="362"/>
      <c r="BF138" s="362"/>
      <c r="BG138" s="362"/>
      <c r="BH138" s="362"/>
      <c r="BI138" s="414"/>
      <c r="BJ138" s="362"/>
      <c r="BK138" s="2123"/>
      <c r="BL138" s="414"/>
      <c r="BM138" s="414"/>
      <c r="BN138" s="414"/>
      <c r="BO138" s="414"/>
      <c r="BP138" s="414"/>
      <c r="BQ138" s="2399"/>
      <c r="BR138" s="362"/>
      <c r="BS138" s="362"/>
      <c r="BT138" s="362"/>
      <c r="BU138" s="364"/>
      <c r="BV138" s="364"/>
      <c r="BW138" s="2366"/>
      <c r="BX138" s="2463"/>
      <c r="BY138" s="2543"/>
      <c r="BZ138" s="2543"/>
      <c r="CA138" s="2591">
        <f t="shared" si="164"/>
        <v>0</v>
      </c>
      <c r="CB138" s="2377" t="str">
        <f t="shared" si="165"/>
        <v/>
      </c>
      <c r="CC138" s="365" t="str">
        <f t="shared" si="166"/>
        <v/>
      </c>
      <c r="CD138" s="365"/>
      <c r="CE138" s="365"/>
      <c r="CF138" s="365"/>
      <c r="CG138" s="340"/>
      <c r="CH138" s="367"/>
      <c r="CI138" s="368"/>
      <c r="CJ138" s="368"/>
      <c r="CK138" s="369"/>
      <c r="CL138" s="329">
        <f t="shared" si="167"/>
        <v>0</v>
      </c>
      <c r="CM138" s="330">
        <f t="shared" ca="1" si="168"/>
        <v>0</v>
      </c>
      <c r="CN138" s="331">
        <f t="shared" ca="1" si="169"/>
        <v>0</v>
      </c>
      <c r="CO138" s="86"/>
      <c r="CP138" s="86"/>
      <c r="CQ138" s="1641"/>
      <c r="CR138" s="86"/>
      <c r="CS138" s="86"/>
      <c r="CT138" s="86"/>
      <c r="CU138" s="86"/>
      <c r="CV138" s="86"/>
      <c r="CW138" s="86"/>
      <c r="CX138" s="86"/>
      <c r="CY138" s="86"/>
      <c r="CZ138" s="86"/>
      <c r="DA138" s="86"/>
      <c r="DB138" s="1642"/>
      <c r="DC138" s="1642"/>
      <c r="DD138" s="30"/>
      <c r="DE138" s="30"/>
      <c r="DF138" s="30"/>
      <c r="DG138" s="1642"/>
      <c r="DH138" s="1642"/>
      <c r="DI138" s="1642"/>
      <c r="DJ138" s="1642"/>
      <c r="DK138" s="1642"/>
      <c r="DL138" s="1642"/>
      <c r="DM138" s="1642"/>
      <c r="DN138" s="1642"/>
      <c r="DO138" s="1642"/>
      <c r="DP138" s="1642"/>
      <c r="DQ138" s="1642"/>
      <c r="DR138" s="1642"/>
      <c r="DS138" s="1642"/>
      <c r="DT138" s="1642"/>
      <c r="DU138" s="1642"/>
      <c r="DV138" s="1642"/>
      <c r="DW138" s="1642"/>
      <c r="DX138" s="1642"/>
      <c r="DY138" s="1642"/>
      <c r="DZ138" s="1642"/>
      <c r="EA138" s="1642"/>
      <c r="EB138" s="1642"/>
      <c r="EC138" s="1642"/>
      <c r="ED138" s="1642"/>
      <c r="EE138" s="1642"/>
      <c r="EF138" s="1642"/>
      <c r="EG138" s="1642"/>
      <c r="EH138" s="1643"/>
      <c r="EI138" s="1658"/>
      <c r="EJ138" s="30"/>
      <c r="EK138" s="30"/>
      <c r="EL138" s="30"/>
      <c r="EM138" s="30"/>
      <c r="EN138" s="30"/>
      <c r="EO138" s="30"/>
      <c r="EP138" s="30"/>
      <c r="EQ138" s="30"/>
      <c r="ER138" s="30"/>
      <c r="ES138" s="30"/>
      <c r="ET138" s="30"/>
      <c r="EU138" s="30"/>
      <c r="EV138" s="30"/>
      <c r="EW138" s="30"/>
      <c r="EX138" s="30"/>
      <c r="EY138" s="30"/>
      <c r="EZ138" s="30"/>
      <c r="FA138" s="30"/>
      <c r="FB138" s="30"/>
      <c r="FC138" s="30"/>
      <c r="FD138" s="30"/>
      <c r="FE138" s="30"/>
      <c r="FF138" s="30"/>
      <c r="FG138" s="30"/>
      <c r="FH138" s="30"/>
      <c r="FI138" s="30"/>
      <c r="FJ138" s="30"/>
      <c r="FK138" s="30"/>
      <c r="FL138" s="30"/>
      <c r="FM138" s="30"/>
      <c r="FN138" s="30"/>
      <c r="FO138" s="30"/>
      <c r="FP138" s="30"/>
      <c r="FQ138" s="30"/>
      <c r="FR138" s="30"/>
      <c r="FS138" s="30"/>
      <c r="FT138" s="30"/>
      <c r="FU138" s="30"/>
      <c r="FV138" s="30"/>
      <c r="FW138" s="30"/>
      <c r="FX138" s="30"/>
      <c r="FY138" s="30"/>
      <c r="FZ138" s="30"/>
      <c r="GA138" s="30"/>
      <c r="GB138" s="30"/>
      <c r="GC138" s="30"/>
      <c r="GD138" s="30"/>
      <c r="GE138" s="30"/>
      <c r="GF138" s="30"/>
      <c r="GG138" s="30"/>
      <c r="GH138" s="30"/>
      <c r="GI138" s="30"/>
      <c r="GJ138" s="30"/>
      <c r="GK138" s="30"/>
      <c r="GL138" s="30"/>
      <c r="GM138" s="30"/>
      <c r="GN138" s="30"/>
      <c r="GO138" s="30"/>
      <c r="GP138" s="30"/>
      <c r="GQ138" s="30"/>
      <c r="GR138" s="30"/>
      <c r="GS138" s="30"/>
      <c r="GT138" s="30"/>
      <c r="GU138" s="30"/>
      <c r="GV138" s="30"/>
      <c r="GW138" s="30"/>
      <c r="GX138" s="30"/>
      <c r="GY138" s="30"/>
      <c r="GZ138" s="30"/>
      <c r="HA138" s="30"/>
      <c r="HB138" s="30"/>
      <c r="HC138" s="30"/>
      <c r="HD138" s="30"/>
      <c r="HE138" s="30"/>
      <c r="HF138" s="30"/>
      <c r="HG138" s="30"/>
      <c r="HH138" s="30"/>
      <c r="HI138" s="30"/>
      <c r="HJ138" s="30"/>
      <c r="HK138" s="30"/>
      <c r="HL138" s="30"/>
      <c r="HM138" s="30"/>
      <c r="HN138" s="30"/>
      <c r="HO138" s="30"/>
      <c r="HP138" s="30"/>
      <c r="HQ138" s="30"/>
      <c r="HR138" s="30"/>
      <c r="HS138" s="30"/>
      <c r="HT138" s="30"/>
      <c r="HU138" s="30"/>
      <c r="HV138" s="30"/>
      <c r="HW138" s="30"/>
      <c r="HX138" s="30"/>
      <c r="HY138" s="30"/>
      <c r="HZ138" s="30"/>
      <c r="IA138" s="30"/>
      <c r="IB138" s="30"/>
      <c r="IC138" s="30"/>
      <c r="ID138" s="30"/>
      <c r="IE138" s="30"/>
      <c r="IF138" s="30"/>
      <c r="IG138" s="30"/>
      <c r="IH138" s="30"/>
      <c r="II138" s="30"/>
      <c r="IJ138" s="30"/>
      <c r="IK138" s="30"/>
      <c r="IL138" s="30"/>
      <c r="IM138" s="30"/>
      <c r="IN138" s="30"/>
      <c r="IO138" s="30"/>
      <c r="IP138" s="30"/>
      <c r="IQ138" s="30"/>
      <c r="IR138" s="30"/>
      <c r="IS138" s="30"/>
      <c r="IT138" s="30"/>
      <c r="IU138" s="30"/>
      <c r="IV138" s="30"/>
      <c r="IW138" s="30"/>
      <c r="IX138" s="30"/>
      <c r="IY138" s="30"/>
      <c r="IZ138" s="30"/>
      <c r="JA138" s="30"/>
      <c r="JB138" s="30"/>
      <c r="JC138" s="30"/>
      <c r="JD138" s="30"/>
      <c r="JE138" s="30"/>
      <c r="JF138" s="30"/>
      <c r="JG138" s="30"/>
      <c r="JH138" s="30"/>
      <c r="JI138" s="30"/>
      <c r="JJ138" s="30"/>
      <c r="JK138" s="30"/>
      <c r="JL138" s="30"/>
      <c r="JM138" s="30"/>
      <c r="JN138" s="30"/>
      <c r="JO138" s="30"/>
      <c r="JP138" s="30"/>
      <c r="JQ138" s="30"/>
      <c r="JR138" s="30"/>
      <c r="JS138" s="30"/>
      <c r="JT138" s="30"/>
      <c r="JU138" s="30"/>
      <c r="JV138" s="30"/>
      <c r="JW138" s="30"/>
      <c r="JX138" s="30"/>
      <c r="JY138" s="30"/>
      <c r="JZ138" s="30"/>
      <c r="KA138" s="30"/>
      <c r="KB138" s="30"/>
      <c r="KC138" s="30"/>
      <c r="KD138" s="30"/>
      <c r="KE138" s="30"/>
      <c r="KF138" s="30"/>
      <c r="KG138" s="30"/>
      <c r="KH138" s="30"/>
      <c r="KI138" s="30"/>
      <c r="KJ138" s="30"/>
      <c r="KK138" s="30"/>
      <c r="KL138" s="30"/>
      <c r="KM138" s="30"/>
      <c r="KN138" s="30"/>
      <c r="KO138" s="30"/>
      <c r="KP138" s="1630"/>
    </row>
    <row r="139" spans="1:302" s="97" customFormat="1" ht="13.15" outlineLevel="1">
      <c r="A139" s="2656" t="s">
        <v>813</v>
      </c>
      <c r="B139" s="1689"/>
      <c r="C139" s="262" t="s">
        <v>735</v>
      </c>
      <c r="D139" s="1689" t="s">
        <v>736</v>
      </c>
      <c r="E139" s="262"/>
      <c r="F139" s="347"/>
      <c r="G139" s="348"/>
      <c r="H139" s="349" t="s">
        <v>26</v>
      </c>
      <c r="I139" s="2936"/>
      <c r="J139" s="362" t="s">
        <v>26</v>
      </c>
      <c r="K139" s="1745"/>
      <c r="L139" s="383"/>
      <c r="M139" s="383"/>
      <c r="N139" s="383"/>
      <c r="O139" s="1510">
        <v>321395</v>
      </c>
      <c r="P139" s="383"/>
      <c r="Q139" s="383"/>
      <c r="R139" s="383"/>
      <c r="S139" s="1510">
        <f t="shared" si="176"/>
        <v>0</v>
      </c>
      <c r="T139" s="389"/>
      <c r="U139" s="1746"/>
      <c r="V139" s="1746"/>
      <c r="W139" s="1744">
        <f t="shared" si="177"/>
        <v>321395</v>
      </c>
      <c r="X139" s="359" t="s">
        <v>26</v>
      </c>
      <c r="Y139" s="389"/>
      <c r="Z139" s="1746"/>
      <c r="AA139" s="1509"/>
      <c r="AB139" s="1510">
        <f t="shared" si="171"/>
        <v>321395</v>
      </c>
      <c r="AC139" s="1680"/>
      <c r="AD139" s="1460"/>
      <c r="AE139" s="1688"/>
      <c r="AF139" s="1686"/>
      <c r="AG139" s="1686"/>
      <c r="AH139" s="354">
        <f t="shared" si="149"/>
        <v>0</v>
      </c>
      <c r="AI139" s="355">
        <f t="shared" ca="1" si="170"/>
        <v>0</v>
      </c>
      <c r="AJ139" s="356">
        <f t="shared" ca="1" si="150"/>
        <v>0</v>
      </c>
      <c r="AK139" s="2185"/>
      <c r="AL139" s="260"/>
      <c r="AM139" s="2258"/>
      <c r="AN139" s="2258"/>
      <c r="AO139" s="359"/>
      <c r="AP139" s="359"/>
      <c r="AQ139" s="359"/>
      <c r="AR139" s="359"/>
      <c r="AS139" s="359"/>
      <c r="AT139" s="390"/>
      <c r="AU139" s="359"/>
      <c r="AV139" s="359"/>
      <c r="AW139" s="377"/>
      <c r="AX139" s="359"/>
      <c r="AY139" s="2316"/>
      <c r="AZ139" s="2273">
        <v>40174.375</v>
      </c>
      <c r="BA139" s="497">
        <v>40174.375</v>
      </c>
      <c r="BB139" s="359">
        <v>40174.375</v>
      </c>
      <c r="BC139" s="359">
        <v>40174.375</v>
      </c>
      <c r="BD139" s="359">
        <v>40174.375</v>
      </c>
      <c r="BE139" s="362">
        <v>40174.375</v>
      </c>
      <c r="BF139" s="362">
        <v>40174.375</v>
      </c>
      <c r="BG139" s="362">
        <v>40174.375</v>
      </c>
      <c r="BH139" s="362"/>
      <c r="BI139" s="414"/>
      <c r="BJ139" s="362"/>
      <c r="BK139" s="2123"/>
      <c r="BL139" s="414"/>
      <c r="BM139" s="414"/>
      <c r="BN139" s="414"/>
      <c r="BO139" s="414"/>
      <c r="BP139" s="414"/>
      <c r="BQ139" s="2399"/>
      <c r="BR139" s="362"/>
      <c r="BS139" s="362"/>
      <c r="BT139" s="362"/>
      <c r="BU139" s="364"/>
      <c r="BV139" s="364"/>
      <c r="BW139" s="2366"/>
      <c r="BX139" s="2463"/>
      <c r="BY139" s="2543"/>
      <c r="BZ139" s="2543"/>
      <c r="CA139" s="2591">
        <f t="shared" si="164"/>
        <v>321395</v>
      </c>
      <c r="CB139" s="2377">
        <f t="shared" si="165"/>
        <v>1</v>
      </c>
      <c r="CC139" s="365">
        <f t="shared" si="166"/>
        <v>3.1114360833242583E-6</v>
      </c>
      <c r="CD139" s="365"/>
      <c r="CE139" s="365"/>
      <c r="CF139" s="365"/>
      <c r="CG139" s="340"/>
      <c r="CH139" s="367"/>
      <c r="CI139" s="368"/>
      <c r="CJ139" s="368"/>
      <c r="CK139" s="369"/>
      <c r="CL139" s="329">
        <f t="shared" si="167"/>
        <v>0</v>
      </c>
      <c r="CM139" s="330">
        <f t="shared" ca="1" si="168"/>
        <v>0</v>
      </c>
      <c r="CN139" s="331">
        <f t="shared" ca="1" si="169"/>
        <v>-321395</v>
      </c>
      <c r="CO139" s="86"/>
      <c r="CP139" s="86"/>
      <c r="CQ139" s="1641"/>
      <c r="CR139" s="86"/>
      <c r="CS139" s="86"/>
      <c r="CT139" s="86"/>
      <c r="CU139" s="86"/>
      <c r="CV139" s="86"/>
      <c r="CW139" s="86"/>
      <c r="CX139" s="86"/>
      <c r="CY139" s="86"/>
      <c r="CZ139" s="86"/>
      <c r="DA139" s="86"/>
      <c r="DB139" s="1642"/>
      <c r="DC139" s="1642"/>
      <c r="DD139" s="30"/>
      <c r="DE139" s="30"/>
      <c r="DF139" s="30"/>
      <c r="DG139" s="1642"/>
      <c r="DH139" s="1642"/>
      <c r="DI139" s="1642"/>
      <c r="DJ139" s="1642"/>
      <c r="DK139" s="1642"/>
      <c r="DL139" s="1642"/>
      <c r="DM139" s="1642"/>
      <c r="DN139" s="1642"/>
      <c r="DO139" s="1642"/>
      <c r="DP139" s="1642"/>
      <c r="DQ139" s="1642"/>
      <c r="DR139" s="1642"/>
      <c r="DS139" s="1642"/>
      <c r="DT139" s="1642"/>
      <c r="DU139" s="1642"/>
      <c r="DV139" s="1642"/>
      <c r="DW139" s="1642"/>
      <c r="DX139" s="1642"/>
      <c r="DY139" s="1642"/>
      <c r="DZ139" s="1642"/>
      <c r="EA139" s="1642"/>
      <c r="EB139" s="1642"/>
      <c r="EC139" s="1642"/>
      <c r="ED139" s="1642"/>
      <c r="EE139" s="1642"/>
      <c r="EF139" s="1642"/>
      <c r="EG139" s="1642"/>
      <c r="EH139" s="1643"/>
      <c r="EI139" s="1658"/>
      <c r="EJ139" s="30"/>
      <c r="EK139" s="30"/>
      <c r="EL139" s="30"/>
      <c r="EM139" s="30"/>
      <c r="EN139" s="30"/>
      <c r="EO139" s="30"/>
      <c r="EP139" s="30"/>
      <c r="EQ139" s="30"/>
      <c r="ER139" s="30"/>
      <c r="ES139" s="30"/>
      <c r="ET139" s="30"/>
      <c r="EU139" s="30"/>
      <c r="EV139" s="30"/>
      <c r="EW139" s="30"/>
      <c r="EX139" s="30"/>
      <c r="EY139" s="30"/>
      <c r="EZ139" s="30"/>
      <c r="FA139" s="30"/>
      <c r="FB139" s="30"/>
      <c r="FC139" s="30"/>
      <c r="FD139" s="30"/>
      <c r="FE139" s="30"/>
      <c r="FF139" s="30"/>
      <c r="FG139" s="30"/>
      <c r="FH139" s="30"/>
      <c r="FI139" s="30"/>
      <c r="FJ139" s="30"/>
      <c r="FK139" s="30"/>
      <c r="FL139" s="30"/>
      <c r="FM139" s="30"/>
      <c r="FN139" s="30"/>
      <c r="FO139" s="30"/>
      <c r="FP139" s="30"/>
      <c r="FQ139" s="30"/>
      <c r="FR139" s="30"/>
      <c r="FS139" s="30"/>
      <c r="FT139" s="30"/>
      <c r="FU139" s="30"/>
      <c r="FV139" s="30"/>
      <c r="FW139" s="30"/>
      <c r="FX139" s="30"/>
      <c r="FY139" s="30"/>
      <c r="FZ139" s="30"/>
      <c r="GA139" s="30"/>
      <c r="GB139" s="30"/>
      <c r="GC139" s="30"/>
      <c r="GD139" s="30"/>
      <c r="GE139" s="30"/>
      <c r="GF139" s="30"/>
      <c r="GG139" s="30"/>
      <c r="GH139" s="30"/>
      <c r="GI139" s="30"/>
      <c r="GJ139" s="30"/>
      <c r="GK139" s="30"/>
      <c r="GL139" s="30"/>
      <c r="GM139" s="30"/>
      <c r="GN139" s="30"/>
      <c r="GO139" s="30"/>
      <c r="GP139" s="30"/>
      <c r="GQ139" s="30"/>
      <c r="GR139" s="30"/>
      <c r="GS139" s="30"/>
      <c r="GT139" s="30"/>
      <c r="GU139" s="30"/>
      <c r="GV139" s="30"/>
      <c r="GW139" s="30"/>
      <c r="GX139" s="30"/>
      <c r="GY139" s="30"/>
      <c r="GZ139" s="30"/>
      <c r="HA139" s="30"/>
      <c r="HB139" s="30"/>
      <c r="HC139" s="30"/>
      <c r="HD139" s="30"/>
      <c r="HE139" s="30"/>
      <c r="HF139" s="30"/>
      <c r="HG139" s="30"/>
      <c r="HH139" s="30"/>
      <c r="HI139" s="30"/>
      <c r="HJ139" s="30"/>
      <c r="HK139" s="30"/>
      <c r="HL139" s="30"/>
      <c r="HM139" s="30"/>
      <c r="HN139" s="30"/>
      <c r="HO139" s="30"/>
      <c r="HP139" s="30"/>
      <c r="HQ139" s="30"/>
      <c r="HR139" s="30"/>
      <c r="HS139" s="30"/>
      <c r="HT139" s="30"/>
      <c r="HU139" s="30"/>
      <c r="HV139" s="30"/>
      <c r="HW139" s="30"/>
      <c r="HX139" s="30"/>
      <c r="HY139" s="30"/>
      <c r="HZ139" s="30"/>
      <c r="IA139" s="30"/>
      <c r="IB139" s="30"/>
      <c r="IC139" s="30"/>
      <c r="ID139" s="30"/>
      <c r="IE139" s="30"/>
      <c r="IF139" s="30"/>
      <c r="IG139" s="30"/>
      <c r="IH139" s="30"/>
      <c r="II139" s="30"/>
      <c r="IJ139" s="30"/>
      <c r="IK139" s="30"/>
      <c r="IL139" s="30"/>
      <c r="IM139" s="30"/>
      <c r="IN139" s="30"/>
      <c r="IO139" s="30"/>
      <c r="IP139" s="30"/>
      <c r="IQ139" s="30"/>
      <c r="IR139" s="30"/>
      <c r="IS139" s="30"/>
      <c r="IT139" s="30"/>
      <c r="IU139" s="30"/>
      <c r="IV139" s="30"/>
      <c r="IW139" s="30"/>
      <c r="IX139" s="30"/>
      <c r="IY139" s="30"/>
      <c r="IZ139" s="30"/>
      <c r="JA139" s="30"/>
      <c r="JB139" s="30"/>
      <c r="JC139" s="30"/>
      <c r="JD139" s="30"/>
      <c r="JE139" s="30"/>
      <c r="JF139" s="30"/>
      <c r="JG139" s="30"/>
      <c r="JH139" s="30"/>
      <c r="JI139" s="30"/>
      <c r="JJ139" s="30"/>
      <c r="JK139" s="30"/>
      <c r="JL139" s="30"/>
      <c r="JM139" s="30"/>
      <c r="JN139" s="30"/>
      <c r="JO139" s="30"/>
      <c r="JP139" s="30"/>
      <c r="JQ139" s="30"/>
      <c r="JR139" s="30"/>
      <c r="JS139" s="30"/>
      <c r="JT139" s="30"/>
      <c r="JU139" s="30"/>
      <c r="JV139" s="30"/>
      <c r="JW139" s="30"/>
      <c r="JX139" s="30"/>
      <c r="JY139" s="30"/>
      <c r="JZ139" s="30"/>
      <c r="KA139" s="30"/>
      <c r="KB139" s="30"/>
      <c r="KC139" s="30"/>
      <c r="KD139" s="30"/>
      <c r="KE139" s="30"/>
      <c r="KF139" s="30"/>
      <c r="KG139" s="30"/>
      <c r="KH139" s="30"/>
      <c r="KI139" s="30"/>
      <c r="KJ139" s="30"/>
      <c r="KK139" s="30"/>
      <c r="KL139" s="30"/>
      <c r="KM139" s="30"/>
      <c r="KN139" s="30"/>
      <c r="KO139" s="30"/>
      <c r="KP139" s="1630"/>
    </row>
    <row r="140" spans="1:302" s="97" customFormat="1" ht="13.15" outlineLevel="1">
      <c r="A140" s="2656" t="s">
        <v>814</v>
      </c>
      <c r="B140" s="1689"/>
      <c r="C140" s="262" t="s">
        <v>737</v>
      </c>
      <c r="D140" s="1689" t="s">
        <v>738</v>
      </c>
      <c r="E140" s="262"/>
      <c r="F140" s="347"/>
      <c r="G140" s="348"/>
      <c r="H140" s="349" t="s">
        <v>26</v>
      </c>
      <c r="I140" s="2936"/>
      <c r="J140" s="362" t="s">
        <v>26</v>
      </c>
      <c r="K140" s="1745"/>
      <c r="L140" s="383"/>
      <c r="M140" s="383"/>
      <c r="N140" s="383"/>
      <c r="O140" s="1510">
        <v>416382</v>
      </c>
      <c r="P140" s="383"/>
      <c r="Q140" s="383"/>
      <c r="R140" s="383"/>
      <c r="S140" s="1510">
        <f t="shared" si="176"/>
        <v>0</v>
      </c>
      <c r="T140" s="389"/>
      <c r="U140" s="1746"/>
      <c r="V140" s="1746"/>
      <c r="W140" s="1744">
        <f t="shared" si="177"/>
        <v>416382</v>
      </c>
      <c r="X140" s="359" t="s">
        <v>26</v>
      </c>
      <c r="Y140" s="389"/>
      <c r="Z140" s="1746"/>
      <c r="AA140" s="1509"/>
      <c r="AB140" s="1510">
        <f t="shared" si="171"/>
        <v>416382</v>
      </c>
      <c r="AC140" s="1680"/>
      <c r="AD140" s="1460"/>
      <c r="AE140" s="1688"/>
      <c r="AF140" s="1686"/>
      <c r="AG140" s="1686"/>
      <c r="AH140" s="354">
        <f t="shared" si="149"/>
        <v>0</v>
      </c>
      <c r="AI140" s="355">
        <f t="shared" ca="1" si="170"/>
        <v>0</v>
      </c>
      <c r="AJ140" s="356">
        <f t="shared" ca="1" si="150"/>
        <v>0</v>
      </c>
      <c r="AK140" s="2185"/>
      <c r="AL140" s="260"/>
      <c r="AM140" s="2258"/>
      <c r="AN140" s="2258"/>
      <c r="AO140" s="359"/>
      <c r="AP140" s="359"/>
      <c r="AQ140" s="359"/>
      <c r="AR140" s="359"/>
      <c r="AS140" s="359"/>
      <c r="AT140" s="390"/>
      <c r="AU140" s="359"/>
      <c r="AV140" s="359"/>
      <c r="AW140" s="377"/>
      <c r="AX140" s="359"/>
      <c r="AY140" s="2316"/>
      <c r="AZ140" s="2273">
        <v>52047.75</v>
      </c>
      <c r="BA140" s="497">
        <v>52047.75</v>
      </c>
      <c r="BB140" s="359">
        <v>52047.75</v>
      </c>
      <c r="BC140" s="359">
        <v>52047.75</v>
      </c>
      <c r="BD140" s="359">
        <v>52047.75</v>
      </c>
      <c r="BE140" s="362">
        <v>52047.75</v>
      </c>
      <c r="BF140" s="362">
        <v>52047.75</v>
      </c>
      <c r="BG140" s="362">
        <v>52047.75</v>
      </c>
      <c r="BH140" s="362"/>
      <c r="BI140" s="414"/>
      <c r="BJ140" s="362"/>
      <c r="BK140" s="2123"/>
      <c r="BL140" s="414"/>
      <c r="BM140" s="414"/>
      <c r="BN140" s="414"/>
      <c r="BO140" s="414"/>
      <c r="BP140" s="414"/>
      <c r="BQ140" s="2399"/>
      <c r="BR140" s="362"/>
      <c r="BS140" s="362"/>
      <c r="BT140" s="362"/>
      <c r="BU140" s="364"/>
      <c r="BV140" s="364"/>
      <c r="BW140" s="2366"/>
      <c r="BX140" s="2463"/>
      <c r="BY140" s="2543"/>
      <c r="BZ140" s="2543"/>
      <c r="CA140" s="2591">
        <f t="shared" ref="CA140:CA142" si="178">SUMIF($AM$10:$BZ$10,$CA$9,AM140:BZ140)</f>
        <v>416382</v>
      </c>
      <c r="CB140" s="2377">
        <f t="shared" ref="CB140:CB142" si="179">IF($AB140&lt;&gt;0,CA140/$AB140,"")</f>
        <v>1</v>
      </c>
      <c r="CC140" s="365">
        <f t="shared" ref="CC140:CC142" si="180">IF($AB140&lt;&gt;0,CB140/$AB140,"")</f>
        <v>2.4016408009952398E-6</v>
      </c>
      <c r="CD140" s="365"/>
      <c r="CE140" s="365"/>
      <c r="CF140" s="365"/>
      <c r="CG140" s="340"/>
      <c r="CH140" s="367"/>
      <c r="CI140" s="368"/>
      <c r="CJ140" s="368"/>
      <c r="CK140" s="369"/>
      <c r="CL140" s="329">
        <f t="shared" si="130"/>
        <v>0</v>
      </c>
      <c r="CM140" s="330">
        <f t="shared" ca="1" si="131"/>
        <v>0</v>
      </c>
      <c r="CN140" s="331">
        <f t="shared" ca="1" si="169"/>
        <v>-416382</v>
      </c>
      <c r="CO140" s="86"/>
      <c r="CP140" s="86"/>
      <c r="CQ140" s="1641"/>
      <c r="CR140" s="86"/>
      <c r="CS140" s="86"/>
      <c r="CT140" s="86"/>
      <c r="CU140" s="86"/>
      <c r="CV140" s="86"/>
      <c r="CW140" s="86"/>
      <c r="CX140" s="86"/>
      <c r="CY140" s="86"/>
      <c r="CZ140" s="86"/>
      <c r="DA140" s="86"/>
      <c r="DB140" s="1642"/>
      <c r="DC140" s="1642"/>
      <c r="DD140" s="30"/>
      <c r="DE140" s="30"/>
      <c r="DF140" s="30"/>
      <c r="DG140" s="1642"/>
      <c r="DH140" s="1642"/>
      <c r="DI140" s="1642"/>
      <c r="DJ140" s="1642"/>
      <c r="DK140" s="1642"/>
      <c r="DL140" s="1642"/>
      <c r="DM140" s="1642"/>
      <c r="DN140" s="1642"/>
      <c r="DO140" s="1642"/>
      <c r="DP140" s="1642"/>
      <c r="DQ140" s="1642"/>
      <c r="DR140" s="1642"/>
      <c r="DS140" s="1642"/>
      <c r="DT140" s="1642"/>
      <c r="DU140" s="1642"/>
      <c r="DV140" s="1642"/>
      <c r="DW140" s="1642"/>
      <c r="DX140" s="1642"/>
      <c r="DY140" s="1642"/>
      <c r="DZ140" s="1642"/>
      <c r="EA140" s="1642"/>
      <c r="EB140" s="1642"/>
      <c r="EC140" s="1642"/>
      <c r="ED140" s="1642"/>
      <c r="EE140" s="1642"/>
      <c r="EF140" s="1642"/>
      <c r="EG140" s="1642"/>
      <c r="EH140" s="1643"/>
      <c r="EI140" s="1658"/>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c r="FV140" s="30"/>
      <c r="FW140" s="30"/>
      <c r="FX140" s="30"/>
      <c r="FY140" s="30"/>
      <c r="FZ140" s="30"/>
      <c r="GA140" s="30"/>
      <c r="GB140" s="30"/>
      <c r="GC140" s="30"/>
      <c r="GD140" s="30"/>
      <c r="GE140" s="30"/>
      <c r="GF140" s="30"/>
      <c r="GG140" s="30"/>
      <c r="GH140" s="30"/>
      <c r="GI140" s="30"/>
      <c r="GJ140" s="30"/>
      <c r="GK140" s="30"/>
      <c r="GL140" s="30"/>
      <c r="GM140" s="30"/>
      <c r="GN140" s="30"/>
      <c r="GO140" s="30"/>
      <c r="GP140" s="30"/>
      <c r="GQ140" s="30"/>
      <c r="GR140" s="30"/>
      <c r="GS140" s="30"/>
      <c r="GT140" s="30"/>
      <c r="GU140" s="30"/>
      <c r="GV140" s="30"/>
      <c r="GW140" s="30"/>
      <c r="GX140" s="30"/>
      <c r="GY140" s="30"/>
      <c r="GZ140" s="30"/>
      <c r="HA140" s="30"/>
      <c r="HB140" s="30"/>
      <c r="HC140" s="30"/>
      <c r="HD140" s="30"/>
      <c r="HE140" s="30"/>
      <c r="HF140" s="30"/>
      <c r="HG140" s="30"/>
      <c r="HH140" s="30"/>
      <c r="HI140" s="30"/>
      <c r="HJ140" s="30"/>
      <c r="HK140" s="30"/>
      <c r="HL140" s="30"/>
      <c r="HM140" s="30"/>
      <c r="HN140" s="30"/>
      <c r="HO140" s="30"/>
      <c r="HP140" s="30"/>
      <c r="HQ140" s="30"/>
      <c r="HR140" s="30"/>
      <c r="HS140" s="30"/>
      <c r="HT140" s="30"/>
      <c r="HU140" s="30"/>
      <c r="HV140" s="30"/>
      <c r="HW140" s="30"/>
      <c r="HX140" s="30"/>
      <c r="HY140" s="30"/>
      <c r="HZ140" s="30"/>
      <c r="IA140" s="30"/>
      <c r="IB140" s="30"/>
      <c r="IC140" s="30"/>
      <c r="ID140" s="30"/>
      <c r="IE140" s="30"/>
      <c r="IF140" s="30"/>
      <c r="IG140" s="30"/>
      <c r="IH140" s="30"/>
      <c r="II140" s="30"/>
      <c r="IJ140" s="30"/>
      <c r="IK140" s="30"/>
      <c r="IL140" s="30"/>
      <c r="IM140" s="30"/>
      <c r="IN140" s="30"/>
      <c r="IO140" s="30"/>
      <c r="IP140" s="30"/>
      <c r="IQ140" s="30"/>
      <c r="IR140" s="30"/>
      <c r="IS140" s="30"/>
      <c r="IT140" s="30"/>
      <c r="IU140" s="30"/>
      <c r="IV140" s="30"/>
      <c r="IW140" s="30"/>
      <c r="IX140" s="30"/>
      <c r="IY140" s="30"/>
      <c r="IZ140" s="30"/>
      <c r="JA140" s="30"/>
      <c r="JB140" s="30"/>
      <c r="JC140" s="30"/>
      <c r="JD140" s="30"/>
      <c r="JE140" s="30"/>
      <c r="JF140" s="30"/>
      <c r="JG140" s="30"/>
      <c r="JH140" s="30"/>
      <c r="JI140" s="30"/>
      <c r="JJ140" s="30"/>
      <c r="JK140" s="30"/>
      <c r="JL140" s="30"/>
      <c r="JM140" s="30"/>
      <c r="JN140" s="30"/>
      <c r="JO140" s="30"/>
      <c r="JP140" s="30"/>
      <c r="JQ140" s="30"/>
      <c r="JR140" s="30"/>
      <c r="JS140" s="30"/>
      <c r="JT140" s="30"/>
      <c r="JU140" s="30"/>
      <c r="JV140" s="30"/>
      <c r="JW140" s="30"/>
      <c r="JX140" s="30"/>
      <c r="JY140" s="30"/>
      <c r="JZ140" s="30"/>
      <c r="KA140" s="30"/>
      <c r="KB140" s="30"/>
      <c r="KC140" s="30"/>
      <c r="KD140" s="30"/>
      <c r="KE140" s="30"/>
      <c r="KF140" s="30"/>
      <c r="KG140" s="30"/>
      <c r="KH140" s="30"/>
      <c r="KI140" s="30"/>
      <c r="KJ140" s="30"/>
      <c r="KK140" s="30"/>
      <c r="KL140" s="30"/>
      <c r="KM140" s="30"/>
      <c r="KN140" s="30"/>
      <c r="KO140" s="30"/>
      <c r="KP140" s="1630"/>
    </row>
    <row r="141" spans="1:302" s="97" customFormat="1" ht="13.15" outlineLevel="1">
      <c r="A141" s="2656"/>
      <c r="B141" s="1689"/>
      <c r="C141" s="262"/>
      <c r="D141" s="1689"/>
      <c r="E141" s="262"/>
      <c r="F141" s="347"/>
      <c r="G141" s="348"/>
      <c r="H141" s="349" t="s">
        <v>26</v>
      </c>
      <c r="I141" s="2590"/>
      <c r="J141" s="362" t="s">
        <v>26</v>
      </c>
      <c r="K141" s="1745"/>
      <c r="L141" s="383"/>
      <c r="M141" s="383"/>
      <c r="N141" s="383"/>
      <c r="O141" s="1510"/>
      <c r="P141" s="383"/>
      <c r="Q141" s="383"/>
      <c r="R141" s="383"/>
      <c r="S141" s="1510">
        <f t="shared" si="176"/>
        <v>0</v>
      </c>
      <c r="T141" s="389"/>
      <c r="U141" s="1746"/>
      <c r="V141" s="1746"/>
      <c r="W141" s="1744">
        <f t="shared" ref="W141" si="181">O141+S141</f>
        <v>0</v>
      </c>
      <c r="X141" s="359" t="s">
        <v>26</v>
      </c>
      <c r="Y141" s="389"/>
      <c r="Z141" s="1746"/>
      <c r="AA141" s="1509"/>
      <c r="AB141" s="1510">
        <f t="shared" si="171"/>
        <v>0</v>
      </c>
      <c r="AC141" s="1680"/>
      <c r="AD141" s="1460"/>
      <c r="AE141" s="1688"/>
      <c r="AF141" s="1686"/>
      <c r="AG141" s="1686"/>
      <c r="AH141" s="354">
        <f t="shared" si="149"/>
        <v>0</v>
      </c>
      <c r="AI141" s="355">
        <f t="shared" ca="1" si="170"/>
        <v>0</v>
      </c>
      <c r="AJ141" s="356" t="str">
        <f t="shared" si="150"/>
        <v/>
      </c>
      <c r="AK141" s="2185"/>
      <c r="AL141" s="260"/>
      <c r="AM141" s="2258"/>
      <c r="AN141" s="2258"/>
      <c r="AO141" s="359"/>
      <c r="AP141" s="359"/>
      <c r="AQ141" s="359"/>
      <c r="AR141" s="359"/>
      <c r="AS141" s="359"/>
      <c r="AT141" s="390"/>
      <c r="AU141" s="359"/>
      <c r="AV141" s="359"/>
      <c r="AW141" s="377"/>
      <c r="AX141" s="359"/>
      <c r="AY141" s="2316"/>
      <c r="AZ141" s="2273"/>
      <c r="BA141" s="497"/>
      <c r="BB141" s="359"/>
      <c r="BC141" s="359"/>
      <c r="BD141" s="359"/>
      <c r="BE141" s="362"/>
      <c r="BF141" s="362"/>
      <c r="BG141" s="362"/>
      <c r="BH141" s="362"/>
      <c r="BI141" s="414"/>
      <c r="BJ141" s="362"/>
      <c r="BK141" s="2123"/>
      <c r="BL141" s="414"/>
      <c r="BM141" s="414"/>
      <c r="BN141" s="414"/>
      <c r="BO141" s="414"/>
      <c r="BP141" s="414"/>
      <c r="BQ141" s="2399"/>
      <c r="BR141" s="362"/>
      <c r="BS141" s="362"/>
      <c r="BT141" s="362"/>
      <c r="BU141" s="364"/>
      <c r="BV141" s="364"/>
      <c r="BW141" s="2366"/>
      <c r="BX141" s="2463"/>
      <c r="BY141" s="2543"/>
      <c r="BZ141" s="2543"/>
      <c r="CA141" s="2591">
        <f t="shared" si="178"/>
        <v>0</v>
      </c>
      <c r="CB141" s="2377" t="str">
        <f t="shared" si="179"/>
        <v/>
      </c>
      <c r="CC141" s="365" t="str">
        <f t="shared" si="180"/>
        <v/>
      </c>
      <c r="CD141" s="365"/>
      <c r="CE141" s="365"/>
      <c r="CF141" s="365"/>
      <c r="CG141" s="340"/>
      <c r="CH141" s="367"/>
      <c r="CI141" s="368"/>
      <c r="CJ141" s="368"/>
      <c r="CK141" s="369"/>
      <c r="CL141" s="329">
        <f t="shared" ref="CL141:CL205" si="182">O141-CA141</f>
        <v>0</v>
      </c>
      <c r="CM141" s="330">
        <f t="shared" ref="CM141:CM205" ca="1" si="183">CA141+AI141-AB141</f>
        <v>0</v>
      </c>
      <c r="CN141" s="331">
        <f t="shared" ca="1" si="169"/>
        <v>0</v>
      </c>
      <c r="CO141" s="86"/>
      <c r="CP141" s="86"/>
      <c r="CQ141" s="1641"/>
      <c r="CR141" s="86"/>
      <c r="CS141" s="86"/>
      <c r="CT141" s="86"/>
      <c r="CU141" s="86"/>
      <c r="CV141" s="86"/>
      <c r="CW141" s="86"/>
      <c r="CX141" s="86"/>
      <c r="CY141" s="86"/>
      <c r="CZ141" s="86"/>
      <c r="DA141" s="86"/>
      <c r="DB141" s="1642"/>
      <c r="DC141" s="1642"/>
      <c r="DD141" s="30"/>
      <c r="DE141" s="30"/>
      <c r="DF141" s="30"/>
      <c r="DG141" s="1642"/>
      <c r="DH141" s="1642"/>
      <c r="DI141" s="1642"/>
      <c r="DJ141" s="1642"/>
      <c r="DK141" s="1642"/>
      <c r="DL141" s="1642"/>
      <c r="DM141" s="1642"/>
      <c r="DN141" s="1642"/>
      <c r="DO141" s="1642"/>
      <c r="DP141" s="1642"/>
      <c r="DQ141" s="1642"/>
      <c r="DR141" s="1642"/>
      <c r="DS141" s="1642"/>
      <c r="DT141" s="1642"/>
      <c r="DU141" s="1642"/>
      <c r="DV141" s="1642"/>
      <c r="DW141" s="1642"/>
      <c r="DX141" s="1642"/>
      <c r="DY141" s="1642"/>
      <c r="DZ141" s="1642"/>
      <c r="EA141" s="1642"/>
      <c r="EB141" s="1642"/>
      <c r="EC141" s="1642"/>
      <c r="ED141" s="1642"/>
      <c r="EE141" s="1642"/>
      <c r="EF141" s="1642"/>
      <c r="EG141" s="1642"/>
      <c r="EH141" s="1643"/>
      <c r="EI141" s="1658"/>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0"/>
      <c r="HP141" s="30"/>
      <c r="HQ141" s="30"/>
      <c r="HR141" s="30"/>
      <c r="HS141" s="30"/>
      <c r="HT141" s="30"/>
      <c r="HU141" s="30"/>
      <c r="HV141" s="30"/>
      <c r="HW141" s="30"/>
      <c r="HX141" s="30"/>
      <c r="HY141" s="30"/>
      <c r="HZ141" s="30"/>
      <c r="IA141" s="30"/>
      <c r="IB141" s="30"/>
      <c r="IC141" s="30"/>
      <c r="ID141" s="30"/>
      <c r="IE141" s="30"/>
      <c r="IF141" s="30"/>
      <c r="IG141" s="30"/>
      <c r="IH141" s="30"/>
      <c r="II141" s="30"/>
      <c r="IJ141" s="30"/>
      <c r="IK141" s="30"/>
      <c r="IL141" s="30"/>
      <c r="IM141" s="30"/>
      <c r="IN141" s="30"/>
      <c r="IO141" s="30"/>
      <c r="IP141" s="30"/>
      <c r="IQ141" s="30"/>
      <c r="IR141" s="30"/>
      <c r="IS141" s="30"/>
      <c r="IT141" s="30"/>
      <c r="IU141" s="30"/>
      <c r="IV141" s="30"/>
      <c r="IW141" s="30"/>
      <c r="IX141" s="30"/>
      <c r="IY141" s="30"/>
      <c r="IZ141" s="30"/>
      <c r="JA141" s="30"/>
      <c r="JB141" s="30"/>
      <c r="JC141" s="30"/>
      <c r="JD141" s="30"/>
      <c r="JE141" s="30"/>
      <c r="JF141" s="30"/>
      <c r="JG141" s="30"/>
      <c r="JH141" s="30"/>
      <c r="JI141" s="30"/>
      <c r="JJ141" s="30"/>
      <c r="JK141" s="30"/>
      <c r="JL141" s="30"/>
      <c r="JM141" s="30"/>
      <c r="JN141" s="30"/>
      <c r="JO141" s="30"/>
      <c r="JP141" s="30"/>
      <c r="JQ141" s="30"/>
      <c r="JR141" s="30"/>
      <c r="JS141" s="30"/>
      <c r="JT141" s="30"/>
      <c r="JU141" s="30"/>
      <c r="JV141" s="30"/>
      <c r="JW141" s="30"/>
      <c r="JX141" s="30"/>
      <c r="JY141" s="30"/>
      <c r="JZ141" s="30"/>
      <c r="KA141" s="30"/>
      <c r="KB141" s="30"/>
      <c r="KC141" s="30"/>
      <c r="KD141" s="30"/>
      <c r="KE141" s="30"/>
      <c r="KF141" s="30"/>
      <c r="KG141" s="30"/>
      <c r="KH141" s="30"/>
      <c r="KI141" s="30"/>
      <c r="KJ141" s="30"/>
      <c r="KK141" s="30"/>
      <c r="KL141" s="30"/>
      <c r="KM141" s="30"/>
      <c r="KN141" s="30"/>
      <c r="KO141" s="30"/>
      <c r="KP141" s="1630"/>
    </row>
    <row r="142" spans="1:302" s="97" customFormat="1" ht="13.15" outlineLevel="1">
      <c r="A142" s="2656"/>
      <c r="B142" s="1689"/>
      <c r="C142" s="262"/>
      <c r="D142" s="1689"/>
      <c r="E142" s="262"/>
      <c r="F142" s="347"/>
      <c r="G142" s="348"/>
      <c r="H142" s="349"/>
      <c r="I142" s="2590"/>
      <c r="J142" s="362" t="s">
        <v>26</v>
      </c>
      <c r="K142" s="1745"/>
      <c r="L142" s="383"/>
      <c r="M142" s="383"/>
      <c r="N142" s="383"/>
      <c r="O142" s="1510"/>
      <c r="P142" s="383"/>
      <c r="Q142" s="383"/>
      <c r="R142" s="383"/>
      <c r="S142" s="1510"/>
      <c r="T142" s="389"/>
      <c r="U142" s="1746"/>
      <c r="V142" s="1746"/>
      <c r="W142" s="1744"/>
      <c r="X142" s="359" t="s">
        <v>26</v>
      </c>
      <c r="Y142" s="389"/>
      <c r="Z142" s="1746"/>
      <c r="AA142" s="1509"/>
      <c r="AB142" s="1510">
        <f t="shared" si="171"/>
        <v>0</v>
      </c>
      <c r="AC142" s="1680"/>
      <c r="AD142" s="1460"/>
      <c r="AE142" s="1688"/>
      <c r="AF142" s="1686"/>
      <c r="AG142" s="1686"/>
      <c r="AH142" s="354"/>
      <c r="AI142" s="355">
        <f t="shared" ca="1" si="170"/>
        <v>0</v>
      </c>
      <c r="AJ142" s="356" t="str">
        <f t="shared" si="150"/>
        <v/>
      </c>
      <c r="AK142" s="2185"/>
      <c r="AL142" s="260"/>
      <c r="AM142" s="2258"/>
      <c r="AN142" s="2258"/>
      <c r="AO142" s="359"/>
      <c r="AP142" s="359"/>
      <c r="AQ142" s="359"/>
      <c r="AR142" s="359"/>
      <c r="AS142" s="359"/>
      <c r="AT142" s="390"/>
      <c r="AU142" s="359"/>
      <c r="AV142" s="359"/>
      <c r="AW142" s="377"/>
      <c r="AX142" s="359"/>
      <c r="AY142" s="2316"/>
      <c r="AZ142" s="2333"/>
      <c r="BA142" s="497"/>
      <c r="BB142" s="359"/>
      <c r="BC142" s="359"/>
      <c r="BD142" s="359"/>
      <c r="BE142" s="362"/>
      <c r="BF142" s="362"/>
      <c r="BG142" s="362"/>
      <c r="BH142" s="362"/>
      <c r="BI142" s="414"/>
      <c r="BJ142" s="362"/>
      <c r="BK142" s="2123"/>
      <c r="BL142" s="414"/>
      <c r="BM142" s="414"/>
      <c r="BN142" s="414"/>
      <c r="BO142" s="414"/>
      <c r="BP142" s="414"/>
      <c r="BQ142" s="2399"/>
      <c r="BR142" s="362"/>
      <c r="BS142" s="362"/>
      <c r="BT142" s="362"/>
      <c r="BU142" s="364"/>
      <c r="BV142" s="364"/>
      <c r="BW142" s="2366"/>
      <c r="BX142" s="2463"/>
      <c r="BY142" s="2543"/>
      <c r="BZ142" s="2543"/>
      <c r="CA142" s="2591">
        <f t="shared" si="178"/>
        <v>0</v>
      </c>
      <c r="CB142" s="2377" t="str">
        <f t="shared" si="179"/>
        <v/>
      </c>
      <c r="CC142" s="365" t="str">
        <f t="shared" si="180"/>
        <v/>
      </c>
      <c r="CD142" s="365"/>
      <c r="CE142" s="365"/>
      <c r="CF142" s="365"/>
      <c r="CG142" s="340"/>
      <c r="CH142" s="367"/>
      <c r="CI142" s="368"/>
      <c r="CJ142" s="368"/>
      <c r="CK142" s="369"/>
      <c r="CL142" s="329">
        <f t="shared" si="182"/>
        <v>0</v>
      </c>
      <c r="CM142" s="330">
        <f t="shared" ca="1" si="183"/>
        <v>0</v>
      </c>
      <c r="CN142" s="331">
        <f t="shared" ca="1" si="141"/>
        <v>0</v>
      </c>
      <c r="CO142" s="86"/>
      <c r="CP142" s="86"/>
      <c r="CQ142" s="1641"/>
      <c r="CR142" s="86"/>
      <c r="CS142" s="86"/>
      <c r="CT142" s="86"/>
      <c r="CU142" s="86"/>
      <c r="CV142" s="86"/>
      <c r="CW142" s="86"/>
      <c r="CX142" s="86"/>
      <c r="CY142" s="86"/>
      <c r="CZ142" s="86"/>
      <c r="DA142" s="86"/>
      <c r="DB142" s="1642"/>
      <c r="DC142" s="1642"/>
      <c r="DD142" s="30"/>
      <c r="DE142" s="30"/>
      <c r="DF142" s="30"/>
      <c r="DG142" s="1642"/>
      <c r="DH142" s="1642"/>
      <c r="DI142" s="1642"/>
      <c r="DJ142" s="1642"/>
      <c r="DK142" s="1642"/>
      <c r="DL142" s="1642"/>
      <c r="DM142" s="1642"/>
      <c r="DN142" s="1642"/>
      <c r="DO142" s="1642"/>
      <c r="DP142" s="1642"/>
      <c r="DQ142" s="1642"/>
      <c r="DR142" s="1642"/>
      <c r="DS142" s="1642"/>
      <c r="DT142" s="1642"/>
      <c r="DU142" s="1642"/>
      <c r="DV142" s="1642"/>
      <c r="DW142" s="1642"/>
      <c r="DX142" s="1642"/>
      <c r="DY142" s="1642"/>
      <c r="DZ142" s="1642"/>
      <c r="EA142" s="1642"/>
      <c r="EB142" s="1642"/>
      <c r="EC142" s="1642"/>
      <c r="ED142" s="1642"/>
      <c r="EE142" s="1642"/>
      <c r="EF142" s="1642"/>
      <c r="EG142" s="1642"/>
      <c r="EH142" s="1643"/>
      <c r="EI142" s="1658"/>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0"/>
      <c r="HP142" s="30"/>
      <c r="HQ142" s="30"/>
      <c r="HR142" s="30"/>
      <c r="HS142" s="30"/>
      <c r="HT142" s="30"/>
      <c r="HU142" s="30"/>
      <c r="HV142" s="30"/>
      <c r="HW142" s="30"/>
      <c r="HX142" s="30"/>
      <c r="HY142" s="30"/>
      <c r="HZ142" s="30"/>
      <c r="IA142" s="30"/>
      <c r="IB142" s="30"/>
      <c r="IC142" s="30"/>
      <c r="ID142" s="30"/>
      <c r="IE142" s="30"/>
      <c r="IF142" s="30"/>
      <c r="IG142" s="30"/>
      <c r="IH142" s="30"/>
      <c r="II142" s="30"/>
      <c r="IJ142" s="30"/>
      <c r="IK142" s="30"/>
      <c r="IL142" s="30"/>
      <c r="IM142" s="30"/>
      <c r="IN142" s="30"/>
      <c r="IO142" s="30"/>
      <c r="IP142" s="30"/>
      <c r="IQ142" s="30"/>
      <c r="IR142" s="30"/>
      <c r="IS142" s="30"/>
      <c r="IT142" s="30"/>
      <c r="IU142" s="30"/>
      <c r="IV142" s="30"/>
      <c r="IW142" s="30"/>
      <c r="IX142" s="30"/>
      <c r="IY142" s="30"/>
      <c r="IZ142" s="30"/>
      <c r="JA142" s="30"/>
      <c r="JB142" s="30"/>
      <c r="JC142" s="30"/>
      <c r="JD142" s="30"/>
      <c r="JE142" s="30"/>
      <c r="JF142" s="30"/>
      <c r="JG142" s="30"/>
      <c r="JH142" s="30"/>
      <c r="JI142" s="30"/>
      <c r="JJ142" s="30"/>
      <c r="JK142" s="30"/>
      <c r="JL142" s="30"/>
      <c r="JM142" s="30"/>
      <c r="JN142" s="30"/>
      <c r="JO142" s="30"/>
      <c r="JP142" s="30"/>
      <c r="JQ142" s="30"/>
      <c r="JR142" s="30"/>
      <c r="JS142" s="30"/>
      <c r="JT142" s="30"/>
      <c r="JU142" s="30"/>
      <c r="JV142" s="30"/>
      <c r="JW142" s="30"/>
      <c r="JX142" s="30"/>
      <c r="JY142" s="30"/>
      <c r="JZ142" s="30"/>
      <c r="KA142" s="30"/>
      <c r="KB142" s="30"/>
      <c r="KC142" s="30"/>
      <c r="KD142" s="30"/>
      <c r="KE142" s="30"/>
      <c r="KF142" s="30"/>
      <c r="KG142" s="30"/>
      <c r="KH142" s="30"/>
      <c r="KI142" s="30"/>
      <c r="KJ142" s="30"/>
      <c r="KK142" s="30"/>
      <c r="KL142" s="30"/>
      <c r="KM142" s="30"/>
      <c r="KN142" s="30"/>
      <c r="KO142" s="30"/>
      <c r="KP142" s="1630"/>
    </row>
    <row r="143" spans="1:302" s="97" customFormat="1" ht="25.25" customHeight="1">
      <c r="A143" s="2654">
        <v>3</v>
      </c>
      <c r="B143" s="332"/>
      <c r="C143" s="164" t="s">
        <v>260</v>
      </c>
      <c r="D143" s="164" t="s">
        <v>261</v>
      </c>
      <c r="E143" s="333"/>
      <c r="F143" s="334"/>
      <c r="G143" s="335"/>
      <c r="H143" s="334"/>
      <c r="I143" s="336">
        <f>SUM(I144)</f>
        <v>10912000</v>
      </c>
      <c r="J143" s="336"/>
      <c r="K143" s="336"/>
      <c r="L143" s="336"/>
      <c r="M143" s="336"/>
      <c r="N143" s="336"/>
      <c r="O143" s="336">
        <f>SUM(O145:O159)</f>
        <v>58345340</v>
      </c>
      <c r="P143" s="336">
        <f t="shared" ref="P143:W143" si="184">SUM(P144:P159)</f>
        <v>0</v>
      </c>
      <c r="Q143" s="336">
        <f t="shared" si="184"/>
        <v>0</v>
      </c>
      <c r="R143" s="336">
        <f t="shared" si="184"/>
        <v>0</v>
      </c>
      <c r="S143" s="336">
        <f t="shared" si="184"/>
        <v>0</v>
      </c>
      <c r="T143" s="336">
        <f t="shared" si="184"/>
        <v>0</v>
      </c>
      <c r="U143" s="336">
        <f t="shared" si="184"/>
        <v>0</v>
      </c>
      <c r="V143" s="336">
        <f t="shared" si="184"/>
        <v>0</v>
      </c>
      <c r="W143" s="336">
        <f t="shared" si="184"/>
        <v>58345340</v>
      </c>
      <c r="X143" s="336"/>
      <c r="Y143" s="336">
        <f>SUM(Y144:Y233)</f>
        <v>0</v>
      </c>
      <c r="Z143" s="336">
        <f>SUM(Z144:Z233)</f>
        <v>0</v>
      </c>
      <c r="AA143" s="336">
        <f>SUM(AA144:AA233)</f>
        <v>0</v>
      </c>
      <c r="AB143" s="336">
        <f>SUM(AB144:AB159)</f>
        <v>58345340</v>
      </c>
      <c r="AC143" s="1440"/>
      <c r="AD143" s="1456"/>
      <c r="AE143" s="336"/>
      <c r="AF143" s="336"/>
      <c r="AG143" s="336"/>
      <c r="AH143" s="336">
        <f>SUM(AH144:AH159)</f>
        <v>36070000</v>
      </c>
      <c r="AI143" s="336">
        <f ca="1">SUM(AI144:AI159)</f>
        <v>0</v>
      </c>
      <c r="AJ143" s="337">
        <f t="shared" ca="1" si="150"/>
        <v>0</v>
      </c>
      <c r="AK143" s="2183"/>
      <c r="AL143" s="2064"/>
      <c r="AM143" s="2259">
        <f t="shared" ref="AM143:BZ143" si="185">SUM(AM144:AM159)</f>
        <v>0</v>
      </c>
      <c r="AN143" s="2259">
        <f t="shared" si="185"/>
        <v>0</v>
      </c>
      <c r="AO143" s="336">
        <f t="shared" si="185"/>
        <v>0</v>
      </c>
      <c r="AP143" s="336">
        <f t="shared" si="185"/>
        <v>0</v>
      </c>
      <c r="AQ143" s="336">
        <f t="shared" si="185"/>
        <v>0</v>
      </c>
      <c r="AR143" s="336">
        <f t="shared" si="185"/>
        <v>0</v>
      </c>
      <c r="AS143" s="336">
        <f t="shared" si="185"/>
        <v>235600</v>
      </c>
      <c r="AT143" s="338">
        <f t="shared" si="185"/>
        <v>455600</v>
      </c>
      <c r="AU143" s="336">
        <f t="shared" si="185"/>
        <v>235600</v>
      </c>
      <c r="AV143" s="336">
        <f t="shared" si="185"/>
        <v>905600</v>
      </c>
      <c r="AW143" s="336">
        <f t="shared" si="185"/>
        <v>435600</v>
      </c>
      <c r="AX143" s="336">
        <f t="shared" si="185"/>
        <v>335600</v>
      </c>
      <c r="AY143" s="338">
        <f t="shared" si="185"/>
        <v>235600</v>
      </c>
      <c r="AZ143" s="2308">
        <f t="shared" si="185"/>
        <v>1136266.6666666665</v>
      </c>
      <c r="BA143" s="2086">
        <f t="shared" si="185"/>
        <v>4798266.666666667</v>
      </c>
      <c r="BB143" s="2086">
        <f t="shared" si="185"/>
        <v>6920536.666666667</v>
      </c>
      <c r="BC143" s="2086">
        <f t="shared" si="185"/>
        <v>3665126.6666666665</v>
      </c>
      <c r="BD143" s="2086">
        <f t="shared" si="185"/>
        <v>4579501.666666667</v>
      </c>
      <c r="BE143" s="2086">
        <f t="shared" si="185"/>
        <v>3003336.6666666665</v>
      </c>
      <c r="BF143" s="2086">
        <f t="shared" si="185"/>
        <v>7652641.666666667</v>
      </c>
      <c r="BG143" s="2086">
        <f t="shared" si="185"/>
        <v>2908694.6666666665</v>
      </c>
      <c r="BH143" s="2086">
        <f t="shared" si="185"/>
        <v>11005504.666666668</v>
      </c>
      <c r="BI143" s="2086">
        <f t="shared" si="185"/>
        <v>1737694.6666666665</v>
      </c>
      <c r="BJ143" s="2086">
        <f t="shared" si="185"/>
        <v>1779884.6666666665</v>
      </c>
      <c r="BK143" s="2335">
        <f t="shared" si="185"/>
        <v>1687694.6666666665</v>
      </c>
      <c r="BL143" s="2086">
        <f t="shared" si="185"/>
        <v>2161266.6666666665</v>
      </c>
      <c r="BM143" s="2086">
        <f t="shared" si="185"/>
        <v>900666.66666666663</v>
      </c>
      <c r="BN143" s="2086">
        <f t="shared" si="185"/>
        <v>900666.66666666663</v>
      </c>
      <c r="BO143" s="2086">
        <f t="shared" si="185"/>
        <v>0</v>
      </c>
      <c r="BP143" s="2086">
        <f t="shared" si="185"/>
        <v>0</v>
      </c>
      <c r="BQ143" s="2086">
        <f t="shared" si="185"/>
        <v>352190</v>
      </c>
      <c r="BR143" s="2086">
        <f t="shared" si="185"/>
        <v>0</v>
      </c>
      <c r="BS143" s="2086">
        <f t="shared" si="185"/>
        <v>0</v>
      </c>
      <c r="BT143" s="2086">
        <f t="shared" si="185"/>
        <v>0</v>
      </c>
      <c r="BU143" s="2086">
        <f t="shared" si="185"/>
        <v>0</v>
      </c>
      <c r="BV143" s="2086">
        <f t="shared" si="185"/>
        <v>0</v>
      </c>
      <c r="BW143" s="2086">
        <f t="shared" si="185"/>
        <v>316200</v>
      </c>
      <c r="BX143" s="2391">
        <f t="shared" si="185"/>
        <v>0</v>
      </c>
      <c r="BY143" s="2391">
        <f t="shared" si="185"/>
        <v>0</v>
      </c>
      <c r="BZ143" s="2391">
        <f t="shared" si="185"/>
        <v>0</v>
      </c>
      <c r="CA143" s="2431">
        <f>SUMIF($AM$10:$BZ$10,$CA$9,AM143:BZ143)</f>
        <v>58345339.999999985</v>
      </c>
      <c r="CB143" s="2379">
        <f t="shared" si="3"/>
        <v>0.99999999999999978</v>
      </c>
      <c r="CC143" s="365">
        <f t="shared" si="3"/>
        <v>1.7139329379175779E-8</v>
      </c>
      <c r="CD143" s="341"/>
      <c r="CE143" s="342"/>
      <c r="CF143" s="343"/>
      <c r="CG143" s="340"/>
      <c r="CH143" s="344"/>
      <c r="CI143" s="345"/>
      <c r="CJ143" s="345"/>
      <c r="CK143" s="346"/>
      <c r="CL143" s="329">
        <f t="shared" si="182"/>
        <v>0</v>
      </c>
      <c r="CM143" s="330">
        <f t="shared" ca="1" si="183"/>
        <v>0</v>
      </c>
      <c r="CN143" s="331">
        <f t="shared" ca="1" si="141"/>
        <v>-55506139.999999985</v>
      </c>
      <c r="CO143" s="86"/>
      <c r="CP143" s="86">
        <f>I143-O143</f>
        <v>-47433340</v>
      </c>
      <c r="CQ143" s="1641"/>
      <c r="CR143" s="86"/>
      <c r="CS143" s="86"/>
      <c r="CT143" s="86"/>
      <c r="CU143" s="86"/>
      <c r="CV143" s="86"/>
      <c r="CW143" s="86"/>
      <c r="CX143" s="86"/>
      <c r="CY143" s="86"/>
      <c r="CZ143" s="86"/>
      <c r="DA143" s="86"/>
      <c r="DB143" s="1642"/>
      <c r="DC143" s="1642"/>
      <c r="DD143" s="30"/>
      <c r="DE143" s="30"/>
      <c r="DF143" s="30"/>
      <c r="DG143" s="1642"/>
      <c r="DH143" s="1642"/>
      <c r="DI143" s="1642"/>
      <c r="DJ143" s="1642"/>
      <c r="DK143" s="1642"/>
      <c r="DL143" s="1642"/>
      <c r="DM143" s="1642"/>
      <c r="DN143" s="1642"/>
      <c r="DO143" s="1642"/>
      <c r="DP143" s="1642"/>
      <c r="DQ143" s="1642"/>
      <c r="DR143" s="1642"/>
      <c r="DS143" s="1642"/>
      <c r="DT143" s="1642"/>
      <c r="DU143" s="1642"/>
      <c r="DV143" s="1642"/>
      <c r="DW143" s="1642"/>
      <c r="DX143" s="1642"/>
      <c r="DY143" s="1642"/>
      <c r="DZ143" s="1642"/>
      <c r="EA143" s="1642"/>
      <c r="EB143" s="1642"/>
      <c r="EC143" s="1642"/>
      <c r="ED143" s="1642"/>
      <c r="EE143" s="1642"/>
      <c r="EF143" s="1642"/>
      <c r="EG143" s="1642"/>
      <c r="EH143" s="1643"/>
      <c r="EI143" s="1658"/>
      <c r="EJ143" s="30"/>
      <c r="EK143" s="30"/>
      <c r="EL143" s="30"/>
      <c r="EM143" s="30"/>
      <c r="EN143" s="30"/>
      <c r="EO143" s="30"/>
      <c r="EP143" s="30"/>
      <c r="EQ143" s="30"/>
      <c r="ER143" s="30"/>
      <c r="ES143" s="30"/>
      <c r="ET143" s="30"/>
      <c r="EU143" s="30"/>
      <c r="EV143" s="30"/>
      <c r="EW143" s="30"/>
      <c r="EX143" s="30"/>
      <c r="EY143" s="30"/>
      <c r="EZ143" s="30"/>
      <c r="FA143" s="30"/>
      <c r="FB143" s="30"/>
      <c r="FC143" s="30"/>
      <c r="FD143" s="30"/>
      <c r="FE143" s="30"/>
      <c r="FF143" s="30"/>
      <c r="FG143" s="30"/>
      <c r="FH143" s="30"/>
      <c r="FI143" s="30"/>
      <c r="FJ143" s="30"/>
      <c r="FK143" s="30"/>
      <c r="FL143" s="30"/>
      <c r="FM143" s="30"/>
      <c r="FN143" s="30"/>
      <c r="FO143" s="30"/>
      <c r="FP143" s="30"/>
      <c r="FQ143" s="30"/>
      <c r="FR143" s="30"/>
      <c r="FS143" s="30"/>
      <c r="FT143" s="30"/>
      <c r="FU143" s="30"/>
      <c r="FV143" s="30"/>
      <c r="FW143" s="30"/>
      <c r="FX143" s="30"/>
      <c r="FY143" s="30"/>
      <c r="FZ143" s="30"/>
      <c r="GA143" s="30"/>
      <c r="GB143" s="30"/>
      <c r="GC143" s="30"/>
      <c r="GD143" s="30"/>
      <c r="GE143" s="30"/>
      <c r="GF143" s="30"/>
      <c r="GG143" s="30"/>
      <c r="GH143" s="30"/>
      <c r="GI143" s="30"/>
      <c r="GJ143" s="30"/>
      <c r="GK143" s="30"/>
      <c r="GL143" s="30"/>
      <c r="GM143" s="30"/>
      <c r="GN143" s="30"/>
      <c r="GO143" s="30"/>
      <c r="GP143" s="30"/>
      <c r="GQ143" s="30"/>
      <c r="GR143" s="30"/>
      <c r="GS143" s="30"/>
      <c r="GT143" s="30"/>
      <c r="GU143" s="30"/>
      <c r="GV143" s="30"/>
      <c r="GW143" s="30"/>
      <c r="GX143" s="30"/>
      <c r="GY143" s="30"/>
      <c r="GZ143" s="30"/>
      <c r="HA143" s="30"/>
      <c r="HB143" s="30"/>
      <c r="HC143" s="30"/>
      <c r="HD143" s="30"/>
      <c r="HE143" s="30"/>
      <c r="HF143" s="30"/>
      <c r="HG143" s="30"/>
      <c r="HH143" s="30"/>
      <c r="HI143" s="30"/>
      <c r="HJ143" s="30"/>
      <c r="HK143" s="30"/>
      <c r="HL143" s="30"/>
      <c r="HM143" s="30"/>
      <c r="HN143" s="30"/>
      <c r="HO143" s="30"/>
      <c r="HP143" s="30"/>
      <c r="HQ143" s="30"/>
      <c r="HR143" s="30"/>
      <c r="HS143" s="30"/>
      <c r="HT143" s="30"/>
      <c r="HU143" s="30"/>
      <c r="HV143" s="30"/>
      <c r="HW143" s="30"/>
      <c r="HX143" s="30"/>
      <c r="HY143" s="30"/>
      <c r="HZ143" s="30"/>
      <c r="IA143" s="30"/>
      <c r="IB143" s="30"/>
      <c r="IC143" s="30"/>
      <c r="ID143" s="30"/>
      <c r="IE143" s="30"/>
      <c r="IF143" s="30"/>
      <c r="IG143" s="30"/>
      <c r="IH143" s="30"/>
      <c r="II143" s="30"/>
      <c r="IJ143" s="30"/>
      <c r="IK143" s="30"/>
      <c r="IL143" s="30"/>
      <c r="IM143" s="30"/>
      <c r="IN143" s="30"/>
      <c r="IO143" s="30"/>
      <c r="IP143" s="30"/>
      <c r="IQ143" s="30"/>
      <c r="IR143" s="30"/>
      <c r="IS143" s="30"/>
      <c r="IT143" s="30"/>
      <c r="IU143" s="30"/>
      <c r="IV143" s="30"/>
      <c r="IW143" s="30"/>
      <c r="IX143" s="30"/>
      <c r="IY143" s="30"/>
      <c r="IZ143" s="30"/>
      <c r="JA143" s="30"/>
      <c r="JB143" s="30"/>
      <c r="JC143" s="30"/>
      <c r="JD143" s="30"/>
      <c r="JE143" s="30"/>
      <c r="JF143" s="30"/>
      <c r="JG143" s="30"/>
      <c r="JH143" s="30"/>
      <c r="JI143" s="30"/>
      <c r="JJ143" s="30"/>
      <c r="JK143" s="30"/>
      <c r="JL143" s="30"/>
      <c r="JM143" s="30"/>
      <c r="JN143" s="30"/>
      <c r="JO143" s="30"/>
      <c r="JP143" s="30"/>
      <c r="JQ143" s="30"/>
      <c r="JR143" s="30"/>
      <c r="JS143" s="30"/>
      <c r="JT143" s="30"/>
      <c r="JU143" s="30"/>
      <c r="JV143" s="30"/>
      <c r="JW143" s="30"/>
      <c r="JX143" s="30"/>
      <c r="JY143" s="30"/>
      <c r="JZ143" s="30"/>
      <c r="KA143" s="30"/>
      <c r="KB143" s="30"/>
      <c r="KC143" s="30"/>
      <c r="KD143" s="30"/>
      <c r="KE143" s="30"/>
      <c r="KF143" s="30"/>
      <c r="KG143" s="30"/>
      <c r="KH143" s="30"/>
      <c r="KI143" s="30"/>
      <c r="KJ143" s="30"/>
      <c r="KK143" s="30"/>
      <c r="KL143" s="30"/>
      <c r="KM143" s="30"/>
      <c r="KN143" s="30"/>
      <c r="KO143" s="30"/>
      <c r="KP143" s="1630"/>
    </row>
    <row r="144" spans="1:302" s="97" customFormat="1" ht="19.5" customHeight="1" outlineLevel="1">
      <c r="A144" s="2658" t="s">
        <v>126</v>
      </c>
      <c r="B144" s="2604"/>
      <c r="C144" s="2587" t="s">
        <v>325</v>
      </c>
      <c r="D144" s="2587" t="s">
        <v>326</v>
      </c>
      <c r="E144" s="376"/>
      <c r="F144" s="347"/>
      <c r="G144" s="348"/>
      <c r="H144" s="349" t="s">
        <v>26</v>
      </c>
      <c r="I144" s="2937">
        <v>10912000</v>
      </c>
      <c r="J144" s="362" t="s">
        <v>26</v>
      </c>
      <c r="K144" s="1745"/>
      <c r="L144" s="383"/>
      <c r="M144" s="383"/>
      <c r="N144" s="383"/>
      <c r="O144" s="2640"/>
      <c r="P144" s="383"/>
      <c r="Q144" s="383"/>
      <c r="R144" s="383"/>
      <c r="S144" s="1510">
        <f t="shared" ref="S144:S162" si="186">R144*Q144</f>
        <v>0</v>
      </c>
      <c r="T144" s="1509"/>
      <c r="U144" s="1746"/>
      <c r="V144" s="1746"/>
      <c r="W144" s="1744">
        <f t="shared" ref="W144:W159" si="187">O144+S144</f>
        <v>0</v>
      </c>
      <c r="X144" s="362" t="s">
        <v>26</v>
      </c>
      <c r="Y144" s="1509"/>
      <c r="Z144" s="1746"/>
      <c r="AA144" s="1746"/>
      <c r="AB144" s="1510">
        <f>SUM(AM144:BZ144)</f>
        <v>0</v>
      </c>
      <c r="AC144" s="1442"/>
      <c r="AD144" s="1457"/>
      <c r="AE144" s="352"/>
      <c r="AF144" s="353"/>
      <c r="AG144" s="353"/>
      <c r="AH144" s="354">
        <f t="shared" ref="AH144:AH162" si="188">AF144*AG144</f>
        <v>0</v>
      </c>
      <c r="AI144" s="355">
        <f t="shared" ref="AI144:AI159" ca="1" si="189">SUMIF($AM$10:$BZ$10,$AI$9,AM144:BT144)</f>
        <v>0</v>
      </c>
      <c r="AJ144" s="356" t="str">
        <f t="shared" si="150"/>
        <v/>
      </c>
      <c r="AK144" s="2185"/>
      <c r="AL144" s="2063"/>
      <c r="AM144" s="2258"/>
      <c r="AN144" s="2258"/>
      <c r="AO144" s="359"/>
      <c r="AP144" s="359"/>
      <c r="AQ144" s="359"/>
      <c r="AR144" s="377"/>
      <c r="AS144" s="377"/>
      <c r="AT144" s="390"/>
      <c r="AU144" s="377"/>
      <c r="AV144" s="377"/>
      <c r="AW144" s="377"/>
      <c r="AX144" s="377"/>
      <c r="AY144" s="390"/>
      <c r="AZ144" s="2258"/>
      <c r="BA144" s="359"/>
      <c r="BB144" s="359"/>
      <c r="BC144" s="359"/>
      <c r="BD144" s="359"/>
      <c r="BE144" s="359"/>
      <c r="BF144" s="359"/>
      <c r="BG144" s="359"/>
      <c r="BH144" s="359"/>
      <c r="BI144" s="380"/>
      <c r="BJ144" s="359"/>
      <c r="BK144" s="2122"/>
      <c r="BL144" s="380"/>
      <c r="BM144" s="380"/>
      <c r="BN144" s="380"/>
      <c r="BO144" s="380"/>
      <c r="BP144" s="380"/>
      <c r="BQ144" s="2087"/>
      <c r="BR144" s="359"/>
      <c r="BS144" s="359"/>
      <c r="BT144" s="359"/>
      <c r="BU144" s="364"/>
      <c r="BV144" s="364"/>
      <c r="BW144" s="2366"/>
      <c r="BX144" s="2463"/>
      <c r="BY144" s="2543"/>
      <c r="BZ144" s="2543"/>
      <c r="CA144" s="2432">
        <f>SUMIF($AM$10:$BZ$10,$CA$9,AM144:BZ144)</f>
        <v>0</v>
      </c>
      <c r="CB144" s="2377" t="str">
        <f t="shared" ref="CB144:CB159" si="190">IF($AB144&lt;&gt;0,CA144/$AB144,"")</f>
        <v/>
      </c>
      <c r="CC144" s="365" t="str">
        <f t="shared" si="3"/>
        <v/>
      </c>
      <c r="CD144" s="366"/>
      <c r="CE144" s="343"/>
      <c r="CF144" s="343"/>
      <c r="CG144" s="340"/>
      <c r="CH144" s="367"/>
      <c r="CI144" s="368"/>
      <c r="CJ144" s="368"/>
      <c r="CK144" s="369"/>
      <c r="CL144" s="329">
        <f t="shared" si="182"/>
        <v>0</v>
      </c>
      <c r="CM144" s="330">
        <f t="shared" ca="1" si="183"/>
        <v>0</v>
      </c>
      <c r="CN144" s="331">
        <f t="shared" ca="1" si="141"/>
        <v>0</v>
      </c>
      <c r="CO144" s="86"/>
      <c r="CP144" s="86"/>
      <c r="CQ144" s="1641"/>
      <c r="CR144" s="86"/>
      <c r="CS144" s="86"/>
      <c r="CT144" s="86"/>
      <c r="CU144" s="86"/>
      <c r="CV144" s="86"/>
      <c r="CW144" s="86"/>
      <c r="CX144" s="86"/>
      <c r="CY144" s="86"/>
      <c r="CZ144" s="86"/>
      <c r="DA144" s="86"/>
      <c r="DB144" s="1642"/>
      <c r="DC144" s="1642"/>
      <c r="DD144" s="30"/>
      <c r="DE144" s="30"/>
      <c r="DF144" s="30"/>
      <c r="DG144" s="1642"/>
      <c r="DH144" s="1642"/>
      <c r="DI144" s="1642"/>
      <c r="DJ144" s="1642"/>
      <c r="DK144" s="1642"/>
      <c r="DL144" s="1642"/>
      <c r="DM144" s="1642"/>
      <c r="DN144" s="1642"/>
      <c r="DO144" s="1642"/>
      <c r="DP144" s="1642"/>
      <c r="DQ144" s="1642"/>
      <c r="DR144" s="1642"/>
      <c r="DS144" s="1642"/>
      <c r="DT144" s="1642"/>
      <c r="DU144" s="1642"/>
      <c r="DV144" s="1642"/>
      <c r="DW144" s="1642"/>
      <c r="DX144" s="1642"/>
      <c r="DY144" s="1642"/>
      <c r="DZ144" s="1642"/>
      <c r="EA144" s="1642"/>
      <c r="EB144" s="1642"/>
      <c r="EC144" s="1642"/>
      <c r="ED144" s="1642"/>
      <c r="EE144" s="1642"/>
      <c r="EF144" s="1642"/>
      <c r="EG144" s="1642"/>
      <c r="EH144" s="1643"/>
      <c r="EI144" s="1658"/>
      <c r="EJ144" s="30"/>
      <c r="EK144" s="30"/>
      <c r="EL144" s="30"/>
      <c r="EM144" s="30"/>
      <c r="EN144" s="30"/>
      <c r="EO144" s="30"/>
      <c r="EP144" s="30"/>
      <c r="EQ144" s="30"/>
      <c r="ER144" s="30"/>
      <c r="ES144" s="30"/>
      <c r="ET144" s="30"/>
      <c r="EU144" s="30"/>
      <c r="EV144" s="30"/>
      <c r="EW144" s="30"/>
      <c r="EX144" s="30"/>
      <c r="EY144" s="30"/>
      <c r="EZ144" s="30"/>
      <c r="FA144" s="30"/>
      <c r="FB144" s="30"/>
      <c r="FC144" s="30"/>
      <c r="FD144" s="30"/>
      <c r="FE144" s="30"/>
      <c r="FF144" s="30"/>
      <c r="FG144" s="30"/>
      <c r="FH144" s="30"/>
      <c r="FI144" s="30"/>
      <c r="FJ144" s="30"/>
      <c r="FK144" s="30"/>
      <c r="FL144" s="30"/>
      <c r="FM144" s="30"/>
      <c r="FN144" s="30"/>
      <c r="FO144" s="30"/>
      <c r="FP144" s="30"/>
      <c r="FQ144" s="30"/>
      <c r="FR144" s="30"/>
      <c r="FS144" s="30"/>
      <c r="FT144" s="30"/>
      <c r="FU144" s="30"/>
      <c r="FV144" s="30"/>
      <c r="FW144" s="30"/>
      <c r="FX144" s="30"/>
      <c r="FY144" s="30"/>
      <c r="FZ144" s="30"/>
      <c r="GA144" s="30"/>
      <c r="GB144" s="30"/>
      <c r="GC144" s="30"/>
      <c r="GD144" s="30"/>
      <c r="GE144" s="30"/>
      <c r="GF144" s="30"/>
      <c r="GG144" s="30"/>
      <c r="GH144" s="30"/>
      <c r="GI144" s="30"/>
      <c r="GJ144" s="30"/>
      <c r="GK144" s="30"/>
      <c r="GL144" s="30"/>
      <c r="GM144" s="30"/>
      <c r="GN144" s="30"/>
      <c r="GO144" s="30"/>
      <c r="GP144" s="30"/>
      <c r="GQ144" s="30"/>
      <c r="GR144" s="30"/>
      <c r="GS144" s="30"/>
      <c r="GT144" s="30"/>
      <c r="GU144" s="30"/>
      <c r="GV144" s="30"/>
      <c r="GW144" s="30"/>
      <c r="GX144" s="30"/>
      <c r="GY144" s="30"/>
      <c r="GZ144" s="30"/>
      <c r="HA144" s="30"/>
      <c r="HB144" s="30"/>
      <c r="HC144" s="30"/>
      <c r="HD144" s="30"/>
      <c r="HE144" s="30"/>
      <c r="HF144" s="30"/>
      <c r="HG144" s="30"/>
      <c r="HH144" s="30"/>
      <c r="HI144" s="30"/>
      <c r="HJ144" s="30"/>
      <c r="HK144" s="30"/>
      <c r="HL144" s="30"/>
      <c r="HM144" s="30"/>
      <c r="HN144" s="30"/>
      <c r="HO144" s="30"/>
      <c r="HP144" s="30"/>
      <c r="HQ144" s="30"/>
      <c r="HR144" s="30"/>
      <c r="HS144" s="30"/>
      <c r="HT144" s="30"/>
      <c r="HU144" s="30"/>
      <c r="HV144" s="30"/>
      <c r="HW144" s="30"/>
      <c r="HX144" s="30"/>
      <c r="HY144" s="30"/>
      <c r="HZ144" s="30"/>
      <c r="IA144" s="30"/>
      <c r="IB144" s="30"/>
      <c r="IC144" s="30"/>
      <c r="ID144" s="30"/>
      <c r="IE144" s="30"/>
      <c r="IF144" s="30"/>
      <c r="IG144" s="30"/>
      <c r="IH144" s="30"/>
      <c r="II144" s="30"/>
      <c r="IJ144" s="30"/>
      <c r="IK144" s="30"/>
      <c r="IL144" s="30"/>
      <c r="IM144" s="30"/>
      <c r="IN144" s="30"/>
      <c r="IO144" s="30"/>
      <c r="IP144" s="30"/>
      <c r="IQ144" s="30"/>
      <c r="IR144" s="30"/>
      <c r="IS144" s="30"/>
      <c r="IT144" s="30"/>
      <c r="IU144" s="30"/>
      <c r="IV144" s="30"/>
      <c r="IW144" s="30"/>
      <c r="IX144" s="30"/>
      <c r="IY144" s="30"/>
      <c r="IZ144" s="30"/>
      <c r="JA144" s="30"/>
      <c r="JB144" s="30"/>
      <c r="JC144" s="30"/>
      <c r="JD144" s="30"/>
      <c r="JE144" s="30"/>
      <c r="JF144" s="30"/>
      <c r="JG144" s="30"/>
      <c r="JH144" s="30"/>
      <c r="JI144" s="30"/>
      <c r="JJ144" s="30"/>
      <c r="JK144" s="30"/>
      <c r="JL144" s="30"/>
      <c r="JM144" s="30"/>
      <c r="JN144" s="30"/>
      <c r="JO144" s="30"/>
      <c r="JP144" s="30"/>
      <c r="JQ144" s="30"/>
      <c r="JR144" s="30"/>
      <c r="JS144" s="30"/>
      <c r="JT144" s="30"/>
      <c r="JU144" s="30"/>
      <c r="JV144" s="30"/>
      <c r="JW144" s="30"/>
      <c r="JX144" s="30"/>
      <c r="JY144" s="30"/>
      <c r="JZ144" s="30"/>
      <c r="KA144" s="30"/>
      <c r="KB144" s="30"/>
      <c r="KC144" s="30"/>
      <c r="KD144" s="30"/>
      <c r="KE144" s="30"/>
      <c r="KF144" s="30"/>
      <c r="KG144" s="30"/>
      <c r="KH144" s="30"/>
      <c r="KI144" s="30"/>
      <c r="KJ144" s="30"/>
      <c r="KK144" s="30"/>
      <c r="KL144" s="30"/>
      <c r="KM144" s="30"/>
      <c r="KN144" s="30"/>
      <c r="KO144" s="30"/>
      <c r="KP144" s="1630"/>
    </row>
    <row r="145" spans="1:302" s="97" customFormat="1" ht="18.75" customHeight="1" outlineLevel="1">
      <c r="A145" s="2659" t="s">
        <v>254</v>
      </c>
      <c r="B145" s="386"/>
      <c r="C145" s="255" t="s">
        <v>1137</v>
      </c>
      <c r="D145" s="255" t="s">
        <v>1142</v>
      </c>
      <c r="E145" s="376"/>
      <c r="F145" s="347"/>
      <c r="G145" s="348"/>
      <c r="H145" s="349" t="s">
        <v>26</v>
      </c>
      <c r="I145" s="2936"/>
      <c r="J145" s="362" t="s">
        <v>26</v>
      </c>
      <c r="K145" s="1745"/>
      <c r="L145" s="383"/>
      <c r="M145" s="383"/>
      <c r="N145" s="383"/>
      <c r="O145" s="1510">
        <v>29982000</v>
      </c>
      <c r="P145" s="383"/>
      <c r="Q145" s="383"/>
      <c r="R145" s="383"/>
      <c r="S145" s="1510">
        <f t="shared" si="186"/>
        <v>0</v>
      </c>
      <c r="T145" s="1509"/>
      <c r="U145" s="1746"/>
      <c r="V145" s="1746"/>
      <c r="W145" s="1744">
        <f t="shared" si="187"/>
        <v>29982000</v>
      </c>
      <c r="X145" s="362" t="s">
        <v>26</v>
      </c>
      <c r="Y145" s="1509"/>
      <c r="Z145" s="1746"/>
      <c r="AA145" s="1746"/>
      <c r="AB145" s="2722">
        <f t="shared" ref="AB145:AB159" si="191">SUM(AN145:BZ145)</f>
        <v>1700000</v>
      </c>
      <c r="AC145" s="1443"/>
      <c r="AD145" s="1443"/>
      <c r="AE145" s="372"/>
      <c r="AF145" s="391"/>
      <c r="AG145" s="391"/>
      <c r="AH145" s="354">
        <f t="shared" si="188"/>
        <v>0</v>
      </c>
      <c r="AI145" s="355">
        <f t="shared" ca="1" si="189"/>
        <v>0</v>
      </c>
      <c r="AJ145" s="356">
        <f t="shared" ca="1" si="150"/>
        <v>0</v>
      </c>
      <c r="AK145" s="2185"/>
      <c r="AL145" s="2065"/>
      <c r="AM145" s="2258"/>
      <c r="AN145" s="2258"/>
      <c r="AO145" s="359"/>
      <c r="AP145" s="359"/>
      <c r="AQ145" s="359"/>
      <c r="AR145" s="359"/>
      <c r="AS145" s="359"/>
      <c r="AT145" s="390"/>
      <c r="AU145" s="359"/>
      <c r="AV145" s="359"/>
      <c r="AW145" s="377"/>
      <c r="AX145" s="359"/>
      <c r="AY145" s="390"/>
      <c r="AZ145" s="2258"/>
      <c r="BA145" s="359">
        <v>425000</v>
      </c>
      <c r="BB145" s="359"/>
      <c r="BC145" s="359"/>
      <c r="BD145" s="359"/>
      <c r="BE145" s="359">
        <v>425000</v>
      </c>
      <c r="BF145" s="359"/>
      <c r="BG145" s="359"/>
      <c r="BH145" s="359"/>
      <c r="BI145" s="380">
        <v>425000</v>
      </c>
      <c r="BJ145" s="359"/>
      <c r="BK145" s="2122"/>
      <c r="BL145" s="380">
        <v>425000</v>
      </c>
      <c r="BM145" s="380"/>
      <c r="BN145" s="380"/>
      <c r="BO145" s="380"/>
      <c r="BP145" s="380"/>
      <c r="BQ145" s="2087"/>
      <c r="BR145" s="359"/>
      <c r="BS145" s="359"/>
      <c r="BT145" s="359"/>
      <c r="BU145" s="392"/>
      <c r="BV145" s="392"/>
      <c r="BW145" s="2368"/>
      <c r="BX145" s="2465"/>
      <c r="BY145" s="2545"/>
      <c r="BZ145" s="2545"/>
      <c r="CA145" s="2432">
        <f t="shared" ref="CA145:CA155" si="192">SUMIF($AM$10:$BZ$10,$CA$9,AM145:BZ145)</f>
        <v>1700000</v>
      </c>
      <c r="CB145" s="2377">
        <f t="shared" ref="CB145:CB155" si="193">IF($AB145&lt;&gt;0,CA145/$AB145,"")</f>
        <v>1</v>
      </c>
      <c r="CC145" s="365">
        <f t="shared" ref="CC145:CC155" si="194">IF($AB145&lt;&gt;0,CB145/$AB145,"")</f>
        <v>5.8823529411764701E-7</v>
      </c>
      <c r="CD145" s="393"/>
      <c r="CE145" s="394"/>
      <c r="CF145" s="394"/>
      <c r="CG145" s="340"/>
      <c r="CH145" s="367"/>
      <c r="CI145" s="395"/>
      <c r="CJ145" s="395"/>
      <c r="CK145" s="340"/>
      <c r="CL145" s="329">
        <f t="shared" si="182"/>
        <v>28282000</v>
      </c>
      <c r="CM145" s="330">
        <f t="shared" ca="1" si="183"/>
        <v>0</v>
      </c>
      <c r="CN145" s="331">
        <f t="shared" ca="1" si="141"/>
        <v>-1700000</v>
      </c>
      <c r="CO145" s="1650"/>
      <c r="CP145" s="1650"/>
      <c r="CQ145" s="1651"/>
      <c r="CR145" s="1650"/>
      <c r="CS145" s="1650"/>
      <c r="CT145" s="1650"/>
      <c r="CU145" s="1650"/>
      <c r="CV145" s="1650"/>
      <c r="CW145" s="1650"/>
      <c r="CX145" s="1650"/>
      <c r="CY145" s="86"/>
      <c r="CZ145" s="86"/>
      <c r="DA145" s="1650"/>
      <c r="DB145" s="30"/>
      <c r="DC145" s="30"/>
      <c r="DD145" s="30"/>
      <c r="DE145" s="30"/>
      <c r="DF145" s="30"/>
      <c r="DG145" s="30"/>
      <c r="DH145" s="30"/>
      <c r="DI145" s="30"/>
      <c r="DJ145" s="30"/>
      <c r="DK145" s="30"/>
      <c r="DL145" s="30"/>
      <c r="DM145" s="30"/>
      <c r="DN145" s="30"/>
      <c r="DO145" s="30"/>
      <c r="DP145" s="30"/>
      <c r="DQ145" s="30"/>
      <c r="DR145" s="30"/>
      <c r="DS145" s="30"/>
      <c r="DT145" s="30"/>
      <c r="DU145" s="30"/>
      <c r="DV145" s="30"/>
      <c r="DW145" s="30"/>
      <c r="DX145" s="30"/>
      <c r="DY145" s="30"/>
      <c r="DZ145" s="30"/>
      <c r="EA145" s="30"/>
      <c r="EB145" s="30"/>
      <c r="EC145" s="30"/>
      <c r="ED145" s="30"/>
      <c r="EE145" s="30"/>
      <c r="EF145" s="30"/>
      <c r="EG145" s="30"/>
      <c r="EH145" s="1652"/>
      <c r="EI145" s="1658"/>
      <c r="EJ145" s="30"/>
      <c r="EK145" s="30"/>
      <c r="EL145" s="30"/>
      <c r="EM145" s="30"/>
      <c r="EN145" s="30"/>
      <c r="EO145" s="30"/>
      <c r="EP145" s="30"/>
      <c r="EQ145" s="30"/>
      <c r="ER145" s="30"/>
      <c r="ES145" s="30"/>
      <c r="ET145" s="30"/>
      <c r="EU145" s="30"/>
      <c r="EV145" s="30"/>
      <c r="EW145" s="30"/>
      <c r="EX145" s="30"/>
      <c r="EY145" s="30"/>
      <c r="EZ145" s="30"/>
      <c r="FA145" s="30"/>
      <c r="FB145" s="30"/>
      <c r="FC145" s="30"/>
      <c r="FD145" s="30"/>
      <c r="FE145" s="30"/>
      <c r="FF145" s="30"/>
      <c r="FG145" s="30"/>
      <c r="FH145" s="30"/>
      <c r="FI145" s="30"/>
      <c r="FJ145" s="30"/>
      <c r="FK145" s="30"/>
      <c r="FL145" s="30"/>
      <c r="FM145" s="30"/>
      <c r="FN145" s="30"/>
      <c r="FO145" s="30"/>
      <c r="FP145" s="30"/>
      <c r="FQ145" s="30"/>
      <c r="FR145" s="30"/>
      <c r="FS145" s="30"/>
      <c r="FT145" s="30"/>
      <c r="FU145" s="30"/>
      <c r="FV145" s="30"/>
      <c r="FW145" s="30"/>
      <c r="FX145" s="30"/>
      <c r="FY145" s="30"/>
      <c r="FZ145" s="30"/>
      <c r="GA145" s="30"/>
      <c r="GB145" s="30"/>
      <c r="GC145" s="30"/>
      <c r="GD145" s="30"/>
      <c r="GE145" s="30"/>
      <c r="GF145" s="30"/>
      <c r="GG145" s="30"/>
      <c r="GH145" s="30"/>
      <c r="GI145" s="30"/>
      <c r="GJ145" s="30"/>
      <c r="GK145" s="30"/>
      <c r="GL145" s="30"/>
      <c r="GM145" s="30"/>
      <c r="GN145" s="30"/>
      <c r="GO145" s="30"/>
      <c r="GP145" s="30"/>
      <c r="GQ145" s="30"/>
      <c r="GR145" s="30"/>
      <c r="GS145" s="30"/>
      <c r="GT145" s="30"/>
      <c r="GU145" s="30"/>
      <c r="GV145" s="30"/>
      <c r="GW145" s="30"/>
      <c r="GX145" s="30"/>
      <c r="GY145" s="30"/>
      <c r="GZ145" s="30"/>
      <c r="HA145" s="30"/>
      <c r="HB145" s="30"/>
      <c r="HC145" s="30"/>
      <c r="HD145" s="30"/>
      <c r="HE145" s="30"/>
      <c r="HF145" s="30"/>
      <c r="HG145" s="30"/>
      <c r="HH145" s="30"/>
      <c r="HI145" s="30"/>
      <c r="HJ145" s="30"/>
      <c r="HK145" s="30"/>
      <c r="HL145" s="30"/>
      <c r="HM145" s="30"/>
      <c r="HN145" s="30"/>
      <c r="HO145" s="30"/>
      <c r="HP145" s="30"/>
      <c r="HQ145" s="30"/>
      <c r="HR145" s="30"/>
      <c r="HS145" s="30"/>
      <c r="HT145" s="30"/>
      <c r="HU145" s="30"/>
      <c r="HV145" s="30"/>
      <c r="HW145" s="30"/>
      <c r="HX145" s="30"/>
      <c r="HY145" s="30"/>
      <c r="HZ145" s="30"/>
      <c r="IA145" s="30"/>
      <c r="IB145" s="30"/>
      <c r="IC145" s="30"/>
      <c r="ID145" s="30"/>
      <c r="IE145" s="30"/>
      <c r="IF145" s="30"/>
      <c r="IG145" s="30"/>
      <c r="IH145" s="30"/>
      <c r="II145" s="30"/>
      <c r="IJ145" s="30"/>
      <c r="IK145" s="30"/>
      <c r="IL145" s="30"/>
      <c r="IM145" s="30"/>
      <c r="IN145" s="30"/>
      <c r="IO145" s="30"/>
      <c r="IP145" s="30"/>
      <c r="IQ145" s="30"/>
      <c r="IR145" s="30"/>
      <c r="IS145" s="30"/>
      <c r="IT145" s="30"/>
      <c r="IU145" s="30"/>
      <c r="IV145" s="30"/>
      <c r="IW145" s="30"/>
      <c r="IX145" s="30"/>
      <c r="IY145" s="30"/>
      <c r="IZ145" s="30"/>
      <c r="JA145" s="30"/>
      <c r="JB145" s="30"/>
      <c r="JC145" s="30"/>
      <c r="JD145" s="30"/>
      <c r="JE145" s="30"/>
      <c r="JF145" s="30"/>
      <c r="JG145" s="30"/>
      <c r="JH145" s="30"/>
      <c r="JI145" s="30"/>
      <c r="JJ145" s="30"/>
      <c r="JK145" s="30"/>
      <c r="JL145" s="30"/>
      <c r="JM145" s="30"/>
      <c r="JN145" s="30"/>
      <c r="JO145" s="30"/>
      <c r="JP145" s="30"/>
      <c r="JQ145" s="30"/>
      <c r="JR145" s="30"/>
      <c r="JS145" s="30"/>
      <c r="JT145" s="30"/>
      <c r="JU145" s="30"/>
      <c r="JV145" s="30"/>
      <c r="JW145" s="30"/>
      <c r="JX145" s="30"/>
      <c r="JY145" s="30"/>
      <c r="JZ145" s="30"/>
      <c r="KA145" s="30"/>
      <c r="KB145" s="30"/>
      <c r="KC145" s="30"/>
      <c r="KD145" s="30"/>
      <c r="KE145" s="30"/>
      <c r="KF145" s="30"/>
      <c r="KG145" s="30"/>
      <c r="KH145" s="30"/>
      <c r="KI145" s="30"/>
      <c r="KJ145" s="30"/>
      <c r="KK145" s="30"/>
      <c r="KL145" s="30"/>
      <c r="KM145" s="30"/>
      <c r="KN145" s="30"/>
      <c r="KO145" s="30"/>
      <c r="KP145" s="1630"/>
    </row>
    <row r="146" spans="1:302" s="97" customFormat="1" ht="18.75" customHeight="1" outlineLevel="1">
      <c r="A146" s="2659" t="s">
        <v>1361</v>
      </c>
      <c r="B146" s="386"/>
      <c r="C146" s="255" t="s">
        <v>1137</v>
      </c>
      <c r="D146" s="255" t="s">
        <v>1142</v>
      </c>
      <c r="E146" s="376"/>
      <c r="F146" s="347"/>
      <c r="G146" s="348"/>
      <c r="H146" s="349" t="s">
        <v>26</v>
      </c>
      <c r="I146" s="2936"/>
      <c r="J146" s="362" t="s">
        <v>26</v>
      </c>
      <c r="K146" s="1745"/>
      <c r="L146" s="383"/>
      <c r="M146" s="383"/>
      <c r="N146" s="383"/>
      <c r="O146" s="1510"/>
      <c r="P146" s="383"/>
      <c r="Q146" s="383"/>
      <c r="R146" s="383"/>
      <c r="S146" s="1510"/>
      <c r="T146" s="1509"/>
      <c r="U146" s="1746"/>
      <c r="V146" s="1746"/>
      <c r="W146" s="1744"/>
      <c r="X146" s="362" t="s">
        <v>26</v>
      </c>
      <c r="Y146" s="1509"/>
      <c r="Z146" s="1746"/>
      <c r="AA146" s="1746"/>
      <c r="AB146" s="2766">
        <f t="shared" si="191"/>
        <v>28282000</v>
      </c>
      <c r="AC146" s="1443" t="s">
        <v>1233</v>
      </c>
      <c r="AD146" s="1443"/>
      <c r="AE146" s="372" t="s">
        <v>564</v>
      </c>
      <c r="AF146" s="354">
        <v>28282000</v>
      </c>
      <c r="AG146" s="391">
        <v>1</v>
      </c>
      <c r="AH146" s="354">
        <f t="shared" ref="AH146" si="195">AF146*AG146</f>
        <v>28282000</v>
      </c>
      <c r="AI146" s="355">
        <f t="shared" ref="AI146" ca="1" si="196">SUMIF($AM$10:$BZ$10,$AI$9,AM146:BT146)</f>
        <v>0</v>
      </c>
      <c r="AJ146" s="356">
        <f t="shared" ca="1" si="150"/>
        <v>0</v>
      </c>
      <c r="AK146" s="2185"/>
      <c r="AL146" s="2065"/>
      <c r="AM146" s="2258"/>
      <c r="AN146" s="2258"/>
      <c r="AO146" s="359"/>
      <c r="AP146" s="359"/>
      <c r="AQ146" s="359"/>
      <c r="AR146" s="359"/>
      <c r="AS146" s="359"/>
      <c r="AT146" s="390">
        <v>220000</v>
      </c>
      <c r="AU146" s="359"/>
      <c r="AV146" s="359">
        <v>670000</v>
      </c>
      <c r="AW146" s="377">
        <v>200000</v>
      </c>
      <c r="AX146" s="359">
        <v>100000</v>
      </c>
      <c r="AY146" s="390"/>
      <c r="AZ146" s="2258"/>
      <c r="BA146" s="359">
        <v>3237000</v>
      </c>
      <c r="BB146" s="359">
        <v>5784270</v>
      </c>
      <c r="BC146" s="359">
        <v>2528860</v>
      </c>
      <c r="BD146" s="359">
        <f>4344595-1132360</f>
        <v>3212235</v>
      </c>
      <c r="BE146" s="359">
        <v>1211070</v>
      </c>
      <c r="BF146" s="359">
        <v>6285375</v>
      </c>
      <c r="BG146" s="359">
        <f>3022640-1657640</f>
        <v>1365000</v>
      </c>
      <c r="BH146" s="359">
        <f>678190+400000+277190+1862810</f>
        <v>3218190</v>
      </c>
      <c r="BI146" s="380"/>
      <c r="BJ146" s="359"/>
      <c r="BK146" s="2122">
        <v>250000</v>
      </c>
      <c r="BL146" s="380"/>
      <c r="BM146" s="380"/>
      <c r="BN146" s="380"/>
      <c r="BO146" s="380"/>
      <c r="BP146" s="380"/>
      <c r="BQ146" s="2087"/>
      <c r="BR146" s="359"/>
      <c r="BS146" s="359"/>
      <c r="BT146" s="359"/>
      <c r="BU146" s="392"/>
      <c r="BV146" s="392"/>
      <c r="BW146" s="2368"/>
      <c r="BX146" s="2465"/>
      <c r="BY146" s="2545"/>
      <c r="BZ146" s="2545"/>
      <c r="CA146" s="2432">
        <f t="shared" si="192"/>
        <v>28282000</v>
      </c>
      <c r="CB146" s="2377">
        <f t="shared" si="193"/>
        <v>1</v>
      </c>
      <c r="CC146" s="365">
        <f t="shared" si="194"/>
        <v>3.5358178346651577E-8</v>
      </c>
      <c r="CD146" s="393"/>
      <c r="CE146" s="394"/>
      <c r="CF146" s="394"/>
      <c r="CG146" s="340"/>
      <c r="CH146" s="367"/>
      <c r="CI146" s="395"/>
      <c r="CJ146" s="395"/>
      <c r="CK146" s="340"/>
      <c r="CL146" s="329">
        <f t="shared" si="182"/>
        <v>-28282000</v>
      </c>
      <c r="CM146" s="330">
        <f t="shared" ca="1" si="183"/>
        <v>0</v>
      </c>
      <c r="CN146" s="331"/>
      <c r="CO146" s="1650"/>
      <c r="CP146" s="1650"/>
      <c r="CQ146" s="1651"/>
      <c r="CR146" s="1650"/>
      <c r="CS146" s="1650"/>
      <c r="CT146" s="1650"/>
      <c r="CU146" s="1650"/>
      <c r="CV146" s="1650"/>
      <c r="CW146" s="1650"/>
      <c r="CX146" s="1650"/>
      <c r="CY146" s="86"/>
      <c r="CZ146" s="86"/>
      <c r="DA146" s="1650"/>
      <c r="DB146" s="30"/>
      <c r="DC146" s="30"/>
      <c r="DD146" s="30"/>
      <c r="DE146" s="30"/>
      <c r="DF146" s="30"/>
      <c r="DG146" s="30"/>
      <c r="DH146" s="30"/>
      <c r="DI146" s="30"/>
      <c r="DJ146" s="30"/>
      <c r="DK146" s="30"/>
      <c r="DL146" s="30"/>
      <c r="DM146" s="30"/>
      <c r="DN146" s="30"/>
      <c r="DO146" s="30"/>
      <c r="DP146" s="30"/>
      <c r="DQ146" s="30"/>
      <c r="DR146" s="30"/>
      <c r="DS146" s="30"/>
      <c r="DT146" s="30"/>
      <c r="DU146" s="30"/>
      <c r="DV146" s="30"/>
      <c r="DW146" s="30"/>
      <c r="DX146" s="30"/>
      <c r="DY146" s="30"/>
      <c r="DZ146" s="30"/>
      <c r="EA146" s="30"/>
      <c r="EB146" s="30"/>
      <c r="EC146" s="30"/>
      <c r="ED146" s="30"/>
      <c r="EE146" s="30"/>
      <c r="EF146" s="30"/>
      <c r="EG146" s="30"/>
      <c r="EH146" s="1652"/>
      <c r="EI146" s="1658"/>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0"/>
      <c r="HP146" s="30"/>
      <c r="HQ146" s="30"/>
      <c r="HR146" s="30"/>
      <c r="HS146" s="30"/>
      <c r="HT146" s="30"/>
      <c r="HU146" s="30"/>
      <c r="HV146" s="30"/>
      <c r="HW146" s="30"/>
      <c r="HX146" s="30"/>
      <c r="HY146" s="30"/>
      <c r="HZ146" s="30"/>
      <c r="IA146" s="30"/>
      <c r="IB146" s="30"/>
      <c r="IC146" s="30"/>
      <c r="ID146" s="30"/>
      <c r="IE146" s="30"/>
      <c r="IF146" s="30"/>
      <c r="IG146" s="30"/>
      <c r="IH146" s="30"/>
      <c r="II146" s="30"/>
      <c r="IJ146" s="30"/>
      <c r="IK146" s="30"/>
      <c r="IL146" s="30"/>
      <c r="IM146" s="30"/>
      <c r="IN146" s="30"/>
      <c r="IO146" s="30"/>
      <c r="IP146" s="30"/>
      <c r="IQ146" s="30"/>
      <c r="IR146" s="30"/>
      <c r="IS146" s="30"/>
      <c r="IT146" s="30"/>
      <c r="IU146" s="30"/>
      <c r="IV146" s="30"/>
      <c r="IW146" s="30"/>
      <c r="IX146" s="30"/>
      <c r="IY146" s="30"/>
      <c r="IZ146" s="30"/>
      <c r="JA146" s="30"/>
      <c r="JB146" s="30"/>
      <c r="JC146" s="30"/>
      <c r="JD146" s="30"/>
      <c r="JE146" s="30"/>
      <c r="JF146" s="30"/>
      <c r="JG146" s="30"/>
      <c r="JH146" s="30"/>
      <c r="JI146" s="30"/>
      <c r="JJ146" s="30"/>
      <c r="JK146" s="30"/>
      <c r="JL146" s="30"/>
      <c r="JM146" s="30"/>
      <c r="JN146" s="30"/>
      <c r="JO146" s="30"/>
      <c r="JP146" s="30"/>
      <c r="JQ146" s="30"/>
      <c r="JR146" s="30"/>
      <c r="JS146" s="30"/>
      <c r="JT146" s="30"/>
      <c r="JU146" s="30"/>
      <c r="JV146" s="30"/>
      <c r="JW146" s="30"/>
      <c r="JX146" s="30"/>
      <c r="JY146" s="30"/>
      <c r="JZ146" s="30"/>
      <c r="KA146" s="30"/>
      <c r="KB146" s="30"/>
      <c r="KC146" s="30"/>
      <c r="KD146" s="30"/>
      <c r="KE146" s="30"/>
      <c r="KF146" s="30"/>
      <c r="KG146" s="30"/>
      <c r="KH146" s="30"/>
      <c r="KI146" s="30"/>
      <c r="KJ146" s="30"/>
      <c r="KK146" s="30"/>
      <c r="KL146" s="30"/>
      <c r="KM146" s="30"/>
      <c r="KN146" s="30"/>
      <c r="KO146" s="30"/>
      <c r="KP146" s="1630"/>
    </row>
    <row r="147" spans="1:302" s="97" customFormat="1" ht="18.75" customHeight="1" outlineLevel="1">
      <c r="A147" s="2659" t="s">
        <v>255</v>
      </c>
      <c r="B147" s="386"/>
      <c r="C147" s="255" t="s">
        <v>1138</v>
      </c>
      <c r="D147" s="255" t="s">
        <v>1143</v>
      </c>
      <c r="E147" s="376"/>
      <c r="F147" s="347"/>
      <c r="G147" s="348"/>
      <c r="H147" s="349" t="s">
        <v>26</v>
      </c>
      <c r="I147" s="2936"/>
      <c r="J147" s="362" t="s">
        <v>26</v>
      </c>
      <c r="K147" s="1745"/>
      <c r="L147" s="383"/>
      <c r="M147" s="383"/>
      <c r="N147" s="383"/>
      <c r="O147" s="1510">
        <v>742140</v>
      </c>
      <c r="P147" s="383"/>
      <c r="Q147" s="383"/>
      <c r="R147" s="383"/>
      <c r="S147" s="1510">
        <f t="shared" si="186"/>
        <v>0</v>
      </c>
      <c r="T147" s="1509"/>
      <c r="U147" s="1746"/>
      <c r="V147" s="1746"/>
      <c r="W147" s="1744">
        <f t="shared" si="187"/>
        <v>742140</v>
      </c>
      <c r="X147" s="362" t="s">
        <v>26</v>
      </c>
      <c r="Y147" s="1509"/>
      <c r="Z147" s="1746"/>
      <c r="AA147" s="1746"/>
      <c r="AB147" s="1510">
        <f t="shared" si="191"/>
        <v>742140</v>
      </c>
      <c r="AC147" s="1443"/>
      <c r="AD147" s="1443"/>
      <c r="AE147" s="372"/>
      <c r="AF147" s="391"/>
      <c r="AG147" s="391"/>
      <c r="AH147" s="354">
        <f t="shared" si="188"/>
        <v>0</v>
      </c>
      <c r="AI147" s="355">
        <f t="shared" ca="1" si="189"/>
        <v>0</v>
      </c>
      <c r="AJ147" s="356">
        <f t="shared" ca="1" si="150"/>
        <v>0</v>
      </c>
      <c r="AK147" s="2185"/>
      <c r="AL147" s="2065"/>
      <c r="AM147" s="2258"/>
      <c r="AN147" s="2258"/>
      <c r="AO147" s="359"/>
      <c r="AP147" s="359"/>
      <c r="AQ147" s="359"/>
      <c r="AR147" s="359"/>
      <c r="AS147" s="359"/>
      <c r="AT147" s="390"/>
      <c r="AU147" s="359"/>
      <c r="AV147" s="359"/>
      <c r="AW147" s="377"/>
      <c r="AX147" s="359"/>
      <c r="AY147" s="390"/>
      <c r="AZ147" s="2273"/>
      <c r="BA147" s="497"/>
      <c r="BB147" s="1505"/>
      <c r="BC147" s="359"/>
      <c r="BD147" s="359"/>
      <c r="BE147" s="359"/>
      <c r="BF147" s="359"/>
      <c r="BG147" s="359">
        <v>148428</v>
      </c>
      <c r="BH147" s="359">
        <v>148428</v>
      </c>
      <c r="BI147" s="380">
        <v>148428</v>
      </c>
      <c r="BJ147" s="359">
        <v>148428</v>
      </c>
      <c r="BK147" s="2122">
        <v>148428</v>
      </c>
      <c r="BL147" s="380"/>
      <c r="BM147" s="380"/>
      <c r="BN147" s="380"/>
      <c r="BO147" s="380"/>
      <c r="BP147" s="380"/>
      <c r="BQ147" s="2087"/>
      <c r="BR147" s="359"/>
      <c r="BS147" s="359"/>
      <c r="BT147" s="359"/>
      <c r="BU147" s="392"/>
      <c r="BV147" s="392"/>
      <c r="BW147" s="2368"/>
      <c r="BX147" s="2465"/>
      <c r="BY147" s="2545"/>
      <c r="BZ147" s="2545"/>
      <c r="CA147" s="2432">
        <f t="shared" si="192"/>
        <v>742140</v>
      </c>
      <c r="CB147" s="2377">
        <f t="shared" si="193"/>
        <v>1</v>
      </c>
      <c r="CC147" s="365">
        <f t="shared" si="194"/>
        <v>1.3474546581507533E-6</v>
      </c>
      <c r="CD147" s="393"/>
      <c r="CE147" s="394"/>
      <c r="CF147" s="394"/>
      <c r="CG147" s="340"/>
      <c r="CH147" s="367"/>
      <c r="CI147" s="395"/>
      <c r="CJ147" s="395"/>
      <c r="CK147" s="340"/>
      <c r="CL147" s="329">
        <f t="shared" si="182"/>
        <v>0</v>
      </c>
      <c r="CM147" s="330">
        <f t="shared" ca="1" si="183"/>
        <v>0</v>
      </c>
      <c r="CN147" s="331">
        <f t="shared" ca="1" si="141"/>
        <v>-742140</v>
      </c>
      <c r="CO147" s="1650"/>
      <c r="CP147" s="1650"/>
      <c r="CQ147" s="1651"/>
      <c r="CR147" s="1650"/>
      <c r="CS147" s="1650"/>
      <c r="CT147" s="1650"/>
      <c r="CU147" s="1650"/>
      <c r="CV147" s="1650"/>
      <c r="CW147" s="1650"/>
      <c r="CX147" s="1650"/>
      <c r="CY147" s="86"/>
      <c r="CZ147" s="86"/>
      <c r="DA147" s="1650"/>
      <c r="DB147" s="30"/>
      <c r="DC147" s="30"/>
      <c r="DD147" s="30"/>
      <c r="DE147" s="30"/>
      <c r="DF147" s="30"/>
      <c r="DG147" s="30"/>
      <c r="DH147" s="30"/>
      <c r="DI147" s="30"/>
      <c r="DJ147" s="30"/>
      <c r="DK147" s="30"/>
      <c r="DL147" s="30"/>
      <c r="DM147" s="30"/>
      <c r="DN147" s="30"/>
      <c r="DO147" s="30"/>
      <c r="DP147" s="30"/>
      <c r="DQ147" s="30"/>
      <c r="DR147" s="30"/>
      <c r="DS147" s="30"/>
      <c r="DT147" s="30"/>
      <c r="DU147" s="30"/>
      <c r="DV147" s="30"/>
      <c r="DW147" s="30"/>
      <c r="DX147" s="30"/>
      <c r="DY147" s="30"/>
      <c r="DZ147" s="30"/>
      <c r="EA147" s="30"/>
      <c r="EB147" s="30"/>
      <c r="EC147" s="30"/>
      <c r="ED147" s="30"/>
      <c r="EE147" s="30"/>
      <c r="EF147" s="30"/>
      <c r="EG147" s="30"/>
      <c r="EH147" s="1652"/>
      <c r="EI147" s="1658"/>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0"/>
      <c r="HP147" s="30"/>
      <c r="HQ147" s="30"/>
      <c r="HR147" s="30"/>
      <c r="HS147" s="30"/>
      <c r="HT147" s="30"/>
      <c r="HU147" s="30"/>
      <c r="HV147" s="30"/>
      <c r="HW147" s="30"/>
      <c r="HX147" s="30"/>
      <c r="HY147" s="30"/>
      <c r="HZ147" s="30"/>
      <c r="IA147" s="30"/>
      <c r="IB147" s="30"/>
      <c r="IC147" s="30"/>
      <c r="ID147" s="30"/>
      <c r="IE147" s="30"/>
      <c r="IF147" s="30"/>
      <c r="IG147" s="30"/>
      <c r="IH147" s="30"/>
      <c r="II147" s="30"/>
      <c r="IJ147" s="30"/>
      <c r="IK147" s="30"/>
      <c r="IL147" s="30"/>
      <c r="IM147" s="30"/>
      <c r="IN147" s="30"/>
      <c r="IO147" s="30"/>
      <c r="IP147" s="30"/>
      <c r="IQ147" s="30"/>
      <c r="IR147" s="30"/>
      <c r="IS147" s="30"/>
      <c r="IT147" s="30"/>
      <c r="IU147" s="30"/>
      <c r="IV147" s="30"/>
      <c r="IW147" s="30"/>
      <c r="IX147" s="30"/>
      <c r="IY147" s="30"/>
      <c r="IZ147" s="30"/>
      <c r="JA147" s="30"/>
      <c r="JB147" s="30"/>
      <c r="JC147" s="30"/>
      <c r="JD147" s="30"/>
      <c r="JE147" s="30"/>
      <c r="JF147" s="30"/>
      <c r="JG147" s="30"/>
      <c r="JH147" s="30"/>
      <c r="JI147" s="30"/>
      <c r="JJ147" s="30"/>
      <c r="JK147" s="30"/>
      <c r="JL147" s="30"/>
      <c r="JM147" s="30"/>
      <c r="JN147" s="30"/>
      <c r="JO147" s="30"/>
      <c r="JP147" s="30"/>
      <c r="JQ147" s="30"/>
      <c r="JR147" s="30"/>
      <c r="JS147" s="30"/>
      <c r="JT147" s="30"/>
      <c r="JU147" s="30"/>
      <c r="JV147" s="30"/>
      <c r="JW147" s="30"/>
      <c r="JX147" s="30"/>
      <c r="JY147" s="30"/>
      <c r="JZ147" s="30"/>
      <c r="KA147" s="30"/>
      <c r="KB147" s="30"/>
      <c r="KC147" s="30"/>
      <c r="KD147" s="30"/>
      <c r="KE147" s="30"/>
      <c r="KF147" s="30"/>
      <c r="KG147" s="30"/>
      <c r="KH147" s="30"/>
      <c r="KI147" s="30"/>
      <c r="KJ147" s="30"/>
      <c r="KK147" s="30"/>
      <c r="KL147" s="30"/>
      <c r="KM147" s="30"/>
      <c r="KN147" s="30"/>
      <c r="KO147" s="30"/>
      <c r="KP147" s="1630"/>
    </row>
    <row r="148" spans="1:302" s="97" customFormat="1" ht="18.75" customHeight="1" outlineLevel="1">
      <c r="A148" s="2659" t="s">
        <v>266</v>
      </c>
      <c r="B148" s="386"/>
      <c r="C148" s="255" t="s">
        <v>1139</v>
      </c>
      <c r="D148" s="255" t="s">
        <v>1144</v>
      </c>
      <c r="E148" s="376"/>
      <c r="F148" s="347"/>
      <c r="G148" s="348"/>
      <c r="H148" s="349" t="s">
        <v>26</v>
      </c>
      <c r="I148" s="2936"/>
      <c r="J148" s="362" t="s">
        <v>26</v>
      </c>
      <c r="K148" s="1745"/>
      <c r="L148" s="383"/>
      <c r="M148" s="383"/>
      <c r="N148" s="383"/>
      <c r="O148" s="1510">
        <v>140000</v>
      </c>
      <c r="P148" s="383"/>
      <c r="Q148" s="383"/>
      <c r="R148" s="383"/>
      <c r="S148" s="1510">
        <f t="shared" si="186"/>
        <v>0</v>
      </c>
      <c r="T148" s="1509"/>
      <c r="U148" s="1746"/>
      <c r="V148" s="1746"/>
      <c r="W148" s="1744">
        <f t="shared" si="187"/>
        <v>140000</v>
      </c>
      <c r="X148" s="362" t="s">
        <v>26</v>
      </c>
      <c r="Y148" s="1509"/>
      <c r="Z148" s="1746"/>
      <c r="AA148" s="1746"/>
      <c r="AB148" s="1510">
        <f t="shared" si="191"/>
        <v>140000</v>
      </c>
      <c r="AC148" s="1443"/>
      <c r="AD148" s="1443"/>
      <c r="AE148" s="372"/>
      <c r="AF148" s="391"/>
      <c r="AG148" s="391"/>
      <c r="AH148" s="354">
        <f t="shared" si="188"/>
        <v>0</v>
      </c>
      <c r="AI148" s="355">
        <f t="shared" ca="1" si="189"/>
        <v>0</v>
      </c>
      <c r="AJ148" s="356">
        <f t="shared" ca="1" si="150"/>
        <v>0</v>
      </c>
      <c r="AK148" s="2185"/>
      <c r="AL148" s="2065"/>
      <c r="AM148" s="2258"/>
      <c r="AN148" s="2258"/>
      <c r="AO148" s="359"/>
      <c r="AP148" s="359"/>
      <c r="AQ148" s="359"/>
      <c r="AR148" s="359"/>
      <c r="AS148" s="359"/>
      <c r="AT148" s="390"/>
      <c r="AU148" s="359"/>
      <c r="AV148" s="359"/>
      <c r="AW148" s="377"/>
      <c r="AX148" s="359"/>
      <c r="AY148" s="390"/>
      <c r="AZ148" s="2258"/>
      <c r="BA148" s="359"/>
      <c r="BB148" s="359"/>
      <c r="BC148" s="359"/>
      <c r="BD148" s="359"/>
      <c r="BE148" s="1505"/>
      <c r="BF148" s="359"/>
      <c r="BG148" s="359">
        <v>28000</v>
      </c>
      <c r="BH148" s="359">
        <v>28000</v>
      </c>
      <c r="BI148" s="380">
        <v>28000</v>
      </c>
      <c r="BJ148" s="359">
        <v>28000</v>
      </c>
      <c r="BK148" s="2122">
        <v>28000</v>
      </c>
      <c r="BL148" s="380"/>
      <c r="BM148" s="380"/>
      <c r="BN148" s="380"/>
      <c r="BO148" s="380"/>
      <c r="BP148" s="380"/>
      <c r="BQ148" s="2087"/>
      <c r="BR148" s="359"/>
      <c r="BS148" s="359"/>
      <c r="BT148" s="359"/>
      <c r="BU148" s="392"/>
      <c r="BV148" s="392"/>
      <c r="BW148" s="2368"/>
      <c r="BX148" s="2465"/>
      <c r="BY148" s="2545"/>
      <c r="BZ148" s="2545"/>
      <c r="CA148" s="2432">
        <f t="shared" si="192"/>
        <v>140000</v>
      </c>
      <c r="CB148" s="2377">
        <f t="shared" si="193"/>
        <v>1</v>
      </c>
      <c r="CC148" s="365">
        <f t="shared" si="194"/>
        <v>7.1428571428571427E-6</v>
      </c>
      <c r="CD148" s="393"/>
      <c r="CE148" s="394"/>
      <c r="CF148" s="394"/>
      <c r="CG148" s="340"/>
      <c r="CH148" s="367"/>
      <c r="CI148" s="395"/>
      <c r="CJ148" s="395"/>
      <c r="CK148" s="340"/>
      <c r="CL148" s="329">
        <f t="shared" si="182"/>
        <v>0</v>
      </c>
      <c r="CM148" s="330">
        <f t="shared" ca="1" si="183"/>
        <v>0</v>
      </c>
      <c r="CN148" s="331">
        <f t="shared" ca="1" si="141"/>
        <v>-140000</v>
      </c>
      <c r="CO148" s="1650"/>
      <c r="CP148" s="1650"/>
      <c r="CQ148" s="1651"/>
      <c r="CR148" s="1650"/>
      <c r="CS148" s="1650"/>
      <c r="CT148" s="1650"/>
      <c r="CU148" s="1650"/>
      <c r="CV148" s="1650"/>
      <c r="CW148" s="1650"/>
      <c r="CX148" s="1650"/>
      <c r="CY148" s="86"/>
      <c r="CZ148" s="86"/>
      <c r="DA148" s="1650"/>
      <c r="DB148" s="30"/>
      <c r="DC148" s="30"/>
      <c r="DD148" s="30"/>
      <c r="DE148" s="30"/>
      <c r="DF148" s="30"/>
      <c r="DG148" s="30"/>
      <c r="DH148" s="30"/>
      <c r="DI148" s="30"/>
      <c r="DJ148" s="30"/>
      <c r="DK148" s="30"/>
      <c r="DL148" s="30"/>
      <c r="DM148" s="30"/>
      <c r="DN148" s="30"/>
      <c r="DO148" s="30"/>
      <c r="DP148" s="30"/>
      <c r="DQ148" s="30"/>
      <c r="DR148" s="30"/>
      <c r="DS148" s="30"/>
      <c r="DT148" s="30"/>
      <c r="DU148" s="30"/>
      <c r="DV148" s="30"/>
      <c r="DW148" s="30"/>
      <c r="DX148" s="30"/>
      <c r="DY148" s="30"/>
      <c r="DZ148" s="30"/>
      <c r="EA148" s="30"/>
      <c r="EB148" s="30"/>
      <c r="EC148" s="30"/>
      <c r="ED148" s="30"/>
      <c r="EE148" s="30"/>
      <c r="EF148" s="30"/>
      <c r="EG148" s="30"/>
      <c r="EH148" s="1652"/>
      <c r="EI148" s="1658"/>
      <c r="EJ148" s="30"/>
      <c r="EK148" s="30"/>
      <c r="EL148" s="30"/>
      <c r="EM148" s="30"/>
      <c r="EN148" s="30"/>
      <c r="EO148" s="30"/>
      <c r="EP148" s="30"/>
      <c r="EQ148" s="30"/>
      <c r="ER148" s="30"/>
      <c r="ES148" s="30"/>
      <c r="ET148" s="30"/>
      <c r="EU148" s="30"/>
      <c r="EV148" s="30"/>
      <c r="EW148" s="30"/>
      <c r="EX148" s="30"/>
      <c r="EY148" s="30"/>
      <c r="EZ148" s="30"/>
      <c r="FA148" s="30"/>
      <c r="FB148" s="30"/>
      <c r="FC148" s="30"/>
      <c r="FD148" s="30"/>
      <c r="FE148" s="30"/>
      <c r="FF148" s="30"/>
      <c r="FG148" s="30"/>
      <c r="FH148" s="30"/>
      <c r="FI148" s="30"/>
      <c r="FJ148" s="30"/>
      <c r="FK148" s="30"/>
      <c r="FL148" s="30"/>
      <c r="FM148" s="30"/>
      <c r="FN148" s="30"/>
      <c r="FO148" s="30"/>
      <c r="FP148" s="30"/>
      <c r="FQ148" s="30"/>
      <c r="FR148" s="30"/>
      <c r="FS148" s="30"/>
      <c r="FT148" s="30"/>
      <c r="FU148" s="30"/>
      <c r="FV148" s="30"/>
      <c r="FW148" s="30"/>
      <c r="FX148" s="30"/>
      <c r="FY148" s="30"/>
      <c r="FZ148" s="30"/>
      <c r="GA148" s="30"/>
      <c r="GB148" s="30"/>
      <c r="GC148" s="30"/>
      <c r="GD148" s="30"/>
      <c r="GE148" s="30"/>
      <c r="GF148" s="30"/>
      <c r="GG148" s="30"/>
      <c r="GH148" s="30"/>
      <c r="GI148" s="30"/>
      <c r="GJ148" s="30"/>
      <c r="GK148" s="30"/>
      <c r="GL148" s="30"/>
      <c r="GM148" s="30"/>
      <c r="GN148" s="30"/>
      <c r="GO148" s="30"/>
      <c r="GP148" s="30"/>
      <c r="GQ148" s="30"/>
      <c r="GR148" s="30"/>
      <c r="GS148" s="30"/>
      <c r="GT148" s="30"/>
      <c r="GU148" s="30"/>
      <c r="GV148" s="30"/>
      <c r="GW148" s="30"/>
      <c r="GX148" s="30"/>
      <c r="GY148" s="30"/>
      <c r="GZ148" s="30"/>
      <c r="HA148" s="30"/>
      <c r="HB148" s="30"/>
      <c r="HC148" s="30"/>
      <c r="HD148" s="30"/>
      <c r="HE148" s="30"/>
      <c r="HF148" s="30"/>
      <c r="HG148" s="30"/>
      <c r="HH148" s="30"/>
      <c r="HI148" s="30"/>
      <c r="HJ148" s="30"/>
      <c r="HK148" s="30"/>
      <c r="HL148" s="30"/>
      <c r="HM148" s="30"/>
      <c r="HN148" s="30"/>
      <c r="HO148" s="30"/>
      <c r="HP148" s="30"/>
      <c r="HQ148" s="30"/>
      <c r="HR148" s="30"/>
      <c r="HS148" s="30"/>
      <c r="HT148" s="30"/>
      <c r="HU148" s="30"/>
      <c r="HV148" s="30"/>
      <c r="HW148" s="30"/>
      <c r="HX148" s="30"/>
      <c r="HY148" s="30"/>
      <c r="HZ148" s="30"/>
      <c r="IA148" s="30"/>
      <c r="IB148" s="30"/>
      <c r="IC148" s="30"/>
      <c r="ID148" s="30"/>
      <c r="IE148" s="30"/>
      <c r="IF148" s="30"/>
      <c r="IG148" s="30"/>
      <c r="IH148" s="30"/>
      <c r="II148" s="30"/>
      <c r="IJ148" s="30"/>
      <c r="IK148" s="30"/>
      <c r="IL148" s="30"/>
      <c r="IM148" s="30"/>
      <c r="IN148" s="30"/>
      <c r="IO148" s="30"/>
      <c r="IP148" s="30"/>
      <c r="IQ148" s="30"/>
      <c r="IR148" s="30"/>
      <c r="IS148" s="30"/>
      <c r="IT148" s="30"/>
      <c r="IU148" s="30"/>
      <c r="IV148" s="30"/>
      <c r="IW148" s="30"/>
      <c r="IX148" s="30"/>
      <c r="IY148" s="30"/>
      <c r="IZ148" s="30"/>
      <c r="JA148" s="30"/>
      <c r="JB148" s="30"/>
      <c r="JC148" s="30"/>
      <c r="JD148" s="30"/>
      <c r="JE148" s="30"/>
      <c r="JF148" s="30"/>
      <c r="JG148" s="30"/>
      <c r="JH148" s="30"/>
      <c r="JI148" s="30"/>
      <c r="JJ148" s="30"/>
      <c r="JK148" s="30"/>
      <c r="JL148" s="30"/>
      <c r="JM148" s="30"/>
      <c r="JN148" s="30"/>
      <c r="JO148" s="30"/>
      <c r="JP148" s="30"/>
      <c r="JQ148" s="30"/>
      <c r="JR148" s="30"/>
      <c r="JS148" s="30"/>
      <c r="JT148" s="30"/>
      <c r="JU148" s="30"/>
      <c r="JV148" s="30"/>
      <c r="JW148" s="30"/>
      <c r="JX148" s="30"/>
      <c r="JY148" s="30"/>
      <c r="JZ148" s="30"/>
      <c r="KA148" s="30"/>
      <c r="KB148" s="30"/>
      <c r="KC148" s="30"/>
      <c r="KD148" s="30"/>
      <c r="KE148" s="30"/>
      <c r="KF148" s="30"/>
      <c r="KG148" s="30"/>
      <c r="KH148" s="30"/>
      <c r="KI148" s="30"/>
      <c r="KJ148" s="30"/>
      <c r="KK148" s="30"/>
      <c r="KL148" s="30"/>
      <c r="KM148" s="30"/>
      <c r="KN148" s="30"/>
      <c r="KO148" s="30"/>
      <c r="KP148" s="1630"/>
    </row>
    <row r="149" spans="1:302" s="97" customFormat="1" ht="25.5" outlineLevel="1">
      <c r="A149" s="2659" t="s">
        <v>267</v>
      </c>
      <c r="B149" s="386"/>
      <c r="C149" s="255" t="s">
        <v>1140</v>
      </c>
      <c r="D149" s="255" t="s">
        <v>1145</v>
      </c>
      <c r="E149" s="376"/>
      <c r="F149" s="347"/>
      <c r="G149" s="348"/>
      <c r="H149" s="349" t="s">
        <v>26</v>
      </c>
      <c r="I149" s="2936"/>
      <c r="J149" s="362" t="s">
        <v>26</v>
      </c>
      <c r="K149" s="1745"/>
      <c r="L149" s="383"/>
      <c r="M149" s="383"/>
      <c r="N149" s="383"/>
      <c r="O149" s="1510">
        <v>980000</v>
      </c>
      <c r="P149" s="383"/>
      <c r="Q149" s="383"/>
      <c r="R149" s="383"/>
      <c r="S149" s="1510">
        <f t="shared" si="186"/>
        <v>0</v>
      </c>
      <c r="T149" s="1509"/>
      <c r="U149" s="1746"/>
      <c r="V149" s="1746"/>
      <c r="W149" s="1744">
        <f t="shared" si="187"/>
        <v>980000</v>
      </c>
      <c r="X149" s="362" t="s">
        <v>26</v>
      </c>
      <c r="Y149" s="1509"/>
      <c r="Z149" s="1746"/>
      <c r="AA149" s="1746"/>
      <c r="AB149" s="1510">
        <f t="shared" si="191"/>
        <v>980000</v>
      </c>
      <c r="AC149" s="1443"/>
      <c r="AD149" s="1443"/>
      <c r="AE149" s="372"/>
      <c r="AF149" s="354"/>
      <c r="AG149" s="354"/>
      <c r="AH149" s="354">
        <f t="shared" si="188"/>
        <v>0</v>
      </c>
      <c r="AI149" s="355">
        <f t="shared" ca="1" si="189"/>
        <v>0</v>
      </c>
      <c r="AJ149" s="356">
        <f t="shared" ca="1" si="150"/>
        <v>0</v>
      </c>
      <c r="AK149" s="2185"/>
      <c r="AL149" s="2065"/>
      <c r="AM149" s="2258"/>
      <c r="AN149" s="2258"/>
      <c r="AO149" s="359"/>
      <c r="AP149" s="359"/>
      <c r="AQ149" s="359"/>
      <c r="AR149" s="359"/>
      <c r="AS149" s="359"/>
      <c r="AT149" s="390"/>
      <c r="AU149" s="359"/>
      <c r="AV149" s="359"/>
      <c r="AW149" s="377"/>
      <c r="AX149" s="359"/>
      <c r="AY149" s="390"/>
      <c r="AZ149" s="2273"/>
      <c r="BA149" s="497"/>
      <c r="BB149" s="377"/>
      <c r="BC149" s="359"/>
      <c r="BD149" s="359">
        <v>196000</v>
      </c>
      <c r="BE149" s="359">
        <v>196000</v>
      </c>
      <c r="BF149" s="359">
        <v>196000</v>
      </c>
      <c r="BG149" s="359">
        <v>196000</v>
      </c>
      <c r="BH149" s="359">
        <v>196000</v>
      </c>
      <c r="BI149" s="380"/>
      <c r="BJ149" s="359"/>
      <c r="BK149" s="2122"/>
      <c r="BL149" s="380"/>
      <c r="BM149" s="380"/>
      <c r="BN149" s="380"/>
      <c r="BO149" s="380"/>
      <c r="BP149" s="380"/>
      <c r="BQ149" s="2087"/>
      <c r="BR149" s="359"/>
      <c r="BS149" s="359"/>
      <c r="BT149" s="359"/>
      <c r="BU149" s="392"/>
      <c r="BV149" s="392"/>
      <c r="BW149" s="2368"/>
      <c r="BX149" s="2465"/>
      <c r="BY149" s="2545"/>
      <c r="BZ149" s="2545"/>
      <c r="CA149" s="2432">
        <f t="shared" si="192"/>
        <v>980000</v>
      </c>
      <c r="CB149" s="2377">
        <f t="shared" si="193"/>
        <v>1</v>
      </c>
      <c r="CC149" s="365">
        <f t="shared" si="194"/>
        <v>1.020408163265306E-6</v>
      </c>
      <c r="CD149" s="393"/>
      <c r="CE149" s="394"/>
      <c r="CF149" s="394"/>
      <c r="CG149" s="340"/>
      <c r="CH149" s="367"/>
      <c r="CI149" s="395"/>
      <c r="CJ149" s="395"/>
      <c r="CK149" s="340"/>
      <c r="CL149" s="329">
        <f t="shared" si="182"/>
        <v>0</v>
      </c>
      <c r="CM149" s="330">
        <f t="shared" ca="1" si="183"/>
        <v>0</v>
      </c>
      <c r="CN149" s="331">
        <f t="shared" ca="1" si="141"/>
        <v>-980000</v>
      </c>
      <c r="CO149" s="1650"/>
      <c r="CP149" s="1650"/>
      <c r="CQ149" s="1651"/>
      <c r="CR149" s="1650"/>
      <c r="CS149" s="1650"/>
      <c r="CT149" s="1650"/>
      <c r="CU149" s="1650"/>
      <c r="CV149" s="1650"/>
      <c r="CW149" s="1650"/>
      <c r="CX149" s="1650"/>
      <c r="CY149" s="86"/>
      <c r="CZ149" s="86"/>
      <c r="DA149" s="1650"/>
      <c r="DB149" s="30"/>
      <c r="DC149" s="30"/>
      <c r="DD149" s="30"/>
      <c r="DE149" s="30"/>
      <c r="DF149" s="30"/>
      <c r="DG149" s="30"/>
      <c r="DH149" s="30"/>
      <c r="DI149" s="30"/>
      <c r="DJ149" s="30"/>
      <c r="DK149" s="30"/>
      <c r="DL149" s="30"/>
      <c r="DM149" s="30"/>
      <c r="DN149" s="30"/>
      <c r="DO149" s="30"/>
      <c r="DP149" s="30"/>
      <c r="DQ149" s="30"/>
      <c r="DR149" s="30"/>
      <c r="DS149" s="30"/>
      <c r="DT149" s="30"/>
      <c r="DU149" s="30"/>
      <c r="DV149" s="30"/>
      <c r="DW149" s="30"/>
      <c r="DX149" s="30"/>
      <c r="DY149" s="30"/>
      <c r="DZ149" s="30"/>
      <c r="EA149" s="30"/>
      <c r="EB149" s="30"/>
      <c r="EC149" s="30"/>
      <c r="ED149" s="30"/>
      <c r="EE149" s="30"/>
      <c r="EF149" s="30"/>
      <c r="EG149" s="30"/>
      <c r="EH149" s="1652"/>
      <c r="EI149" s="1658"/>
      <c r="EJ149" s="30"/>
      <c r="EK149" s="30"/>
      <c r="EL149" s="30"/>
      <c r="EM149" s="30"/>
      <c r="EN149" s="30"/>
      <c r="EO149" s="30"/>
      <c r="EP149" s="30"/>
      <c r="EQ149" s="30"/>
      <c r="ER149" s="30"/>
      <c r="ES149" s="30"/>
      <c r="ET149" s="30"/>
      <c r="EU149" s="30"/>
      <c r="EV149" s="30"/>
      <c r="EW149" s="30"/>
      <c r="EX149" s="30"/>
      <c r="EY149" s="30"/>
      <c r="EZ149" s="30"/>
      <c r="FA149" s="30"/>
      <c r="FB149" s="30"/>
      <c r="FC149" s="30"/>
      <c r="FD149" s="30"/>
      <c r="FE149" s="30"/>
      <c r="FF149" s="30"/>
      <c r="FG149" s="30"/>
      <c r="FH149" s="30"/>
      <c r="FI149" s="30"/>
      <c r="FJ149" s="30"/>
      <c r="FK149" s="30"/>
      <c r="FL149" s="30"/>
      <c r="FM149" s="30"/>
      <c r="FN149" s="30"/>
      <c r="FO149" s="30"/>
      <c r="FP149" s="30"/>
      <c r="FQ149" s="30"/>
      <c r="FR149" s="30"/>
      <c r="FS149" s="30"/>
      <c r="FT149" s="30"/>
      <c r="FU149" s="30"/>
      <c r="FV149" s="30"/>
      <c r="FW149" s="30"/>
      <c r="FX149" s="30"/>
      <c r="FY149" s="30"/>
      <c r="FZ149" s="30"/>
      <c r="GA149" s="30"/>
      <c r="GB149" s="30"/>
      <c r="GC149" s="30"/>
      <c r="GD149" s="30"/>
      <c r="GE149" s="30"/>
      <c r="GF149" s="30"/>
      <c r="GG149" s="30"/>
      <c r="GH149" s="30"/>
      <c r="GI149" s="30"/>
      <c r="GJ149" s="30"/>
      <c r="GK149" s="30"/>
      <c r="GL149" s="30"/>
      <c r="GM149" s="30"/>
      <c r="GN149" s="30"/>
      <c r="GO149" s="30"/>
      <c r="GP149" s="30"/>
      <c r="GQ149" s="30"/>
      <c r="GR149" s="30"/>
      <c r="GS149" s="30"/>
      <c r="GT149" s="30"/>
      <c r="GU149" s="30"/>
      <c r="GV149" s="30"/>
      <c r="GW149" s="30"/>
      <c r="GX149" s="30"/>
      <c r="GY149" s="30"/>
      <c r="GZ149" s="30"/>
      <c r="HA149" s="30"/>
      <c r="HB149" s="30"/>
      <c r="HC149" s="30"/>
      <c r="HD149" s="30"/>
      <c r="HE149" s="30"/>
      <c r="HF149" s="30"/>
      <c r="HG149" s="30"/>
      <c r="HH149" s="30"/>
      <c r="HI149" s="30"/>
      <c r="HJ149" s="30"/>
      <c r="HK149" s="30"/>
      <c r="HL149" s="30"/>
      <c r="HM149" s="30"/>
      <c r="HN149" s="30"/>
      <c r="HO149" s="30"/>
      <c r="HP149" s="30"/>
      <c r="HQ149" s="30"/>
      <c r="HR149" s="30"/>
      <c r="HS149" s="30"/>
      <c r="HT149" s="30"/>
      <c r="HU149" s="30"/>
      <c r="HV149" s="30"/>
      <c r="HW149" s="30"/>
      <c r="HX149" s="30"/>
      <c r="HY149" s="30"/>
      <c r="HZ149" s="30"/>
      <c r="IA149" s="30"/>
      <c r="IB149" s="30"/>
      <c r="IC149" s="30"/>
      <c r="ID149" s="30"/>
      <c r="IE149" s="30"/>
      <c r="IF149" s="30"/>
      <c r="IG149" s="30"/>
      <c r="IH149" s="30"/>
      <c r="II149" s="30"/>
      <c r="IJ149" s="30"/>
      <c r="IK149" s="30"/>
      <c r="IL149" s="30"/>
      <c r="IM149" s="30"/>
      <c r="IN149" s="30"/>
      <c r="IO149" s="30"/>
      <c r="IP149" s="30"/>
      <c r="IQ149" s="30"/>
      <c r="IR149" s="30"/>
      <c r="IS149" s="30"/>
      <c r="IT149" s="30"/>
      <c r="IU149" s="30"/>
      <c r="IV149" s="30"/>
      <c r="IW149" s="30"/>
      <c r="IX149" s="30"/>
      <c r="IY149" s="30"/>
      <c r="IZ149" s="30"/>
      <c r="JA149" s="30"/>
      <c r="JB149" s="30"/>
      <c r="JC149" s="30"/>
      <c r="JD149" s="30"/>
      <c r="JE149" s="30"/>
      <c r="JF149" s="30"/>
      <c r="JG149" s="30"/>
      <c r="JH149" s="30"/>
      <c r="JI149" s="30"/>
      <c r="JJ149" s="30"/>
      <c r="JK149" s="30"/>
      <c r="JL149" s="30"/>
      <c r="JM149" s="30"/>
      <c r="JN149" s="30"/>
      <c r="JO149" s="30"/>
      <c r="JP149" s="30"/>
      <c r="JQ149" s="30"/>
      <c r="JR149" s="30"/>
      <c r="JS149" s="30"/>
      <c r="JT149" s="30"/>
      <c r="JU149" s="30"/>
      <c r="JV149" s="30"/>
      <c r="JW149" s="30"/>
      <c r="JX149" s="30"/>
      <c r="JY149" s="30"/>
      <c r="JZ149" s="30"/>
      <c r="KA149" s="30"/>
      <c r="KB149" s="30"/>
      <c r="KC149" s="30"/>
      <c r="KD149" s="30"/>
      <c r="KE149" s="30"/>
      <c r="KF149" s="30"/>
      <c r="KG149" s="30"/>
      <c r="KH149" s="30"/>
      <c r="KI149" s="30"/>
      <c r="KJ149" s="30"/>
      <c r="KK149" s="30"/>
      <c r="KL149" s="30"/>
      <c r="KM149" s="30"/>
      <c r="KN149" s="30"/>
      <c r="KO149" s="30"/>
      <c r="KP149" s="1630"/>
    </row>
    <row r="150" spans="1:302" s="97" customFormat="1" ht="25.5" outlineLevel="1">
      <c r="A150" s="2659" t="s">
        <v>323</v>
      </c>
      <c r="B150" s="386"/>
      <c r="C150" s="255" t="s">
        <v>1141</v>
      </c>
      <c r="D150" s="255" t="s">
        <v>1146</v>
      </c>
      <c r="E150" s="376"/>
      <c r="F150" s="347"/>
      <c r="G150" s="348"/>
      <c r="H150" s="349" t="s">
        <v>26</v>
      </c>
      <c r="I150" s="2936"/>
      <c r="J150" s="362" t="s">
        <v>26</v>
      </c>
      <c r="K150" s="1745"/>
      <c r="L150" s="383"/>
      <c r="M150" s="383"/>
      <c r="N150" s="383"/>
      <c r="O150" s="1510">
        <v>175000</v>
      </c>
      <c r="P150" s="383"/>
      <c r="Q150" s="383"/>
      <c r="R150" s="383"/>
      <c r="S150" s="1510">
        <f t="shared" si="186"/>
        <v>0</v>
      </c>
      <c r="T150" s="1509"/>
      <c r="U150" s="1746"/>
      <c r="V150" s="1746"/>
      <c r="W150" s="1744">
        <f t="shared" si="187"/>
        <v>175000</v>
      </c>
      <c r="X150" s="362" t="s">
        <v>26</v>
      </c>
      <c r="Y150" s="1509"/>
      <c r="Z150" s="1746"/>
      <c r="AA150" s="1746"/>
      <c r="AB150" s="1510">
        <f t="shared" si="191"/>
        <v>175000</v>
      </c>
      <c r="AC150" s="1443"/>
      <c r="AD150" s="1443"/>
      <c r="AE150" s="372"/>
      <c r="AF150" s="354"/>
      <c r="AG150" s="354"/>
      <c r="AH150" s="354">
        <f t="shared" si="188"/>
        <v>0</v>
      </c>
      <c r="AI150" s="355">
        <f t="shared" ca="1" si="189"/>
        <v>0</v>
      </c>
      <c r="AJ150" s="356">
        <f t="shared" ca="1" si="150"/>
        <v>0</v>
      </c>
      <c r="AK150" s="2185"/>
      <c r="AL150" s="2065"/>
      <c r="AM150" s="2258"/>
      <c r="AN150" s="2258"/>
      <c r="AO150" s="359"/>
      <c r="AP150" s="359"/>
      <c r="AQ150" s="359"/>
      <c r="AR150" s="359"/>
      <c r="AS150" s="359"/>
      <c r="AT150" s="390"/>
      <c r="AU150" s="359"/>
      <c r="AV150" s="359"/>
      <c r="AW150" s="377"/>
      <c r="AX150" s="359"/>
      <c r="AY150" s="390"/>
      <c r="AZ150" s="2273"/>
      <c r="BA150" s="497"/>
      <c r="BB150" s="377"/>
      <c r="BC150" s="359"/>
      <c r="BD150" s="359">
        <v>35000</v>
      </c>
      <c r="BE150" s="359">
        <v>35000</v>
      </c>
      <c r="BF150" s="359">
        <v>35000</v>
      </c>
      <c r="BG150" s="359">
        <v>35000</v>
      </c>
      <c r="BH150" s="359">
        <v>35000</v>
      </c>
      <c r="BI150" s="380"/>
      <c r="BJ150" s="359"/>
      <c r="BK150" s="2122"/>
      <c r="BL150" s="380"/>
      <c r="BM150" s="380"/>
      <c r="BN150" s="380"/>
      <c r="BO150" s="380"/>
      <c r="BP150" s="380"/>
      <c r="BQ150" s="2087"/>
      <c r="BR150" s="359"/>
      <c r="BS150" s="359"/>
      <c r="BT150" s="359"/>
      <c r="BU150" s="392"/>
      <c r="BV150" s="392"/>
      <c r="BW150" s="2368"/>
      <c r="BX150" s="2465"/>
      <c r="BY150" s="2545"/>
      <c r="BZ150" s="2545"/>
      <c r="CA150" s="2432">
        <f t="shared" si="192"/>
        <v>175000</v>
      </c>
      <c r="CB150" s="2377">
        <f t="shared" si="193"/>
        <v>1</v>
      </c>
      <c r="CC150" s="365">
        <f t="shared" si="194"/>
        <v>5.7142857142857145E-6</v>
      </c>
      <c r="CD150" s="393"/>
      <c r="CE150" s="394"/>
      <c r="CF150" s="394"/>
      <c r="CG150" s="340"/>
      <c r="CH150" s="367"/>
      <c r="CI150" s="395"/>
      <c r="CJ150" s="395"/>
      <c r="CK150" s="340"/>
      <c r="CL150" s="329">
        <f t="shared" si="182"/>
        <v>0</v>
      </c>
      <c r="CM150" s="330">
        <f t="shared" ca="1" si="183"/>
        <v>0</v>
      </c>
      <c r="CN150" s="331">
        <f t="shared" ca="1" si="141"/>
        <v>-175000</v>
      </c>
      <c r="CO150" s="1650"/>
      <c r="CP150" s="1650"/>
      <c r="CQ150" s="1651"/>
      <c r="CR150" s="1650"/>
      <c r="CS150" s="1650"/>
      <c r="CT150" s="1650"/>
      <c r="CU150" s="1650"/>
      <c r="CV150" s="1650"/>
      <c r="CW150" s="1650"/>
      <c r="CX150" s="1650"/>
      <c r="CY150" s="86"/>
      <c r="CZ150" s="86"/>
      <c r="DA150" s="1650"/>
      <c r="DB150" s="30"/>
      <c r="DC150" s="30"/>
      <c r="DD150" s="30"/>
      <c r="DE150" s="30"/>
      <c r="DF150" s="30"/>
      <c r="DG150" s="30"/>
      <c r="DH150" s="30"/>
      <c r="DI150" s="30"/>
      <c r="DJ150" s="30"/>
      <c r="DK150" s="30"/>
      <c r="DL150" s="30"/>
      <c r="DM150" s="30"/>
      <c r="DN150" s="30"/>
      <c r="DO150" s="30"/>
      <c r="DP150" s="30"/>
      <c r="DQ150" s="30"/>
      <c r="DR150" s="30"/>
      <c r="DS150" s="30"/>
      <c r="DT150" s="30"/>
      <c r="DU150" s="30"/>
      <c r="DV150" s="30"/>
      <c r="DW150" s="30"/>
      <c r="DX150" s="30"/>
      <c r="DY150" s="30"/>
      <c r="DZ150" s="30"/>
      <c r="EA150" s="30"/>
      <c r="EB150" s="30"/>
      <c r="EC150" s="30"/>
      <c r="ED150" s="30"/>
      <c r="EE150" s="30"/>
      <c r="EF150" s="30"/>
      <c r="EG150" s="30"/>
      <c r="EH150" s="1652"/>
      <c r="EI150" s="1658"/>
      <c r="EJ150" s="30"/>
      <c r="EK150" s="30"/>
      <c r="EL150" s="30"/>
      <c r="EM150" s="30"/>
      <c r="EN150" s="30"/>
      <c r="EO150" s="30"/>
      <c r="EP150" s="30"/>
      <c r="EQ150" s="30"/>
      <c r="ER150" s="30"/>
      <c r="ES150" s="30"/>
      <c r="ET150" s="30"/>
      <c r="EU150" s="30"/>
      <c r="EV150" s="30"/>
      <c r="EW150" s="30"/>
      <c r="EX150" s="30"/>
      <c r="EY150" s="30"/>
      <c r="EZ150" s="30"/>
      <c r="FA150" s="30"/>
      <c r="FB150" s="30"/>
      <c r="FC150" s="30"/>
      <c r="FD150" s="30"/>
      <c r="FE150" s="30"/>
      <c r="FF150" s="30"/>
      <c r="FG150" s="30"/>
      <c r="FH150" s="30"/>
      <c r="FI150" s="30"/>
      <c r="FJ150" s="30"/>
      <c r="FK150" s="30"/>
      <c r="FL150" s="30"/>
      <c r="FM150" s="30"/>
      <c r="FN150" s="30"/>
      <c r="FO150" s="30"/>
      <c r="FP150" s="30"/>
      <c r="FQ150" s="30"/>
      <c r="FR150" s="30"/>
      <c r="FS150" s="30"/>
      <c r="FT150" s="30"/>
      <c r="FU150" s="30"/>
      <c r="FV150" s="30"/>
      <c r="FW150" s="30"/>
      <c r="FX150" s="30"/>
      <c r="FY150" s="30"/>
      <c r="FZ150" s="30"/>
      <c r="GA150" s="30"/>
      <c r="GB150" s="30"/>
      <c r="GC150" s="30"/>
      <c r="GD150" s="30"/>
      <c r="GE150" s="30"/>
      <c r="GF150" s="30"/>
      <c r="GG150" s="30"/>
      <c r="GH150" s="30"/>
      <c r="GI150" s="30"/>
      <c r="GJ150" s="30"/>
      <c r="GK150" s="30"/>
      <c r="GL150" s="30"/>
      <c r="GM150" s="30"/>
      <c r="GN150" s="30"/>
      <c r="GO150" s="30"/>
      <c r="GP150" s="30"/>
      <c r="GQ150" s="30"/>
      <c r="GR150" s="30"/>
      <c r="GS150" s="30"/>
      <c r="GT150" s="30"/>
      <c r="GU150" s="30"/>
      <c r="GV150" s="30"/>
      <c r="GW150" s="30"/>
      <c r="GX150" s="30"/>
      <c r="GY150" s="30"/>
      <c r="GZ150" s="30"/>
      <c r="HA150" s="30"/>
      <c r="HB150" s="30"/>
      <c r="HC150" s="30"/>
      <c r="HD150" s="30"/>
      <c r="HE150" s="30"/>
      <c r="HF150" s="30"/>
      <c r="HG150" s="30"/>
      <c r="HH150" s="30"/>
      <c r="HI150" s="30"/>
      <c r="HJ150" s="30"/>
      <c r="HK150" s="30"/>
      <c r="HL150" s="30"/>
      <c r="HM150" s="30"/>
      <c r="HN150" s="30"/>
      <c r="HO150" s="30"/>
      <c r="HP150" s="30"/>
      <c r="HQ150" s="30"/>
      <c r="HR150" s="30"/>
      <c r="HS150" s="30"/>
      <c r="HT150" s="30"/>
      <c r="HU150" s="30"/>
      <c r="HV150" s="30"/>
      <c r="HW150" s="30"/>
      <c r="HX150" s="30"/>
      <c r="HY150" s="30"/>
      <c r="HZ150" s="30"/>
      <c r="IA150" s="30"/>
      <c r="IB150" s="30"/>
      <c r="IC150" s="30"/>
      <c r="ID150" s="30"/>
      <c r="IE150" s="30"/>
      <c r="IF150" s="30"/>
      <c r="IG150" s="30"/>
      <c r="IH150" s="30"/>
      <c r="II150" s="30"/>
      <c r="IJ150" s="30"/>
      <c r="IK150" s="30"/>
      <c r="IL150" s="30"/>
      <c r="IM150" s="30"/>
      <c r="IN150" s="30"/>
      <c r="IO150" s="30"/>
      <c r="IP150" s="30"/>
      <c r="IQ150" s="30"/>
      <c r="IR150" s="30"/>
      <c r="IS150" s="30"/>
      <c r="IT150" s="30"/>
      <c r="IU150" s="30"/>
      <c r="IV150" s="30"/>
      <c r="IW150" s="30"/>
      <c r="IX150" s="30"/>
      <c r="IY150" s="30"/>
      <c r="IZ150" s="30"/>
      <c r="JA150" s="30"/>
      <c r="JB150" s="30"/>
      <c r="JC150" s="30"/>
      <c r="JD150" s="30"/>
      <c r="JE150" s="30"/>
      <c r="JF150" s="30"/>
      <c r="JG150" s="30"/>
      <c r="JH150" s="30"/>
      <c r="JI150" s="30"/>
      <c r="JJ150" s="30"/>
      <c r="JK150" s="30"/>
      <c r="JL150" s="30"/>
      <c r="JM150" s="30"/>
      <c r="JN150" s="30"/>
      <c r="JO150" s="30"/>
      <c r="JP150" s="30"/>
      <c r="JQ150" s="30"/>
      <c r="JR150" s="30"/>
      <c r="JS150" s="30"/>
      <c r="JT150" s="30"/>
      <c r="JU150" s="30"/>
      <c r="JV150" s="30"/>
      <c r="JW150" s="30"/>
      <c r="JX150" s="30"/>
      <c r="JY150" s="30"/>
      <c r="JZ150" s="30"/>
      <c r="KA150" s="30"/>
      <c r="KB150" s="30"/>
      <c r="KC150" s="30"/>
      <c r="KD150" s="30"/>
      <c r="KE150" s="30"/>
      <c r="KF150" s="30"/>
      <c r="KG150" s="30"/>
      <c r="KH150" s="30"/>
      <c r="KI150" s="30"/>
      <c r="KJ150" s="30"/>
      <c r="KK150" s="30"/>
      <c r="KL150" s="30"/>
      <c r="KM150" s="30"/>
      <c r="KN150" s="30"/>
      <c r="KO150" s="30"/>
      <c r="KP150" s="1630"/>
    </row>
    <row r="151" spans="1:302" s="97" customFormat="1" ht="21" customHeight="1" outlineLevel="1">
      <c r="A151" s="2659"/>
      <c r="B151" s="386"/>
      <c r="C151" s="255"/>
      <c r="D151" s="255"/>
      <c r="E151" s="376"/>
      <c r="F151" s="347"/>
      <c r="G151" s="348"/>
      <c r="H151" s="349" t="s">
        <v>26</v>
      </c>
      <c r="I151" s="2936"/>
      <c r="J151" s="362" t="s">
        <v>26</v>
      </c>
      <c r="K151" s="1745"/>
      <c r="L151" s="383"/>
      <c r="M151" s="383"/>
      <c r="N151" s="383"/>
      <c r="O151" s="1510"/>
      <c r="P151" s="383"/>
      <c r="Q151" s="383"/>
      <c r="R151" s="383"/>
      <c r="S151" s="1510"/>
      <c r="T151" s="1509"/>
      <c r="U151" s="1746"/>
      <c r="V151" s="1746"/>
      <c r="W151" s="1744"/>
      <c r="X151" s="362" t="s">
        <v>26</v>
      </c>
      <c r="Y151" s="1509"/>
      <c r="Z151" s="1746"/>
      <c r="AA151" s="1746"/>
      <c r="AB151" s="1510">
        <f t="shared" si="191"/>
        <v>0</v>
      </c>
      <c r="AC151" s="1443"/>
      <c r="AD151" s="1443"/>
      <c r="AE151" s="372"/>
      <c r="AF151" s="354"/>
      <c r="AG151" s="354"/>
      <c r="AH151" s="354">
        <f t="shared" ref="AH151:AH153" si="197">AF151*AG151</f>
        <v>0</v>
      </c>
      <c r="AI151" s="355">
        <f t="shared" ref="AI151:AI153" ca="1" si="198">SUMIF($AM$10:$BZ$10,$AI$9,AM151:BT151)</f>
        <v>0</v>
      </c>
      <c r="AJ151" s="356" t="str">
        <f t="shared" ref="AJ151:AJ153" si="199">IF($AB151&lt;&gt;0,AI151/$AB151,"")</f>
        <v/>
      </c>
      <c r="AK151" s="2185"/>
      <c r="AL151" s="2065"/>
      <c r="AM151" s="2258"/>
      <c r="AN151" s="2258"/>
      <c r="AO151" s="359"/>
      <c r="AP151" s="359"/>
      <c r="AQ151" s="359"/>
      <c r="AR151" s="359"/>
      <c r="AS151" s="359"/>
      <c r="AT151" s="390"/>
      <c r="AU151" s="359"/>
      <c r="AV151" s="359"/>
      <c r="AW151" s="377"/>
      <c r="AX151" s="359"/>
      <c r="AY151" s="390"/>
      <c r="AZ151" s="2273"/>
      <c r="BA151" s="497"/>
      <c r="BB151" s="377"/>
      <c r="BC151" s="359"/>
      <c r="BD151" s="359"/>
      <c r="BE151" s="359"/>
      <c r="BF151" s="359"/>
      <c r="BG151" s="359"/>
      <c r="BH151" s="359"/>
      <c r="BI151" s="380"/>
      <c r="BJ151" s="359"/>
      <c r="BK151" s="2122"/>
      <c r="BL151" s="380"/>
      <c r="BM151" s="380"/>
      <c r="BN151" s="380"/>
      <c r="BO151" s="380"/>
      <c r="BP151" s="380"/>
      <c r="BQ151" s="2087"/>
      <c r="BR151" s="359"/>
      <c r="BS151" s="359"/>
      <c r="BT151" s="359"/>
      <c r="BU151" s="392"/>
      <c r="BV151" s="392"/>
      <c r="BW151" s="2368"/>
      <c r="BX151" s="2465"/>
      <c r="BY151" s="2545"/>
      <c r="BZ151" s="2545"/>
      <c r="CA151" s="2432">
        <f t="shared" si="192"/>
        <v>0</v>
      </c>
      <c r="CB151" s="2377" t="str">
        <f t="shared" si="193"/>
        <v/>
      </c>
      <c r="CC151" s="365" t="str">
        <f t="shared" si="194"/>
        <v/>
      </c>
      <c r="CD151" s="393"/>
      <c r="CE151" s="394"/>
      <c r="CF151" s="394"/>
      <c r="CG151" s="340"/>
      <c r="CH151" s="367"/>
      <c r="CI151" s="395"/>
      <c r="CJ151" s="395"/>
      <c r="CK151" s="340"/>
      <c r="CL151" s="329">
        <f t="shared" si="182"/>
        <v>0</v>
      </c>
      <c r="CM151" s="330">
        <f t="shared" ca="1" si="183"/>
        <v>0</v>
      </c>
      <c r="CN151" s="331"/>
      <c r="CO151" s="1650"/>
      <c r="CP151" s="1650"/>
      <c r="CQ151" s="1651"/>
      <c r="CR151" s="1650"/>
      <c r="CS151" s="1650"/>
      <c r="CT151" s="1650"/>
      <c r="CU151" s="1650"/>
      <c r="CV151" s="1650"/>
      <c r="CW151" s="1650"/>
      <c r="CX151" s="1650"/>
      <c r="CY151" s="86"/>
      <c r="CZ151" s="86"/>
      <c r="DA151" s="1650"/>
      <c r="DB151" s="30"/>
      <c r="DC151" s="30"/>
      <c r="DD151" s="30"/>
      <c r="DE151" s="30"/>
      <c r="DF151" s="30"/>
      <c r="DG151" s="30"/>
      <c r="DH151" s="30"/>
      <c r="DI151" s="30"/>
      <c r="DJ151" s="30"/>
      <c r="DK151" s="30"/>
      <c r="DL151" s="30"/>
      <c r="DM151" s="30"/>
      <c r="DN151" s="30"/>
      <c r="DO151" s="30"/>
      <c r="DP151" s="30"/>
      <c r="DQ151" s="30"/>
      <c r="DR151" s="30"/>
      <c r="DS151" s="30"/>
      <c r="DT151" s="30"/>
      <c r="DU151" s="30"/>
      <c r="DV151" s="30"/>
      <c r="DW151" s="30"/>
      <c r="DX151" s="30"/>
      <c r="DY151" s="30"/>
      <c r="DZ151" s="30"/>
      <c r="EA151" s="30"/>
      <c r="EB151" s="30"/>
      <c r="EC151" s="30"/>
      <c r="ED151" s="30"/>
      <c r="EE151" s="30"/>
      <c r="EF151" s="30"/>
      <c r="EG151" s="30"/>
      <c r="EH151" s="1652"/>
      <c r="EI151" s="1658"/>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0"/>
      <c r="HP151" s="30"/>
      <c r="HQ151" s="30"/>
      <c r="HR151" s="30"/>
      <c r="HS151" s="30"/>
      <c r="HT151" s="30"/>
      <c r="HU151" s="30"/>
      <c r="HV151" s="30"/>
      <c r="HW151" s="30"/>
      <c r="HX151" s="30"/>
      <c r="HY151" s="30"/>
      <c r="HZ151" s="30"/>
      <c r="IA151" s="30"/>
      <c r="IB151" s="30"/>
      <c r="IC151" s="30"/>
      <c r="ID151" s="30"/>
      <c r="IE151" s="30"/>
      <c r="IF151" s="30"/>
      <c r="IG151" s="30"/>
      <c r="IH151" s="30"/>
      <c r="II151" s="30"/>
      <c r="IJ151" s="30"/>
      <c r="IK151" s="30"/>
      <c r="IL151" s="30"/>
      <c r="IM151" s="30"/>
      <c r="IN151" s="30"/>
      <c r="IO151" s="30"/>
      <c r="IP151" s="30"/>
      <c r="IQ151" s="30"/>
      <c r="IR151" s="30"/>
      <c r="IS151" s="30"/>
      <c r="IT151" s="30"/>
      <c r="IU151" s="30"/>
      <c r="IV151" s="30"/>
      <c r="IW151" s="30"/>
      <c r="IX151" s="30"/>
      <c r="IY151" s="30"/>
      <c r="IZ151" s="30"/>
      <c r="JA151" s="30"/>
      <c r="JB151" s="30"/>
      <c r="JC151" s="30"/>
      <c r="JD151" s="30"/>
      <c r="JE151" s="30"/>
      <c r="JF151" s="30"/>
      <c r="JG151" s="30"/>
      <c r="JH151" s="30"/>
      <c r="JI151" s="30"/>
      <c r="JJ151" s="30"/>
      <c r="JK151" s="30"/>
      <c r="JL151" s="30"/>
      <c r="JM151" s="30"/>
      <c r="JN151" s="30"/>
      <c r="JO151" s="30"/>
      <c r="JP151" s="30"/>
      <c r="JQ151" s="30"/>
      <c r="JR151" s="30"/>
      <c r="JS151" s="30"/>
      <c r="JT151" s="30"/>
      <c r="JU151" s="30"/>
      <c r="JV151" s="30"/>
      <c r="JW151" s="30"/>
      <c r="JX151" s="30"/>
      <c r="JY151" s="30"/>
      <c r="JZ151" s="30"/>
      <c r="KA151" s="30"/>
      <c r="KB151" s="30"/>
      <c r="KC151" s="30"/>
      <c r="KD151" s="30"/>
      <c r="KE151" s="30"/>
      <c r="KF151" s="30"/>
      <c r="KG151" s="30"/>
      <c r="KH151" s="30"/>
      <c r="KI151" s="30"/>
      <c r="KJ151" s="30"/>
      <c r="KK151" s="30"/>
      <c r="KL151" s="30"/>
      <c r="KM151" s="30"/>
      <c r="KN151" s="30"/>
      <c r="KO151" s="30"/>
      <c r="KP151" s="1630"/>
    </row>
    <row r="152" spans="1:302" s="97" customFormat="1" ht="18.75" customHeight="1" outlineLevel="1">
      <c r="A152" s="2587" t="s">
        <v>127</v>
      </c>
      <c r="B152" s="2605"/>
      <c r="C152" s="2587" t="s">
        <v>820</v>
      </c>
      <c r="D152" s="2587" t="s">
        <v>821</v>
      </c>
      <c r="E152" s="376"/>
      <c r="F152" s="347"/>
      <c r="G152" s="348"/>
      <c r="H152" s="349" t="s">
        <v>26</v>
      </c>
      <c r="I152" s="2936"/>
      <c r="J152" s="362" t="s">
        <v>26</v>
      </c>
      <c r="K152" s="1745"/>
      <c r="L152" s="383"/>
      <c r="M152" s="383"/>
      <c r="N152" s="383"/>
      <c r="O152" s="1510">
        <v>2579200</v>
      </c>
      <c r="P152" s="383"/>
      <c r="Q152" s="383"/>
      <c r="R152" s="383"/>
      <c r="S152" s="1510">
        <f t="shared" si="186"/>
        <v>0</v>
      </c>
      <c r="T152" s="1509"/>
      <c r="U152" s="1746"/>
      <c r="V152" s="1746"/>
      <c r="W152" s="1744">
        <f t="shared" si="187"/>
        <v>2579200</v>
      </c>
      <c r="X152" s="362" t="s">
        <v>26</v>
      </c>
      <c r="Y152" s="1509"/>
      <c r="Z152" s="1746"/>
      <c r="AA152" s="1746"/>
      <c r="AB152" s="2722">
        <f t="shared" si="191"/>
        <v>0</v>
      </c>
      <c r="AC152" s="1443"/>
      <c r="AD152" s="1443"/>
      <c r="AE152" s="372"/>
      <c r="AF152" s="354"/>
      <c r="AG152" s="354"/>
      <c r="AH152" s="354">
        <f t="shared" si="197"/>
        <v>0</v>
      </c>
      <c r="AI152" s="355">
        <f t="shared" ca="1" si="198"/>
        <v>0</v>
      </c>
      <c r="AJ152" s="356" t="str">
        <f t="shared" si="199"/>
        <v/>
      </c>
      <c r="AK152" s="2185"/>
      <c r="AL152" s="2065"/>
      <c r="AM152" s="2258"/>
      <c r="AN152" s="2258"/>
      <c r="AO152" s="359"/>
      <c r="AP152" s="359"/>
      <c r="AQ152" s="359"/>
      <c r="AR152" s="359"/>
      <c r="AS152" s="359"/>
      <c r="AT152" s="390"/>
      <c r="AU152" s="359"/>
      <c r="AV152" s="359"/>
      <c r="AW152" s="377"/>
      <c r="AX152" s="359"/>
      <c r="AY152" s="390"/>
      <c r="AZ152" s="2258"/>
      <c r="BA152" s="359"/>
      <c r="BB152" s="359"/>
      <c r="BC152" s="359"/>
      <c r="BD152" s="359"/>
      <c r="BE152" s="359"/>
      <c r="BF152" s="359"/>
      <c r="BG152" s="359"/>
      <c r="BH152" s="359"/>
      <c r="BI152" s="380"/>
      <c r="BJ152" s="359"/>
      <c r="BK152" s="2122"/>
      <c r="BL152" s="380"/>
      <c r="BM152" s="380"/>
      <c r="BN152" s="380"/>
      <c r="BO152" s="380"/>
      <c r="BP152" s="380"/>
      <c r="BQ152" s="2087"/>
      <c r="BR152" s="359"/>
      <c r="BS152" s="359"/>
      <c r="BT152" s="359"/>
      <c r="BU152" s="392"/>
      <c r="BV152" s="392"/>
      <c r="BW152" s="2368"/>
      <c r="BX152" s="2465"/>
      <c r="BY152" s="2545"/>
      <c r="BZ152" s="2545"/>
      <c r="CA152" s="2432">
        <f t="shared" si="192"/>
        <v>0</v>
      </c>
      <c r="CB152" s="2377" t="str">
        <f t="shared" si="193"/>
        <v/>
      </c>
      <c r="CC152" s="365" t="str">
        <f t="shared" si="194"/>
        <v/>
      </c>
      <c r="CD152" s="393"/>
      <c r="CE152" s="394"/>
      <c r="CF152" s="394"/>
      <c r="CG152" s="340"/>
      <c r="CH152" s="367"/>
      <c r="CI152" s="395"/>
      <c r="CJ152" s="395"/>
      <c r="CK152" s="340"/>
      <c r="CL152" s="329">
        <f t="shared" si="182"/>
        <v>2579200</v>
      </c>
      <c r="CM152" s="330">
        <f t="shared" ca="1" si="183"/>
        <v>0</v>
      </c>
      <c r="CN152" s="331">
        <f t="shared" ca="1" si="141"/>
        <v>0</v>
      </c>
      <c r="CO152" s="1650"/>
      <c r="CP152" s="1650"/>
      <c r="CQ152" s="1651"/>
      <c r="CR152" s="1650"/>
      <c r="CS152" s="1650"/>
      <c r="CT152" s="1650"/>
      <c r="CU152" s="1650"/>
      <c r="CV152" s="1650"/>
      <c r="CW152" s="1650"/>
      <c r="CX152" s="1650"/>
      <c r="CY152" s="86"/>
      <c r="CZ152" s="86"/>
      <c r="DA152" s="1650"/>
      <c r="DB152" s="30"/>
      <c r="DC152" s="30"/>
      <c r="DD152" s="30"/>
      <c r="DE152" s="30"/>
      <c r="DF152" s="30"/>
      <c r="DG152" s="30"/>
      <c r="DH152" s="30"/>
      <c r="DI152" s="30"/>
      <c r="DJ152" s="30"/>
      <c r="DK152" s="30"/>
      <c r="DL152" s="30"/>
      <c r="DM152" s="30"/>
      <c r="DN152" s="30"/>
      <c r="DO152" s="30"/>
      <c r="DP152" s="30"/>
      <c r="DQ152" s="30"/>
      <c r="DR152" s="30"/>
      <c r="DS152" s="30"/>
      <c r="DT152" s="30"/>
      <c r="DU152" s="30"/>
      <c r="DV152" s="30"/>
      <c r="DW152" s="30"/>
      <c r="DX152" s="30"/>
      <c r="DY152" s="30"/>
      <c r="DZ152" s="30"/>
      <c r="EA152" s="30"/>
      <c r="EB152" s="30"/>
      <c r="EC152" s="30"/>
      <c r="ED152" s="30"/>
      <c r="EE152" s="30"/>
      <c r="EF152" s="30"/>
      <c r="EG152" s="30"/>
      <c r="EH152" s="1652"/>
      <c r="EI152" s="1658"/>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0"/>
      <c r="HP152" s="30"/>
      <c r="HQ152" s="30"/>
      <c r="HR152" s="30"/>
      <c r="HS152" s="30"/>
      <c r="HT152" s="30"/>
      <c r="HU152" s="30"/>
      <c r="HV152" s="30"/>
      <c r="HW152" s="30"/>
      <c r="HX152" s="30"/>
      <c r="HY152" s="30"/>
      <c r="HZ152" s="30"/>
      <c r="IA152" s="30"/>
      <c r="IB152" s="30"/>
      <c r="IC152" s="30"/>
      <c r="ID152" s="30"/>
      <c r="IE152" s="30"/>
      <c r="IF152" s="30"/>
      <c r="IG152" s="30"/>
      <c r="IH152" s="30"/>
      <c r="II152" s="30"/>
      <c r="IJ152" s="30"/>
      <c r="IK152" s="30"/>
      <c r="IL152" s="30"/>
      <c r="IM152" s="30"/>
      <c r="IN152" s="30"/>
      <c r="IO152" s="30"/>
      <c r="IP152" s="30"/>
      <c r="IQ152" s="30"/>
      <c r="IR152" s="30"/>
      <c r="IS152" s="30"/>
      <c r="IT152" s="30"/>
      <c r="IU152" s="30"/>
      <c r="IV152" s="30"/>
      <c r="IW152" s="30"/>
      <c r="IX152" s="30"/>
      <c r="IY152" s="30"/>
      <c r="IZ152" s="30"/>
      <c r="JA152" s="30"/>
      <c r="JB152" s="30"/>
      <c r="JC152" s="30"/>
      <c r="JD152" s="30"/>
      <c r="JE152" s="30"/>
      <c r="JF152" s="30"/>
      <c r="JG152" s="30"/>
      <c r="JH152" s="30"/>
      <c r="JI152" s="30"/>
      <c r="JJ152" s="30"/>
      <c r="JK152" s="30"/>
      <c r="JL152" s="30"/>
      <c r="JM152" s="30"/>
      <c r="JN152" s="30"/>
      <c r="JO152" s="30"/>
      <c r="JP152" s="30"/>
      <c r="JQ152" s="30"/>
      <c r="JR152" s="30"/>
      <c r="JS152" s="30"/>
      <c r="JT152" s="30"/>
      <c r="JU152" s="30"/>
      <c r="JV152" s="30"/>
      <c r="JW152" s="30"/>
      <c r="JX152" s="30"/>
      <c r="JY152" s="30"/>
      <c r="JZ152" s="30"/>
      <c r="KA152" s="30"/>
      <c r="KB152" s="30"/>
      <c r="KC152" s="30"/>
      <c r="KD152" s="30"/>
      <c r="KE152" s="30"/>
      <c r="KF152" s="30"/>
      <c r="KG152" s="30"/>
      <c r="KH152" s="30"/>
      <c r="KI152" s="30"/>
      <c r="KJ152" s="30"/>
      <c r="KK152" s="30"/>
      <c r="KL152" s="30"/>
      <c r="KM152" s="30"/>
      <c r="KN152" s="30"/>
      <c r="KO152" s="30"/>
      <c r="KP152" s="1630"/>
    </row>
    <row r="153" spans="1:302" s="97" customFormat="1" ht="35.450000000000003" customHeight="1" outlineLevel="1">
      <c r="A153" s="2770" t="s">
        <v>1245</v>
      </c>
      <c r="B153" s="386"/>
      <c r="C153" s="255" t="s">
        <v>1137</v>
      </c>
      <c r="D153" s="255"/>
      <c r="E153" s="376"/>
      <c r="F153" s="347"/>
      <c r="G153" s="348"/>
      <c r="H153" s="349" t="s">
        <v>26</v>
      </c>
      <c r="I153" s="2936"/>
      <c r="J153" s="362" t="s">
        <v>26</v>
      </c>
      <c r="K153" s="1745"/>
      <c r="L153" s="383"/>
      <c r="M153" s="383"/>
      <c r="N153" s="383"/>
      <c r="O153" s="1510">
        <v>0</v>
      </c>
      <c r="P153" s="383"/>
      <c r="Q153" s="383"/>
      <c r="R153" s="383"/>
      <c r="S153" s="1510"/>
      <c r="T153" s="1509"/>
      <c r="U153" s="1746"/>
      <c r="V153" s="1746"/>
      <c r="W153" s="1744"/>
      <c r="X153" s="362" t="s">
        <v>26</v>
      </c>
      <c r="Y153" s="1509"/>
      <c r="Z153" s="1746"/>
      <c r="AA153" s="1746"/>
      <c r="AB153" s="2766">
        <f t="shared" si="191"/>
        <v>2579200</v>
      </c>
      <c r="AC153" s="1443" t="s">
        <v>1233</v>
      </c>
      <c r="AD153" s="1443"/>
      <c r="AE153" s="372" t="s">
        <v>564</v>
      </c>
      <c r="AF153" s="354">
        <v>2579200</v>
      </c>
      <c r="AG153" s="354">
        <v>1</v>
      </c>
      <c r="AH153" s="354">
        <f t="shared" si="197"/>
        <v>2579200</v>
      </c>
      <c r="AI153" s="355">
        <f t="shared" ca="1" si="198"/>
        <v>0</v>
      </c>
      <c r="AJ153" s="356">
        <f t="shared" ca="1" si="199"/>
        <v>0</v>
      </c>
      <c r="AK153" s="2185"/>
      <c r="AL153" s="2065"/>
      <c r="AM153" s="2258"/>
      <c r="AN153" s="2258"/>
      <c r="AO153" s="359"/>
      <c r="AP153" s="359"/>
      <c r="AQ153" s="359"/>
      <c r="AR153" s="359"/>
      <c r="AS153" s="359"/>
      <c r="AT153" s="390"/>
      <c r="AU153" s="359"/>
      <c r="AV153" s="359"/>
      <c r="AW153" s="377"/>
      <c r="AX153" s="359"/>
      <c r="AY153" s="390"/>
      <c r="AZ153" s="2273"/>
      <c r="BA153" s="497"/>
      <c r="BB153" s="377"/>
      <c r="BC153" s="359"/>
      <c r="BD153" s="359"/>
      <c r="BE153" s="359"/>
      <c r="BF153" s="359"/>
      <c r="BG153" s="359"/>
      <c r="BH153" s="359">
        <f>7320810-5208800-200000-400000</f>
        <v>1512010</v>
      </c>
      <c r="BI153" s="380"/>
      <c r="BJ153" s="359">
        <f>2130000-1662810</f>
        <v>467190</v>
      </c>
      <c r="BK153" s="2122"/>
      <c r="BL153" s="380">
        <v>600000</v>
      </c>
      <c r="BM153" s="380"/>
      <c r="BN153" s="380"/>
      <c r="BO153" s="380"/>
      <c r="BP153" s="380"/>
      <c r="BQ153" s="2087"/>
      <c r="BR153" s="359"/>
      <c r="BS153" s="359"/>
      <c r="BT153" s="359"/>
      <c r="BU153" s="392"/>
      <c r="BV153" s="392"/>
      <c r="BW153" s="2368"/>
      <c r="BX153" s="2465"/>
      <c r="BY153" s="2545"/>
      <c r="BZ153" s="2545"/>
      <c r="CA153" s="2432">
        <f t="shared" si="192"/>
        <v>2579200</v>
      </c>
      <c r="CB153" s="2377">
        <f t="shared" si="193"/>
        <v>1</v>
      </c>
      <c r="CC153" s="365">
        <f t="shared" si="194"/>
        <v>3.8771712158808933E-7</v>
      </c>
      <c r="CD153" s="393"/>
      <c r="CE153" s="394"/>
      <c r="CF153" s="394"/>
      <c r="CG153" s="340"/>
      <c r="CH153" s="367"/>
      <c r="CI153" s="395"/>
      <c r="CJ153" s="395"/>
      <c r="CK153" s="340"/>
      <c r="CL153" s="329">
        <f t="shared" si="182"/>
        <v>-2579200</v>
      </c>
      <c r="CM153" s="330">
        <f t="shared" ca="1" si="183"/>
        <v>0</v>
      </c>
      <c r="CN153" s="331"/>
      <c r="CO153" s="1650"/>
      <c r="CP153" s="1650"/>
      <c r="CQ153" s="1651"/>
      <c r="CR153" s="1650"/>
      <c r="CS153" s="1650"/>
      <c r="CT153" s="1650"/>
      <c r="CU153" s="1650"/>
      <c r="CV153" s="1650"/>
      <c r="CW153" s="1650"/>
      <c r="CX153" s="1650"/>
      <c r="CY153" s="86"/>
      <c r="CZ153" s="86"/>
      <c r="DA153" s="1650"/>
      <c r="DB153" s="30"/>
      <c r="DC153" s="30"/>
      <c r="DD153" s="30"/>
      <c r="DE153" s="30"/>
      <c r="DF153" s="30"/>
      <c r="DG153" s="30"/>
      <c r="DH153" s="30"/>
      <c r="DI153" s="30"/>
      <c r="DJ153" s="30"/>
      <c r="DK153" s="30"/>
      <c r="DL153" s="30"/>
      <c r="DM153" s="30"/>
      <c r="DN153" s="30"/>
      <c r="DO153" s="30"/>
      <c r="DP153" s="30"/>
      <c r="DQ153" s="30"/>
      <c r="DR153" s="30"/>
      <c r="DS153" s="30"/>
      <c r="DT153" s="30"/>
      <c r="DU153" s="30"/>
      <c r="DV153" s="30"/>
      <c r="DW153" s="30"/>
      <c r="DX153" s="30"/>
      <c r="DY153" s="30"/>
      <c r="DZ153" s="30"/>
      <c r="EA153" s="30"/>
      <c r="EB153" s="30"/>
      <c r="EC153" s="30"/>
      <c r="ED153" s="30"/>
      <c r="EE153" s="30"/>
      <c r="EF153" s="30"/>
      <c r="EG153" s="30"/>
      <c r="EH153" s="1652"/>
      <c r="EI153" s="1658"/>
      <c r="EJ153" s="30"/>
      <c r="EK153" s="30"/>
      <c r="EL153" s="30"/>
      <c r="EM153" s="30"/>
      <c r="EN153" s="30"/>
      <c r="EO153" s="30"/>
      <c r="EP153" s="30"/>
      <c r="EQ153" s="30"/>
      <c r="ER153" s="30"/>
      <c r="ES153" s="30"/>
      <c r="ET153" s="30"/>
      <c r="EU153" s="30"/>
      <c r="EV153" s="30"/>
      <c r="EW153" s="30"/>
      <c r="EX153" s="30"/>
      <c r="EY153" s="30"/>
      <c r="EZ153" s="30"/>
      <c r="FA153" s="30"/>
      <c r="FB153" s="30"/>
      <c r="FC153" s="30"/>
      <c r="FD153" s="30"/>
      <c r="FE153" s="30"/>
      <c r="FF153" s="30"/>
      <c r="FG153" s="30"/>
      <c r="FH153" s="30"/>
      <c r="FI153" s="30"/>
      <c r="FJ153" s="30"/>
      <c r="FK153" s="30"/>
      <c r="FL153" s="30"/>
      <c r="FM153" s="30"/>
      <c r="FN153" s="30"/>
      <c r="FO153" s="30"/>
      <c r="FP153" s="30"/>
      <c r="FQ153" s="30"/>
      <c r="FR153" s="30"/>
      <c r="FS153" s="30"/>
      <c r="FT153" s="30"/>
      <c r="FU153" s="30"/>
      <c r="FV153" s="30"/>
      <c r="FW153" s="30"/>
      <c r="FX153" s="30"/>
      <c r="FY153" s="30"/>
      <c r="FZ153" s="30"/>
      <c r="GA153" s="30"/>
      <c r="GB153" s="30"/>
      <c r="GC153" s="30"/>
      <c r="GD153" s="30"/>
      <c r="GE153" s="30"/>
      <c r="GF153" s="30"/>
      <c r="GG153" s="30"/>
      <c r="GH153" s="30"/>
      <c r="GI153" s="30"/>
      <c r="GJ153" s="30"/>
      <c r="GK153" s="30"/>
      <c r="GL153" s="30"/>
      <c r="GM153" s="30"/>
      <c r="GN153" s="30"/>
      <c r="GO153" s="30"/>
      <c r="GP153" s="30"/>
      <c r="GQ153" s="30"/>
      <c r="GR153" s="30"/>
      <c r="GS153" s="30"/>
      <c r="GT153" s="30"/>
      <c r="GU153" s="30"/>
      <c r="GV153" s="30"/>
      <c r="GW153" s="30"/>
      <c r="GX153" s="30"/>
      <c r="GY153" s="30"/>
      <c r="GZ153" s="30"/>
      <c r="HA153" s="30"/>
      <c r="HB153" s="30"/>
      <c r="HC153" s="30"/>
      <c r="HD153" s="30"/>
      <c r="HE153" s="30"/>
      <c r="HF153" s="30"/>
      <c r="HG153" s="30"/>
      <c r="HH153" s="30"/>
      <c r="HI153" s="30"/>
      <c r="HJ153" s="30"/>
      <c r="HK153" s="30"/>
      <c r="HL153" s="30"/>
      <c r="HM153" s="30"/>
      <c r="HN153" s="30"/>
      <c r="HO153" s="30"/>
      <c r="HP153" s="30"/>
      <c r="HQ153" s="30"/>
      <c r="HR153" s="30"/>
      <c r="HS153" s="30"/>
      <c r="HT153" s="30"/>
      <c r="HU153" s="30"/>
      <c r="HV153" s="30"/>
      <c r="HW153" s="30"/>
      <c r="HX153" s="30"/>
      <c r="HY153" s="30"/>
      <c r="HZ153" s="30"/>
      <c r="IA153" s="30"/>
      <c r="IB153" s="30"/>
      <c r="IC153" s="30"/>
      <c r="ID153" s="30"/>
      <c r="IE153" s="30"/>
      <c r="IF153" s="30"/>
      <c r="IG153" s="30"/>
      <c r="IH153" s="30"/>
      <c r="II153" s="30"/>
      <c r="IJ153" s="30"/>
      <c r="IK153" s="30"/>
      <c r="IL153" s="30"/>
      <c r="IM153" s="30"/>
      <c r="IN153" s="30"/>
      <c r="IO153" s="30"/>
      <c r="IP153" s="30"/>
      <c r="IQ153" s="30"/>
      <c r="IR153" s="30"/>
      <c r="IS153" s="30"/>
      <c r="IT153" s="30"/>
      <c r="IU153" s="30"/>
      <c r="IV153" s="30"/>
      <c r="IW153" s="30"/>
      <c r="IX153" s="30"/>
      <c r="IY153" s="30"/>
      <c r="IZ153" s="30"/>
      <c r="JA153" s="30"/>
      <c r="JB153" s="30"/>
      <c r="JC153" s="30"/>
      <c r="JD153" s="30"/>
      <c r="JE153" s="30"/>
      <c r="JF153" s="30"/>
      <c r="JG153" s="30"/>
      <c r="JH153" s="30"/>
      <c r="JI153" s="30"/>
      <c r="JJ153" s="30"/>
      <c r="JK153" s="30"/>
      <c r="JL153" s="30"/>
      <c r="JM153" s="30"/>
      <c r="JN153" s="30"/>
      <c r="JO153" s="30"/>
      <c r="JP153" s="30"/>
      <c r="JQ153" s="30"/>
      <c r="JR153" s="30"/>
      <c r="JS153" s="30"/>
      <c r="JT153" s="30"/>
      <c r="JU153" s="30"/>
      <c r="JV153" s="30"/>
      <c r="JW153" s="30"/>
      <c r="JX153" s="30"/>
      <c r="JY153" s="30"/>
      <c r="JZ153" s="30"/>
      <c r="KA153" s="30"/>
      <c r="KB153" s="30"/>
      <c r="KC153" s="30"/>
      <c r="KD153" s="30"/>
      <c r="KE153" s="30"/>
      <c r="KF153" s="30"/>
      <c r="KG153" s="30"/>
      <c r="KH153" s="30"/>
      <c r="KI153" s="30"/>
      <c r="KJ153" s="30"/>
      <c r="KK153" s="30"/>
      <c r="KL153" s="30"/>
      <c r="KM153" s="30"/>
      <c r="KN153" s="30"/>
      <c r="KO153" s="30"/>
      <c r="KP153" s="1630"/>
    </row>
    <row r="154" spans="1:302" s="97" customFormat="1" ht="24.6" customHeight="1" outlineLevel="1">
      <c r="A154" s="2587" t="s">
        <v>123</v>
      </c>
      <c r="B154" s="2605"/>
      <c r="C154" s="2587" t="s">
        <v>822</v>
      </c>
      <c r="D154" s="2587" t="s">
        <v>823</v>
      </c>
      <c r="E154" s="376"/>
      <c r="F154" s="347"/>
      <c r="G154" s="348"/>
      <c r="H154" s="349" t="s">
        <v>26</v>
      </c>
      <c r="I154" s="2936"/>
      <c r="J154" s="362" t="s">
        <v>26</v>
      </c>
      <c r="K154" s="1745"/>
      <c r="L154" s="383"/>
      <c r="M154" s="383"/>
      <c r="N154" s="383"/>
      <c r="O154" s="1510">
        <v>13510000</v>
      </c>
      <c r="P154" s="383"/>
      <c r="Q154" s="383"/>
      <c r="R154" s="383"/>
      <c r="S154" s="1510">
        <f t="shared" si="186"/>
        <v>0</v>
      </c>
      <c r="T154" s="1509"/>
      <c r="U154" s="1746"/>
      <c r="V154" s="1746"/>
      <c r="W154" s="1744">
        <f t="shared" si="187"/>
        <v>13510000</v>
      </c>
      <c r="X154" s="362" t="s">
        <v>26</v>
      </c>
      <c r="Y154" s="1509"/>
      <c r="Z154" s="1746"/>
      <c r="AA154" s="1746"/>
      <c r="AB154" s="1510">
        <f t="shared" si="191"/>
        <v>13509999.999999998</v>
      </c>
      <c r="AC154" s="1443"/>
      <c r="AD154" s="1443"/>
      <c r="AE154" s="372"/>
      <c r="AF154" s="354"/>
      <c r="AG154" s="354"/>
      <c r="AH154" s="354">
        <f t="shared" si="188"/>
        <v>0</v>
      </c>
      <c r="AI154" s="355">
        <f t="shared" ca="1" si="189"/>
        <v>0</v>
      </c>
      <c r="AJ154" s="356">
        <f t="shared" ca="1" si="150"/>
        <v>0</v>
      </c>
      <c r="AK154" s="2185"/>
      <c r="AL154" s="2065"/>
      <c r="AM154" s="2258"/>
      <c r="AN154" s="2258"/>
      <c r="AO154" s="359"/>
      <c r="AP154" s="359"/>
      <c r="AQ154" s="359"/>
      <c r="AR154" s="379"/>
      <c r="AS154" s="359"/>
      <c r="AT154" s="390"/>
      <c r="AU154" s="359"/>
      <c r="AV154" s="359"/>
      <c r="AW154" s="377"/>
      <c r="AX154" s="359"/>
      <c r="AY154" s="390"/>
      <c r="AZ154" s="2258">
        <f>W154/15</f>
        <v>900666.66666666663</v>
      </c>
      <c r="BA154" s="359">
        <v>900666.66666666663</v>
      </c>
      <c r="BB154" s="359">
        <v>900666.66666666663</v>
      </c>
      <c r="BC154" s="359">
        <v>900666.66666666663</v>
      </c>
      <c r="BD154" s="359">
        <v>900666.66666666663</v>
      </c>
      <c r="BE154" s="359">
        <v>900666.66666666663</v>
      </c>
      <c r="BF154" s="359">
        <v>900666.66666666663</v>
      </c>
      <c r="BG154" s="359">
        <v>900666.66666666663</v>
      </c>
      <c r="BH154" s="359">
        <v>900666.66666666663</v>
      </c>
      <c r="BI154" s="380">
        <v>900666.66666666663</v>
      </c>
      <c r="BJ154" s="359">
        <v>900666.66666666663</v>
      </c>
      <c r="BK154" s="2122">
        <v>900666.66666666663</v>
      </c>
      <c r="BL154" s="380">
        <v>900666.66666666663</v>
      </c>
      <c r="BM154" s="380">
        <v>900666.66666666663</v>
      </c>
      <c r="BN154" s="380">
        <v>900666.66666666663</v>
      </c>
      <c r="BO154" s="380"/>
      <c r="BP154" s="380"/>
      <c r="BQ154" s="2087"/>
      <c r="BR154" s="359"/>
      <c r="BS154" s="359"/>
      <c r="BT154" s="359"/>
      <c r="BU154" s="392"/>
      <c r="BV154" s="392"/>
      <c r="BW154" s="2368"/>
      <c r="BX154" s="2465"/>
      <c r="BY154" s="2545"/>
      <c r="BZ154" s="2545"/>
      <c r="CA154" s="2432">
        <f t="shared" si="192"/>
        <v>13509999.999999998</v>
      </c>
      <c r="CB154" s="2377">
        <f t="shared" si="193"/>
        <v>1</v>
      </c>
      <c r="CC154" s="365">
        <f t="shared" si="194"/>
        <v>7.4019245003700976E-8</v>
      </c>
      <c r="CD154" s="393"/>
      <c r="CE154" s="394"/>
      <c r="CF154" s="394"/>
      <c r="CG154" s="340"/>
      <c r="CH154" s="367"/>
      <c r="CI154" s="395"/>
      <c r="CJ154" s="395"/>
      <c r="CK154" s="340"/>
      <c r="CL154" s="329">
        <f t="shared" si="182"/>
        <v>0</v>
      </c>
      <c r="CM154" s="330">
        <f t="shared" ca="1" si="183"/>
        <v>0</v>
      </c>
      <c r="CN154" s="331">
        <f t="shared" ca="1" si="141"/>
        <v>-13509999.999999998</v>
      </c>
      <c r="CO154" s="1650"/>
      <c r="CP154" s="1650"/>
      <c r="CQ154" s="1651"/>
      <c r="CR154" s="1650"/>
      <c r="CS154" s="1650"/>
      <c r="CT154" s="1650"/>
      <c r="CU154" s="1650"/>
      <c r="CV154" s="1650"/>
      <c r="CW154" s="1650"/>
      <c r="CX154" s="1650"/>
      <c r="CY154" s="86"/>
      <c r="CZ154" s="86"/>
      <c r="DA154" s="1650"/>
      <c r="DB154" s="30"/>
      <c r="DC154" s="30"/>
      <c r="DD154" s="30"/>
      <c r="DE154" s="30"/>
      <c r="DF154" s="30"/>
      <c r="DG154" s="30"/>
      <c r="DH154" s="30"/>
      <c r="DI154" s="30"/>
      <c r="DJ154" s="30"/>
      <c r="DK154" s="30"/>
      <c r="DL154" s="30"/>
      <c r="DM154" s="30"/>
      <c r="DN154" s="30"/>
      <c r="DO154" s="30"/>
      <c r="DP154" s="30"/>
      <c r="DQ154" s="30"/>
      <c r="DR154" s="30"/>
      <c r="DS154" s="30"/>
      <c r="DT154" s="30"/>
      <c r="DU154" s="30"/>
      <c r="DV154" s="30"/>
      <c r="DW154" s="30"/>
      <c r="DX154" s="30"/>
      <c r="DY154" s="30"/>
      <c r="DZ154" s="30"/>
      <c r="EA154" s="30"/>
      <c r="EB154" s="30"/>
      <c r="EC154" s="30"/>
      <c r="ED154" s="30"/>
      <c r="EE154" s="30"/>
      <c r="EF154" s="30"/>
      <c r="EG154" s="30"/>
      <c r="EH154" s="1652"/>
      <c r="EI154" s="1658"/>
      <c r="EJ154" s="30"/>
      <c r="EK154" s="30"/>
      <c r="EL154" s="30"/>
      <c r="EM154" s="30"/>
      <c r="EN154" s="30"/>
      <c r="EO154" s="30"/>
      <c r="EP154" s="30"/>
      <c r="EQ154" s="30"/>
      <c r="ER154" s="30"/>
      <c r="ES154" s="30"/>
      <c r="ET154" s="30"/>
      <c r="EU154" s="30"/>
      <c r="EV154" s="30"/>
      <c r="EW154" s="30"/>
      <c r="EX154" s="30"/>
      <c r="EY154" s="30"/>
      <c r="EZ154" s="30"/>
      <c r="FA154" s="30"/>
      <c r="FB154" s="30"/>
      <c r="FC154" s="30"/>
      <c r="FD154" s="30"/>
      <c r="FE154" s="30"/>
      <c r="FF154" s="30"/>
      <c r="FG154" s="30"/>
      <c r="FH154" s="30"/>
      <c r="FI154" s="30"/>
      <c r="FJ154" s="30"/>
      <c r="FK154" s="30"/>
      <c r="FL154" s="30"/>
      <c r="FM154" s="30"/>
      <c r="FN154" s="30"/>
      <c r="FO154" s="30"/>
      <c r="FP154" s="30"/>
      <c r="FQ154" s="30"/>
      <c r="FR154" s="30"/>
      <c r="FS154" s="30"/>
      <c r="FT154" s="30"/>
      <c r="FU154" s="30"/>
      <c r="FV154" s="30"/>
      <c r="FW154" s="30"/>
      <c r="FX154" s="30"/>
      <c r="FY154" s="30"/>
      <c r="FZ154" s="30"/>
      <c r="GA154" s="30"/>
      <c r="GB154" s="30"/>
      <c r="GC154" s="30"/>
      <c r="GD154" s="30"/>
      <c r="GE154" s="30"/>
      <c r="GF154" s="30"/>
      <c r="GG154" s="30"/>
      <c r="GH154" s="30"/>
      <c r="GI154" s="30"/>
      <c r="GJ154" s="30"/>
      <c r="GK154" s="30"/>
      <c r="GL154" s="30"/>
      <c r="GM154" s="30"/>
      <c r="GN154" s="30"/>
      <c r="GO154" s="30"/>
      <c r="GP154" s="30"/>
      <c r="GQ154" s="30"/>
      <c r="GR154" s="30"/>
      <c r="GS154" s="30"/>
      <c r="GT154" s="30"/>
      <c r="GU154" s="30"/>
      <c r="GV154" s="30"/>
      <c r="GW154" s="30"/>
      <c r="GX154" s="30"/>
      <c r="GY154" s="30"/>
      <c r="GZ154" s="30"/>
      <c r="HA154" s="30"/>
      <c r="HB154" s="30"/>
      <c r="HC154" s="30"/>
      <c r="HD154" s="30"/>
      <c r="HE154" s="30"/>
      <c r="HF154" s="30"/>
      <c r="HG154" s="30"/>
      <c r="HH154" s="30"/>
      <c r="HI154" s="30"/>
      <c r="HJ154" s="30"/>
      <c r="HK154" s="30"/>
      <c r="HL154" s="30"/>
      <c r="HM154" s="30"/>
      <c r="HN154" s="30"/>
      <c r="HO154" s="30"/>
      <c r="HP154" s="30"/>
      <c r="HQ154" s="30"/>
      <c r="HR154" s="30"/>
      <c r="HS154" s="30"/>
      <c r="HT154" s="30"/>
      <c r="HU154" s="30"/>
      <c r="HV154" s="30"/>
      <c r="HW154" s="30"/>
      <c r="HX154" s="30"/>
      <c r="HY154" s="30"/>
      <c r="HZ154" s="30"/>
      <c r="IA154" s="30"/>
      <c r="IB154" s="30"/>
      <c r="IC154" s="30"/>
      <c r="ID154" s="30"/>
      <c r="IE154" s="30"/>
      <c r="IF154" s="30"/>
      <c r="IG154" s="30"/>
      <c r="IH154" s="30"/>
      <c r="II154" s="30"/>
      <c r="IJ154" s="30"/>
      <c r="IK154" s="30"/>
      <c r="IL154" s="30"/>
      <c r="IM154" s="30"/>
      <c r="IN154" s="30"/>
      <c r="IO154" s="30"/>
      <c r="IP154" s="30"/>
      <c r="IQ154" s="30"/>
      <c r="IR154" s="30"/>
      <c r="IS154" s="30"/>
      <c r="IT154" s="30"/>
      <c r="IU154" s="30"/>
      <c r="IV154" s="30"/>
      <c r="IW154" s="30"/>
      <c r="IX154" s="30"/>
      <c r="IY154" s="30"/>
      <c r="IZ154" s="30"/>
      <c r="JA154" s="30"/>
      <c r="JB154" s="30"/>
      <c r="JC154" s="30"/>
      <c r="JD154" s="30"/>
      <c r="JE154" s="30"/>
      <c r="JF154" s="30"/>
      <c r="JG154" s="30"/>
      <c r="JH154" s="30"/>
      <c r="JI154" s="30"/>
      <c r="JJ154" s="30"/>
      <c r="JK154" s="30"/>
      <c r="JL154" s="30"/>
      <c r="JM154" s="30"/>
      <c r="JN154" s="30"/>
      <c r="JO154" s="30"/>
      <c r="JP154" s="30"/>
      <c r="JQ154" s="30"/>
      <c r="JR154" s="30"/>
      <c r="JS154" s="30"/>
      <c r="JT154" s="30"/>
      <c r="JU154" s="30"/>
      <c r="JV154" s="30"/>
      <c r="JW154" s="30"/>
      <c r="JX154" s="30"/>
      <c r="JY154" s="30"/>
      <c r="JZ154" s="30"/>
      <c r="KA154" s="30"/>
      <c r="KB154" s="30"/>
      <c r="KC154" s="30"/>
      <c r="KD154" s="30"/>
      <c r="KE154" s="30"/>
      <c r="KF154" s="30"/>
      <c r="KG154" s="30"/>
      <c r="KH154" s="30"/>
      <c r="KI154" s="30"/>
      <c r="KJ154" s="30"/>
      <c r="KK154" s="30"/>
      <c r="KL154" s="30"/>
      <c r="KM154" s="30"/>
      <c r="KN154" s="30"/>
      <c r="KO154" s="30"/>
      <c r="KP154" s="1630"/>
    </row>
    <row r="155" spans="1:302" s="97" customFormat="1" ht="23.45" customHeight="1" outlineLevel="1">
      <c r="A155" s="2587" t="s">
        <v>128</v>
      </c>
      <c r="B155" s="2605"/>
      <c r="C155" s="2587" t="s">
        <v>824</v>
      </c>
      <c r="D155" s="2587" t="s">
        <v>825</v>
      </c>
      <c r="E155" s="376"/>
      <c r="F155" s="347"/>
      <c r="G155" s="348"/>
      <c r="H155" s="349" t="s">
        <v>26</v>
      </c>
      <c r="I155" s="2936"/>
      <c r="J155" s="362" t="s">
        <v>26</v>
      </c>
      <c r="K155" s="1745"/>
      <c r="L155" s="383"/>
      <c r="M155" s="383"/>
      <c r="N155" s="383"/>
      <c r="O155" s="2640"/>
      <c r="P155" s="383"/>
      <c r="Q155" s="383"/>
      <c r="R155" s="383"/>
      <c r="S155" s="1510">
        <f t="shared" si="186"/>
        <v>0</v>
      </c>
      <c r="T155" s="1509"/>
      <c r="U155" s="1746"/>
      <c r="V155" s="1746"/>
      <c r="W155" s="1744">
        <f t="shared" si="187"/>
        <v>0</v>
      </c>
      <c r="X155" s="362" t="s">
        <v>26</v>
      </c>
      <c r="Y155" s="1509"/>
      <c r="Z155" s="1746"/>
      <c r="AA155" s="1746"/>
      <c r="AB155" s="1510">
        <f t="shared" si="191"/>
        <v>0</v>
      </c>
      <c r="AC155" s="1443"/>
      <c r="AD155" s="1443"/>
      <c r="AE155" s="372"/>
      <c r="AF155" s="354"/>
      <c r="AG155" s="354"/>
      <c r="AH155" s="354">
        <f t="shared" si="188"/>
        <v>0</v>
      </c>
      <c r="AI155" s="355">
        <f t="shared" ca="1" si="189"/>
        <v>0</v>
      </c>
      <c r="AJ155" s="356" t="str">
        <f t="shared" si="150"/>
        <v/>
      </c>
      <c r="AK155" s="2185"/>
      <c r="AL155" s="2065"/>
      <c r="AM155" s="2258"/>
      <c r="AN155" s="2258"/>
      <c r="AO155" s="359"/>
      <c r="AP155" s="359"/>
      <c r="AQ155" s="359"/>
      <c r="AR155" s="359"/>
      <c r="AS155" s="359"/>
      <c r="AT155" s="390"/>
      <c r="AU155" s="359"/>
      <c r="AV155" s="359"/>
      <c r="AW155" s="377"/>
      <c r="AX155" s="359"/>
      <c r="AY155" s="390"/>
      <c r="AZ155" s="2273"/>
      <c r="BA155" s="497"/>
      <c r="BB155" s="377"/>
      <c r="BC155" s="359"/>
      <c r="BD155" s="359"/>
      <c r="BE155" s="359"/>
      <c r="BF155" s="359"/>
      <c r="BG155" s="359"/>
      <c r="BH155" s="359"/>
      <c r="BI155" s="380"/>
      <c r="BJ155" s="359"/>
      <c r="BK155" s="2122"/>
      <c r="BL155" s="380"/>
      <c r="BM155" s="380"/>
      <c r="BN155" s="380"/>
      <c r="BO155" s="380"/>
      <c r="BP155" s="380"/>
      <c r="BQ155" s="2087"/>
      <c r="BR155" s="359"/>
      <c r="BS155" s="359"/>
      <c r="BT155" s="359"/>
      <c r="BU155" s="392"/>
      <c r="BV155" s="392"/>
      <c r="BW155" s="2368"/>
      <c r="BX155" s="2465"/>
      <c r="BY155" s="2545"/>
      <c r="BZ155" s="2545"/>
      <c r="CA155" s="2432">
        <f t="shared" si="192"/>
        <v>0</v>
      </c>
      <c r="CB155" s="2377" t="str">
        <f t="shared" si="193"/>
        <v/>
      </c>
      <c r="CC155" s="365" t="str">
        <f t="shared" si="194"/>
        <v/>
      </c>
      <c r="CD155" s="393"/>
      <c r="CE155" s="394"/>
      <c r="CF155" s="394"/>
      <c r="CG155" s="340"/>
      <c r="CH155" s="367"/>
      <c r="CI155" s="395"/>
      <c r="CJ155" s="395"/>
      <c r="CK155" s="340"/>
      <c r="CL155" s="329">
        <f t="shared" si="182"/>
        <v>0</v>
      </c>
      <c r="CM155" s="330">
        <f t="shared" ca="1" si="183"/>
        <v>0</v>
      </c>
      <c r="CN155" s="331">
        <f t="shared" ca="1" si="141"/>
        <v>0</v>
      </c>
      <c r="CO155" s="1650"/>
      <c r="CP155" s="1650"/>
      <c r="CQ155" s="1651"/>
      <c r="CR155" s="1650"/>
      <c r="CS155" s="1650"/>
      <c r="CT155" s="1650"/>
      <c r="CU155" s="1650"/>
      <c r="CV155" s="1650"/>
      <c r="CW155" s="1650"/>
      <c r="CX155" s="1650"/>
      <c r="CY155" s="86"/>
      <c r="CZ155" s="86"/>
      <c r="DA155" s="1650"/>
      <c r="DB155" s="30"/>
      <c r="DC155" s="30"/>
      <c r="DD155" s="30"/>
      <c r="DE155" s="30"/>
      <c r="DF155" s="30"/>
      <c r="DG155" s="30"/>
      <c r="DH155" s="30"/>
      <c r="DI155" s="30"/>
      <c r="DJ155" s="30"/>
      <c r="DK155" s="30"/>
      <c r="DL155" s="30"/>
      <c r="DM155" s="30"/>
      <c r="DN155" s="30"/>
      <c r="DO155" s="30"/>
      <c r="DP155" s="30"/>
      <c r="DQ155" s="30"/>
      <c r="DR155" s="30"/>
      <c r="DS155" s="30"/>
      <c r="DT155" s="30"/>
      <c r="DU155" s="30"/>
      <c r="DV155" s="30"/>
      <c r="DW155" s="30"/>
      <c r="DX155" s="30"/>
      <c r="DY155" s="30"/>
      <c r="DZ155" s="30"/>
      <c r="EA155" s="30"/>
      <c r="EB155" s="30"/>
      <c r="EC155" s="30"/>
      <c r="ED155" s="30"/>
      <c r="EE155" s="30"/>
      <c r="EF155" s="30"/>
      <c r="EG155" s="30"/>
      <c r="EH155" s="1652"/>
      <c r="EI155" s="1658"/>
      <c r="EJ155" s="30"/>
      <c r="EK155" s="30"/>
      <c r="EL155" s="30"/>
      <c r="EM155" s="30"/>
      <c r="EN155" s="30"/>
      <c r="EO155" s="30"/>
      <c r="EP155" s="30"/>
      <c r="EQ155" s="30"/>
      <c r="ER155" s="30"/>
      <c r="ES155" s="30"/>
      <c r="ET155" s="30"/>
      <c r="EU155" s="30"/>
      <c r="EV155" s="30"/>
      <c r="EW155" s="30"/>
      <c r="EX155" s="30"/>
      <c r="EY155" s="30"/>
      <c r="EZ155" s="30"/>
      <c r="FA155" s="30"/>
      <c r="FB155" s="30"/>
      <c r="FC155" s="30"/>
      <c r="FD155" s="30"/>
      <c r="FE155" s="30"/>
      <c r="FF155" s="30"/>
      <c r="FG155" s="30"/>
      <c r="FH155" s="30"/>
      <c r="FI155" s="30"/>
      <c r="FJ155" s="30"/>
      <c r="FK155" s="30"/>
      <c r="FL155" s="30"/>
      <c r="FM155" s="30"/>
      <c r="FN155" s="30"/>
      <c r="FO155" s="30"/>
      <c r="FP155" s="30"/>
      <c r="FQ155" s="30"/>
      <c r="FR155" s="30"/>
      <c r="FS155" s="30"/>
      <c r="FT155" s="30"/>
      <c r="FU155" s="30"/>
      <c r="FV155" s="30"/>
      <c r="FW155" s="30"/>
      <c r="FX155" s="30"/>
      <c r="FY155" s="30"/>
      <c r="FZ155" s="30"/>
      <c r="GA155" s="30"/>
      <c r="GB155" s="30"/>
      <c r="GC155" s="30"/>
      <c r="GD155" s="30"/>
      <c r="GE155" s="30"/>
      <c r="GF155" s="30"/>
      <c r="GG155" s="30"/>
      <c r="GH155" s="30"/>
      <c r="GI155" s="30"/>
      <c r="GJ155" s="30"/>
      <c r="GK155" s="30"/>
      <c r="GL155" s="30"/>
      <c r="GM155" s="30"/>
      <c r="GN155" s="30"/>
      <c r="GO155" s="30"/>
      <c r="GP155" s="30"/>
      <c r="GQ155" s="30"/>
      <c r="GR155" s="30"/>
      <c r="GS155" s="30"/>
      <c r="GT155" s="30"/>
      <c r="GU155" s="30"/>
      <c r="GV155" s="30"/>
      <c r="GW155" s="30"/>
      <c r="GX155" s="30"/>
      <c r="GY155" s="30"/>
      <c r="GZ155" s="30"/>
      <c r="HA155" s="30"/>
      <c r="HB155" s="30"/>
      <c r="HC155" s="30"/>
      <c r="HD155" s="30"/>
      <c r="HE155" s="30"/>
      <c r="HF155" s="30"/>
      <c r="HG155" s="30"/>
      <c r="HH155" s="30"/>
      <c r="HI155" s="30"/>
      <c r="HJ155" s="30"/>
      <c r="HK155" s="30"/>
      <c r="HL155" s="30"/>
      <c r="HM155" s="30"/>
      <c r="HN155" s="30"/>
      <c r="HO155" s="30"/>
      <c r="HP155" s="30"/>
      <c r="HQ155" s="30"/>
      <c r="HR155" s="30"/>
      <c r="HS155" s="30"/>
      <c r="HT155" s="30"/>
      <c r="HU155" s="30"/>
      <c r="HV155" s="30"/>
      <c r="HW155" s="30"/>
      <c r="HX155" s="30"/>
      <c r="HY155" s="30"/>
      <c r="HZ155" s="30"/>
      <c r="IA155" s="30"/>
      <c r="IB155" s="30"/>
      <c r="IC155" s="30"/>
      <c r="ID155" s="30"/>
      <c r="IE155" s="30"/>
      <c r="IF155" s="30"/>
      <c r="IG155" s="30"/>
      <c r="IH155" s="30"/>
      <c r="II155" s="30"/>
      <c r="IJ155" s="30"/>
      <c r="IK155" s="30"/>
      <c r="IL155" s="30"/>
      <c r="IM155" s="30"/>
      <c r="IN155" s="30"/>
      <c r="IO155" s="30"/>
      <c r="IP155" s="30"/>
      <c r="IQ155" s="30"/>
      <c r="IR155" s="30"/>
      <c r="IS155" s="30"/>
      <c r="IT155" s="30"/>
      <c r="IU155" s="30"/>
      <c r="IV155" s="30"/>
      <c r="IW155" s="30"/>
      <c r="IX155" s="30"/>
      <c r="IY155" s="30"/>
      <c r="IZ155" s="30"/>
      <c r="JA155" s="30"/>
      <c r="JB155" s="30"/>
      <c r="JC155" s="30"/>
      <c r="JD155" s="30"/>
      <c r="JE155" s="30"/>
      <c r="JF155" s="30"/>
      <c r="JG155" s="30"/>
      <c r="JH155" s="30"/>
      <c r="JI155" s="30"/>
      <c r="JJ155" s="30"/>
      <c r="JK155" s="30"/>
      <c r="JL155" s="30"/>
      <c r="JM155" s="30"/>
      <c r="JN155" s="30"/>
      <c r="JO155" s="30"/>
      <c r="JP155" s="30"/>
      <c r="JQ155" s="30"/>
      <c r="JR155" s="30"/>
      <c r="JS155" s="30"/>
      <c r="JT155" s="30"/>
      <c r="JU155" s="30"/>
      <c r="JV155" s="30"/>
      <c r="JW155" s="30"/>
      <c r="JX155" s="30"/>
      <c r="JY155" s="30"/>
      <c r="JZ155" s="30"/>
      <c r="KA155" s="30"/>
      <c r="KB155" s="30"/>
      <c r="KC155" s="30"/>
      <c r="KD155" s="30"/>
      <c r="KE155" s="30"/>
      <c r="KF155" s="30"/>
      <c r="KG155" s="30"/>
      <c r="KH155" s="30"/>
      <c r="KI155" s="30"/>
      <c r="KJ155" s="30"/>
      <c r="KK155" s="30"/>
      <c r="KL155" s="30"/>
      <c r="KM155" s="30"/>
      <c r="KN155" s="30"/>
      <c r="KO155" s="30"/>
      <c r="KP155" s="1630"/>
    </row>
    <row r="156" spans="1:302" s="97" customFormat="1" ht="23.45" customHeight="1" outlineLevel="1">
      <c r="A156" s="2659" t="s">
        <v>256</v>
      </c>
      <c r="B156" s="386"/>
      <c r="C156" s="255" t="s">
        <v>826</v>
      </c>
      <c r="D156" s="255" t="s">
        <v>827</v>
      </c>
      <c r="E156" s="376"/>
      <c r="F156" s="347"/>
      <c r="G156" s="348"/>
      <c r="H156" s="349" t="s">
        <v>26</v>
      </c>
      <c r="I156" s="2936"/>
      <c r="J156" s="362" t="s">
        <v>26</v>
      </c>
      <c r="K156" s="1745"/>
      <c r="L156" s="383"/>
      <c r="M156" s="383"/>
      <c r="N156" s="383"/>
      <c r="O156" s="1510">
        <v>5525000</v>
      </c>
      <c r="P156" s="383"/>
      <c r="Q156" s="383"/>
      <c r="R156" s="383"/>
      <c r="S156" s="1510">
        <f t="shared" si="186"/>
        <v>0</v>
      </c>
      <c r="T156" s="1509"/>
      <c r="U156" s="1746"/>
      <c r="V156" s="1746"/>
      <c r="W156" s="1744">
        <f t="shared" si="187"/>
        <v>5525000</v>
      </c>
      <c r="X156" s="362" t="s">
        <v>26</v>
      </c>
      <c r="Y156" s="1509"/>
      <c r="Z156" s="1746"/>
      <c r="AA156" s="1746"/>
      <c r="AB156" s="2722">
        <f t="shared" si="191"/>
        <v>316200</v>
      </c>
      <c r="AC156" s="1443"/>
      <c r="AD156" s="1443"/>
      <c r="AE156" s="372"/>
      <c r="AF156" s="354"/>
      <c r="AG156" s="354"/>
      <c r="AH156" s="354">
        <f t="shared" si="188"/>
        <v>0</v>
      </c>
      <c r="AI156" s="355">
        <f t="shared" ca="1" si="189"/>
        <v>0</v>
      </c>
      <c r="AJ156" s="356">
        <f t="shared" ca="1" si="150"/>
        <v>0</v>
      </c>
      <c r="AK156" s="2185"/>
      <c r="AL156" s="2065"/>
      <c r="AM156" s="2258"/>
      <c r="AN156" s="2258"/>
      <c r="AO156" s="359"/>
      <c r="AP156" s="359"/>
      <c r="AQ156" s="359"/>
      <c r="AR156" s="379"/>
      <c r="AS156" s="379"/>
      <c r="AT156" s="2721"/>
      <c r="AU156" s="379"/>
      <c r="AV156" s="359"/>
      <c r="AW156" s="377"/>
      <c r="AX156" s="359"/>
      <c r="AY156" s="390"/>
      <c r="AZ156" s="2258"/>
      <c r="BA156" s="359"/>
      <c r="BB156" s="359"/>
      <c r="BC156" s="359"/>
      <c r="BD156" s="359"/>
      <c r="BE156" s="359"/>
      <c r="BF156" s="359"/>
      <c r="BG156" s="359"/>
      <c r="BH156" s="359"/>
      <c r="BI156" s="359"/>
      <c r="BJ156" s="359"/>
      <c r="BK156" s="2122"/>
      <c r="BL156" s="380"/>
      <c r="BM156" s="380"/>
      <c r="BN156" s="380"/>
      <c r="BO156" s="380"/>
      <c r="BP156" s="380"/>
      <c r="BQ156" s="2087"/>
      <c r="BR156" s="359"/>
      <c r="BS156" s="359"/>
      <c r="BT156" s="359"/>
      <c r="BU156" s="392"/>
      <c r="BV156" s="392"/>
      <c r="BW156" s="2465">
        <v>316200</v>
      </c>
      <c r="BX156" s="2465"/>
      <c r="BY156" s="2545"/>
      <c r="BZ156" s="2545"/>
      <c r="CA156" s="2432">
        <f t="shared" ref="CA156:CA157" si="200">SUMIF($AM$10:$BZ$10,$CA$9,AM156:BZ156)</f>
        <v>316200</v>
      </c>
      <c r="CB156" s="2377">
        <f t="shared" ref="CB156:CB157" si="201">IF($AB156&lt;&gt;0,CA156/$AB156,"")</f>
        <v>1</v>
      </c>
      <c r="CC156" s="365">
        <f t="shared" ref="CC156:CC157" si="202">IF($AB156&lt;&gt;0,CB156/$AB156,"")</f>
        <v>3.1625553447185328E-6</v>
      </c>
      <c r="CD156" s="393"/>
      <c r="CE156" s="394"/>
      <c r="CF156" s="394"/>
      <c r="CG156" s="340"/>
      <c r="CH156" s="367"/>
      <c r="CI156" s="395"/>
      <c r="CJ156" s="395"/>
      <c r="CK156" s="340"/>
      <c r="CL156" s="329">
        <f t="shared" si="182"/>
        <v>5208800</v>
      </c>
      <c r="CM156" s="330">
        <f t="shared" ca="1" si="183"/>
        <v>0</v>
      </c>
      <c r="CN156" s="331">
        <f t="shared" ca="1" si="141"/>
        <v>-316200</v>
      </c>
      <c r="CO156" s="1650"/>
      <c r="CP156" s="1650"/>
      <c r="CQ156" s="1651"/>
      <c r="CR156" s="1650"/>
      <c r="CS156" s="1650"/>
      <c r="CT156" s="1650"/>
      <c r="CU156" s="1650"/>
      <c r="CV156" s="1650"/>
      <c r="CW156" s="1650"/>
      <c r="CX156" s="1650"/>
      <c r="CY156" s="86"/>
      <c r="CZ156" s="86"/>
      <c r="DA156" s="1650"/>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1652"/>
      <c r="EI156" s="1658"/>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0"/>
      <c r="HP156" s="30"/>
      <c r="HQ156" s="30"/>
      <c r="HR156" s="30"/>
      <c r="HS156" s="30"/>
      <c r="HT156" s="30"/>
      <c r="HU156" s="30"/>
      <c r="HV156" s="30"/>
      <c r="HW156" s="30"/>
      <c r="HX156" s="30"/>
      <c r="HY156" s="30"/>
      <c r="HZ156" s="30"/>
      <c r="IA156" s="30"/>
      <c r="IB156" s="30"/>
      <c r="IC156" s="30"/>
      <c r="ID156" s="30"/>
      <c r="IE156" s="30"/>
      <c r="IF156" s="30"/>
      <c r="IG156" s="30"/>
      <c r="IH156" s="30"/>
      <c r="II156" s="30"/>
      <c r="IJ156" s="30"/>
      <c r="IK156" s="30"/>
      <c r="IL156" s="30"/>
      <c r="IM156" s="30"/>
      <c r="IN156" s="30"/>
      <c r="IO156" s="30"/>
      <c r="IP156" s="30"/>
      <c r="IQ156" s="30"/>
      <c r="IR156" s="30"/>
      <c r="IS156" s="30"/>
      <c r="IT156" s="30"/>
      <c r="IU156" s="30"/>
      <c r="IV156" s="30"/>
      <c r="IW156" s="30"/>
      <c r="IX156" s="30"/>
      <c r="IY156" s="30"/>
      <c r="IZ156" s="30"/>
      <c r="JA156" s="30"/>
      <c r="JB156" s="30"/>
      <c r="JC156" s="30"/>
      <c r="JD156" s="30"/>
      <c r="JE156" s="30"/>
      <c r="JF156" s="30"/>
      <c r="JG156" s="30"/>
      <c r="JH156" s="30"/>
      <c r="JI156" s="30"/>
      <c r="JJ156" s="30"/>
      <c r="JK156" s="30"/>
      <c r="JL156" s="30"/>
      <c r="JM156" s="30"/>
      <c r="JN156" s="30"/>
      <c r="JO156" s="30"/>
      <c r="JP156" s="30"/>
      <c r="JQ156" s="30"/>
      <c r="JR156" s="30"/>
      <c r="JS156" s="30"/>
      <c r="JT156" s="30"/>
      <c r="JU156" s="30"/>
      <c r="JV156" s="30"/>
      <c r="JW156" s="30"/>
      <c r="JX156" s="30"/>
      <c r="JY156" s="30"/>
      <c r="JZ156" s="30"/>
      <c r="KA156" s="30"/>
      <c r="KB156" s="30"/>
      <c r="KC156" s="30"/>
      <c r="KD156" s="30"/>
      <c r="KE156" s="30"/>
      <c r="KF156" s="30"/>
      <c r="KG156" s="30"/>
      <c r="KH156" s="30"/>
      <c r="KI156" s="30"/>
      <c r="KJ156" s="30"/>
      <c r="KK156" s="30"/>
      <c r="KL156" s="30"/>
      <c r="KM156" s="30"/>
      <c r="KN156" s="30"/>
      <c r="KO156" s="30"/>
      <c r="KP156" s="1630"/>
    </row>
    <row r="157" spans="1:302" s="97" customFormat="1" ht="23.45" customHeight="1" outlineLevel="1">
      <c r="A157" s="2659" t="s">
        <v>1234</v>
      </c>
      <c r="B157" s="386"/>
      <c r="C157" s="255" t="s">
        <v>826</v>
      </c>
      <c r="D157" s="255" t="s">
        <v>827</v>
      </c>
      <c r="E157" s="376"/>
      <c r="F157" s="347"/>
      <c r="G157" s="348"/>
      <c r="H157" s="349" t="s">
        <v>26</v>
      </c>
      <c r="I157" s="2936"/>
      <c r="J157" s="362" t="s">
        <v>26</v>
      </c>
      <c r="K157" s="1745"/>
      <c r="L157" s="383"/>
      <c r="M157" s="383"/>
      <c r="N157" s="383"/>
      <c r="O157" s="1510"/>
      <c r="P157" s="383"/>
      <c r="Q157" s="383"/>
      <c r="R157" s="383"/>
      <c r="S157" s="1510">
        <f t="shared" si="186"/>
        <v>0</v>
      </c>
      <c r="T157" s="1509"/>
      <c r="U157" s="1746"/>
      <c r="V157" s="1746"/>
      <c r="W157" s="1744"/>
      <c r="X157" s="362" t="s">
        <v>26</v>
      </c>
      <c r="Y157" s="1509"/>
      <c r="Z157" s="1746"/>
      <c r="AA157" s="1746"/>
      <c r="AB157" s="2766">
        <f t="shared" si="191"/>
        <v>5208800</v>
      </c>
      <c r="AC157" s="1443" t="s">
        <v>1233</v>
      </c>
      <c r="AD157" s="1443"/>
      <c r="AE157" s="372" t="s">
        <v>564</v>
      </c>
      <c r="AF157" s="354">
        <f>5225000+83800-100000</f>
        <v>5208800</v>
      </c>
      <c r="AG157" s="354">
        <v>1</v>
      </c>
      <c r="AH157" s="354">
        <f t="shared" ref="AH157" si="203">AF157*AG157</f>
        <v>5208800</v>
      </c>
      <c r="AI157" s="355">
        <f t="shared" ref="AI157" ca="1" si="204">SUMIF($AM$10:$BZ$10,$AI$9,AM157:BT157)</f>
        <v>0</v>
      </c>
      <c r="AJ157" s="356">
        <f t="shared" ca="1" si="150"/>
        <v>0</v>
      </c>
      <c r="AK157" s="2185"/>
      <c r="AL157" s="2065"/>
      <c r="AM157" s="2258"/>
      <c r="AN157" s="2258"/>
      <c r="AO157" s="359"/>
      <c r="AP157" s="359"/>
      <c r="AQ157" s="359"/>
      <c r="AR157" s="359"/>
      <c r="AS157" s="359"/>
      <c r="AT157" s="390"/>
      <c r="AU157" s="359"/>
      <c r="AV157" s="359"/>
      <c r="AW157" s="377"/>
      <c r="AX157" s="359"/>
      <c r="AY157" s="390"/>
      <c r="AZ157" s="2258"/>
      <c r="BA157" s="359"/>
      <c r="BB157" s="359"/>
      <c r="BC157" s="359"/>
      <c r="BD157" s="359"/>
      <c r="BE157" s="359"/>
      <c r="BF157" s="359"/>
      <c r="BG157" s="359"/>
      <c r="BH157" s="359">
        <f>5008800-277190</f>
        <v>4731610</v>
      </c>
      <c r="BI157" s="359"/>
      <c r="BJ157" s="359"/>
      <c r="BK157" s="2122">
        <f>50000+75000</f>
        <v>125000</v>
      </c>
      <c r="BL157" s="380"/>
      <c r="BM157" s="380"/>
      <c r="BN157" s="380"/>
      <c r="BO157" s="380"/>
      <c r="BP157" s="380"/>
      <c r="BQ157" s="2087">
        <v>352190</v>
      </c>
      <c r="BR157" s="359"/>
      <c r="BS157" s="359"/>
      <c r="BT157" s="359"/>
      <c r="BU157" s="392"/>
      <c r="BV157" s="392"/>
      <c r="BW157" s="2368"/>
      <c r="BX157" s="2465"/>
      <c r="BY157" s="2545"/>
      <c r="BZ157" s="2545"/>
      <c r="CA157" s="2432">
        <f t="shared" si="200"/>
        <v>5208800</v>
      </c>
      <c r="CB157" s="2377">
        <f t="shared" si="201"/>
        <v>1</v>
      </c>
      <c r="CC157" s="365">
        <f t="shared" si="202"/>
        <v>1.9198279834126861E-7</v>
      </c>
      <c r="CD157" s="393"/>
      <c r="CE157" s="394"/>
      <c r="CF157" s="394"/>
      <c r="CG157" s="340"/>
      <c r="CH157" s="367"/>
      <c r="CI157" s="395"/>
      <c r="CJ157" s="395"/>
      <c r="CK157" s="340"/>
      <c r="CL157" s="329">
        <f t="shared" si="182"/>
        <v>-5208800</v>
      </c>
      <c r="CM157" s="330">
        <f t="shared" ca="1" si="183"/>
        <v>0</v>
      </c>
      <c r="CN157" s="331">
        <f t="shared" ca="1" si="141"/>
        <v>-5208800</v>
      </c>
      <c r="CO157" s="1650"/>
      <c r="CP157" s="1650"/>
      <c r="CQ157" s="1651"/>
      <c r="CR157" s="1650"/>
      <c r="CS157" s="1650"/>
      <c r="CT157" s="1650"/>
      <c r="CU157" s="1650"/>
      <c r="CV157" s="1650"/>
      <c r="CW157" s="1650"/>
      <c r="CX157" s="1650"/>
      <c r="CY157" s="86"/>
      <c r="CZ157" s="86"/>
      <c r="DA157" s="1650"/>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1652"/>
      <c r="EI157" s="1658"/>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0"/>
      <c r="HP157" s="30"/>
      <c r="HQ157" s="30"/>
      <c r="HR157" s="30"/>
      <c r="HS157" s="30"/>
      <c r="HT157" s="30"/>
      <c r="HU157" s="30"/>
      <c r="HV157" s="30"/>
      <c r="HW157" s="30"/>
      <c r="HX157" s="30"/>
      <c r="HY157" s="30"/>
      <c r="HZ157" s="30"/>
      <c r="IA157" s="30"/>
      <c r="IB157" s="30"/>
      <c r="IC157" s="30"/>
      <c r="ID157" s="30"/>
      <c r="IE157" s="30"/>
      <c r="IF157" s="30"/>
      <c r="IG157" s="30"/>
      <c r="IH157" s="30"/>
      <c r="II157" s="30"/>
      <c r="IJ157" s="30"/>
      <c r="IK157" s="30"/>
      <c r="IL157" s="30"/>
      <c r="IM157" s="30"/>
      <c r="IN157" s="30"/>
      <c r="IO157" s="30"/>
      <c r="IP157" s="30"/>
      <c r="IQ157" s="30"/>
      <c r="IR157" s="30"/>
      <c r="IS157" s="30"/>
      <c r="IT157" s="30"/>
      <c r="IU157" s="30"/>
      <c r="IV157" s="30"/>
      <c r="IW157" s="30"/>
      <c r="IX157" s="30"/>
      <c r="IY157" s="30"/>
      <c r="IZ157" s="30"/>
      <c r="JA157" s="30"/>
      <c r="JB157" s="30"/>
      <c r="JC157" s="30"/>
      <c r="JD157" s="30"/>
      <c r="JE157" s="30"/>
      <c r="JF157" s="30"/>
      <c r="JG157" s="30"/>
      <c r="JH157" s="30"/>
      <c r="JI157" s="30"/>
      <c r="JJ157" s="30"/>
      <c r="JK157" s="30"/>
      <c r="JL157" s="30"/>
      <c r="JM157" s="30"/>
      <c r="JN157" s="30"/>
      <c r="JO157" s="30"/>
      <c r="JP157" s="30"/>
      <c r="JQ157" s="30"/>
      <c r="JR157" s="30"/>
      <c r="JS157" s="30"/>
      <c r="JT157" s="30"/>
      <c r="JU157" s="30"/>
      <c r="JV157" s="30"/>
      <c r="JW157" s="30"/>
      <c r="JX157" s="30"/>
      <c r="JY157" s="30"/>
      <c r="JZ157" s="30"/>
      <c r="KA157" s="30"/>
      <c r="KB157" s="30"/>
      <c r="KC157" s="30"/>
      <c r="KD157" s="30"/>
      <c r="KE157" s="30"/>
      <c r="KF157" s="30"/>
      <c r="KG157" s="30"/>
      <c r="KH157" s="30"/>
      <c r="KI157" s="30"/>
      <c r="KJ157" s="30"/>
      <c r="KK157" s="30"/>
      <c r="KL157" s="30"/>
      <c r="KM157" s="30"/>
      <c r="KN157" s="30"/>
      <c r="KO157" s="30"/>
      <c r="KP157" s="1630"/>
    </row>
    <row r="158" spans="1:302" s="97" customFormat="1" ht="23.45" customHeight="1" outlineLevel="1">
      <c r="A158" s="2659" t="s">
        <v>828</v>
      </c>
      <c r="B158" s="386"/>
      <c r="C158" s="255" t="s">
        <v>829</v>
      </c>
      <c r="D158" s="255" t="s">
        <v>830</v>
      </c>
      <c r="E158" s="376"/>
      <c r="F158" s="347"/>
      <c r="G158" s="348"/>
      <c r="H158" s="349" t="s">
        <v>26</v>
      </c>
      <c r="I158" s="2936"/>
      <c r="J158" s="362" t="s">
        <v>26</v>
      </c>
      <c r="K158" s="1745"/>
      <c r="L158" s="383"/>
      <c r="M158" s="383"/>
      <c r="N158" s="383"/>
      <c r="O158" s="1510">
        <v>2752000</v>
      </c>
      <c r="P158" s="383"/>
      <c r="Q158" s="383"/>
      <c r="R158" s="383"/>
      <c r="S158" s="1510">
        <f t="shared" si="186"/>
        <v>0</v>
      </c>
      <c r="T158" s="1509"/>
      <c r="U158" s="1746"/>
      <c r="V158" s="1746"/>
      <c r="W158" s="1744">
        <f t="shared" si="187"/>
        <v>2752000</v>
      </c>
      <c r="X158" s="362" t="s">
        <v>26</v>
      </c>
      <c r="Y158" s="1509"/>
      <c r="Z158" s="1746"/>
      <c r="AA158" s="1746"/>
      <c r="AB158" s="1510">
        <f t="shared" si="191"/>
        <v>2752000</v>
      </c>
      <c r="AC158" s="1443"/>
      <c r="AD158" s="1443"/>
      <c r="AE158" s="372"/>
      <c r="AF158" s="354"/>
      <c r="AG158" s="354"/>
      <c r="AH158" s="354">
        <f t="shared" si="188"/>
        <v>0</v>
      </c>
      <c r="AI158" s="355">
        <f t="shared" ca="1" si="189"/>
        <v>0</v>
      </c>
      <c r="AJ158" s="356">
        <f t="shared" ca="1" si="150"/>
        <v>0</v>
      </c>
      <c r="AK158" s="2185"/>
      <c r="AL158" s="2065"/>
      <c r="AM158" s="2258"/>
      <c r="AN158" s="2258"/>
      <c r="AO158" s="359"/>
      <c r="AP158" s="359"/>
      <c r="AQ158" s="359"/>
      <c r="AR158" s="359"/>
      <c r="AS158" s="359">
        <v>137600</v>
      </c>
      <c r="AT158" s="390">
        <v>137600</v>
      </c>
      <c r="AU158" s="359">
        <v>137600</v>
      </c>
      <c r="AV158" s="359">
        <v>137600</v>
      </c>
      <c r="AW158" s="377">
        <v>137600</v>
      </c>
      <c r="AX158" s="359">
        <v>137600</v>
      </c>
      <c r="AY158" s="390">
        <v>137600</v>
      </c>
      <c r="AZ158" s="2258">
        <v>137600</v>
      </c>
      <c r="BA158" s="359">
        <v>137600</v>
      </c>
      <c r="BB158" s="359">
        <v>137600</v>
      </c>
      <c r="BC158" s="359">
        <v>137600</v>
      </c>
      <c r="BD158" s="359">
        <v>137600</v>
      </c>
      <c r="BE158" s="359">
        <v>137600</v>
      </c>
      <c r="BF158" s="359">
        <v>137600</v>
      </c>
      <c r="BG158" s="359">
        <v>137600</v>
      </c>
      <c r="BH158" s="359">
        <v>137600</v>
      </c>
      <c r="BI158" s="359">
        <v>137600</v>
      </c>
      <c r="BJ158" s="359">
        <v>137600</v>
      </c>
      <c r="BK158" s="2122">
        <v>137600</v>
      </c>
      <c r="BL158" s="380">
        <v>137600</v>
      </c>
      <c r="BM158" s="380"/>
      <c r="BN158" s="380"/>
      <c r="BO158" s="380"/>
      <c r="BP158" s="380"/>
      <c r="BQ158" s="2087"/>
      <c r="BR158" s="359"/>
      <c r="BS158" s="359"/>
      <c r="BT158" s="359"/>
      <c r="BU158" s="392"/>
      <c r="BV158" s="392"/>
      <c r="BW158" s="2368"/>
      <c r="BX158" s="2465"/>
      <c r="BY158" s="2545"/>
      <c r="BZ158" s="2545"/>
      <c r="CA158" s="2432">
        <f t="shared" ref="CA158" si="205">SUMIF($AM$10:$BZ$10,$CA$9,AM158:BZ158)</f>
        <v>2752000</v>
      </c>
      <c r="CB158" s="2377">
        <f t="shared" ref="CB158" si="206">IF($AB158&lt;&gt;0,CA158/$AB158,"")</f>
        <v>1</v>
      </c>
      <c r="CC158" s="365">
        <f t="shared" ref="CC158" si="207">IF($AB158&lt;&gt;0,CB158/$AB158,"")</f>
        <v>3.6337209302325579E-7</v>
      </c>
      <c r="CD158" s="393"/>
      <c r="CE158" s="394"/>
      <c r="CF158" s="394"/>
      <c r="CG158" s="340"/>
      <c r="CH158" s="367"/>
      <c r="CI158" s="395"/>
      <c r="CJ158" s="395"/>
      <c r="CK158" s="340"/>
      <c r="CL158" s="329">
        <f t="shared" si="182"/>
        <v>0</v>
      </c>
      <c r="CM158" s="330">
        <f t="shared" ca="1" si="183"/>
        <v>0</v>
      </c>
      <c r="CN158" s="331">
        <f t="shared" ca="1" si="141"/>
        <v>-1788800</v>
      </c>
      <c r="CO158" s="1650"/>
      <c r="CP158" s="1650"/>
      <c r="CQ158" s="1651"/>
      <c r="CR158" s="1650"/>
      <c r="CS158" s="1650"/>
      <c r="CT158" s="1650"/>
      <c r="CU158" s="1650"/>
      <c r="CV158" s="1650"/>
      <c r="CW158" s="1650"/>
      <c r="CX158" s="1650"/>
      <c r="CY158" s="86"/>
      <c r="CZ158" s="86"/>
      <c r="DA158" s="1650"/>
      <c r="DB158" s="30"/>
      <c r="DC158" s="30"/>
      <c r="DD158" s="30"/>
      <c r="DE158" s="30"/>
      <c r="DF158" s="30"/>
      <c r="DG158" s="30"/>
      <c r="DH158" s="30"/>
      <c r="DI158" s="30"/>
      <c r="DJ158" s="30"/>
      <c r="DK158" s="30"/>
      <c r="DL158" s="30"/>
      <c r="DM158" s="30"/>
      <c r="DN158" s="30"/>
      <c r="DO158" s="30"/>
      <c r="DP158" s="30"/>
      <c r="DQ158" s="30"/>
      <c r="DR158" s="30"/>
      <c r="DS158" s="30"/>
      <c r="DT158" s="30"/>
      <c r="DU158" s="30"/>
      <c r="DV158" s="30"/>
      <c r="DW158" s="30"/>
      <c r="DX158" s="30"/>
      <c r="DY158" s="30"/>
      <c r="DZ158" s="30"/>
      <c r="EA158" s="30"/>
      <c r="EB158" s="30"/>
      <c r="EC158" s="30"/>
      <c r="ED158" s="30"/>
      <c r="EE158" s="30"/>
      <c r="EF158" s="30"/>
      <c r="EG158" s="30"/>
      <c r="EH158" s="1652"/>
      <c r="EI158" s="1658"/>
      <c r="EJ158" s="30"/>
      <c r="EK158" s="30"/>
      <c r="EL158" s="30"/>
      <c r="EM158" s="30"/>
      <c r="EN158" s="30"/>
      <c r="EO158" s="30"/>
      <c r="EP158" s="30"/>
      <c r="EQ158" s="30"/>
      <c r="ER158" s="30"/>
      <c r="ES158" s="30"/>
      <c r="ET158" s="30"/>
      <c r="EU158" s="30"/>
      <c r="EV158" s="30"/>
      <c r="EW158" s="30"/>
      <c r="EX158" s="30"/>
      <c r="EY158" s="30"/>
      <c r="EZ158" s="30"/>
      <c r="FA158" s="30"/>
      <c r="FB158" s="30"/>
      <c r="FC158" s="30"/>
      <c r="FD158" s="30"/>
      <c r="FE158" s="30"/>
      <c r="FF158" s="30"/>
      <c r="FG158" s="30"/>
      <c r="FH158" s="30"/>
      <c r="FI158" s="30"/>
      <c r="FJ158" s="30"/>
      <c r="FK158" s="30"/>
      <c r="FL158" s="30"/>
      <c r="FM158" s="30"/>
      <c r="FN158" s="30"/>
      <c r="FO158" s="30"/>
      <c r="FP158" s="30"/>
      <c r="FQ158" s="30"/>
      <c r="FR158" s="30"/>
      <c r="FS158" s="30"/>
      <c r="FT158" s="30"/>
      <c r="FU158" s="30"/>
      <c r="FV158" s="30"/>
      <c r="FW158" s="30"/>
      <c r="FX158" s="30"/>
      <c r="FY158" s="30"/>
      <c r="FZ158" s="30"/>
      <c r="GA158" s="30"/>
      <c r="GB158" s="30"/>
      <c r="GC158" s="30"/>
      <c r="GD158" s="30"/>
      <c r="GE158" s="30"/>
      <c r="GF158" s="30"/>
      <c r="GG158" s="30"/>
      <c r="GH158" s="30"/>
      <c r="GI158" s="30"/>
      <c r="GJ158" s="30"/>
      <c r="GK158" s="30"/>
      <c r="GL158" s="30"/>
      <c r="GM158" s="30"/>
      <c r="GN158" s="30"/>
      <c r="GO158" s="30"/>
      <c r="GP158" s="30"/>
      <c r="GQ158" s="30"/>
      <c r="GR158" s="30"/>
      <c r="GS158" s="30"/>
      <c r="GT158" s="30"/>
      <c r="GU158" s="30"/>
      <c r="GV158" s="30"/>
      <c r="GW158" s="30"/>
      <c r="GX158" s="30"/>
      <c r="GY158" s="30"/>
      <c r="GZ158" s="30"/>
      <c r="HA158" s="30"/>
      <c r="HB158" s="30"/>
      <c r="HC158" s="30"/>
      <c r="HD158" s="30"/>
      <c r="HE158" s="30"/>
      <c r="HF158" s="30"/>
      <c r="HG158" s="30"/>
      <c r="HH158" s="30"/>
      <c r="HI158" s="30"/>
      <c r="HJ158" s="30"/>
      <c r="HK158" s="30"/>
      <c r="HL158" s="30"/>
      <c r="HM158" s="30"/>
      <c r="HN158" s="30"/>
      <c r="HO158" s="30"/>
      <c r="HP158" s="30"/>
      <c r="HQ158" s="30"/>
      <c r="HR158" s="30"/>
      <c r="HS158" s="30"/>
      <c r="HT158" s="30"/>
      <c r="HU158" s="30"/>
      <c r="HV158" s="30"/>
      <c r="HW158" s="30"/>
      <c r="HX158" s="30"/>
      <c r="HY158" s="30"/>
      <c r="HZ158" s="30"/>
      <c r="IA158" s="30"/>
      <c r="IB158" s="30"/>
      <c r="IC158" s="30"/>
      <c r="ID158" s="30"/>
      <c r="IE158" s="30"/>
      <c r="IF158" s="30"/>
      <c r="IG158" s="30"/>
      <c r="IH158" s="30"/>
      <c r="II158" s="30"/>
      <c r="IJ158" s="30"/>
      <c r="IK158" s="30"/>
      <c r="IL158" s="30"/>
      <c r="IM158" s="30"/>
      <c r="IN158" s="30"/>
      <c r="IO158" s="30"/>
      <c r="IP158" s="30"/>
      <c r="IQ158" s="30"/>
      <c r="IR158" s="30"/>
      <c r="IS158" s="30"/>
      <c r="IT158" s="30"/>
      <c r="IU158" s="30"/>
      <c r="IV158" s="30"/>
      <c r="IW158" s="30"/>
      <c r="IX158" s="30"/>
      <c r="IY158" s="30"/>
      <c r="IZ158" s="30"/>
      <c r="JA158" s="30"/>
      <c r="JB158" s="30"/>
      <c r="JC158" s="30"/>
      <c r="JD158" s="30"/>
      <c r="JE158" s="30"/>
      <c r="JF158" s="30"/>
      <c r="JG158" s="30"/>
      <c r="JH158" s="30"/>
      <c r="JI158" s="30"/>
      <c r="JJ158" s="30"/>
      <c r="JK158" s="30"/>
      <c r="JL158" s="30"/>
      <c r="JM158" s="30"/>
      <c r="JN158" s="30"/>
      <c r="JO158" s="30"/>
      <c r="JP158" s="30"/>
      <c r="JQ158" s="30"/>
      <c r="JR158" s="30"/>
      <c r="JS158" s="30"/>
      <c r="JT158" s="30"/>
      <c r="JU158" s="30"/>
      <c r="JV158" s="30"/>
      <c r="JW158" s="30"/>
      <c r="JX158" s="30"/>
      <c r="JY158" s="30"/>
      <c r="JZ158" s="30"/>
      <c r="KA158" s="30"/>
      <c r="KB158" s="30"/>
      <c r="KC158" s="30"/>
      <c r="KD158" s="30"/>
      <c r="KE158" s="30"/>
      <c r="KF158" s="30"/>
      <c r="KG158" s="30"/>
      <c r="KH158" s="30"/>
      <c r="KI158" s="30"/>
      <c r="KJ158" s="30"/>
      <c r="KK158" s="30"/>
      <c r="KL158" s="30"/>
      <c r="KM158" s="30"/>
      <c r="KN158" s="30"/>
      <c r="KO158" s="30"/>
      <c r="KP158" s="1630"/>
    </row>
    <row r="159" spans="1:302" s="97" customFormat="1" ht="23.45" customHeight="1" outlineLevel="1">
      <c r="A159" s="2659" t="s">
        <v>831</v>
      </c>
      <c r="B159" s="386"/>
      <c r="C159" s="396" t="s">
        <v>832</v>
      </c>
      <c r="D159" s="255" t="s">
        <v>833</v>
      </c>
      <c r="E159" s="376"/>
      <c r="F159" s="347"/>
      <c r="G159" s="348"/>
      <c r="H159" s="349" t="s">
        <v>26</v>
      </c>
      <c r="I159" s="2938"/>
      <c r="J159" s="362" t="s">
        <v>26</v>
      </c>
      <c r="K159" s="1745"/>
      <c r="L159" s="383"/>
      <c r="M159" s="383"/>
      <c r="N159" s="383"/>
      <c r="O159" s="1510">
        <v>1960000</v>
      </c>
      <c r="P159" s="383"/>
      <c r="Q159" s="383"/>
      <c r="R159" s="383"/>
      <c r="S159" s="1510">
        <f t="shared" si="186"/>
        <v>0</v>
      </c>
      <c r="T159" s="1509"/>
      <c r="U159" s="1746"/>
      <c r="V159" s="1746"/>
      <c r="W159" s="1744">
        <f t="shared" si="187"/>
        <v>1960000</v>
      </c>
      <c r="X159" s="362" t="s">
        <v>26</v>
      </c>
      <c r="Y159" s="1509"/>
      <c r="Z159" s="1746"/>
      <c r="AA159" s="1746"/>
      <c r="AB159" s="1510">
        <f t="shared" si="191"/>
        <v>1960000</v>
      </c>
      <c r="AC159" s="1443"/>
      <c r="AD159" s="1443"/>
      <c r="AE159" s="372"/>
      <c r="AF159" s="354"/>
      <c r="AG159" s="354"/>
      <c r="AH159" s="354">
        <f t="shared" si="188"/>
        <v>0</v>
      </c>
      <c r="AI159" s="355">
        <f t="shared" ca="1" si="189"/>
        <v>0</v>
      </c>
      <c r="AJ159" s="356">
        <f t="shared" ca="1" si="150"/>
        <v>0</v>
      </c>
      <c r="AK159" s="2185"/>
      <c r="AL159" s="2065"/>
      <c r="AM159" s="2258"/>
      <c r="AN159" s="2258"/>
      <c r="AO159" s="359"/>
      <c r="AP159" s="359"/>
      <c r="AQ159" s="359"/>
      <c r="AR159" s="359"/>
      <c r="AS159" s="359">
        <v>98000</v>
      </c>
      <c r="AT159" s="390">
        <v>98000</v>
      </c>
      <c r="AU159" s="359">
        <v>98000</v>
      </c>
      <c r="AV159" s="359">
        <v>98000</v>
      </c>
      <c r="AW159" s="359">
        <v>98000</v>
      </c>
      <c r="AX159" s="359">
        <v>98000</v>
      </c>
      <c r="AY159" s="360">
        <v>98000</v>
      </c>
      <c r="AZ159" s="2273">
        <v>98000</v>
      </c>
      <c r="BA159" s="497">
        <v>98000</v>
      </c>
      <c r="BB159" s="359">
        <v>98000</v>
      </c>
      <c r="BC159" s="359">
        <v>98000</v>
      </c>
      <c r="BD159" s="359">
        <v>98000</v>
      </c>
      <c r="BE159" s="359">
        <v>98000</v>
      </c>
      <c r="BF159" s="359">
        <v>98000</v>
      </c>
      <c r="BG159" s="359">
        <v>98000</v>
      </c>
      <c r="BH159" s="359">
        <v>98000</v>
      </c>
      <c r="BI159" s="380">
        <v>98000</v>
      </c>
      <c r="BJ159" s="359">
        <v>98000</v>
      </c>
      <c r="BK159" s="2122">
        <v>98000</v>
      </c>
      <c r="BL159" s="380">
        <v>98000</v>
      </c>
      <c r="BM159" s="380"/>
      <c r="BN159" s="380"/>
      <c r="BO159" s="380"/>
      <c r="BP159" s="380"/>
      <c r="BQ159" s="2087"/>
      <c r="BR159" s="359"/>
      <c r="BS159" s="359"/>
      <c r="BT159" s="359"/>
      <c r="BU159" s="392"/>
      <c r="BV159" s="392"/>
      <c r="BW159" s="2368"/>
      <c r="BX159" s="2465"/>
      <c r="BY159" s="2545"/>
      <c r="BZ159" s="2545"/>
      <c r="CA159" s="2432">
        <f t="shared" ref="CA159" si="208">SUMIF($AM$10:$BZ$10,$CA$9,AM159:BZ159)</f>
        <v>1960000</v>
      </c>
      <c r="CB159" s="2377">
        <f t="shared" si="190"/>
        <v>1</v>
      </c>
      <c r="CC159" s="365">
        <f t="shared" si="3"/>
        <v>5.1020408163265302E-7</v>
      </c>
      <c r="CD159" s="393"/>
      <c r="CE159" s="394"/>
      <c r="CF159" s="394"/>
      <c r="CG159" s="340"/>
      <c r="CH159" s="367"/>
      <c r="CI159" s="395"/>
      <c r="CJ159" s="395"/>
      <c r="CK159" s="340"/>
      <c r="CL159" s="329">
        <f t="shared" si="182"/>
        <v>0</v>
      </c>
      <c r="CM159" s="330">
        <f t="shared" ca="1" si="183"/>
        <v>0</v>
      </c>
      <c r="CN159" s="331">
        <f t="shared" ca="1" si="141"/>
        <v>-1274000</v>
      </c>
      <c r="CO159" s="1650"/>
      <c r="CP159" s="1650"/>
      <c r="CQ159" s="1651"/>
      <c r="CR159" s="1650"/>
      <c r="CS159" s="1650"/>
      <c r="CT159" s="1650"/>
      <c r="CU159" s="1650"/>
      <c r="CV159" s="1650"/>
      <c r="CW159" s="1650"/>
      <c r="CX159" s="1650"/>
      <c r="CY159" s="86"/>
      <c r="CZ159" s="86"/>
      <c r="DA159" s="1650"/>
      <c r="DB159" s="30"/>
      <c r="DC159" s="30"/>
      <c r="DD159" s="30"/>
      <c r="DE159" s="30"/>
      <c r="DF159" s="30"/>
      <c r="DG159" s="30"/>
      <c r="DH159" s="30"/>
      <c r="DI159" s="30"/>
      <c r="DJ159" s="30"/>
      <c r="DK159" s="30"/>
      <c r="DL159" s="30"/>
      <c r="DM159" s="30"/>
      <c r="DN159" s="30"/>
      <c r="DO159" s="30"/>
      <c r="DP159" s="30"/>
      <c r="DQ159" s="30"/>
      <c r="DR159" s="30"/>
      <c r="DS159" s="30"/>
      <c r="DT159" s="30"/>
      <c r="DU159" s="30"/>
      <c r="DV159" s="30"/>
      <c r="DW159" s="30"/>
      <c r="DX159" s="30"/>
      <c r="DY159" s="30"/>
      <c r="DZ159" s="30"/>
      <c r="EA159" s="30"/>
      <c r="EB159" s="30"/>
      <c r="EC159" s="30"/>
      <c r="ED159" s="30"/>
      <c r="EE159" s="30"/>
      <c r="EF159" s="30"/>
      <c r="EG159" s="30"/>
      <c r="EH159" s="1652"/>
      <c r="EI159" s="1658"/>
      <c r="EJ159" s="30"/>
      <c r="EK159" s="30"/>
      <c r="EL159" s="30"/>
      <c r="EM159" s="30"/>
      <c r="EN159" s="30"/>
      <c r="EO159" s="30"/>
      <c r="EP159" s="30"/>
      <c r="EQ159" s="30"/>
      <c r="ER159" s="30"/>
      <c r="ES159" s="30"/>
      <c r="ET159" s="30"/>
      <c r="EU159" s="30"/>
      <c r="EV159" s="30"/>
      <c r="EW159" s="30"/>
      <c r="EX159" s="30"/>
      <c r="EY159" s="30"/>
      <c r="EZ159" s="30"/>
      <c r="FA159" s="30"/>
      <c r="FB159" s="30"/>
      <c r="FC159" s="30"/>
      <c r="FD159" s="30"/>
      <c r="FE159" s="30"/>
      <c r="FF159" s="30"/>
      <c r="FG159" s="30"/>
      <c r="FH159" s="30"/>
      <c r="FI159" s="30"/>
      <c r="FJ159" s="30"/>
      <c r="FK159" s="30"/>
      <c r="FL159" s="30"/>
      <c r="FM159" s="30"/>
      <c r="FN159" s="30"/>
      <c r="FO159" s="30"/>
      <c r="FP159" s="30"/>
      <c r="FQ159" s="30"/>
      <c r="FR159" s="30"/>
      <c r="FS159" s="30"/>
      <c r="FT159" s="30"/>
      <c r="FU159" s="30"/>
      <c r="FV159" s="30"/>
      <c r="FW159" s="30"/>
      <c r="FX159" s="30"/>
      <c r="FY159" s="30"/>
      <c r="FZ159" s="30"/>
      <c r="GA159" s="30"/>
      <c r="GB159" s="30"/>
      <c r="GC159" s="30"/>
      <c r="GD159" s="30"/>
      <c r="GE159" s="30"/>
      <c r="GF159" s="30"/>
      <c r="GG159" s="30"/>
      <c r="GH159" s="30"/>
      <c r="GI159" s="30"/>
      <c r="GJ159" s="30"/>
      <c r="GK159" s="30"/>
      <c r="GL159" s="30"/>
      <c r="GM159" s="30"/>
      <c r="GN159" s="30"/>
      <c r="GO159" s="30"/>
      <c r="GP159" s="30"/>
      <c r="GQ159" s="30"/>
      <c r="GR159" s="30"/>
      <c r="GS159" s="30"/>
      <c r="GT159" s="30"/>
      <c r="GU159" s="30"/>
      <c r="GV159" s="30"/>
      <c r="GW159" s="30"/>
      <c r="GX159" s="30"/>
      <c r="GY159" s="30"/>
      <c r="GZ159" s="30"/>
      <c r="HA159" s="30"/>
      <c r="HB159" s="30"/>
      <c r="HC159" s="30"/>
      <c r="HD159" s="30"/>
      <c r="HE159" s="30"/>
      <c r="HF159" s="30"/>
      <c r="HG159" s="30"/>
      <c r="HH159" s="30"/>
      <c r="HI159" s="30"/>
      <c r="HJ159" s="30"/>
      <c r="HK159" s="30"/>
      <c r="HL159" s="30"/>
      <c r="HM159" s="30"/>
      <c r="HN159" s="30"/>
      <c r="HO159" s="30"/>
      <c r="HP159" s="30"/>
      <c r="HQ159" s="30"/>
      <c r="HR159" s="30"/>
      <c r="HS159" s="30"/>
      <c r="HT159" s="30"/>
      <c r="HU159" s="30"/>
      <c r="HV159" s="30"/>
      <c r="HW159" s="30"/>
      <c r="HX159" s="30"/>
      <c r="HY159" s="30"/>
      <c r="HZ159" s="30"/>
      <c r="IA159" s="30"/>
      <c r="IB159" s="30"/>
      <c r="IC159" s="30"/>
      <c r="ID159" s="30"/>
      <c r="IE159" s="30"/>
      <c r="IF159" s="30"/>
      <c r="IG159" s="30"/>
      <c r="IH159" s="30"/>
      <c r="II159" s="30"/>
      <c r="IJ159" s="30"/>
      <c r="IK159" s="30"/>
      <c r="IL159" s="30"/>
      <c r="IM159" s="30"/>
      <c r="IN159" s="30"/>
      <c r="IO159" s="30"/>
      <c r="IP159" s="30"/>
      <c r="IQ159" s="30"/>
      <c r="IR159" s="30"/>
      <c r="IS159" s="30"/>
      <c r="IT159" s="30"/>
      <c r="IU159" s="30"/>
      <c r="IV159" s="30"/>
      <c r="IW159" s="30"/>
      <c r="IX159" s="30"/>
      <c r="IY159" s="30"/>
      <c r="IZ159" s="30"/>
      <c r="JA159" s="30"/>
      <c r="JB159" s="30"/>
      <c r="JC159" s="30"/>
      <c r="JD159" s="30"/>
      <c r="JE159" s="30"/>
      <c r="JF159" s="30"/>
      <c r="JG159" s="30"/>
      <c r="JH159" s="30"/>
      <c r="JI159" s="30"/>
      <c r="JJ159" s="30"/>
      <c r="JK159" s="30"/>
      <c r="JL159" s="30"/>
      <c r="JM159" s="30"/>
      <c r="JN159" s="30"/>
      <c r="JO159" s="30"/>
      <c r="JP159" s="30"/>
      <c r="JQ159" s="30"/>
      <c r="JR159" s="30"/>
      <c r="JS159" s="30"/>
      <c r="JT159" s="30"/>
      <c r="JU159" s="30"/>
      <c r="JV159" s="30"/>
      <c r="JW159" s="30"/>
      <c r="JX159" s="30"/>
      <c r="JY159" s="30"/>
      <c r="JZ159" s="30"/>
      <c r="KA159" s="30"/>
      <c r="KB159" s="30"/>
      <c r="KC159" s="30"/>
      <c r="KD159" s="30"/>
      <c r="KE159" s="30"/>
      <c r="KF159" s="30"/>
      <c r="KG159" s="30"/>
      <c r="KH159" s="30"/>
      <c r="KI159" s="30"/>
      <c r="KJ159" s="30"/>
      <c r="KK159" s="30"/>
      <c r="KL159" s="30"/>
      <c r="KM159" s="30"/>
      <c r="KN159" s="30"/>
      <c r="KO159" s="30"/>
      <c r="KP159" s="1630"/>
    </row>
    <row r="160" spans="1:302" s="97" customFormat="1" ht="23.45" customHeight="1">
      <c r="A160" s="2654">
        <v>4</v>
      </c>
      <c r="B160" s="332"/>
      <c r="C160" s="164" t="s">
        <v>834</v>
      </c>
      <c r="D160" s="164" t="s">
        <v>835</v>
      </c>
      <c r="E160" s="333"/>
      <c r="F160" s="334"/>
      <c r="G160" s="335"/>
      <c r="H160" s="334"/>
      <c r="I160" s="336">
        <f>SUM(I161)</f>
        <v>34223555</v>
      </c>
      <c r="J160" s="336"/>
      <c r="K160" s="336"/>
      <c r="L160" s="336"/>
      <c r="M160" s="336"/>
      <c r="N160" s="336"/>
      <c r="O160" s="336">
        <f>SUM(O161:O184)</f>
        <v>21293319</v>
      </c>
      <c r="P160" s="336">
        <f t="shared" ref="P160:V160" si="209">SUM(P161:P184)</f>
        <v>0</v>
      </c>
      <c r="Q160" s="336">
        <f>SUM(Q161:Q184)</f>
        <v>0</v>
      </c>
      <c r="R160" s="336">
        <f t="shared" si="209"/>
        <v>0</v>
      </c>
      <c r="S160" s="336">
        <f t="shared" si="209"/>
        <v>0</v>
      </c>
      <c r="T160" s="336">
        <f t="shared" si="209"/>
        <v>0</v>
      </c>
      <c r="U160" s="336">
        <f t="shared" si="209"/>
        <v>0</v>
      </c>
      <c r="V160" s="336">
        <f t="shared" si="209"/>
        <v>0</v>
      </c>
      <c r="W160" s="336">
        <f>SUM(W161:W184)</f>
        <v>21293319</v>
      </c>
      <c r="X160" s="1743"/>
      <c r="Y160" s="1742">
        <f t="shared" ref="Y160:AA160" si="210">SUM(Y161:Y247)</f>
        <v>0</v>
      </c>
      <c r="Z160" s="1742">
        <f t="shared" si="210"/>
        <v>0</v>
      </c>
      <c r="AA160" s="1743">
        <f t="shared" si="210"/>
        <v>0</v>
      </c>
      <c r="AB160" s="336">
        <f>SUM(AB161:AB184)</f>
        <v>21293319.001499999</v>
      </c>
      <c r="AC160" s="1440"/>
      <c r="AD160" s="1456"/>
      <c r="AE160" s="336"/>
      <c r="AF160" s="336"/>
      <c r="AG160" s="336"/>
      <c r="AH160" s="336">
        <f t="shared" si="188"/>
        <v>0</v>
      </c>
      <c r="AI160" s="336">
        <f t="shared" ref="AI160" si="211">SUMIF($AN$10:$BZ$10,$AI$9,AN160:BZ160)</f>
        <v>0</v>
      </c>
      <c r="AJ160" s="337">
        <f t="shared" si="150"/>
        <v>0</v>
      </c>
      <c r="AK160" s="2183"/>
      <c r="AL160" s="2064"/>
      <c r="AM160" s="2259">
        <f>SUM(AM161:AM184)</f>
        <v>0</v>
      </c>
      <c r="AN160" s="2259">
        <f>SUM(AN161:AN184)</f>
        <v>0</v>
      </c>
      <c r="AO160" s="336">
        <f t="shared" ref="AO160:BZ160" si="212">SUM(AO161:AO184)</f>
        <v>0</v>
      </c>
      <c r="AP160" s="336">
        <f t="shared" si="212"/>
        <v>0</v>
      </c>
      <c r="AQ160" s="336">
        <f t="shared" si="212"/>
        <v>0</v>
      </c>
      <c r="AR160" s="336">
        <f t="shared" si="212"/>
        <v>0</v>
      </c>
      <c r="AS160" s="336">
        <f t="shared" si="212"/>
        <v>0</v>
      </c>
      <c r="AT160" s="338">
        <f t="shared" si="212"/>
        <v>0</v>
      </c>
      <c r="AU160" s="336">
        <f t="shared" si="212"/>
        <v>0</v>
      </c>
      <c r="AV160" s="336">
        <f t="shared" si="212"/>
        <v>100970</v>
      </c>
      <c r="AW160" s="336">
        <f t="shared" si="212"/>
        <v>146920</v>
      </c>
      <c r="AX160" s="336">
        <f t="shared" si="212"/>
        <v>146920</v>
      </c>
      <c r="AY160" s="338">
        <f t="shared" si="212"/>
        <v>424934.6</v>
      </c>
      <c r="AZ160" s="2308">
        <f t="shared" si="212"/>
        <v>1387191.8785000001</v>
      </c>
      <c r="BA160" s="2086">
        <f t="shared" si="212"/>
        <v>1831153.7355</v>
      </c>
      <c r="BB160" s="2086">
        <f t="shared" si="212"/>
        <v>1831153.7355</v>
      </c>
      <c r="BC160" s="2086">
        <f t="shared" si="212"/>
        <v>2764119.3064999999</v>
      </c>
      <c r="BD160" s="2086">
        <f t="shared" si="212"/>
        <v>2839743.2065000003</v>
      </c>
      <c r="BE160" s="2086">
        <f t="shared" si="212"/>
        <v>2848843.2065000003</v>
      </c>
      <c r="BF160" s="2086">
        <f t="shared" si="212"/>
        <v>2339338.5395</v>
      </c>
      <c r="BG160" s="2086">
        <f t="shared" si="212"/>
        <v>2341138.5395</v>
      </c>
      <c r="BH160" s="2086">
        <f t="shared" si="212"/>
        <v>1597876.6825000001</v>
      </c>
      <c r="BI160" s="2086">
        <f t="shared" si="212"/>
        <v>690515.571</v>
      </c>
      <c r="BJ160" s="2086">
        <f t="shared" si="212"/>
        <v>2500</v>
      </c>
      <c r="BK160" s="2335">
        <f t="shared" si="212"/>
        <v>0</v>
      </c>
      <c r="BL160" s="2086">
        <f t="shared" si="212"/>
        <v>0</v>
      </c>
      <c r="BM160" s="2086">
        <f t="shared" si="212"/>
        <v>0</v>
      </c>
      <c r="BN160" s="2086">
        <f t="shared" si="212"/>
        <v>0</v>
      </c>
      <c r="BO160" s="2086">
        <f t="shared" si="212"/>
        <v>0</v>
      </c>
      <c r="BP160" s="2086">
        <f t="shared" si="212"/>
        <v>0</v>
      </c>
      <c r="BQ160" s="2086">
        <f t="shared" si="212"/>
        <v>0</v>
      </c>
      <c r="BR160" s="2086">
        <f t="shared" si="212"/>
        <v>0</v>
      </c>
      <c r="BS160" s="2086">
        <f t="shared" si="212"/>
        <v>0</v>
      </c>
      <c r="BT160" s="2086">
        <f t="shared" si="212"/>
        <v>0</v>
      </c>
      <c r="BU160" s="2086">
        <f t="shared" si="212"/>
        <v>0</v>
      </c>
      <c r="BV160" s="2086">
        <f t="shared" si="212"/>
        <v>0</v>
      </c>
      <c r="BW160" s="2086">
        <f t="shared" si="212"/>
        <v>0</v>
      </c>
      <c r="BX160" s="2391">
        <f t="shared" si="212"/>
        <v>0</v>
      </c>
      <c r="BY160" s="2391">
        <f t="shared" si="212"/>
        <v>0</v>
      </c>
      <c r="BZ160" s="2391">
        <f t="shared" si="212"/>
        <v>0</v>
      </c>
      <c r="CA160" s="2431">
        <f>SUMIF($AM$10:$BZ$10,$CA$9,AM160:BZ160)</f>
        <v>21293319.001500003</v>
      </c>
      <c r="CB160" s="2379">
        <f t="shared" si="3"/>
        <v>1.0000000000000002</v>
      </c>
      <c r="CC160" s="365">
        <f t="shared" si="3"/>
        <v>4.6963087338782441E-8</v>
      </c>
      <c r="CD160" s="341"/>
      <c r="CE160" s="342"/>
      <c r="CF160" s="343"/>
      <c r="CG160" s="340"/>
      <c r="CH160" s="344"/>
      <c r="CI160" s="345"/>
      <c r="CJ160" s="345"/>
      <c r="CK160" s="346"/>
      <c r="CL160" s="329">
        <f t="shared" si="182"/>
        <v>-1.5000030398368835E-3</v>
      </c>
      <c r="CM160" s="330">
        <f t="shared" si="183"/>
        <v>0</v>
      </c>
      <c r="CN160" s="331">
        <f t="shared" si="141"/>
        <v>-20473574.401500002</v>
      </c>
      <c r="CO160" s="86"/>
      <c r="CP160" s="86"/>
      <c r="CQ160" s="1641"/>
      <c r="CR160" s="86"/>
      <c r="CS160" s="86"/>
      <c r="CT160" s="86"/>
      <c r="CU160" s="86"/>
      <c r="CV160" s="86"/>
      <c r="CW160" s="86"/>
      <c r="CX160" s="86"/>
      <c r="CY160" s="86"/>
      <c r="CZ160" s="86"/>
      <c r="DA160" s="86"/>
      <c r="DB160" s="1642"/>
      <c r="DC160" s="1642"/>
      <c r="DD160" s="30"/>
      <c r="DE160" s="30"/>
      <c r="DF160" s="30"/>
      <c r="DG160" s="1642"/>
      <c r="DH160" s="1642"/>
      <c r="DI160" s="1642"/>
      <c r="DJ160" s="1642"/>
      <c r="DK160" s="1642"/>
      <c r="DL160" s="1642"/>
      <c r="DM160" s="1642"/>
      <c r="DN160" s="1642"/>
      <c r="DO160" s="1642"/>
      <c r="DP160" s="1642"/>
      <c r="DQ160" s="1642"/>
      <c r="DR160" s="1642"/>
      <c r="DS160" s="1642"/>
      <c r="DT160" s="1642"/>
      <c r="DU160" s="1642"/>
      <c r="DV160" s="1642"/>
      <c r="DW160" s="1642"/>
      <c r="DX160" s="1642"/>
      <c r="DY160" s="1642"/>
      <c r="DZ160" s="1642"/>
      <c r="EA160" s="1642"/>
      <c r="EB160" s="1642"/>
      <c r="EC160" s="1642"/>
      <c r="ED160" s="1642"/>
      <c r="EE160" s="1642"/>
      <c r="EF160" s="1642"/>
      <c r="EG160" s="1642"/>
      <c r="EH160" s="1643"/>
      <c r="EI160" s="1658"/>
      <c r="EJ160" s="30"/>
      <c r="EK160" s="30"/>
      <c r="EL160" s="30"/>
      <c r="EM160" s="30"/>
      <c r="EN160" s="30"/>
      <c r="EO160" s="30"/>
      <c r="EP160" s="30"/>
      <c r="EQ160" s="30"/>
      <c r="ER160" s="30"/>
      <c r="ES160" s="30"/>
      <c r="ET160" s="30"/>
      <c r="EU160" s="30"/>
      <c r="EV160" s="30"/>
      <c r="EW160" s="30"/>
      <c r="EX160" s="30"/>
      <c r="EY160" s="30"/>
      <c r="EZ160" s="30"/>
      <c r="FA160" s="30"/>
      <c r="FB160" s="30"/>
      <c r="FC160" s="30"/>
      <c r="FD160" s="30"/>
      <c r="FE160" s="30"/>
      <c r="FF160" s="30"/>
      <c r="FG160" s="30"/>
      <c r="FH160" s="30"/>
      <c r="FI160" s="30"/>
      <c r="FJ160" s="30"/>
      <c r="FK160" s="30"/>
      <c r="FL160" s="30"/>
      <c r="FM160" s="30"/>
      <c r="FN160" s="30"/>
      <c r="FO160" s="30"/>
      <c r="FP160" s="30"/>
      <c r="FQ160" s="30"/>
      <c r="FR160" s="30"/>
      <c r="FS160" s="30"/>
      <c r="FT160" s="30"/>
      <c r="FU160" s="30"/>
      <c r="FV160" s="30"/>
      <c r="FW160" s="30"/>
      <c r="FX160" s="30"/>
      <c r="FY160" s="30"/>
      <c r="FZ160" s="30"/>
      <c r="GA160" s="30"/>
      <c r="GB160" s="30"/>
      <c r="GC160" s="30"/>
      <c r="GD160" s="30"/>
      <c r="GE160" s="30"/>
      <c r="GF160" s="30"/>
      <c r="GG160" s="30"/>
      <c r="GH160" s="30"/>
      <c r="GI160" s="30"/>
      <c r="GJ160" s="30"/>
      <c r="GK160" s="30"/>
      <c r="GL160" s="30"/>
      <c r="GM160" s="30"/>
      <c r="GN160" s="30"/>
      <c r="GO160" s="30"/>
      <c r="GP160" s="30"/>
      <c r="GQ160" s="30"/>
      <c r="GR160" s="30"/>
      <c r="GS160" s="30"/>
      <c r="GT160" s="30"/>
      <c r="GU160" s="30"/>
      <c r="GV160" s="30"/>
      <c r="GW160" s="30"/>
      <c r="GX160" s="30"/>
      <c r="GY160" s="30"/>
      <c r="GZ160" s="30"/>
      <c r="HA160" s="30"/>
      <c r="HB160" s="30"/>
      <c r="HC160" s="30"/>
      <c r="HD160" s="30"/>
      <c r="HE160" s="30"/>
      <c r="HF160" s="30"/>
      <c r="HG160" s="30"/>
      <c r="HH160" s="30"/>
      <c r="HI160" s="30"/>
      <c r="HJ160" s="30"/>
      <c r="HK160" s="30"/>
      <c r="HL160" s="30"/>
      <c r="HM160" s="30"/>
      <c r="HN160" s="30"/>
      <c r="HO160" s="30"/>
      <c r="HP160" s="30"/>
      <c r="HQ160" s="30"/>
      <c r="HR160" s="30"/>
      <c r="HS160" s="30"/>
      <c r="HT160" s="30"/>
      <c r="HU160" s="30"/>
      <c r="HV160" s="30"/>
      <c r="HW160" s="30"/>
      <c r="HX160" s="30"/>
      <c r="HY160" s="30"/>
      <c r="HZ160" s="30"/>
      <c r="IA160" s="30"/>
      <c r="IB160" s="30"/>
      <c r="IC160" s="30"/>
      <c r="ID160" s="30"/>
      <c r="IE160" s="30"/>
      <c r="IF160" s="30"/>
      <c r="IG160" s="30"/>
      <c r="IH160" s="30"/>
      <c r="II160" s="30"/>
      <c r="IJ160" s="30"/>
      <c r="IK160" s="30"/>
      <c r="IL160" s="30"/>
      <c r="IM160" s="30"/>
      <c r="IN160" s="30"/>
      <c r="IO160" s="30"/>
      <c r="IP160" s="30"/>
      <c r="IQ160" s="30"/>
      <c r="IR160" s="30"/>
      <c r="IS160" s="30"/>
      <c r="IT160" s="30"/>
      <c r="IU160" s="30"/>
      <c r="IV160" s="30"/>
      <c r="IW160" s="30"/>
      <c r="IX160" s="30"/>
      <c r="IY160" s="30"/>
      <c r="IZ160" s="30"/>
      <c r="JA160" s="30"/>
      <c r="JB160" s="30"/>
      <c r="JC160" s="30"/>
      <c r="JD160" s="30"/>
      <c r="JE160" s="30"/>
      <c r="JF160" s="30"/>
      <c r="JG160" s="30"/>
      <c r="JH160" s="30"/>
      <c r="JI160" s="30"/>
      <c r="JJ160" s="30"/>
      <c r="JK160" s="30"/>
      <c r="JL160" s="30"/>
      <c r="JM160" s="30"/>
      <c r="JN160" s="30"/>
      <c r="JO160" s="30"/>
      <c r="JP160" s="30"/>
      <c r="JQ160" s="30"/>
      <c r="JR160" s="30"/>
      <c r="JS160" s="30"/>
      <c r="JT160" s="30"/>
      <c r="JU160" s="30"/>
      <c r="JV160" s="30"/>
      <c r="JW160" s="30"/>
      <c r="JX160" s="30"/>
      <c r="JY160" s="30"/>
      <c r="JZ160" s="30"/>
      <c r="KA160" s="30"/>
      <c r="KB160" s="30"/>
      <c r="KC160" s="30"/>
      <c r="KD160" s="30"/>
      <c r="KE160" s="30"/>
      <c r="KF160" s="30"/>
      <c r="KG160" s="30"/>
      <c r="KH160" s="30"/>
      <c r="KI160" s="30"/>
      <c r="KJ160" s="30"/>
      <c r="KK160" s="30"/>
      <c r="KL160" s="30"/>
      <c r="KM160" s="30"/>
      <c r="KN160" s="30"/>
      <c r="KO160" s="30"/>
      <c r="KP160" s="1630"/>
    </row>
    <row r="161" spans="1:302" s="97" customFormat="1" ht="23.45" customHeight="1" outlineLevel="1">
      <c r="A161" s="2587" t="s">
        <v>133</v>
      </c>
      <c r="B161" s="2605"/>
      <c r="C161" s="2587" t="s">
        <v>268</v>
      </c>
      <c r="D161" s="2587" t="s">
        <v>269</v>
      </c>
      <c r="E161" s="376"/>
      <c r="F161" s="347"/>
      <c r="G161" s="348"/>
      <c r="H161" s="349" t="s">
        <v>26</v>
      </c>
      <c r="I161" s="2937">
        <v>34223555</v>
      </c>
      <c r="J161" s="362" t="s">
        <v>26</v>
      </c>
      <c r="K161" s="1745"/>
      <c r="L161" s="383"/>
      <c r="M161" s="383"/>
      <c r="N161" s="383"/>
      <c r="O161" s="1510">
        <v>1009700</v>
      </c>
      <c r="P161" s="383"/>
      <c r="Q161" s="383"/>
      <c r="R161" s="383"/>
      <c r="S161" s="1510">
        <f t="shared" si="186"/>
        <v>0</v>
      </c>
      <c r="T161" s="1509"/>
      <c r="U161" s="1746"/>
      <c r="V161" s="1746"/>
      <c r="W161" s="1744">
        <f t="shared" ref="W161:W162" si="213">O161+S161</f>
        <v>1009700</v>
      </c>
      <c r="X161" s="362" t="s">
        <v>26</v>
      </c>
      <c r="Y161" s="1509"/>
      <c r="Z161" s="1746"/>
      <c r="AA161" s="1746"/>
      <c r="AB161" s="1510">
        <f>SUM(AM161:BZ161)</f>
        <v>1009700</v>
      </c>
      <c r="AC161" s="2069"/>
      <c r="AD161" s="1443"/>
      <c r="AE161" s="381"/>
      <c r="AF161" s="354"/>
      <c r="AG161" s="354"/>
      <c r="AH161" s="354">
        <f t="shared" si="188"/>
        <v>0</v>
      </c>
      <c r="AI161" s="355">
        <f t="shared" ref="AI161:AI184" ca="1" si="214">SUMIF($AM$10:$BZ$10,$AI$9,AM161:BT161)</f>
        <v>0</v>
      </c>
      <c r="AJ161" s="356">
        <f t="shared" ca="1" si="150"/>
        <v>0</v>
      </c>
      <c r="AK161" s="2185"/>
      <c r="AL161" s="2063"/>
      <c r="AM161" s="2258"/>
      <c r="AN161" s="2258"/>
      <c r="AO161" s="359"/>
      <c r="AP161" s="359"/>
      <c r="AQ161" s="377"/>
      <c r="AR161" s="377"/>
      <c r="AS161" s="359"/>
      <c r="AT161" s="390"/>
      <c r="AU161" s="377"/>
      <c r="AV161" s="377">
        <v>100970</v>
      </c>
      <c r="AW161" s="359">
        <v>100970</v>
      </c>
      <c r="AX161" s="359">
        <v>100970</v>
      </c>
      <c r="AY161" s="360">
        <v>100970</v>
      </c>
      <c r="AZ161" s="2273">
        <v>100970</v>
      </c>
      <c r="BA161" s="497">
        <v>100970</v>
      </c>
      <c r="BB161" s="359">
        <v>100970</v>
      </c>
      <c r="BC161" s="359">
        <v>100970</v>
      </c>
      <c r="BD161" s="359">
        <v>100970</v>
      </c>
      <c r="BE161" s="359">
        <v>100970</v>
      </c>
      <c r="BF161" s="359"/>
      <c r="BG161" s="359"/>
      <c r="BH161" s="359"/>
      <c r="BI161" s="380"/>
      <c r="BJ161" s="359"/>
      <c r="BK161" s="2122"/>
      <c r="BL161" s="380"/>
      <c r="BM161" s="380"/>
      <c r="BN161" s="380"/>
      <c r="BO161" s="380"/>
      <c r="BP161" s="380"/>
      <c r="BQ161" s="2087"/>
      <c r="BR161" s="359"/>
      <c r="BS161" s="359"/>
      <c r="BT161" s="359"/>
      <c r="BU161" s="364"/>
      <c r="BV161" s="364"/>
      <c r="BW161" s="2366"/>
      <c r="BX161" s="2463"/>
      <c r="BY161" s="2543"/>
      <c r="BZ161" s="2543"/>
      <c r="CA161" s="2432">
        <f>SUMIF($AM$10:$BZ$10,$CA$9,AM161:BZ161)</f>
        <v>1009700</v>
      </c>
      <c r="CB161" s="2377">
        <f t="shared" ref="CB161" si="215">IF($AB161&lt;&gt;0,CA161/$AB161,"")</f>
        <v>1</v>
      </c>
      <c r="CC161" s="365">
        <f t="shared" si="3"/>
        <v>9.9039318609487969E-7</v>
      </c>
      <c r="CD161" s="366"/>
      <c r="CE161" s="343"/>
      <c r="CF161" s="343"/>
      <c r="CG161" s="340"/>
      <c r="CH161" s="367"/>
      <c r="CI161" s="368"/>
      <c r="CJ161" s="368"/>
      <c r="CK161" s="369"/>
      <c r="CL161" s="329">
        <f t="shared" si="182"/>
        <v>0</v>
      </c>
      <c r="CM161" s="330">
        <f t="shared" ca="1" si="183"/>
        <v>0</v>
      </c>
      <c r="CN161" s="331">
        <f t="shared" ca="1" si="141"/>
        <v>-605820</v>
      </c>
      <c r="CO161" s="86"/>
      <c r="CP161" s="86"/>
      <c r="CQ161" s="1641"/>
      <c r="CR161" s="86"/>
      <c r="CS161" s="86"/>
      <c r="CT161" s="86"/>
      <c r="CU161" s="86"/>
      <c r="CV161" s="86"/>
      <c r="CW161" s="86"/>
      <c r="CX161" s="86"/>
      <c r="CY161" s="86"/>
      <c r="CZ161" s="86"/>
      <c r="DA161" s="86"/>
      <c r="DB161" s="1642"/>
      <c r="DC161" s="1642"/>
      <c r="DD161" s="30"/>
      <c r="DE161" s="30"/>
      <c r="DF161" s="30"/>
      <c r="DG161" s="1642"/>
      <c r="DH161" s="1642"/>
      <c r="DI161" s="1642"/>
      <c r="DJ161" s="1642"/>
      <c r="DK161" s="1642"/>
      <c r="DL161" s="1642"/>
      <c r="DM161" s="1642"/>
      <c r="DN161" s="1642"/>
      <c r="DO161" s="1642"/>
      <c r="DP161" s="1642"/>
      <c r="DQ161" s="1642"/>
      <c r="DR161" s="1642"/>
      <c r="DS161" s="1642"/>
      <c r="DT161" s="1642"/>
      <c r="DU161" s="1642"/>
      <c r="DV161" s="1642"/>
      <c r="DW161" s="1642"/>
      <c r="DX161" s="1642"/>
      <c r="DY161" s="1642"/>
      <c r="DZ161" s="1642"/>
      <c r="EA161" s="1642"/>
      <c r="EB161" s="1642"/>
      <c r="EC161" s="1642"/>
      <c r="ED161" s="1642"/>
      <c r="EE161" s="1642"/>
      <c r="EF161" s="1642"/>
      <c r="EG161" s="1642"/>
      <c r="EH161" s="1643"/>
      <c r="EI161" s="1658"/>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0"/>
      <c r="HP161" s="30"/>
      <c r="HQ161" s="30"/>
      <c r="HR161" s="30"/>
      <c r="HS161" s="30"/>
      <c r="HT161" s="30"/>
      <c r="HU161" s="30"/>
      <c r="HV161" s="30"/>
      <c r="HW161" s="30"/>
      <c r="HX161" s="30"/>
      <c r="HY161" s="30"/>
      <c r="HZ161" s="30"/>
      <c r="IA161" s="30"/>
      <c r="IB161" s="30"/>
      <c r="IC161" s="30"/>
      <c r="ID161" s="30"/>
      <c r="IE161" s="30"/>
      <c r="IF161" s="30"/>
      <c r="IG161" s="30"/>
      <c r="IH161" s="30"/>
      <c r="II161" s="30"/>
      <c r="IJ161" s="30"/>
      <c r="IK161" s="30"/>
      <c r="IL161" s="30"/>
      <c r="IM161" s="30"/>
      <c r="IN161" s="30"/>
      <c r="IO161" s="30"/>
      <c r="IP161" s="30"/>
      <c r="IQ161" s="30"/>
      <c r="IR161" s="30"/>
      <c r="IS161" s="30"/>
      <c r="IT161" s="30"/>
      <c r="IU161" s="30"/>
      <c r="IV161" s="30"/>
      <c r="IW161" s="30"/>
      <c r="IX161" s="30"/>
      <c r="IY161" s="30"/>
      <c r="IZ161" s="30"/>
      <c r="JA161" s="30"/>
      <c r="JB161" s="30"/>
      <c r="JC161" s="30"/>
      <c r="JD161" s="30"/>
      <c r="JE161" s="30"/>
      <c r="JF161" s="30"/>
      <c r="JG161" s="30"/>
      <c r="JH161" s="30"/>
      <c r="JI161" s="30"/>
      <c r="JJ161" s="30"/>
      <c r="JK161" s="30"/>
      <c r="JL161" s="30"/>
      <c r="JM161" s="30"/>
      <c r="JN161" s="30"/>
      <c r="JO161" s="30"/>
      <c r="JP161" s="30"/>
      <c r="JQ161" s="30"/>
      <c r="JR161" s="30"/>
      <c r="JS161" s="30"/>
      <c r="JT161" s="30"/>
      <c r="JU161" s="30"/>
      <c r="JV161" s="30"/>
      <c r="JW161" s="30"/>
      <c r="JX161" s="30"/>
      <c r="JY161" s="30"/>
      <c r="JZ161" s="30"/>
      <c r="KA161" s="30"/>
      <c r="KB161" s="30"/>
      <c r="KC161" s="30"/>
      <c r="KD161" s="30"/>
      <c r="KE161" s="30"/>
      <c r="KF161" s="30"/>
      <c r="KG161" s="30"/>
      <c r="KH161" s="30"/>
      <c r="KI161" s="30"/>
      <c r="KJ161" s="30"/>
      <c r="KK161" s="30"/>
      <c r="KL161" s="30"/>
      <c r="KM161" s="30"/>
      <c r="KN161" s="30"/>
      <c r="KO161" s="30"/>
      <c r="KP161" s="1630"/>
    </row>
    <row r="162" spans="1:302" s="97" customFormat="1" ht="23.45" customHeight="1" outlineLevel="1">
      <c r="A162" s="2587" t="s">
        <v>141</v>
      </c>
      <c r="B162" s="2605"/>
      <c r="C162" s="2587" t="s">
        <v>836</v>
      </c>
      <c r="D162" s="2587" t="s">
        <v>837</v>
      </c>
      <c r="E162" s="376"/>
      <c r="F162" s="347"/>
      <c r="G162" s="348"/>
      <c r="H162" s="349" t="s">
        <v>26</v>
      </c>
      <c r="I162" s="2936"/>
      <c r="J162" s="362" t="s">
        <v>26</v>
      </c>
      <c r="K162" s="1745"/>
      <c r="L162" s="383"/>
      <c r="M162" s="383"/>
      <c r="N162" s="383"/>
      <c r="O162" s="1510"/>
      <c r="P162" s="383"/>
      <c r="Q162" s="383"/>
      <c r="R162" s="383"/>
      <c r="S162" s="1510">
        <f t="shared" si="186"/>
        <v>0</v>
      </c>
      <c r="T162" s="1509"/>
      <c r="U162" s="1746"/>
      <c r="V162" s="1746"/>
      <c r="W162" s="1744">
        <f t="shared" si="213"/>
        <v>0</v>
      </c>
      <c r="X162" s="362" t="s">
        <v>26</v>
      </c>
      <c r="Y162" s="1509"/>
      <c r="Z162" s="1746"/>
      <c r="AA162" s="1746"/>
      <c r="AB162" s="1510">
        <f t="shared" ref="AB162:AB184" si="216">SUM(AM162:BZ162)</f>
        <v>0</v>
      </c>
      <c r="AC162" s="2069"/>
      <c r="AD162" s="1443"/>
      <c r="AE162" s="381"/>
      <c r="AF162" s="354"/>
      <c r="AG162" s="354"/>
      <c r="AH162" s="354">
        <f t="shared" si="188"/>
        <v>0</v>
      </c>
      <c r="AI162" s="355">
        <f t="shared" ca="1" si="214"/>
        <v>0</v>
      </c>
      <c r="AJ162" s="356" t="str">
        <f t="shared" si="150"/>
        <v/>
      </c>
      <c r="AK162" s="2185"/>
      <c r="AL162" s="2063"/>
      <c r="AM162" s="2258"/>
      <c r="AN162" s="2258"/>
      <c r="AO162" s="359"/>
      <c r="AP162" s="359"/>
      <c r="AQ162" s="377"/>
      <c r="AR162" s="359"/>
      <c r="AS162" s="359"/>
      <c r="AT162" s="390"/>
      <c r="AU162" s="377"/>
      <c r="AV162" s="377"/>
      <c r="AW162" s="359"/>
      <c r="AX162" s="359"/>
      <c r="AY162" s="390"/>
      <c r="AZ162" s="2273"/>
      <c r="BA162" s="513"/>
      <c r="BB162" s="513"/>
      <c r="BC162" s="359"/>
      <c r="BD162" s="1505"/>
      <c r="BE162" s="1505"/>
      <c r="BF162" s="359"/>
      <c r="BG162" s="359"/>
      <c r="BH162" s="359"/>
      <c r="BI162" s="380"/>
      <c r="BJ162" s="359"/>
      <c r="BK162" s="2122"/>
      <c r="BL162" s="380"/>
      <c r="BM162" s="380"/>
      <c r="BN162" s="380"/>
      <c r="BO162" s="380"/>
      <c r="BP162" s="380"/>
      <c r="BQ162" s="2087"/>
      <c r="BR162" s="359"/>
      <c r="BS162" s="359"/>
      <c r="BT162" s="359"/>
      <c r="BU162" s="364"/>
      <c r="BV162" s="364"/>
      <c r="BW162" s="2366"/>
      <c r="BX162" s="2463"/>
      <c r="BY162" s="2543"/>
      <c r="BZ162" s="2543"/>
      <c r="CA162" s="2432">
        <f t="shared" ref="CA162:CA169" si="217">SUMIF($AM$10:$BZ$10,$CA$9,AM162:BZ162)</f>
        <v>0</v>
      </c>
      <c r="CB162" s="2377" t="str">
        <f t="shared" ref="CB162:CB169" si="218">IF($AB162&lt;&gt;0,CA162/$AB162,"")</f>
        <v/>
      </c>
      <c r="CC162" s="365" t="str">
        <f t="shared" ref="CC162:CC169" si="219">IF($AB162&lt;&gt;0,CB162/$AB162,"")</f>
        <v/>
      </c>
      <c r="CD162" s="366"/>
      <c r="CE162" s="343"/>
      <c r="CF162" s="343"/>
      <c r="CG162" s="340"/>
      <c r="CH162" s="367"/>
      <c r="CI162" s="368"/>
      <c r="CJ162" s="368"/>
      <c r="CK162" s="369"/>
      <c r="CL162" s="329">
        <f t="shared" si="182"/>
        <v>0</v>
      </c>
      <c r="CM162" s="330">
        <f t="shared" ca="1" si="183"/>
        <v>0</v>
      </c>
      <c r="CN162" s="331">
        <f t="shared" ca="1" si="141"/>
        <v>0</v>
      </c>
      <c r="CO162" s="86"/>
      <c r="CP162" s="86"/>
      <c r="CQ162" s="1641"/>
      <c r="CR162" s="86"/>
      <c r="CS162" s="86"/>
      <c r="CT162" s="86"/>
      <c r="CU162" s="86"/>
      <c r="CV162" s="86"/>
      <c r="CW162" s="86"/>
      <c r="CX162" s="86"/>
      <c r="CY162" s="86"/>
      <c r="CZ162" s="86"/>
      <c r="DA162" s="86"/>
      <c r="DB162" s="1642"/>
      <c r="DC162" s="1642"/>
      <c r="DD162" s="30"/>
      <c r="DE162" s="30"/>
      <c r="DF162" s="30"/>
      <c r="DG162" s="1642"/>
      <c r="DH162" s="1642"/>
      <c r="DI162" s="1642"/>
      <c r="DJ162" s="1642"/>
      <c r="DK162" s="1642"/>
      <c r="DL162" s="1642"/>
      <c r="DM162" s="1642"/>
      <c r="DN162" s="1642"/>
      <c r="DO162" s="1642"/>
      <c r="DP162" s="1642"/>
      <c r="DQ162" s="1642"/>
      <c r="DR162" s="1642"/>
      <c r="DS162" s="1642"/>
      <c r="DT162" s="1642"/>
      <c r="DU162" s="1642"/>
      <c r="DV162" s="1642"/>
      <c r="DW162" s="1642"/>
      <c r="DX162" s="1642"/>
      <c r="DY162" s="1642"/>
      <c r="DZ162" s="1642"/>
      <c r="EA162" s="1642"/>
      <c r="EB162" s="1642"/>
      <c r="EC162" s="1642"/>
      <c r="ED162" s="1642"/>
      <c r="EE162" s="1642"/>
      <c r="EF162" s="1642"/>
      <c r="EG162" s="1642"/>
      <c r="EH162" s="1643"/>
      <c r="EI162" s="1658"/>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0"/>
      <c r="HP162" s="30"/>
      <c r="HQ162" s="30"/>
      <c r="HR162" s="30"/>
      <c r="HS162" s="30"/>
      <c r="HT162" s="30"/>
      <c r="HU162" s="30"/>
      <c r="HV162" s="30"/>
      <c r="HW162" s="30"/>
      <c r="HX162" s="30"/>
      <c r="HY162" s="30"/>
      <c r="HZ162" s="30"/>
      <c r="IA162" s="30"/>
      <c r="IB162" s="30"/>
      <c r="IC162" s="30"/>
      <c r="ID162" s="30"/>
      <c r="IE162" s="30"/>
      <c r="IF162" s="30"/>
      <c r="IG162" s="30"/>
      <c r="IH162" s="30"/>
      <c r="II162" s="30"/>
      <c r="IJ162" s="30"/>
      <c r="IK162" s="30"/>
      <c r="IL162" s="30"/>
      <c r="IM162" s="30"/>
      <c r="IN162" s="30"/>
      <c r="IO162" s="30"/>
      <c r="IP162" s="30"/>
      <c r="IQ162" s="30"/>
      <c r="IR162" s="30"/>
      <c r="IS162" s="30"/>
      <c r="IT162" s="30"/>
      <c r="IU162" s="30"/>
      <c r="IV162" s="30"/>
      <c r="IW162" s="30"/>
      <c r="IX162" s="30"/>
      <c r="IY162" s="30"/>
      <c r="IZ162" s="30"/>
      <c r="JA162" s="30"/>
      <c r="JB162" s="30"/>
      <c r="JC162" s="30"/>
      <c r="JD162" s="30"/>
      <c r="JE162" s="30"/>
      <c r="JF162" s="30"/>
      <c r="JG162" s="30"/>
      <c r="JH162" s="30"/>
      <c r="JI162" s="30"/>
      <c r="JJ162" s="30"/>
      <c r="JK162" s="30"/>
      <c r="JL162" s="30"/>
      <c r="JM162" s="30"/>
      <c r="JN162" s="30"/>
      <c r="JO162" s="30"/>
      <c r="JP162" s="30"/>
      <c r="JQ162" s="30"/>
      <c r="JR162" s="30"/>
      <c r="JS162" s="30"/>
      <c r="JT162" s="30"/>
      <c r="JU162" s="30"/>
      <c r="JV162" s="30"/>
      <c r="JW162" s="30"/>
      <c r="JX162" s="30"/>
      <c r="JY162" s="30"/>
      <c r="JZ162" s="30"/>
      <c r="KA162" s="30"/>
      <c r="KB162" s="30"/>
      <c r="KC162" s="30"/>
      <c r="KD162" s="30"/>
      <c r="KE162" s="30"/>
      <c r="KF162" s="30"/>
      <c r="KG162" s="30"/>
      <c r="KH162" s="30"/>
      <c r="KI162" s="30"/>
      <c r="KJ162" s="30"/>
      <c r="KK162" s="30"/>
      <c r="KL162" s="30"/>
      <c r="KM162" s="30"/>
      <c r="KN162" s="30"/>
      <c r="KO162" s="30"/>
      <c r="KP162" s="1630"/>
    </row>
    <row r="163" spans="1:302" s="97" customFormat="1" ht="13.15" outlineLevel="1">
      <c r="A163" s="2659" t="s">
        <v>257</v>
      </c>
      <c r="B163" s="386"/>
      <c r="C163" s="1923" t="s">
        <v>838</v>
      </c>
      <c r="D163" s="1923" t="s">
        <v>839</v>
      </c>
      <c r="E163" s="376"/>
      <c r="F163" s="347"/>
      <c r="G163" s="348"/>
      <c r="H163" s="349" t="s">
        <v>26</v>
      </c>
      <c r="I163" s="2936"/>
      <c r="J163" s="362" t="s">
        <v>26</v>
      </c>
      <c r="K163" s="1745"/>
      <c r="L163" s="383"/>
      <c r="M163" s="383"/>
      <c r="N163" s="383"/>
      <c r="O163" s="1510">
        <v>2211870</v>
      </c>
      <c r="P163" s="383"/>
      <c r="Q163" s="383"/>
      <c r="R163" s="383"/>
      <c r="S163" s="1510">
        <f t="shared" ref="S163:S184" si="220">R163*Q163</f>
        <v>0</v>
      </c>
      <c r="T163" s="1509"/>
      <c r="U163" s="1746"/>
      <c r="V163" s="1746"/>
      <c r="W163" s="1744">
        <f t="shared" ref="W163:W184" si="221">O163+S163</f>
        <v>2211870</v>
      </c>
      <c r="X163" s="362" t="s">
        <v>26</v>
      </c>
      <c r="Y163" s="1509"/>
      <c r="Z163" s="1746"/>
      <c r="AA163" s="1746"/>
      <c r="AB163" s="1510">
        <f t="shared" si="216"/>
        <v>2211870</v>
      </c>
      <c r="AC163" s="2069"/>
      <c r="AD163" s="1443"/>
      <c r="AE163" s="381"/>
      <c r="AF163" s="354"/>
      <c r="AG163" s="354"/>
      <c r="AH163" s="354">
        <f t="shared" ref="AH163:AH184" si="222">AF163*AG163</f>
        <v>0</v>
      </c>
      <c r="AI163" s="355">
        <f t="shared" ca="1" si="214"/>
        <v>0</v>
      </c>
      <c r="AJ163" s="356">
        <f t="shared" ca="1" si="150"/>
        <v>0</v>
      </c>
      <c r="AK163" s="2185"/>
      <c r="AL163" s="2063"/>
      <c r="AM163" s="2258"/>
      <c r="AN163" s="2258"/>
      <c r="AO163" s="359"/>
      <c r="AP163" s="359"/>
      <c r="AQ163" s="377"/>
      <c r="AR163" s="359"/>
      <c r="AS163" s="359"/>
      <c r="AT163" s="390"/>
      <c r="AU163" s="377"/>
      <c r="AV163" s="377"/>
      <c r="AW163" s="359"/>
      <c r="AX163" s="359"/>
      <c r="AY163" s="390"/>
      <c r="AZ163" s="2273"/>
      <c r="BA163" s="513"/>
      <c r="BB163" s="513"/>
      <c r="BC163" s="359"/>
      <c r="BD163" s="359">
        <v>442374</v>
      </c>
      <c r="BE163" s="359">
        <v>442374</v>
      </c>
      <c r="BF163" s="359">
        <v>442374</v>
      </c>
      <c r="BG163" s="359">
        <v>442374</v>
      </c>
      <c r="BH163" s="359">
        <v>442374</v>
      </c>
      <c r="BI163" s="380"/>
      <c r="BJ163" s="359"/>
      <c r="BK163" s="2122"/>
      <c r="BL163" s="380"/>
      <c r="BM163" s="380"/>
      <c r="BN163" s="380"/>
      <c r="BO163" s="380"/>
      <c r="BP163" s="380"/>
      <c r="BQ163" s="2087"/>
      <c r="BR163" s="359"/>
      <c r="BS163" s="359"/>
      <c r="BT163" s="359"/>
      <c r="BU163" s="364"/>
      <c r="BV163" s="364"/>
      <c r="BW163" s="2366"/>
      <c r="BX163" s="2463"/>
      <c r="BY163" s="2543"/>
      <c r="BZ163" s="2543"/>
      <c r="CA163" s="2432">
        <f t="shared" si="217"/>
        <v>2211870</v>
      </c>
      <c r="CB163" s="2377">
        <f t="shared" si="218"/>
        <v>1</v>
      </c>
      <c r="CC163" s="365">
        <f t="shared" si="219"/>
        <v>4.5210613643658985E-7</v>
      </c>
      <c r="CD163" s="366"/>
      <c r="CE163" s="343"/>
      <c r="CF163" s="343"/>
      <c r="CG163" s="340"/>
      <c r="CH163" s="367"/>
      <c r="CI163" s="368"/>
      <c r="CJ163" s="368"/>
      <c r="CK163" s="369"/>
      <c r="CL163" s="329">
        <f t="shared" si="182"/>
        <v>0</v>
      </c>
      <c r="CM163" s="330">
        <f t="shared" ca="1" si="183"/>
        <v>0</v>
      </c>
      <c r="CN163" s="331">
        <f t="shared" ca="1" si="141"/>
        <v>-2211870</v>
      </c>
      <c r="CO163" s="86"/>
      <c r="CP163" s="86"/>
      <c r="CQ163" s="1641"/>
      <c r="CR163" s="86"/>
      <c r="CS163" s="86"/>
      <c r="CT163" s="86"/>
      <c r="CU163" s="86"/>
      <c r="CV163" s="86"/>
      <c r="CW163" s="86"/>
      <c r="CX163" s="86"/>
      <c r="CY163" s="86"/>
      <c r="CZ163" s="86"/>
      <c r="DA163" s="86"/>
      <c r="DB163" s="1642"/>
      <c r="DC163" s="1642"/>
      <c r="DD163" s="30"/>
      <c r="DE163" s="30"/>
      <c r="DF163" s="30"/>
      <c r="DG163" s="1642"/>
      <c r="DH163" s="1642"/>
      <c r="DI163" s="1642"/>
      <c r="DJ163" s="1642"/>
      <c r="DK163" s="1642"/>
      <c r="DL163" s="1642"/>
      <c r="DM163" s="1642"/>
      <c r="DN163" s="1642"/>
      <c r="DO163" s="1642"/>
      <c r="DP163" s="1642"/>
      <c r="DQ163" s="1642"/>
      <c r="DR163" s="1642"/>
      <c r="DS163" s="1642"/>
      <c r="DT163" s="1642"/>
      <c r="DU163" s="1642"/>
      <c r="DV163" s="1642"/>
      <c r="DW163" s="1642"/>
      <c r="DX163" s="1642"/>
      <c r="DY163" s="1642"/>
      <c r="DZ163" s="1642"/>
      <c r="EA163" s="1642"/>
      <c r="EB163" s="1642"/>
      <c r="EC163" s="1642"/>
      <c r="ED163" s="1642"/>
      <c r="EE163" s="1642"/>
      <c r="EF163" s="1642"/>
      <c r="EG163" s="1642"/>
      <c r="EH163" s="1643"/>
      <c r="EI163" s="1658"/>
      <c r="EJ163" s="30"/>
      <c r="EK163" s="30"/>
      <c r="EL163" s="30"/>
      <c r="EM163" s="30"/>
      <c r="EN163" s="30"/>
      <c r="EO163" s="30"/>
      <c r="EP163" s="30"/>
      <c r="EQ163" s="30"/>
      <c r="ER163" s="30"/>
      <c r="ES163" s="30"/>
      <c r="ET163" s="30"/>
      <c r="EU163" s="30"/>
      <c r="EV163" s="30"/>
      <c r="EW163" s="30"/>
      <c r="EX163" s="30"/>
      <c r="EY163" s="30"/>
      <c r="EZ163" s="30"/>
      <c r="FA163" s="30"/>
      <c r="FB163" s="30"/>
      <c r="FC163" s="30"/>
      <c r="FD163" s="30"/>
      <c r="FE163" s="30"/>
      <c r="FF163" s="30"/>
      <c r="FG163" s="30"/>
      <c r="FH163" s="30"/>
      <c r="FI163" s="30"/>
      <c r="FJ163" s="30"/>
      <c r="FK163" s="30"/>
      <c r="FL163" s="30"/>
      <c r="FM163" s="30"/>
      <c r="FN163" s="30"/>
      <c r="FO163" s="30"/>
      <c r="FP163" s="30"/>
      <c r="FQ163" s="30"/>
      <c r="FR163" s="30"/>
      <c r="FS163" s="30"/>
      <c r="FT163" s="30"/>
      <c r="FU163" s="30"/>
      <c r="FV163" s="30"/>
      <c r="FW163" s="30"/>
      <c r="FX163" s="30"/>
      <c r="FY163" s="30"/>
      <c r="FZ163" s="30"/>
      <c r="GA163" s="30"/>
      <c r="GB163" s="30"/>
      <c r="GC163" s="30"/>
      <c r="GD163" s="30"/>
      <c r="GE163" s="30"/>
      <c r="GF163" s="30"/>
      <c r="GG163" s="30"/>
      <c r="GH163" s="30"/>
      <c r="GI163" s="30"/>
      <c r="GJ163" s="30"/>
      <c r="GK163" s="30"/>
      <c r="GL163" s="30"/>
      <c r="GM163" s="30"/>
      <c r="GN163" s="30"/>
      <c r="GO163" s="30"/>
      <c r="GP163" s="30"/>
      <c r="GQ163" s="30"/>
      <c r="GR163" s="30"/>
      <c r="GS163" s="30"/>
      <c r="GT163" s="30"/>
      <c r="GU163" s="30"/>
      <c r="GV163" s="30"/>
      <c r="GW163" s="30"/>
      <c r="GX163" s="30"/>
      <c r="GY163" s="30"/>
      <c r="GZ163" s="30"/>
      <c r="HA163" s="30"/>
      <c r="HB163" s="30"/>
      <c r="HC163" s="30"/>
      <c r="HD163" s="30"/>
      <c r="HE163" s="30"/>
      <c r="HF163" s="30"/>
      <c r="HG163" s="30"/>
      <c r="HH163" s="30"/>
      <c r="HI163" s="30"/>
      <c r="HJ163" s="30"/>
      <c r="HK163" s="30"/>
      <c r="HL163" s="30"/>
      <c r="HM163" s="30"/>
      <c r="HN163" s="30"/>
      <c r="HO163" s="30"/>
      <c r="HP163" s="30"/>
      <c r="HQ163" s="30"/>
      <c r="HR163" s="30"/>
      <c r="HS163" s="30"/>
      <c r="HT163" s="30"/>
      <c r="HU163" s="30"/>
      <c r="HV163" s="30"/>
      <c r="HW163" s="30"/>
      <c r="HX163" s="30"/>
      <c r="HY163" s="30"/>
      <c r="HZ163" s="30"/>
      <c r="IA163" s="30"/>
      <c r="IB163" s="30"/>
      <c r="IC163" s="30"/>
      <c r="ID163" s="30"/>
      <c r="IE163" s="30"/>
      <c r="IF163" s="30"/>
      <c r="IG163" s="30"/>
      <c r="IH163" s="30"/>
      <c r="II163" s="30"/>
      <c r="IJ163" s="30"/>
      <c r="IK163" s="30"/>
      <c r="IL163" s="30"/>
      <c r="IM163" s="30"/>
      <c r="IN163" s="30"/>
      <c r="IO163" s="30"/>
      <c r="IP163" s="30"/>
      <c r="IQ163" s="30"/>
      <c r="IR163" s="30"/>
      <c r="IS163" s="30"/>
      <c r="IT163" s="30"/>
      <c r="IU163" s="30"/>
      <c r="IV163" s="30"/>
      <c r="IW163" s="30"/>
      <c r="IX163" s="30"/>
      <c r="IY163" s="30"/>
      <c r="IZ163" s="30"/>
      <c r="JA163" s="30"/>
      <c r="JB163" s="30"/>
      <c r="JC163" s="30"/>
      <c r="JD163" s="30"/>
      <c r="JE163" s="30"/>
      <c r="JF163" s="30"/>
      <c r="JG163" s="30"/>
      <c r="JH163" s="30"/>
      <c r="JI163" s="30"/>
      <c r="JJ163" s="30"/>
      <c r="JK163" s="30"/>
      <c r="JL163" s="30"/>
      <c r="JM163" s="30"/>
      <c r="JN163" s="30"/>
      <c r="JO163" s="30"/>
      <c r="JP163" s="30"/>
      <c r="JQ163" s="30"/>
      <c r="JR163" s="30"/>
      <c r="JS163" s="30"/>
      <c r="JT163" s="30"/>
      <c r="JU163" s="30"/>
      <c r="JV163" s="30"/>
      <c r="JW163" s="30"/>
      <c r="JX163" s="30"/>
      <c r="JY163" s="30"/>
      <c r="JZ163" s="30"/>
      <c r="KA163" s="30"/>
      <c r="KB163" s="30"/>
      <c r="KC163" s="30"/>
      <c r="KD163" s="30"/>
      <c r="KE163" s="30"/>
      <c r="KF163" s="30"/>
      <c r="KG163" s="30"/>
      <c r="KH163" s="30"/>
      <c r="KI163" s="30"/>
      <c r="KJ163" s="30"/>
      <c r="KK163" s="30"/>
      <c r="KL163" s="30"/>
      <c r="KM163" s="30"/>
      <c r="KN163" s="30"/>
      <c r="KO163" s="30"/>
      <c r="KP163" s="1630"/>
    </row>
    <row r="164" spans="1:302" s="97" customFormat="1" ht="23.45" customHeight="1" outlineLevel="1">
      <c r="A164" s="2659" t="s">
        <v>258</v>
      </c>
      <c r="B164" s="386"/>
      <c r="C164" s="1923" t="s">
        <v>840</v>
      </c>
      <c r="D164" s="1923" t="s">
        <v>841</v>
      </c>
      <c r="E164" s="376"/>
      <c r="F164" s="347"/>
      <c r="G164" s="348"/>
      <c r="H164" s="349" t="s">
        <v>26</v>
      </c>
      <c r="I164" s="2936"/>
      <c r="J164" s="362" t="s">
        <v>26</v>
      </c>
      <c r="K164" s="1745"/>
      <c r="L164" s="383"/>
      <c r="M164" s="383"/>
      <c r="N164" s="383"/>
      <c r="O164" s="1510">
        <v>275700</v>
      </c>
      <c r="P164" s="383"/>
      <c r="Q164" s="383"/>
      <c r="R164" s="383"/>
      <c r="S164" s="1510">
        <f t="shared" si="220"/>
        <v>0</v>
      </c>
      <c r="T164" s="1509"/>
      <c r="U164" s="1746"/>
      <c r="V164" s="1746"/>
      <c r="W164" s="1744">
        <f t="shared" si="221"/>
        <v>275700</v>
      </c>
      <c r="X164" s="362" t="s">
        <v>26</v>
      </c>
      <c r="Y164" s="1509"/>
      <c r="Z164" s="1746"/>
      <c r="AA164" s="1746"/>
      <c r="AB164" s="1510">
        <f t="shared" si="216"/>
        <v>275700</v>
      </c>
      <c r="AC164" s="2069"/>
      <c r="AD164" s="1443"/>
      <c r="AE164" s="381"/>
      <c r="AF164" s="354"/>
      <c r="AG164" s="354"/>
      <c r="AH164" s="354">
        <f t="shared" si="222"/>
        <v>0</v>
      </c>
      <c r="AI164" s="355">
        <f t="shared" ca="1" si="214"/>
        <v>0</v>
      </c>
      <c r="AJ164" s="356">
        <f t="shared" ca="1" si="150"/>
        <v>0</v>
      </c>
      <c r="AK164" s="2185"/>
      <c r="AL164" s="2063"/>
      <c r="AM164" s="2258"/>
      <c r="AN164" s="2258"/>
      <c r="AO164" s="359"/>
      <c r="AP164" s="359"/>
      <c r="AQ164" s="377"/>
      <c r="AR164" s="359"/>
      <c r="AS164" s="359"/>
      <c r="AT164" s="390"/>
      <c r="AU164" s="377"/>
      <c r="AV164" s="377"/>
      <c r="AW164" s="359">
        <v>45950</v>
      </c>
      <c r="AX164" s="359">
        <v>45950</v>
      </c>
      <c r="AY164" s="390">
        <v>45950</v>
      </c>
      <c r="AZ164" s="2273">
        <v>45950</v>
      </c>
      <c r="BA164" s="513">
        <v>45950</v>
      </c>
      <c r="BB164" s="513">
        <v>45950</v>
      </c>
      <c r="BC164" s="359"/>
      <c r="BD164" s="1505"/>
      <c r="BE164" s="1505"/>
      <c r="BF164" s="359"/>
      <c r="BG164" s="359"/>
      <c r="BH164" s="359"/>
      <c r="BI164" s="380"/>
      <c r="BJ164" s="359"/>
      <c r="BK164" s="2122"/>
      <c r="BL164" s="380"/>
      <c r="BM164" s="380"/>
      <c r="BN164" s="380"/>
      <c r="BO164" s="380"/>
      <c r="BP164" s="380"/>
      <c r="BQ164" s="2087"/>
      <c r="BR164" s="359"/>
      <c r="BS164" s="359"/>
      <c r="BT164" s="359"/>
      <c r="BU164" s="364"/>
      <c r="BV164" s="364"/>
      <c r="BW164" s="2366"/>
      <c r="BX164" s="2463"/>
      <c r="BY164" s="2543"/>
      <c r="BZ164" s="2543"/>
      <c r="CA164" s="2432">
        <f t="shared" si="217"/>
        <v>275700</v>
      </c>
      <c r="CB164" s="2377">
        <f t="shared" si="218"/>
        <v>1</v>
      </c>
      <c r="CC164" s="365">
        <f t="shared" si="219"/>
        <v>3.6271309394269131E-6</v>
      </c>
      <c r="CD164" s="366"/>
      <c r="CE164" s="343"/>
      <c r="CF164" s="343"/>
      <c r="CG164" s="340"/>
      <c r="CH164" s="367"/>
      <c r="CI164" s="368"/>
      <c r="CJ164" s="368"/>
      <c r="CK164" s="369"/>
      <c r="CL164" s="329">
        <f t="shared" si="182"/>
        <v>0</v>
      </c>
      <c r="CM164" s="330">
        <f t="shared" ca="1" si="183"/>
        <v>0</v>
      </c>
      <c r="CN164" s="331">
        <f t="shared" ref="CN164:CN228" ca="1" si="223">SUM(AN164:AY164)-CA164-AI164</f>
        <v>-137850</v>
      </c>
      <c r="CO164" s="86"/>
      <c r="CP164" s="86"/>
      <c r="CQ164" s="1641"/>
      <c r="CR164" s="86"/>
      <c r="CS164" s="86"/>
      <c r="CT164" s="86"/>
      <c r="CU164" s="86"/>
      <c r="CV164" s="86"/>
      <c r="CW164" s="86"/>
      <c r="CX164" s="86"/>
      <c r="CY164" s="86"/>
      <c r="CZ164" s="86"/>
      <c r="DA164" s="86"/>
      <c r="DB164" s="1642"/>
      <c r="DC164" s="1642"/>
      <c r="DD164" s="30"/>
      <c r="DE164" s="30"/>
      <c r="DF164" s="30"/>
      <c r="DG164" s="1642"/>
      <c r="DH164" s="1642"/>
      <c r="DI164" s="1642"/>
      <c r="DJ164" s="1642"/>
      <c r="DK164" s="1642"/>
      <c r="DL164" s="1642"/>
      <c r="DM164" s="1642"/>
      <c r="DN164" s="1642"/>
      <c r="DO164" s="1642"/>
      <c r="DP164" s="1642"/>
      <c r="DQ164" s="1642"/>
      <c r="DR164" s="1642"/>
      <c r="DS164" s="1642"/>
      <c r="DT164" s="1642"/>
      <c r="DU164" s="1642"/>
      <c r="DV164" s="1642"/>
      <c r="DW164" s="1642"/>
      <c r="DX164" s="1642"/>
      <c r="DY164" s="1642"/>
      <c r="DZ164" s="1642"/>
      <c r="EA164" s="1642"/>
      <c r="EB164" s="1642"/>
      <c r="EC164" s="1642"/>
      <c r="ED164" s="1642"/>
      <c r="EE164" s="1642"/>
      <c r="EF164" s="1642"/>
      <c r="EG164" s="1642"/>
      <c r="EH164" s="1643"/>
      <c r="EI164" s="1658"/>
      <c r="EJ164" s="30"/>
      <c r="EK164" s="30"/>
      <c r="EL164" s="30"/>
      <c r="EM164" s="30"/>
      <c r="EN164" s="30"/>
      <c r="EO164" s="30"/>
      <c r="EP164" s="30"/>
      <c r="EQ164" s="30"/>
      <c r="ER164" s="30"/>
      <c r="ES164" s="30"/>
      <c r="ET164" s="30"/>
      <c r="EU164" s="30"/>
      <c r="EV164" s="30"/>
      <c r="EW164" s="30"/>
      <c r="EX164" s="30"/>
      <c r="EY164" s="30"/>
      <c r="EZ164" s="30"/>
      <c r="FA164" s="30"/>
      <c r="FB164" s="30"/>
      <c r="FC164" s="30"/>
      <c r="FD164" s="30"/>
      <c r="FE164" s="30"/>
      <c r="FF164" s="30"/>
      <c r="FG164" s="30"/>
      <c r="FH164" s="30"/>
      <c r="FI164" s="30"/>
      <c r="FJ164" s="30"/>
      <c r="FK164" s="30"/>
      <c r="FL164" s="30"/>
      <c r="FM164" s="30"/>
      <c r="FN164" s="30"/>
      <c r="FO164" s="30"/>
      <c r="FP164" s="30"/>
      <c r="FQ164" s="30"/>
      <c r="FR164" s="30"/>
      <c r="FS164" s="30"/>
      <c r="FT164" s="30"/>
      <c r="FU164" s="30"/>
      <c r="FV164" s="30"/>
      <c r="FW164" s="30"/>
      <c r="FX164" s="30"/>
      <c r="FY164" s="30"/>
      <c r="FZ164" s="30"/>
      <c r="GA164" s="30"/>
      <c r="GB164" s="30"/>
      <c r="GC164" s="30"/>
      <c r="GD164" s="30"/>
      <c r="GE164" s="30"/>
      <c r="GF164" s="30"/>
      <c r="GG164" s="30"/>
      <c r="GH164" s="30"/>
      <c r="GI164" s="30"/>
      <c r="GJ164" s="30"/>
      <c r="GK164" s="30"/>
      <c r="GL164" s="30"/>
      <c r="GM164" s="30"/>
      <c r="GN164" s="30"/>
      <c r="GO164" s="30"/>
      <c r="GP164" s="30"/>
      <c r="GQ164" s="30"/>
      <c r="GR164" s="30"/>
      <c r="GS164" s="30"/>
      <c r="GT164" s="30"/>
      <c r="GU164" s="30"/>
      <c r="GV164" s="30"/>
      <c r="GW164" s="30"/>
      <c r="GX164" s="30"/>
      <c r="GY164" s="30"/>
      <c r="GZ164" s="30"/>
      <c r="HA164" s="30"/>
      <c r="HB164" s="30"/>
      <c r="HC164" s="30"/>
      <c r="HD164" s="30"/>
      <c r="HE164" s="30"/>
      <c r="HF164" s="30"/>
      <c r="HG164" s="30"/>
      <c r="HH164" s="30"/>
      <c r="HI164" s="30"/>
      <c r="HJ164" s="30"/>
      <c r="HK164" s="30"/>
      <c r="HL164" s="30"/>
      <c r="HM164" s="30"/>
      <c r="HN164" s="30"/>
      <c r="HO164" s="30"/>
      <c r="HP164" s="30"/>
      <c r="HQ164" s="30"/>
      <c r="HR164" s="30"/>
      <c r="HS164" s="30"/>
      <c r="HT164" s="30"/>
      <c r="HU164" s="30"/>
      <c r="HV164" s="30"/>
      <c r="HW164" s="30"/>
      <c r="HX164" s="30"/>
      <c r="HY164" s="30"/>
      <c r="HZ164" s="30"/>
      <c r="IA164" s="30"/>
      <c r="IB164" s="30"/>
      <c r="IC164" s="30"/>
      <c r="ID164" s="30"/>
      <c r="IE164" s="30"/>
      <c r="IF164" s="30"/>
      <c r="IG164" s="30"/>
      <c r="IH164" s="30"/>
      <c r="II164" s="30"/>
      <c r="IJ164" s="30"/>
      <c r="IK164" s="30"/>
      <c r="IL164" s="30"/>
      <c r="IM164" s="30"/>
      <c r="IN164" s="30"/>
      <c r="IO164" s="30"/>
      <c r="IP164" s="30"/>
      <c r="IQ164" s="30"/>
      <c r="IR164" s="30"/>
      <c r="IS164" s="30"/>
      <c r="IT164" s="30"/>
      <c r="IU164" s="30"/>
      <c r="IV164" s="30"/>
      <c r="IW164" s="30"/>
      <c r="IX164" s="30"/>
      <c r="IY164" s="30"/>
      <c r="IZ164" s="30"/>
      <c r="JA164" s="30"/>
      <c r="JB164" s="30"/>
      <c r="JC164" s="30"/>
      <c r="JD164" s="30"/>
      <c r="JE164" s="30"/>
      <c r="JF164" s="30"/>
      <c r="JG164" s="30"/>
      <c r="JH164" s="30"/>
      <c r="JI164" s="30"/>
      <c r="JJ164" s="30"/>
      <c r="JK164" s="30"/>
      <c r="JL164" s="30"/>
      <c r="JM164" s="30"/>
      <c r="JN164" s="30"/>
      <c r="JO164" s="30"/>
      <c r="JP164" s="30"/>
      <c r="JQ164" s="30"/>
      <c r="JR164" s="30"/>
      <c r="JS164" s="30"/>
      <c r="JT164" s="30"/>
      <c r="JU164" s="30"/>
      <c r="JV164" s="30"/>
      <c r="JW164" s="30"/>
      <c r="JX164" s="30"/>
      <c r="JY164" s="30"/>
      <c r="JZ164" s="30"/>
      <c r="KA164" s="30"/>
      <c r="KB164" s="30"/>
      <c r="KC164" s="30"/>
      <c r="KD164" s="30"/>
      <c r="KE164" s="30"/>
      <c r="KF164" s="30"/>
      <c r="KG164" s="30"/>
      <c r="KH164" s="30"/>
      <c r="KI164" s="30"/>
      <c r="KJ164" s="30"/>
      <c r="KK164" s="30"/>
      <c r="KL164" s="30"/>
      <c r="KM164" s="30"/>
      <c r="KN164" s="30"/>
      <c r="KO164" s="30"/>
      <c r="KP164" s="1630"/>
    </row>
    <row r="165" spans="1:302" s="97" customFormat="1" ht="23.45" customHeight="1" outlineLevel="1">
      <c r="A165" s="2659" t="s">
        <v>842</v>
      </c>
      <c r="B165" s="386"/>
      <c r="C165" s="1923" t="s">
        <v>843</v>
      </c>
      <c r="D165" s="1923" t="s">
        <v>844</v>
      </c>
      <c r="E165" s="376"/>
      <c r="F165" s="347"/>
      <c r="G165" s="348"/>
      <c r="H165" s="349" t="s">
        <v>26</v>
      </c>
      <c r="I165" s="2936"/>
      <c r="J165" s="362" t="s">
        <v>26</v>
      </c>
      <c r="K165" s="1745"/>
      <c r="L165" s="383"/>
      <c r="M165" s="383"/>
      <c r="N165" s="383"/>
      <c r="O165" s="1510">
        <v>715920</v>
      </c>
      <c r="P165" s="383"/>
      <c r="Q165" s="383"/>
      <c r="R165" s="383"/>
      <c r="S165" s="1510">
        <f t="shared" si="220"/>
        <v>0</v>
      </c>
      <c r="T165" s="1509"/>
      <c r="U165" s="1746"/>
      <c r="V165" s="1746"/>
      <c r="W165" s="1744">
        <f t="shared" si="221"/>
        <v>715920</v>
      </c>
      <c r="X165" s="362" t="s">
        <v>26</v>
      </c>
      <c r="Y165" s="1509"/>
      <c r="Z165" s="1746"/>
      <c r="AA165" s="1746"/>
      <c r="AB165" s="1510">
        <f t="shared" si="216"/>
        <v>715920</v>
      </c>
      <c r="AC165" s="2069"/>
      <c r="AD165" s="1443"/>
      <c r="AE165" s="381"/>
      <c r="AF165" s="354"/>
      <c r="AG165" s="354"/>
      <c r="AH165" s="354">
        <f t="shared" si="222"/>
        <v>0</v>
      </c>
      <c r="AI165" s="355">
        <f t="shared" ca="1" si="214"/>
        <v>0</v>
      </c>
      <c r="AJ165" s="356">
        <f t="shared" ca="1" si="150"/>
        <v>0</v>
      </c>
      <c r="AK165" s="2185"/>
      <c r="AL165" s="2063"/>
      <c r="AM165" s="2258"/>
      <c r="AN165" s="2258"/>
      <c r="AO165" s="359"/>
      <c r="AP165" s="359"/>
      <c r="AQ165" s="377"/>
      <c r="AR165" s="359"/>
      <c r="AS165" s="359"/>
      <c r="AT165" s="390"/>
      <c r="AU165" s="377"/>
      <c r="AV165" s="377"/>
      <c r="AW165" s="359"/>
      <c r="AX165" s="359"/>
      <c r="AY165" s="390"/>
      <c r="AZ165" s="2273">
        <v>178980</v>
      </c>
      <c r="BA165" s="513">
        <v>178980</v>
      </c>
      <c r="BB165" s="513">
        <v>178980</v>
      </c>
      <c r="BC165" s="359">
        <v>178980</v>
      </c>
      <c r="BD165" s="1505"/>
      <c r="BE165" s="1505"/>
      <c r="BF165" s="359"/>
      <c r="BG165" s="359"/>
      <c r="BH165" s="359"/>
      <c r="BI165" s="380"/>
      <c r="BJ165" s="359"/>
      <c r="BK165" s="2122"/>
      <c r="BL165" s="380"/>
      <c r="BM165" s="380"/>
      <c r="BN165" s="380"/>
      <c r="BO165" s="380"/>
      <c r="BP165" s="380"/>
      <c r="BQ165" s="2087"/>
      <c r="BR165" s="359"/>
      <c r="BS165" s="359"/>
      <c r="BT165" s="359"/>
      <c r="BU165" s="364"/>
      <c r="BV165" s="364"/>
      <c r="BW165" s="2366"/>
      <c r="BX165" s="2463"/>
      <c r="BY165" s="2543"/>
      <c r="BZ165" s="2543"/>
      <c r="CA165" s="2432">
        <f t="shared" si="217"/>
        <v>715920</v>
      </c>
      <c r="CB165" s="2377">
        <f t="shared" si="218"/>
        <v>1</v>
      </c>
      <c r="CC165" s="365">
        <f t="shared" si="219"/>
        <v>1.3968041121913062E-6</v>
      </c>
      <c r="CD165" s="366"/>
      <c r="CE165" s="343"/>
      <c r="CF165" s="343"/>
      <c r="CG165" s="340"/>
      <c r="CH165" s="367"/>
      <c r="CI165" s="368"/>
      <c r="CJ165" s="368"/>
      <c r="CK165" s="369"/>
      <c r="CL165" s="329">
        <f t="shared" si="182"/>
        <v>0</v>
      </c>
      <c r="CM165" s="330">
        <f t="shared" ca="1" si="183"/>
        <v>0</v>
      </c>
      <c r="CN165" s="331">
        <f t="shared" ca="1" si="223"/>
        <v>-715920</v>
      </c>
      <c r="CO165" s="86"/>
      <c r="CP165" s="86"/>
      <c r="CQ165" s="1641"/>
      <c r="CR165" s="86"/>
      <c r="CS165" s="86"/>
      <c r="CT165" s="86"/>
      <c r="CU165" s="86"/>
      <c r="CV165" s="86"/>
      <c r="CW165" s="86"/>
      <c r="CX165" s="86"/>
      <c r="CY165" s="86"/>
      <c r="CZ165" s="86"/>
      <c r="DA165" s="86"/>
      <c r="DB165" s="1642"/>
      <c r="DC165" s="1642"/>
      <c r="DD165" s="30"/>
      <c r="DE165" s="30"/>
      <c r="DF165" s="30"/>
      <c r="DG165" s="1642"/>
      <c r="DH165" s="1642"/>
      <c r="DI165" s="1642"/>
      <c r="DJ165" s="1642"/>
      <c r="DK165" s="1642"/>
      <c r="DL165" s="1642"/>
      <c r="DM165" s="1642"/>
      <c r="DN165" s="1642"/>
      <c r="DO165" s="1642"/>
      <c r="DP165" s="1642"/>
      <c r="DQ165" s="1642"/>
      <c r="DR165" s="1642"/>
      <c r="DS165" s="1642"/>
      <c r="DT165" s="1642"/>
      <c r="DU165" s="1642"/>
      <c r="DV165" s="1642"/>
      <c r="DW165" s="1642"/>
      <c r="DX165" s="1642"/>
      <c r="DY165" s="1642"/>
      <c r="DZ165" s="1642"/>
      <c r="EA165" s="1642"/>
      <c r="EB165" s="1642"/>
      <c r="EC165" s="1642"/>
      <c r="ED165" s="1642"/>
      <c r="EE165" s="1642"/>
      <c r="EF165" s="1642"/>
      <c r="EG165" s="1642"/>
      <c r="EH165" s="1643"/>
      <c r="EI165" s="1658"/>
      <c r="EJ165" s="30"/>
      <c r="EK165" s="30"/>
      <c r="EL165" s="30"/>
      <c r="EM165" s="30"/>
      <c r="EN165" s="30"/>
      <c r="EO165" s="30"/>
      <c r="EP165" s="30"/>
      <c r="EQ165" s="30"/>
      <c r="ER165" s="30"/>
      <c r="ES165" s="30"/>
      <c r="ET165" s="30"/>
      <c r="EU165" s="30"/>
      <c r="EV165" s="30"/>
      <c r="EW165" s="30"/>
      <c r="EX165" s="30"/>
      <c r="EY165" s="30"/>
      <c r="EZ165" s="30"/>
      <c r="FA165" s="30"/>
      <c r="FB165" s="30"/>
      <c r="FC165" s="30"/>
      <c r="FD165" s="30"/>
      <c r="FE165" s="30"/>
      <c r="FF165" s="30"/>
      <c r="FG165" s="30"/>
      <c r="FH165" s="30"/>
      <c r="FI165" s="30"/>
      <c r="FJ165" s="30"/>
      <c r="FK165" s="30"/>
      <c r="FL165" s="30"/>
      <c r="FM165" s="30"/>
      <c r="FN165" s="30"/>
      <c r="FO165" s="30"/>
      <c r="FP165" s="30"/>
      <c r="FQ165" s="30"/>
      <c r="FR165" s="30"/>
      <c r="FS165" s="30"/>
      <c r="FT165" s="30"/>
      <c r="FU165" s="30"/>
      <c r="FV165" s="30"/>
      <c r="FW165" s="30"/>
      <c r="FX165" s="30"/>
      <c r="FY165" s="30"/>
      <c r="FZ165" s="30"/>
      <c r="GA165" s="30"/>
      <c r="GB165" s="30"/>
      <c r="GC165" s="30"/>
      <c r="GD165" s="30"/>
      <c r="GE165" s="30"/>
      <c r="GF165" s="30"/>
      <c r="GG165" s="30"/>
      <c r="GH165" s="30"/>
      <c r="GI165" s="30"/>
      <c r="GJ165" s="30"/>
      <c r="GK165" s="30"/>
      <c r="GL165" s="30"/>
      <c r="GM165" s="30"/>
      <c r="GN165" s="30"/>
      <c r="GO165" s="30"/>
      <c r="GP165" s="30"/>
      <c r="GQ165" s="30"/>
      <c r="GR165" s="30"/>
      <c r="GS165" s="30"/>
      <c r="GT165" s="30"/>
      <c r="GU165" s="30"/>
      <c r="GV165" s="30"/>
      <c r="GW165" s="30"/>
      <c r="GX165" s="30"/>
      <c r="GY165" s="30"/>
      <c r="GZ165" s="30"/>
      <c r="HA165" s="30"/>
      <c r="HB165" s="30"/>
      <c r="HC165" s="30"/>
      <c r="HD165" s="30"/>
      <c r="HE165" s="30"/>
      <c r="HF165" s="30"/>
      <c r="HG165" s="30"/>
      <c r="HH165" s="30"/>
      <c r="HI165" s="30"/>
      <c r="HJ165" s="30"/>
      <c r="HK165" s="30"/>
      <c r="HL165" s="30"/>
      <c r="HM165" s="30"/>
      <c r="HN165" s="30"/>
      <c r="HO165" s="30"/>
      <c r="HP165" s="30"/>
      <c r="HQ165" s="30"/>
      <c r="HR165" s="30"/>
      <c r="HS165" s="30"/>
      <c r="HT165" s="30"/>
      <c r="HU165" s="30"/>
      <c r="HV165" s="30"/>
      <c r="HW165" s="30"/>
      <c r="HX165" s="30"/>
      <c r="HY165" s="30"/>
      <c r="HZ165" s="30"/>
      <c r="IA165" s="30"/>
      <c r="IB165" s="30"/>
      <c r="IC165" s="30"/>
      <c r="ID165" s="30"/>
      <c r="IE165" s="30"/>
      <c r="IF165" s="30"/>
      <c r="IG165" s="30"/>
      <c r="IH165" s="30"/>
      <c r="II165" s="30"/>
      <c r="IJ165" s="30"/>
      <c r="IK165" s="30"/>
      <c r="IL165" s="30"/>
      <c r="IM165" s="30"/>
      <c r="IN165" s="30"/>
      <c r="IO165" s="30"/>
      <c r="IP165" s="30"/>
      <c r="IQ165" s="30"/>
      <c r="IR165" s="30"/>
      <c r="IS165" s="30"/>
      <c r="IT165" s="30"/>
      <c r="IU165" s="30"/>
      <c r="IV165" s="30"/>
      <c r="IW165" s="30"/>
      <c r="IX165" s="30"/>
      <c r="IY165" s="30"/>
      <c r="IZ165" s="30"/>
      <c r="JA165" s="30"/>
      <c r="JB165" s="30"/>
      <c r="JC165" s="30"/>
      <c r="JD165" s="30"/>
      <c r="JE165" s="30"/>
      <c r="JF165" s="30"/>
      <c r="JG165" s="30"/>
      <c r="JH165" s="30"/>
      <c r="JI165" s="30"/>
      <c r="JJ165" s="30"/>
      <c r="JK165" s="30"/>
      <c r="JL165" s="30"/>
      <c r="JM165" s="30"/>
      <c r="JN165" s="30"/>
      <c r="JO165" s="30"/>
      <c r="JP165" s="30"/>
      <c r="JQ165" s="30"/>
      <c r="JR165" s="30"/>
      <c r="JS165" s="30"/>
      <c r="JT165" s="30"/>
      <c r="JU165" s="30"/>
      <c r="JV165" s="30"/>
      <c r="JW165" s="30"/>
      <c r="JX165" s="30"/>
      <c r="JY165" s="30"/>
      <c r="JZ165" s="30"/>
      <c r="KA165" s="30"/>
      <c r="KB165" s="30"/>
      <c r="KC165" s="30"/>
      <c r="KD165" s="30"/>
      <c r="KE165" s="30"/>
      <c r="KF165" s="30"/>
      <c r="KG165" s="30"/>
      <c r="KH165" s="30"/>
      <c r="KI165" s="30"/>
      <c r="KJ165" s="30"/>
      <c r="KK165" s="30"/>
      <c r="KL165" s="30"/>
      <c r="KM165" s="30"/>
      <c r="KN165" s="30"/>
      <c r="KO165" s="30"/>
      <c r="KP165" s="1630"/>
    </row>
    <row r="166" spans="1:302" s="97" customFormat="1" ht="23.45" customHeight="1" outlineLevel="1">
      <c r="A166" s="2659" t="s">
        <v>845</v>
      </c>
      <c r="B166" s="386"/>
      <c r="C166" s="1923" t="s">
        <v>846</v>
      </c>
      <c r="D166" s="1923" t="s">
        <v>847</v>
      </c>
      <c r="E166" s="376"/>
      <c r="F166" s="347"/>
      <c r="G166" s="348"/>
      <c r="H166" s="349" t="s">
        <v>26</v>
      </c>
      <c r="I166" s="2936"/>
      <c r="J166" s="362" t="s">
        <v>26</v>
      </c>
      <c r="K166" s="1745"/>
      <c r="L166" s="383"/>
      <c r="M166" s="383"/>
      <c r="N166" s="383"/>
      <c r="O166" s="1510">
        <v>821016</v>
      </c>
      <c r="P166" s="383"/>
      <c r="Q166" s="383"/>
      <c r="R166" s="383"/>
      <c r="S166" s="1510">
        <f t="shared" si="220"/>
        <v>0</v>
      </c>
      <c r="T166" s="1509"/>
      <c r="U166" s="1746"/>
      <c r="V166" s="1746"/>
      <c r="W166" s="1744">
        <f t="shared" si="221"/>
        <v>821016</v>
      </c>
      <c r="X166" s="362" t="s">
        <v>26</v>
      </c>
      <c r="Y166" s="1509"/>
      <c r="Z166" s="1746"/>
      <c r="AA166" s="1746"/>
      <c r="AB166" s="1510">
        <f t="shared" si="216"/>
        <v>821016</v>
      </c>
      <c r="AC166" s="2069"/>
      <c r="AD166" s="1443"/>
      <c r="AE166" s="381"/>
      <c r="AF166" s="354"/>
      <c r="AG166" s="354"/>
      <c r="AH166" s="354">
        <f t="shared" si="222"/>
        <v>0</v>
      </c>
      <c r="AI166" s="355">
        <f t="shared" ca="1" si="214"/>
        <v>0</v>
      </c>
      <c r="AJ166" s="356">
        <f t="shared" ca="1" si="150"/>
        <v>0</v>
      </c>
      <c r="AK166" s="2185"/>
      <c r="AL166" s="2063"/>
      <c r="AM166" s="2258"/>
      <c r="AN166" s="2258"/>
      <c r="AO166" s="359"/>
      <c r="AP166" s="359"/>
      <c r="AQ166" s="377"/>
      <c r="AR166" s="359"/>
      <c r="AS166" s="359"/>
      <c r="AT166" s="390"/>
      <c r="AU166" s="377"/>
      <c r="AV166" s="377"/>
      <c r="AW166" s="359"/>
      <c r="AX166" s="359"/>
      <c r="AY166" s="390"/>
      <c r="AZ166" s="2273"/>
      <c r="BA166" s="513"/>
      <c r="BB166" s="513"/>
      <c r="BC166" s="359">
        <v>117288</v>
      </c>
      <c r="BD166" s="359">
        <v>117288</v>
      </c>
      <c r="BE166" s="359">
        <v>117288</v>
      </c>
      <c r="BF166" s="359">
        <v>117288</v>
      </c>
      <c r="BG166" s="359">
        <v>117288</v>
      </c>
      <c r="BH166" s="359">
        <v>117288</v>
      </c>
      <c r="BI166" s="380">
        <v>117288</v>
      </c>
      <c r="BJ166" s="359"/>
      <c r="BK166" s="2122"/>
      <c r="BL166" s="380"/>
      <c r="BM166" s="380"/>
      <c r="BN166" s="380"/>
      <c r="BO166" s="380"/>
      <c r="BP166" s="380"/>
      <c r="BQ166" s="2087"/>
      <c r="BR166" s="359"/>
      <c r="BS166" s="359"/>
      <c r="BT166" s="359"/>
      <c r="BU166" s="364"/>
      <c r="BV166" s="364"/>
      <c r="BW166" s="2366"/>
      <c r="BX166" s="2463"/>
      <c r="BY166" s="2543"/>
      <c r="BZ166" s="2543"/>
      <c r="CA166" s="2432">
        <f t="shared" si="217"/>
        <v>821016</v>
      </c>
      <c r="CB166" s="2377">
        <f t="shared" si="218"/>
        <v>1</v>
      </c>
      <c r="CC166" s="365">
        <f t="shared" si="219"/>
        <v>1.2180030596236858E-6</v>
      </c>
      <c r="CD166" s="366"/>
      <c r="CE166" s="343"/>
      <c r="CF166" s="343"/>
      <c r="CG166" s="340"/>
      <c r="CH166" s="367"/>
      <c r="CI166" s="368"/>
      <c r="CJ166" s="368"/>
      <c r="CK166" s="369"/>
      <c r="CL166" s="329">
        <f t="shared" si="182"/>
        <v>0</v>
      </c>
      <c r="CM166" s="330">
        <f t="shared" ca="1" si="183"/>
        <v>0</v>
      </c>
      <c r="CN166" s="331">
        <f t="shared" ca="1" si="223"/>
        <v>-821016</v>
      </c>
      <c r="CO166" s="86"/>
      <c r="CP166" s="86"/>
      <c r="CQ166" s="1641"/>
      <c r="CR166" s="86"/>
      <c r="CS166" s="86"/>
      <c r="CT166" s="86"/>
      <c r="CU166" s="86"/>
      <c r="CV166" s="86"/>
      <c r="CW166" s="86"/>
      <c r="CX166" s="86"/>
      <c r="CY166" s="86"/>
      <c r="CZ166" s="86"/>
      <c r="DA166" s="86"/>
      <c r="DB166" s="1642"/>
      <c r="DC166" s="1642"/>
      <c r="DD166" s="30"/>
      <c r="DE166" s="30"/>
      <c r="DF166" s="30"/>
      <c r="DG166" s="1642"/>
      <c r="DH166" s="1642"/>
      <c r="DI166" s="1642"/>
      <c r="DJ166" s="1642"/>
      <c r="DK166" s="1642"/>
      <c r="DL166" s="1642"/>
      <c r="DM166" s="1642"/>
      <c r="DN166" s="1642"/>
      <c r="DO166" s="1642"/>
      <c r="DP166" s="1642"/>
      <c r="DQ166" s="1642"/>
      <c r="DR166" s="1642"/>
      <c r="DS166" s="1642"/>
      <c r="DT166" s="1642"/>
      <c r="DU166" s="1642"/>
      <c r="DV166" s="1642"/>
      <c r="DW166" s="1642"/>
      <c r="DX166" s="1642"/>
      <c r="DY166" s="1642"/>
      <c r="DZ166" s="1642"/>
      <c r="EA166" s="1642"/>
      <c r="EB166" s="1642"/>
      <c r="EC166" s="1642"/>
      <c r="ED166" s="1642"/>
      <c r="EE166" s="1642"/>
      <c r="EF166" s="1642"/>
      <c r="EG166" s="1642"/>
      <c r="EH166" s="1643"/>
      <c r="EI166" s="1658"/>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0"/>
      <c r="HP166" s="30"/>
      <c r="HQ166" s="30"/>
      <c r="HR166" s="30"/>
      <c r="HS166" s="30"/>
      <c r="HT166" s="30"/>
      <c r="HU166" s="30"/>
      <c r="HV166" s="30"/>
      <c r="HW166" s="30"/>
      <c r="HX166" s="30"/>
      <c r="HY166" s="30"/>
      <c r="HZ166" s="30"/>
      <c r="IA166" s="30"/>
      <c r="IB166" s="30"/>
      <c r="IC166" s="30"/>
      <c r="ID166" s="30"/>
      <c r="IE166" s="30"/>
      <c r="IF166" s="30"/>
      <c r="IG166" s="30"/>
      <c r="IH166" s="30"/>
      <c r="II166" s="30"/>
      <c r="IJ166" s="30"/>
      <c r="IK166" s="30"/>
      <c r="IL166" s="30"/>
      <c r="IM166" s="30"/>
      <c r="IN166" s="30"/>
      <c r="IO166" s="30"/>
      <c r="IP166" s="30"/>
      <c r="IQ166" s="30"/>
      <c r="IR166" s="30"/>
      <c r="IS166" s="30"/>
      <c r="IT166" s="30"/>
      <c r="IU166" s="30"/>
      <c r="IV166" s="30"/>
      <c r="IW166" s="30"/>
      <c r="IX166" s="30"/>
      <c r="IY166" s="30"/>
      <c r="IZ166" s="30"/>
      <c r="JA166" s="30"/>
      <c r="JB166" s="30"/>
      <c r="JC166" s="30"/>
      <c r="JD166" s="30"/>
      <c r="JE166" s="30"/>
      <c r="JF166" s="30"/>
      <c r="JG166" s="30"/>
      <c r="JH166" s="30"/>
      <c r="JI166" s="30"/>
      <c r="JJ166" s="30"/>
      <c r="JK166" s="30"/>
      <c r="JL166" s="30"/>
      <c r="JM166" s="30"/>
      <c r="JN166" s="30"/>
      <c r="JO166" s="30"/>
      <c r="JP166" s="30"/>
      <c r="JQ166" s="30"/>
      <c r="JR166" s="30"/>
      <c r="JS166" s="30"/>
      <c r="JT166" s="30"/>
      <c r="JU166" s="30"/>
      <c r="JV166" s="30"/>
      <c r="JW166" s="30"/>
      <c r="JX166" s="30"/>
      <c r="JY166" s="30"/>
      <c r="JZ166" s="30"/>
      <c r="KA166" s="30"/>
      <c r="KB166" s="30"/>
      <c r="KC166" s="30"/>
      <c r="KD166" s="30"/>
      <c r="KE166" s="30"/>
      <c r="KF166" s="30"/>
      <c r="KG166" s="30"/>
      <c r="KH166" s="30"/>
      <c r="KI166" s="30"/>
      <c r="KJ166" s="30"/>
      <c r="KK166" s="30"/>
      <c r="KL166" s="30"/>
      <c r="KM166" s="30"/>
      <c r="KN166" s="30"/>
      <c r="KO166" s="30"/>
      <c r="KP166" s="1630"/>
    </row>
    <row r="167" spans="1:302" s="97" customFormat="1" ht="23.45" customHeight="1" outlineLevel="1">
      <c r="A167" s="2659" t="s">
        <v>848</v>
      </c>
      <c r="B167" s="386"/>
      <c r="C167" s="1923" t="s">
        <v>849</v>
      </c>
      <c r="D167" s="1923" t="s">
        <v>850</v>
      </c>
      <c r="E167" s="376"/>
      <c r="F167" s="347"/>
      <c r="G167" s="348"/>
      <c r="H167" s="349" t="s">
        <v>26</v>
      </c>
      <c r="I167" s="2936"/>
      <c r="J167" s="362" t="s">
        <v>26</v>
      </c>
      <c r="K167" s="1745"/>
      <c r="L167" s="383"/>
      <c r="M167" s="383"/>
      <c r="N167" s="383"/>
      <c r="O167" s="1510">
        <v>240990</v>
      </c>
      <c r="P167" s="383"/>
      <c r="Q167" s="383"/>
      <c r="R167" s="383"/>
      <c r="S167" s="1510">
        <f t="shared" si="220"/>
        <v>0</v>
      </c>
      <c r="T167" s="1509"/>
      <c r="U167" s="1746"/>
      <c r="V167" s="1746"/>
      <c r="W167" s="1744">
        <f t="shared" si="221"/>
        <v>240990</v>
      </c>
      <c r="X167" s="362" t="s">
        <v>26</v>
      </c>
      <c r="Y167" s="1509"/>
      <c r="Z167" s="1746"/>
      <c r="AA167" s="1746"/>
      <c r="AB167" s="1510">
        <f t="shared" si="216"/>
        <v>240990</v>
      </c>
      <c r="AC167" s="2069"/>
      <c r="AD167" s="1443"/>
      <c r="AE167" s="381"/>
      <c r="AF167" s="354"/>
      <c r="AG167" s="354"/>
      <c r="AH167" s="354">
        <f t="shared" si="222"/>
        <v>0</v>
      </c>
      <c r="AI167" s="355">
        <f t="shared" ca="1" si="214"/>
        <v>0</v>
      </c>
      <c r="AJ167" s="356">
        <f t="shared" ca="1" si="150"/>
        <v>0</v>
      </c>
      <c r="AK167" s="2185"/>
      <c r="AL167" s="2063"/>
      <c r="AM167" s="2258"/>
      <c r="AN167" s="2258"/>
      <c r="AO167" s="359"/>
      <c r="AP167" s="359"/>
      <c r="AQ167" s="377"/>
      <c r="AR167" s="359"/>
      <c r="AS167" s="359"/>
      <c r="AT167" s="390"/>
      <c r="AU167" s="377"/>
      <c r="AV167" s="377"/>
      <c r="AW167" s="359"/>
      <c r="AX167" s="359"/>
      <c r="AY167" s="390"/>
      <c r="AZ167" s="2273">
        <v>60247.5</v>
      </c>
      <c r="BA167" s="513">
        <v>60247.5</v>
      </c>
      <c r="BB167" s="513">
        <v>60247.5</v>
      </c>
      <c r="BC167" s="359">
        <v>60247.5</v>
      </c>
      <c r="BD167" s="1505"/>
      <c r="BE167" s="1505"/>
      <c r="BF167" s="359"/>
      <c r="BG167" s="359"/>
      <c r="BH167" s="359"/>
      <c r="BI167" s="380"/>
      <c r="BJ167" s="359"/>
      <c r="BK167" s="2122"/>
      <c r="BL167" s="380"/>
      <c r="BM167" s="380"/>
      <c r="BN167" s="380"/>
      <c r="BO167" s="380"/>
      <c r="BP167" s="380"/>
      <c r="BQ167" s="2087"/>
      <c r="BR167" s="359"/>
      <c r="BS167" s="359"/>
      <c r="BT167" s="359"/>
      <c r="BU167" s="364"/>
      <c r="BV167" s="364"/>
      <c r="BW167" s="2366"/>
      <c r="BX167" s="2463"/>
      <c r="BY167" s="2543"/>
      <c r="BZ167" s="2543"/>
      <c r="CA167" s="2432">
        <f t="shared" si="217"/>
        <v>240990</v>
      </c>
      <c r="CB167" s="2377">
        <f t="shared" si="218"/>
        <v>1</v>
      </c>
      <c r="CC167" s="365">
        <f t="shared" si="219"/>
        <v>4.1495497738495375E-6</v>
      </c>
      <c r="CD167" s="366"/>
      <c r="CE167" s="343"/>
      <c r="CF167" s="343"/>
      <c r="CG167" s="340"/>
      <c r="CH167" s="367"/>
      <c r="CI167" s="368"/>
      <c r="CJ167" s="368"/>
      <c r="CK167" s="369"/>
      <c r="CL167" s="329">
        <f t="shared" si="182"/>
        <v>0</v>
      </c>
      <c r="CM167" s="330">
        <f t="shared" ca="1" si="183"/>
        <v>0</v>
      </c>
      <c r="CN167" s="331">
        <f t="shared" ca="1" si="223"/>
        <v>-240990</v>
      </c>
      <c r="CO167" s="86"/>
      <c r="CP167" s="86"/>
      <c r="CQ167" s="1641"/>
      <c r="CR167" s="86"/>
      <c r="CS167" s="86"/>
      <c r="CT167" s="86"/>
      <c r="CU167" s="86"/>
      <c r="CV167" s="86"/>
      <c r="CW167" s="86"/>
      <c r="CX167" s="86"/>
      <c r="CY167" s="86"/>
      <c r="CZ167" s="86"/>
      <c r="DA167" s="86"/>
      <c r="DB167" s="1642"/>
      <c r="DC167" s="1642"/>
      <c r="DD167" s="30"/>
      <c r="DE167" s="30"/>
      <c r="DF167" s="30"/>
      <c r="DG167" s="1642"/>
      <c r="DH167" s="1642"/>
      <c r="DI167" s="1642"/>
      <c r="DJ167" s="1642"/>
      <c r="DK167" s="1642"/>
      <c r="DL167" s="1642"/>
      <c r="DM167" s="1642"/>
      <c r="DN167" s="1642"/>
      <c r="DO167" s="1642"/>
      <c r="DP167" s="1642"/>
      <c r="DQ167" s="1642"/>
      <c r="DR167" s="1642"/>
      <c r="DS167" s="1642"/>
      <c r="DT167" s="1642"/>
      <c r="DU167" s="1642"/>
      <c r="DV167" s="1642"/>
      <c r="DW167" s="1642"/>
      <c r="DX167" s="1642"/>
      <c r="DY167" s="1642"/>
      <c r="DZ167" s="1642"/>
      <c r="EA167" s="1642"/>
      <c r="EB167" s="1642"/>
      <c r="EC167" s="1642"/>
      <c r="ED167" s="1642"/>
      <c r="EE167" s="1642"/>
      <c r="EF167" s="1642"/>
      <c r="EG167" s="1642"/>
      <c r="EH167" s="1643"/>
      <c r="EI167" s="1658"/>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0"/>
      <c r="HP167" s="30"/>
      <c r="HQ167" s="30"/>
      <c r="HR167" s="30"/>
      <c r="HS167" s="30"/>
      <c r="HT167" s="30"/>
      <c r="HU167" s="30"/>
      <c r="HV167" s="30"/>
      <c r="HW167" s="30"/>
      <c r="HX167" s="30"/>
      <c r="HY167" s="30"/>
      <c r="HZ167" s="30"/>
      <c r="IA167" s="30"/>
      <c r="IB167" s="30"/>
      <c r="IC167" s="30"/>
      <c r="ID167" s="30"/>
      <c r="IE167" s="30"/>
      <c r="IF167" s="30"/>
      <c r="IG167" s="30"/>
      <c r="IH167" s="30"/>
      <c r="II167" s="30"/>
      <c r="IJ167" s="30"/>
      <c r="IK167" s="30"/>
      <c r="IL167" s="30"/>
      <c r="IM167" s="30"/>
      <c r="IN167" s="30"/>
      <c r="IO167" s="30"/>
      <c r="IP167" s="30"/>
      <c r="IQ167" s="30"/>
      <c r="IR167" s="30"/>
      <c r="IS167" s="30"/>
      <c r="IT167" s="30"/>
      <c r="IU167" s="30"/>
      <c r="IV167" s="30"/>
      <c r="IW167" s="30"/>
      <c r="IX167" s="30"/>
      <c r="IY167" s="30"/>
      <c r="IZ167" s="30"/>
      <c r="JA167" s="30"/>
      <c r="JB167" s="30"/>
      <c r="JC167" s="30"/>
      <c r="JD167" s="30"/>
      <c r="JE167" s="30"/>
      <c r="JF167" s="30"/>
      <c r="JG167" s="30"/>
      <c r="JH167" s="30"/>
      <c r="JI167" s="30"/>
      <c r="JJ167" s="30"/>
      <c r="JK167" s="30"/>
      <c r="JL167" s="30"/>
      <c r="JM167" s="30"/>
      <c r="JN167" s="30"/>
      <c r="JO167" s="30"/>
      <c r="JP167" s="30"/>
      <c r="JQ167" s="30"/>
      <c r="JR167" s="30"/>
      <c r="JS167" s="30"/>
      <c r="JT167" s="30"/>
      <c r="JU167" s="30"/>
      <c r="JV167" s="30"/>
      <c r="JW167" s="30"/>
      <c r="JX167" s="30"/>
      <c r="JY167" s="30"/>
      <c r="JZ167" s="30"/>
      <c r="KA167" s="30"/>
      <c r="KB167" s="30"/>
      <c r="KC167" s="30"/>
      <c r="KD167" s="30"/>
      <c r="KE167" s="30"/>
      <c r="KF167" s="30"/>
      <c r="KG167" s="30"/>
      <c r="KH167" s="30"/>
      <c r="KI167" s="30"/>
      <c r="KJ167" s="30"/>
      <c r="KK167" s="30"/>
      <c r="KL167" s="30"/>
      <c r="KM167" s="30"/>
      <c r="KN167" s="30"/>
      <c r="KO167" s="30"/>
      <c r="KP167" s="1630"/>
    </row>
    <row r="168" spans="1:302" s="97" customFormat="1" ht="23.45" customHeight="1" outlineLevel="1">
      <c r="A168" s="2659" t="s">
        <v>851</v>
      </c>
      <c r="B168" s="386"/>
      <c r="C168" s="1923" t="s">
        <v>852</v>
      </c>
      <c r="D168" s="1923" t="s">
        <v>853</v>
      </c>
      <c r="E168" s="376"/>
      <c r="F168" s="347"/>
      <c r="G168" s="348"/>
      <c r="H168" s="349" t="s">
        <v>26</v>
      </c>
      <c r="I168" s="2936"/>
      <c r="J168" s="362" t="s">
        <v>26</v>
      </c>
      <c r="K168" s="1745"/>
      <c r="L168" s="383"/>
      <c r="M168" s="383"/>
      <c r="N168" s="383"/>
      <c r="O168" s="1510">
        <v>45500</v>
      </c>
      <c r="P168" s="383"/>
      <c r="Q168" s="383"/>
      <c r="R168" s="383"/>
      <c r="S168" s="1510">
        <f t="shared" si="220"/>
        <v>0</v>
      </c>
      <c r="T168" s="1509"/>
      <c r="U168" s="1746"/>
      <c r="V168" s="1746"/>
      <c r="W168" s="1744">
        <f t="shared" si="221"/>
        <v>45500</v>
      </c>
      <c r="X168" s="362" t="s">
        <v>26</v>
      </c>
      <c r="Y168" s="1509"/>
      <c r="Z168" s="1746"/>
      <c r="AA168" s="1746"/>
      <c r="AB168" s="1510">
        <f t="shared" si="216"/>
        <v>45500</v>
      </c>
      <c r="AC168" s="2069"/>
      <c r="AD168" s="1443"/>
      <c r="AE168" s="381"/>
      <c r="AF168" s="354"/>
      <c r="AG168" s="354"/>
      <c r="AH168" s="354">
        <f t="shared" si="222"/>
        <v>0</v>
      </c>
      <c r="AI168" s="355">
        <f t="shared" ca="1" si="214"/>
        <v>0</v>
      </c>
      <c r="AJ168" s="356">
        <f t="shared" ca="1" si="150"/>
        <v>0</v>
      </c>
      <c r="AK168" s="2185"/>
      <c r="AL168" s="2063"/>
      <c r="AM168" s="2258"/>
      <c r="AN168" s="2258"/>
      <c r="AO168" s="359"/>
      <c r="AP168" s="359"/>
      <c r="AQ168" s="377"/>
      <c r="AR168" s="359"/>
      <c r="AS168" s="359"/>
      <c r="AT168" s="390"/>
      <c r="AU168" s="377"/>
      <c r="AV168" s="377"/>
      <c r="AW168" s="359"/>
      <c r="AX168" s="359"/>
      <c r="AY168" s="390"/>
      <c r="AZ168" s="2273"/>
      <c r="BA168" s="513"/>
      <c r="BB168" s="513"/>
      <c r="BC168" s="359"/>
      <c r="BD168" s="359"/>
      <c r="BE168" s="359">
        <v>9100</v>
      </c>
      <c r="BF168" s="359">
        <v>9100</v>
      </c>
      <c r="BG168" s="359">
        <v>9100</v>
      </c>
      <c r="BH168" s="359">
        <v>9100</v>
      </c>
      <c r="BI168" s="380">
        <v>9100</v>
      </c>
      <c r="BJ168" s="359"/>
      <c r="BK168" s="2122"/>
      <c r="BL168" s="380"/>
      <c r="BM168" s="380"/>
      <c r="BN168" s="380"/>
      <c r="BO168" s="380"/>
      <c r="BP168" s="380"/>
      <c r="BQ168" s="2087"/>
      <c r="BR168" s="359"/>
      <c r="BS168" s="359"/>
      <c r="BT168" s="359"/>
      <c r="BU168" s="364"/>
      <c r="BV168" s="364"/>
      <c r="BW168" s="2366"/>
      <c r="BX168" s="2463"/>
      <c r="BY168" s="2543"/>
      <c r="BZ168" s="2543"/>
      <c r="CA168" s="2432">
        <f t="shared" si="217"/>
        <v>45500</v>
      </c>
      <c r="CB168" s="2377">
        <f t="shared" si="218"/>
        <v>1</v>
      </c>
      <c r="CC168" s="365">
        <f t="shared" si="219"/>
        <v>2.1978021978021977E-5</v>
      </c>
      <c r="CD168" s="366"/>
      <c r="CE168" s="343"/>
      <c r="CF168" s="343"/>
      <c r="CG168" s="340"/>
      <c r="CH168" s="367"/>
      <c r="CI168" s="368"/>
      <c r="CJ168" s="368"/>
      <c r="CK168" s="369"/>
      <c r="CL168" s="329">
        <f t="shared" si="182"/>
        <v>0</v>
      </c>
      <c r="CM168" s="330">
        <f t="shared" ca="1" si="183"/>
        <v>0</v>
      </c>
      <c r="CN168" s="331">
        <f t="shared" ca="1" si="223"/>
        <v>-45500</v>
      </c>
      <c r="CO168" s="86"/>
      <c r="CP168" s="86"/>
      <c r="CQ168" s="1641"/>
      <c r="CR168" s="86"/>
      <c r="CS168" s="86"/>
      <c r="CT168" s="86"/>
      <c r="CU168" s="86"/>
      <c r="CV168" s="86"/>
      <c r="CW168" s="86"/>
      <c r="CX168" s="86"/>
      <c r="CY168" s="86"/>
      <c r="CZ168" s="86"/>
      <c r="DA168" s="86"/>
      <c r="DB168" s="1642"/>
      <c r="DC168" s="1642"/>
      <c r="DD168" s="30"/>
      <c r="DE168" s="30"/>
      <c r="DF168" s="30"/>
      <c r="DG168" s="1642"/>
      <c r="DH168" s="1642"/>
      <c r="DI168" s="1642"/>
      <c r="DJ168" s="1642"/>
      <c r="DK168" s="1642"/>
      <c r="DL168" s="1642"/>
      <c r="DM168" s="1642"/>
      <c r="DN168" s="1642"/>
      <c r="DO168" s="1642"/>
      <c r="DP168" s="1642"/>
      <c r="DQ168" s="1642"/>
      <c r="DR168" s="1642"/>
      <c r="DS168" s="1642"/>
      <c r="DT168" s="1642"/>
      <c r="DU168" s="1642"/>
      <c r="DV168" s="1642"/>
      <c r="DW168" s="1642"/>
      <c r="DX168" s="1642"/>
      <c r="DY168" s="1642"/>
      <c r="DZ168" s="1642"/>
      <c r="EA168" s="1642"/>
      <c r="EB168" s="1642"/>
      <c r="EC168" s="1642"/>
      <c r="ED168" s="1642"/>
      <c r="EE168" s="1642"/>
      <c r="EF168" s="1642"/>
      <c r="EG168" s="1642"/>
      <c r="EH168" s="1643"/>
      <c r="EI168" s="1658"/>
      <c r="EJ168" s="30"/>
      <c r="EK168" s="30"/>
      <c r="EL168" s="30"/>
      <c r="EM168" s="30"/>
      <c r="EN168" s="30"/>
      <c r="EO168" s="30"/>
      <c r="EP168" s="30"/>
      <c r="EQ168" s="30"/>
      <c r="ER168" s="30"/>
      <c r="ES168" s="30"/>
      <c r="ET168" s="30"/>
      <c r="EU168" s="30"/>
      <c r="EV168" s="30"/>
      <c r="EW168" s="30"/>
      <c r="EX168" s="30"/>
      <c r="EY168" s="30"/>
      <c r="EZ168" s="30"/>
      <c r="FA168" s="30"/>
      <c r="FB168" s="30"/>
      <c r="FC168" s="30"/>
      <c r="FD168" s="30"/>
      <c r="FE168" s="30"/>
      <c r="FF168" s="30"/>
      <c r="FG168" s="30"/>
      <c r="FH168" s="30"/>
      <c r="FI168" s="30"/>
      <c r="FJ168" s="30"/>
      <c r="FK168" s="30"/>
      <c r="FL168" s="30"/>
      <c r="FM168" s="30"/>
      <c r="FN168" s="30"/>
      <c r="FO168" s="30"/>
      <c r="FP168" s="30"/>
      <c r="FQ168" s="30"/>
      <c r="FR168" s="30"/>
      <c r="FS168" s="30"/>
      <c r="FT168" s="30"/>
      <c r="FU168" s="30"/>
      <c r="FV168" s="30"/>
      <c r="FW168" s="30"/>
      <c r="FX168" s="30"/>
      <c r="FY168" s="30"/>
      <c r="FZ168" s="30"/>
      <c r="GA168" s="30"/>
      <c r="GB168" s="30"/>
      <c r="GC168" s="30"/>
      <c r="GD168" s="30"/>
      <c r="GE168" s="30"/>
      <c r="GF168" s="30"/>
      <c r="GG168" s="30"/>
      <c r="GH168" s="30"/>
      <c r="GI168" s="30"/>
      <c r="GJ168" s="30"/>
      <c r="GK168" s="30"/>
      <c r="GL168" s="30"/>
      <c r="GM168" s="30"/>
      <c r="GN168" s="30"/>
      <c r="GO168" s="30"/>
      <c r="GP168" s="30"/>
      <c r="GQ168" s="30"/>
      <c r="GR168" s="30"/>
      <c r="GS168" s="30"/>
      <c r="GT168" s="30"/>
      <c r="GU168" s="30"/>
      <c r="GV168" s="30"/>
      <c r="GW168" s="30"/>
      <c r="GX168" s="30"/>
      <c r="GY168" s="30"/>
      <c r="GZ168" s="30"/>
      <c r="HA168" s="30"/>
      <c r="HB168" s="30"/>
      <c r="HC168" s="30"/>
      <c r="HD168" s="30"/>
      <c r="HE168" s="30"/>
      <c r="HF168" s="30"/>
      <c r="HG168" s="30"/>
      <c r="HH168" s="30"/>
      <c r="HI168" s="30"/>
      <c r="HJ168" s="30"/>
      <c r="HK168" s="30"/>
      <c r="HL168" s="30"/>
      <c r="HM168" s="30"/>
      <c r="HN168" s="30"/>
      <c r="HO168" s="30"/>
      <c r="HP168" s="30"/>
      <c r="HQ168" s="30"/>
      <c r="HR168" s="30"/>
      <c r="HS168" s="30"/>
      <c r="HT168" s="30"/>
      <c r="HU168" s="30"/>
      <c r="HV168" s="30"/>
      <c r="HW168" s="30"/>
      <c r="HX168" s="30"/>
      <c r="HY168" s="30"/>
      <c r="HZ168" s="30"/>
      <c r="IA168" s="30"/>
      <c r="IB168" s="30"/>
      <c r="IC168" s="30"/>
      <c r="ID168" s="30"/>
      <c r="IE168" s="30"/>
      <c r="IF168" s="30"/>
      <c r="IG168" s="30"/>
      <c r="IH168" s="30"/>
      <c r="II168" s="30"/>
      <c r="IJ168" s="30"/>
      <c r="IK168" s="30"/>
      <c r="IL168" s="30"/>
      <c r="IM168" s="30"/>
      <c r="IN168" s="30"/>
      <c r="IO168" s="30"/>
      <c r="IP168" s="30"/>
      <c r="IQ168" s="30"/>
      <c r="IR168" s="30"/>
      <c r="IS168" s="30"/>
      <c r="IT168" s="30"/>
      <c r="IU168" s="30"/>
      <c r="IV168" s="30"/>
      <c r="IW168" s="30"/>
      <c r="IX168" s="30"/>
      <c r="IY168" s="30"/>
      <c r="IZ168" s="30"/>
      <c r="JA168" s="30"/>
      <c r="JB168" s="30"/>
      <c r="JC168" s="30"/>
      <c r="JD168" s="30"/>
      <c r="JE168" s="30"/>
      <c r="JF168" s="30"/>
      <c r="JG168" s="30"/>
      <c r="JH168" s="30"/>
      <c r="JI168" s="30"/>
      <c r="JJ168" s="30"/>
      <c r="JK168" s="30"/>
      <c r="JL168" s="30"/>
      <c r="JM168" s="30"/>
      <c r="JN168" s="30"/>
      <c r="JO168" s="30"/>
      <c r="JP168" s="30"/>
      <c r="JQ168" s="30"/>
      <c r="JR168" s="30"/>
      <c r="JS168" s="30"/>
      <c r="JT168" s="30"/>
      <c r="JU168" s="30"/>
      <c r="JV168" s="30"/>
      <c r="JW168" s="30"/>
      <c r="JX168" s="30"/>
      <c r="JY168" s="30"/>
      <c r="JZ168" s="30"/>
      <c r="KA168" s="30"/>
      <c r="KB168" s="30"/>
      <c r="KC168" s="30"/>
      <c r="KD168" s="30"/>
      <c r="KE168" s="30"/>
      <c r="KF168" s="30"/>
      <c r="KG168" s="30"/>
      <c r="KH168" s="30"/>
      <c r="KI168" s="30"/>
      <c r="KJ168" s="30"/>
      <c r="KK168" s="30"/>
      <c r="KL168" s="30"/>
      <c r="KM168" s="30"/>
      <c r="KN168" s="30"/>
      <c r="KO168" s="30"/>
      <c r="KP168" s="1630"/>
    </row>
    <row r="169" spans="1:302" s="97" customFormat="1" ht="13.15" outlineLevel="1">
      <c r="A169" s="2659" t="s">
        <v>854</v>
      </c>
      <c r="B169" s="386"/>
      <c r="C169" s="1923" t="s">
        <v>855</v>
      </c>
      <c r="D169" s="1923" t="s">
        <v>847</v>
      </c>
      <c r="E169" s="376"/>
      <c r="F169" s="347"/>
      <c r="G169" s="348"/>
      <c r="H169" s="349" t="s">
        <v>26</v>
      </c>
      <c r="I169" s="2936"/>
      <c r="J169" s="362" t="s">
        <v>26</v>
      </c>
      <c r="K169" s="1745"/>
      <c r="L169" s="383"/>
      <c r="M169" s="383"/>
      <c r="N169" s="383"/>
      <c r="O169" s="1510">
        <v>542750</v>
      </c>
      <c r="P169" s="383"/>
      <c r="Q169" s="383"/>
      <c r="R169" s="383"/>
      <c r="S169" s="1510">
        <f t="shared" si="220"/>
        <v>0</v>
      </c>
      <c r="T169" s="1509"/>
      <c r="U169" s="1746"/>
      <c r="V169" s="1746"/>
      <c r="W169" s="1744">
        <f t="shared" si="221"/>
        <v>542750</v>
      </c>
      <c r="X169" s="362" t="s">
        <v>26</v>
      </c>
      <c r="Y169" s="1509"/>
      <c r="Z169" s="1746"/>
      <c r="AA169" s="1746"/>
      <c r="AB169" s="1510">
        <f t="shared" si="216"/>
        <v>542750.00010000006</v>
      </c>
      <c r="AC169" s="2069"/>
      <c r="AD169" s="1443"/>
      <c r="AE169" s="381"/>
      <c r="AF169" s="354"/>
      <c r="AG169" s="354"/>
      <c r="AH169" s="354">
        <f t="shared" si="222"/>
        <v>0</v>
      </c>
      <c r="AI169" s="355">
        <f t="shared" ca="1" si="214"/>
        <v>0</v>
      </c>
      <c r="AJ169" s="356">
        <f t="shared" ca="1" si="150"/>
        <v>0</v>
      </c>
      <c r="AK169" s="2185"/>
      <c r="AL169" s="2063"/>
      <c r="AM169" s="2258"/>
      <c r="AN169" s="2258"/>
      <c r="AO169" s="359"/>
      <c r="AP169" s="359"/>
      <c r="AQ169" s="377"/>
      <c r="AR169" s="359"/>
      <c r="AS169" s="359"/>
      <c r="AT169" s="390"/>
      <c r="AU169" s="377"/>
      <c r="AV169" s="377"/>
      <c r="AW169" s="359"/>
      <c r="AX169" s="359"/>
      <c r="AY169" s="390"/>
      <c r="AZ169" s="2273"/>
      <c r="BA169" s="513"/>
      <c r="BB169" s="513"/>
      <c r="BC169" s="359">
        <v>77535.714300000007</v>
      </c>
      <c r="BD169" s="359">
        <v>77535.714300000007</v>
      </c>
      <c r="BE169" s="359">
        <v>77535.714300000007</v>
      </c>
      <c r="BF169" s="359">
        <v>77535.714300000007</v>
      </c>
      <c r="BG169" s="359">
        <v>77535.714300000007</v>
      </c>
      <c r="BH169" s="359">
        <v>77535.714300000007</v>
      </c>
      <c r="BI169" s="380">
        <v>77535.714300000007</v>
      </c>
      <c r="BJ169" s="359"/>
      <c r="BK169" s="2122"/>
      <c r="BL169" s="380"/>
      <c r="BM169" s="380"/>
      <c r="BN169" s="380"/>
      <c r="BO169" s="380"/>
      <c r="BP169" s="380"/>
      <c r="BQ169" s="2087"/>
      <c r="BR169" s="359"/>
      <c r="BS169" s="359"/>
      <c r="BT169" s="359"/>
      <c r="BU169" s="364"/>
      <c r="BV169" s="364"/>
      <c r="BW169" s="2366"/>
      <c r="BX169" s="2463"/>
      <c r="BY169" s="2543"/>
      <c r="BZ169" s="2543"/>
      <c r="CA169" s="2432">
        <f t="shared" si="217"/>
        <v>542750.00010000006</v>
      </c>
      <c r="CB169" s="2377">
        <f t="shared" si="218"/>
        <v>1</v>
      </c>
      <c r="CC169" s="365">
        <f t="shared" si="219"/>
        <v>1.8424689079977024E-6</v>
      </c>
      <c r="CD169" s="366"/>
      <c r="CE169" s="343"/>
      <c r="CF169" s="343"/>
      <c r="CG169" s="340"/>
      <c r="CH169" s="367"/>
      <c r="CI169" s="368"/>
      <c r="CJ169" s="368"/>
      <c r="CK169" s="369"/>
      <c r="CL169" s="329">
        <f t="shared" si="182"/>
        <v>-1.0000006295740604E-4</v>
      </c>
      <c r="CM169" s="330">
        <f t="shared" ca="1" si="183"/>
        <v>0</v>
      </c>
      <c r="CN169" s="331">
        <f t="shared" ca="1" si="223"/>
        <v>-542750.00010000006</v>
      </c>
      <c r="CO169" s="86"/>
      <c r="CP169" s="86"/>
      <c r="CQ169" s="1641"/>
      <c r="CR169" s="86"/>
      <c r="CS169" s="86"/>
      <c r="CT169" s="86"/>
      <c r="CU169" s="86"/>
      <c r="CV169" s="86"/>
      <c r="CW169" s="86"/>
      <c r="CX169" s="86"/>
      <c r="CY169" s="86"/>
      <c r="CZ169" s="86"/>
      <c r="DA169" s="86"/>
      <c r="DB169" s="1642"/>
      <c r="DC169" s="1642"/>
      <c r="DD169" s="30"/>
      <c r="DE169" s="30"/>
      <c r="DF169" s="30"/>
      <c r="DG169" s="1642"/>
      <c r="DH169" s="1642"/>
      <c r="DI169" s="1642"/>
      <c r="DJ169" s="1642"/>
      <c r="DK169" s="1642"/>
      <c r="DL169" s="1642"/>
      <c r="DM169" s="1642"/>
      <c r="DN169" s="1642"/>
      <c r="DO169" s="1642"/>
      <c r="DP169" s="1642"/>
      <c r="DQ169" s="1642"/>
      <c r="DR169" s="1642"/>
      <c r="DS169" s="1642"/>
      <c r="DT169" s="1642"/>
      <c r="DU169" s="1642"/>
      <c r="DV169" s="1642"/>
      <c r="DW169" s="1642"/>
      <c r="DX169" s="1642"/>
      <c r="DY169" s="1642"/>
      <c r="DZ169" s="1642"/>
      <c r="EA169" s="1642"/>
      <c r="EB169" s="1642"/>
      <c r="EC169" s="1642"/>
      <c r="ED169" s="1642"/>
      <c r="EE169" s="1642"/>
      <c r="EF169" s="1642"/>
      <c r="EG169" s="1642"/>
      <c r="EH169" s="1643"/>
      <c r="EI169" s="1658"/>
      <c r="EJ169" s="30"/>
      <c r="EK169" s="30"/>
      <c r="EL169" s="30"/>
      <c r="EM169" s="30"/>
      <c r="EN169" s="30"/>
      <c r="EO169" s="30"/>
      <c r="EP169" s="30"/>
      <c r="EQ169" s="30"/>
      <c r="ER169" s="30"/>
      <c r="ES169" s="30"/>
      <c r="ET169" s="30"/>
      <c r="EU169" s="30"/>
      <c r="EV169" s="30"/>
      <c r="EW169" s="30"/>
      <c r="EX169" s="30"/>
      <c r="EY169" s="30"/>
      <c r="EZ169" s="30"/>
      <c r="FA169" s="30"/>
      <c r="FB169" s="30"/>
      <c r="FC169" s="30"/>
      <c r="FD169" s="30"/>
      <c r="FE169" s="30"/>
      <c r="FF169" s="30"/>
      <c r="FG169" s="30"/>
      <c r="FH169" s="30"/>
      <c r="FI169" s="30"/>
      <c r="FJ169" s="30"/>
      <c r="FK169" s="30"/>
      <c r="FL169" s="30"/>
      <c r="FM169" s="30"/>
      <c r="FN169" s="30"/>
      <c r="FO169" s="30"/>
      <c r="FP169" s="30"/>
      <c r="FQ169" s="30"/>
      <c r="FR169" s="30"/>
      <c r="FS169" s="30"/>
      <c r="FT169" s="30"/>
      <c r="FU169" s="30"/>
      <c r="FV169" s="30"/>
      <c r="FW169" s="30"/>
      <c r="FX169" s="30"/>
      <c r="FY169" s="30"/>
      <c r="FZ169" s="30"/>
      <c r="GA169" s="30"/>
      <c r="GB169" s="30"/>
      <c r="GC169" s="30"/>
      <c r="GD169" s="30"/>
      <c r="GE169" s="30"/>
      <c r="GF169" s="30"/>
      <c r="GG169" s="30"/>
      <c r="GH169" s="30"/>
      <c r="GI169" s="30"/>
      <c r="GJ169" s="30"/>
      <c r="GK169" s="30"/>
      <c r="GL169" s="30"/>
      <c r="GM169" s="30"/>
      <c r="GN169" s="30"/>
      <c r="GO169" s="30"/>
      <c r="GP169" s="30"/>
      <c r="GQ169" s="30"/>
      <c r="GR169" s="30"/>
      <c r="GS169" s="30"/>
      <c r="GT169" s="30"/>
      <c r="GU169" s="30"/>
      <c r="GV169" s="30"/>
      <c r="GW169" s="30"/>
      <c r="GX169" s="30"/>
      <c r="GY169" s="30"/>
      <c r="GZ169" s="30"/>
      <c r="HA169" s="30"/>
      <c r="HB169" s="30"/>
      <c r="HC169" s="30"/>
      <c r="HD169" s="30"/>
      <c r="HE169" s="30"/>
      <c r="HF169" s="30"/>
      <c r="HG169" s="30"/>
      <c r="HH169" s="30"/>
      <c r="HI169" s="30"/>
      <c r="HJ169" s="30"/>
      <c r="HK169" s="30"/>
      <c r="HL169" s="30"/>
      <c r="HM169" s="30"/>
      <c r="HN169" s="30"/>
      <c r="HO169" s="30"/>
      <c r="HP169" s="30"/>
      <c r="HQ169" s="30"/>
      <c r="HR169" s="30"/>
      <c r="HS169" s="30"/>
      <c r="HT169" s="30"/>
      <c r="HU169" s="30"/>
      <c r="HV169" s="30"/>
      <c r="HW169" s="30"/>
      <c r="HX169" s="30"/>
      <c r="HY169" s="30"/>
      <c r="HZ169" s="30"/>
      <c r="IA169" s="30"/>
      <c r="IB169" s="30"/>
      <c r="IC169" s="30"/>
      <c r="ID169" s="30"/>
      <c r="IE169" s="30"/>
      <c r="IF169" s="30"/>
      <c r="IG169" s="30"/>
      <c r="IH169" s="30"/>
      <c r="II169" s="30"/>
      <c r="IJ169" s="30"/>
      <c r="IK169" s="30"/>
      <c r="IL169" s="30"/>
      <c r="IM169" s="30"/>
      <c r="IN169" s="30"/>
      <c r="IO169" s="30"/>
      <c r="IP169" s="30"/>
      <c r="IQ169" s="30"/>
      <c r="IR169" s="30"/>
      <c r="IS169" s="30"/>
      <c r="IT169" s="30"/>
      <c r="IU169" s="30"/>
      <c r="IV169" s="30"/>
      <c r="IW169" s="30"/>
      <c r="IX169" s="30"/>
      <c r="IY169" s="30"/>
      <c r="IZ169" s="30"/>
      <c r="JA169" s="30"/>
      <c r="JB169" s="30"/>
      <c r="JC169" s="30"/>
      <c r="JD169" s="30"/>
      <c r="JE169" s="30"/>
      <c r="JF169" s="30"/>
      <c r="JG169" s="30"/>
      <c r="JH169" s="30"/>
      <c r="JI169" s="30"/>
      <c r="JJ169" s="30"/>
      <c r="JK169" s="30"/>
      <c r="JL169" s="30"/>
      <c r="JM169" s="30"/>
      <c r="JN169" s="30"/>
      <c r="JO169" s="30"/>
      <c r="JP169" s="30"/>
      <c r="JQ169" s="30"/>
      <c r="JR169" s="30"/>
      <c r="JS169" s="30"/>
      <c r="JT169" s="30"/>
      <c r="JU169" s="30"/>
      <c r="JV169" s="30"/>
      <c r="JW169" s="30"/>
      <c r="JX169" s="30"/>
      <c r="JY169" s="30"/>
      <c r="JZ169" s="30"/>
      <c r="KA169" s="30"/>
      <c r="KB169" s="30"/>
      <c r="KC169" s="30"/>
      <c r="KD169" s="30"/>
      <c r="KE169" s="30"/>
      <c r="KF169" s="30"/>
      <c r="KG169" s="30"/>
      <c r="KH169" s="30"/>
      <c r="KI169" s="30"/>
      <c r="KJ169" s="30"/>
      <c r="KK169" s="30"/>
      <c r="KL169" s="30"/>
      <c r="KM169" s="30"/>
      <c r="KN169" s="30"/>
      <c r="KO169" s="30"/>
      <c r="KP169" s="1630"/>
    </row>
    <row r="170" spans="1:302" s="97" customFormat="1" ht="38.25" outlineLevel="1">
      <c r="A170" s="2659" t="s">
        <v>856</v>
      </c>
      <c r="B170" s="386"/>
      <c r="C170" s="1923" t="s">
        <v>857</v>
      </c>
      <c r="D170" s="1923" t="s">
        <v>858</v>
      </c>
      <c r="E170" s="376"/>
      <c r="F170" s="347"/>
      <c r="G170" s="348"/>
      <c r="H170" s="349" t="s">
        <v>26</v>
      </c>
      <c r="I170" s="2936"/>
      <c r="J170" s="362" t="s">
        <v>26</v>
      </c>
      <c r="K170" s="1745"/>
      <c r="L170" s="383"/>
      <c r="M170" s="383"/>
      <c r="N170" s="383"/>
      <c r="O170" s="1510">
        <v>1925350</v>
      </c>
      <c r="P170" s="383"/>
      <c r="Q170" s="383"/>
      <c r="R170" s="383"/>
      <c r="S170" s="1510">
        <f t="shared" si="220"/>
        <v>0</v>
      </c>
      <c r="T170" s="1509"/>
      <c r="U170" s="1746"/>
      <c r="V170" s="1746"/>
      <c r="W170" s="1744">
        <f t="shared" si="221"/>
        <v>1925350</v>
      </c>
      <c r="X170" s="362" t="s">
        <v>26</v>
      </c>
      <c r="Y170" s="1509"/>
      <c r="Z170" s="1746"/>
      <c r="AA170" s="1746"/>
      <c r="AB170" s="1510">
        <f t="shared" si="216"/>
        <v>1925350</v>
      </c>
      <c r="AC170" s="2069"/>
      <c r="AD170" s="1443"/>
      <c r="AE170" s="381"/>
      <c r="AF170" s="354"/>
      <c r="AG170" s="354"/>
      <c r="AH170" s="354">
        <f t="shared" si="222"/>
        <v>0</v>
      </c>
      <c r="AI170" s="355">
        <f t="shared" ca="1" si="214"/>
        <v>0</v>
      </c>
      <c r="AJ170" s="356">
        <f t="shared" ca="1" si="150"/>
        <v>0</v>
      </c>
      <c r="AK170" s="2185"/>
      <c r="AL170" s="2063"/>
      <c r="AM170" s="2258"/>
      <c r="AN170" s="2258"/>
      <c r="AO170" s="359"/>
      <c r="AP170" s="359"/>
      <c r="AQ170" s="377"/>
      <c r="AR170" s="359"/>
      <c r="AS170" s="359"/>
      <c r="AT170" s="390"/>
      <c r="AU170" s="377"/>
      <c r="AV170" s="377"/>
      <c r="AW170" s="359"/>
      <c r="AX170" s="359"/>
      <c r="AY170" s="390"/>
      <c r="AZ170" s="2273"/>
      <c r="BA170" s="513"/>
      <c r="BB170" s="513"/>
      <c r="BC170" s="359">
        <v>275050</v>
      </c>
      <c r="BD170" s="359">
        <v>275050</v>
      </c>
      <c r="BE170" s="359">
        <v>275050</v>
      </c>
      <c r="BF170" s="359">
        <v>275050</v>
      </c>
      <c r="BG170" s="359">
        <v>275050</v>
      </c>
      <c r="BH170" s="359">
        <v>275050</v>
      </c>
      <c r="BI170" s="359">
        <v>275050</v>
      </c>
      <c r="BJ170" s="359"/>
      <c r="BK170" s="2122"/>
      <c r="BL170" s="380"/>
      <c r="BM170" s="380"/>
      <c r="BN170" s="380"/>
      <c r="BO170" s="380"/>
      <c r="BP170" s="380"/>
      <c r="BQ170" s="2087"/>
      <c r="BR170" s="359"/>
      <c r="BS170" s="359"/>
      <c r="BT170" s="359"/>
      <c r="BU170" s="364"/>
      <c r="BV170" s="364"/>
      <c r="BW170" s="2366"/>
      <c r="BX170" s="2463"/>
      <c r="BY170" s="2543"/>
      <c r="BZ170" s="2543"/>
      <c r="CA170" s="2432">
        <f t="shared" ref="CA170:CA184" si="224">SUMIF($AM$10:$BZ$10,$CA$9,AM170:BZ170)</f>
        <v>1925350</v>
      </c>
      <c r="CB170" s="2377">
        <f t="shared" ref="CB170:CB184" si="225">IF($AB170&lt;&gt;0,CA170/$AB170,"")</f>
        <v>1</v>
      </c>
      <c r="CC170" s="365">
        <f t="shared" ref="CC170:CC184" si="226">IF($AB170&lt;&gt;0,CB170/$AB170,"")</f>
        <v>5.1938608564676554E-7</v>
      </c>
      <c r="CD170" s="366"/>
      <c r="CE170" s="343"/>
      <c r="CF170" s="343"/>
      <c r="CG170" s="340"/>
      <c r="CH170" s="367"/>
      <c r="CI170" s="368"/>
      <c r="CJ170" s="368"/>
      <c r="CK170" s="369"/>
      <c r="CL170" s="329">
        <f t="shared" si="182"/>
        <v>0</v>
      </c>
      <c r="CM170" s="330">
        <f t="shared" ca="1" si="183"/>
        <v>0</v>
      </c>
      <c r="CN170" s="331">
        <f t="shared" ca="1" si="223"/>
        <v>-1925350</v>
      </c>
      <c r="CO170" s="86"/>
      <c r="CP170" s="86"/>
      <c r="CQ170" s="1641"/>
      <c r="CR170" s="86"/>
      <c r="CS170" s="86"/>
      <c r="CT170" s="86"/>
      <c r="CU170" s="86"/>
      <c r="CV170" s="86"/>
      <c r="CW170" s="86"/>
      <c r="CX170" s="86"/>
      <c r="CY170" s="86"/>
      <c r="CZ170" s="86"/>
      <c r="DA170" s="86"/>
      <c r="DB170" s="1642"/>
      <c r="DC170" s="1642"/>
      <c r="DD170" s="30"/>
      <c r="DE170" s="30"/>
      <c r="DF170" s="30"/>
      <c r="DG170" s="1642"/>
      <c r="DH170" s="1642"/>
      <c r="DI170" s="1642"/>
      <c r="DJ170" s="1642"/>
      <c r="DK170" s="1642"/>
      <c r="DL170" s="1642"/>
      <c r="DM170" s="1642"/>
      <c r="DN170" s="1642"/>
      <c r="DO170" s="1642"/>
      <c r="DP170" s="1642"/>
      <c r="DQ170" s="1642"/>
      <c r="DR170" s="1642"/>
      <c r="DS170" s="1642"/>
      <c r="DT170" s="1642"/>
      <c r="DU170" s="1642"/>
      <c r="DV170" s="1642"/>
      <c r="DW170" s="1642"/>
      <c r="DX170" s="1642"/>
      <c r="DY170" s="1642"/>
      <c r="DZ170" s="1642"/>
      <c r="EA170" s="1642"/>
      <c r="EB170" s="1642"/>
      <c r="EC170" s="1642"/>
      <c r="ED170" s="1642"/>
      <c r="EE170" s="1642"/>
      <c r="EF170" s="1642"/>
      <c r="EG170" s="1642"/>
      <c r="EH170" s="1643"/>
      <c r="EI170" s="1658"/>
      <c r="EJ170" s="30"/>
      <c r="EK170" s="30"/>
      <c r="EL170" s="30"/>
      <c r="EM170" s="30"/>
      <c r="EN170" s="30"/>
      <c r="EO170" s="30"/>
      <c r="EP170" s="30"/>
      <c r="EQ170" s="30"/>
      <c r="ER170" s="30"/>
      <c r="ES170" s="30"/>
      <c r="ET170" s="30"/>
      <c r="EU170" s="30"/>
      <c r="EV170" s="30"/>
      <c r="EW170" s="30"/>
      <c r="EX170" s="30"/>
      <c r="EY170" s="30"/>
      <c r="EZ170" s="30"/>
      <c r="FA170" s="30"/>
      <c r="FB170" s="30"/>
      <c r="FC170" s="30"/>
      <c r="FD170" s="30"/>
      <c r="FE170" s="30"/>
      <c r="FF170" s="30"/>
      <c r="FG170" s="30"/>
      <c r="FH170" s="30"/>
      <c r="FI170" s="30"/>
      <c r="FJ170" s="30"/>
      <c r="FK170" s="30"/>
      <c r="FL170" s="30"/>
      <c r="FM170" s="30"/>
      <c r="FN170" s="30"/>
      <c r="FO170" s="30"/>
      <c r="FP170" s="30"/>
      <c r="FQ170" s="30"/>
      <c r="FR170" s="30"/>
      <c r="FS170" s="30"/>
      <c r="FT170" s="30"/>
      <c r="FU170" s="30"/>
      <c r="FV170" s="30"/>
      <c r="FW170" s="30"/>
      <c r="FX170" s="30"/>
      <c r="FY170" s="30"/>
      <c r="FZ170" s="30"/>
      <c r="GA170" s="30"/>
      <c r="GB170" s="30"/>
      <c r="GC170" s="30"/>
      <c r="GD170" s="30"/>
      <c r="GE170" s="30"/>
      <c r="GF170" s="30"/>
      <c r="GG170" s="30"/>
      <c r="GH170" s="30"/>
      <c r="GI170" s="30"/>
      <c r="GJ170" s="30"/>
      <c r="GK170" s="30"/>
      <c r="GL170" s="30"/>
      <c r="GM170" s="30"/>
      <c r="GN170" s="30"/>
      <c r="GO170" s="30"/>
      <c r="GP170" s="30"/>
      <c r="GQ170" s="30"/>
      <c r="GR170" s="30"/>
      <c r="GS170" s="30"/>
      <c r="GT170" s="30"/>
      <c r="GU170" s="30"/>
      <c r="GV170" s="30"/>
      <c r="GW170" s="30"/>
      <c r="GX170" s="30"/>
      <c r="GY170" s="30"/>
      <c r="GZ170" s="30"/>
      <c r="HA170" s="30"/>
      <c r="HB170" s="30"/>
      <c r="HC170" s="30"/>
      <c r="HD170" s="30"/>
      <c r="HE170" s="30"/>
      <c r="HF170" s="30"/>
      <c r="HG170" s="30"/>
      <c r="HH170" s="30"/>
      <c r="HI170" s="30"/>
      <c r="HJ170" s="30"/>
      <c r="HK170" s="30"/>
      <c r="HL170" s="30"/>
      <c r="HM170" s="30"/>
      <c r="HN170" s="30"/>
      <c r="HO170" s="30"/>
      <c r="HP170" s="30"/>
      <c r="HQ170" s="30"/>
      <c r="HR170" s="30"/>
      <c r="HS170" s="30"/>
      <c r="HT170" s="30"/>
      <c r="HU170" s="30"/>
      <c r="HV170" s="30"/>
      <c r="HW170" s="30"/>
      <c r="HX170" s="30"/>
      <c r="HY170" s="30"/>
      <c r="HZ170" s="30"/>
      <c r="IA170" s="30"/>
      <c r="IB170" s="30"/>
      <c r="IC170" s="30"/>
      <c r="ID170" s="30"/>
      <c r="IE170" s="30"/>
      <c r="IF170" s="30"/>
      <c r="IG170" s="30"/>
      <c r="IH170" s="30"/>
      <c r="II170" s="30"/>
      <c r="IJ170" s="30"/>
      <c r="IK170" s="30"/>
      <c r="IL170" s="30"/>
      <c r="IM170" s="30"/>
      <c r="IN170" s="30"/>
      <c r="IO170" s="30"/>
      <c r="IP170" s="30"/>
      <c r="IQ170" s="30"/>
      <c r="IR170" s="30"/>
      <c r="IS170" s="30"/>
      <c r="IT170" s="30"/>
      <c r="IU170" s="30"/>
      <c r="IV170" s="30"/>
      <c r="IW170" s="30"/>
      <c r="IX170" s="30"/>
      <c r="IY170" s="30"/>
      <c r="IZ170" s="30"/>
      <c r="JA170" s="30"/>
      <c r="JB170" s="30"/>
      <c r="JC170" s="30"/>
      <c r="JD170" s="30"/>
      <c r="JE170" s="30"/>
      <c r="JF170" s="30"/>
      <c r="JG170" s="30"/>
      <c r="JH170" s="30"/>
      <c r="JI170" s="30"/>
      <c r="JJ170" s="30"/>
      <c r="JK170" s="30"/>
      <c r="JL170" s="30"/>
      <c r="JM170" s="30"/>
      <c r="JN170" s="30"/>
      <c r="JO170" s="30"/>
      <c r="JP170" s="30"/>
      <c r="JQ170" s="30"/>
      <c r="JR170" s="30"/>
      <c r="JS170" s="30"/>
      <c r="JT170" s="30"/>
      <c r="JU170" s="30"/>
      <c r="JV170" s="30"/>
      <c r="JW170" s="30"/>
      <c r="JX170" s="30"/>
      <c r="JY170" s="30"/>
      <c r="JZ170" s="30"/>
      <c r="KA170" s="30"/>
      <c r="KB170" s="30"/>
      <c r="KC170" s="30"/>
      <c r="KD170" s="30"/>
      <c r="KE170" s="30"/>
      <c r="KF170" s="30"/>
      <c r="KG170" s="30"/>
      <c r="KH170" s="30"/>
      <c r="KI170" s="30"/>
      <c r="KJ170" s="30"/>
      <c r="KK170" s="30"/>
      <c r="KL170" s="30"/>
      <c r="KM170" s="30"/>
      <c r="KN170" s="30"/>
      <c r="KO170" s="30"/>
      <c r="KP170" s="1630"/>
    </row>
    <row r="171" spans="1:302" s="97" customFormat="1" ht="13.15" outlineLevel="1">
      <c r="A171" s="2659" t="s">
        <v>859</v>
      </c>
      <c r="B171" s="386"/>
      <c r="C171" s="1923" t="s">
        <v>860</v>
      </c>
      <c r="D171" s="1923" t="s">
        <v>861</v>
      </c>
      <c r="E171" s="376"/>
      <c r="F171" s="347"/>
      <c r="G171" s="348"/>
      <c r="H171" s="349" t="s">
        <v>26</v>
      </c>
      <c r="I171" s="2936"/>
      <c r="J171" s="362" t="s">
        <v>26</v>
      </c>
      <c r="K171" s="1745"/>
      <c r="L171" s="383"/>
      <c r="M171" s="383"/>
      <c r="N171" s="383"/>
      <c r="O171" s="1510">
        <v>285000</v>
      </c>
      <c r="P171" s="383"/>
      <c r="Q171" s="383"/>
      <c r="R171" s="383"/>
      <c r="S171" s="1510">
        <f t="shared" si="220"/>
        <v>0</v>
      </c>
      <c r="T171" s="1509"/>
      <c r="U171" s="1746"/>
      <c r="V171" s="1746"/>
      <c r="W171" s="1744">
        <f t="shared" si="221"/>
        <v>285000</v>
      </c>
      <c r="X171" s="362" t="s">
        <v>26</v>
      </c>
      <c r="Y171" s="1509"/>
      <c r="Z171" s="1746"/>
      <c r="AA171" s="1746"/>
      <c r="AB171" s="1510">
        <f t="shared" si="216"/>
        <v>284999.9999</v>
      </c>
      <c r="AC171" s="2069"/>
      <c r="AD171" s="1443"/>
      <c r="AE171" s="381"/>
      <c r="AF171" s="354"/>
      <c r="AG171" s="354"/>
      <c r="AH171" s="354">
        <f t="shared" si="222"/>
        <v>0</v>
      </c>
      <c r="AI171" s="355">
        <f t="shared" ca="1" si="214"/>
        <v>0</v>
      </c>
      <c r="AJ171" s="356">
        <f t="shared" ca="1" si="150"/>
        <v>0</v>
      </c>
      <c r="AK171" s="2185"/>
      <c r="AL171" s="2063"/>
      <c r="AM171" s="2258"/>
      <c r="AN171" s="2258"/>
      <c r="AO171" s="359"/>
      <c r="AP171" s="359"/>
      <c r="AQ171" s="377"/>
      <c r="AR171" s="359"/>
      <c r="AS171" s="359"/>
      <c r="AT171" s="390"/>
      <c r="AU171" s="377"/>
      <c r="AV171" s="377"/>
      <c r="AW171" s="359"/>
      <c r="AX171" s="359"/>
      <c r="AY171" s="390"/>
      <c r="AZ171" s="2273"/>
      <c r="BA171" s="513"/>
      <c r="BB171" s="513"/>
      <c r="BC171" s="359">
        <v>40714.2857</v>
      </c>
      <c r="BD171" s="359">
        <v>40714.2857</v>
      </c>
      <c r="BE171" s="359">
        <v>40714.2857</v>
      </c>
      <c r="BF171" s="359">
        <v>40714.2857</v>
      </c>
      <c r="BG171" s="359">
        <v>40714.2857</v>
      </c>
      <c r="BH171" s="359">
        <v>40714.2857</v>
      </c>
      <c r="BI171" s="359">
        <v>40714.2857</v>
      </c>
      <c r="BJ171" s="359"/>
      <c r="BK171" s="2122"/>
      <c r="BL171" s="380"/>
      <c r="BM171" s="380"/>
      <c r="BN171" s="380"/>
      <c r="BO171" s="380"/>
      <c r="BP171" s="380"/>
      <c r="BQ171" s="2087"/>
      <c r="BR171" s="359"/>
      <c r="BS171" s="359"/>
      <c r="BT171" s="359"/>
      <c r="BU171" s="364"/>
      <c r="BV171" s="364"/>
      <c r="BW171" s="2366"/>
      <c r="BX171" s="2463"/>
      <c r="BY171" s="2543"/>
      <c r="BZ171" s="2543"/>
      <c r="CA171" s="2432">
        <f t="shared" si="224"/>
        <v>284999.9999</v>
      </c>
      <c r="CB171" s="2377">
        <f t="shared" si="225"/>
        <v>1</v>
      </c>
      <c r="CC171" s="365">
        <f t="shared" si="226"/>
        <v>3.5087719310557095E-6</v>
      </c>
      <c r="CD171" s="366"/>
      <c r="CE171" s="343"/>
      <c r="CF171" s="343"/>
      <c r="CG171" s="340"/>
      <c r="CH171" s="367"/>
      <c r="CI171" s="368"/>
      <c r="CJ171" s="368"/>
      <c r="CK171" s="369"/>
      <c r="CL171" s="329">
        <f t="shared" si="182"/>
        <v>1.0000000474974513E-4</v>
      </c>
      <c r="CM171" s="330">
        <f t="shared" ca="1" si="183"/>
        <v>0</v>
      </c>
      <c r="CN171" s="331">
        <f t="shared" ca="1" si="223"/>
        <v>-284999.9999</v>
      </c>
      <c r="CO171" s="86"/>
      <c r="CP171" s="86"/>
      <c r="CQ171" s="1641"/>
      <c r="CR171" s="86"/>
      <c r="CS171" s="86"/>
      <c r="CT171" s="86"/>
      <c r="CU171" s="86"/>
      <c r="CV171" s="86"/>
      <c r="CW171" s="86"/>
      <c r="CX171" s="86"/>
      <c r="CY171" s="86"/>
      <c r="CZ171" s="86"/>
      <c r="DA171" s="86"/>
      <c r="DB171" s="1642"/>
      <c r="DC171" s="1642"/>
      <c r="DD171" s="30"/>
      <c r="DE171" s="30"/>
      <c r="DF171" s="30"/>
      <c r="DG171" s="1642"/>
      <c r="DH171" s="1642"/>
      <c r="DI171" s="1642"/>
      <c r="DJ171" s="1642"/>
      <c r="DK171" s="1642"/>
      <c r="DL171" s="1642"/>
      <c r="DM171" s="1642"/>
      <c r="DN171" s="1642"/>
      <c r="DO171" s="1642"/>
      <c r="DP171" s="1642"/>
      <c r="DQ171" s="1642"/>
      <c r="DR171" s="1642"/>
      <c r="DS171" s="1642"/>
      <c r="DT171" s="1642"/>
      <c r="DU171" s="1642"/>
      <c r="DV171" s="1642"/>
      <c r="DW171" s="1642"/>
      <c r="DX171" s="1642"/>
      <c r="DY171" s="1642"/>
      <c r="DZ171" s="1642"/>
      <c r="EA171" s="1642"/>
      <c r="EB171" s="1642"/>
      <c r="EC171" s="1642"/>
      <c r="ED171" s="1642"/>
      <c r="EE171" s="1642"/>
      <c r="EF171" s="1642"/>
      <c r="EG171" s="1642"/>
      <c r="EH171" s="1643"/>
      <c r="EI171" s="1658"/>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0"/>
      <c r="HP171" s="30"/>
      <c r="HQ171" s="30"/>
      <c r="HR171" s="30"/>
      <c r="HS171" s="30"/>
      <c r="HT171" s="30"/>
      <c r="HU171" s="30"/>
      <c r="HV171" s="30"/>
      <c r="HW171" s="30"/>
      <c r="HX171" s="30"/>
      <c r="HY171" s="30"/>
      <c r="HZ171" s="30"/>
      <c r="IA171" s="30"/>
      <c r="IB171" s="30"/>
      <c r="IC171" s="30"/>
      <c r="ID171" s="30"/>
      <c r="IE171" s="30"/>
      <c r="IF171" s="30"/>
      <c r="IG171" s="30"/>
      <c r="IH171" s="30"/>
      <c r="II171" s="30"/>
      <c r="IJ171" s="30"/>
      <c r="IK171" s="30"/>
      <c r="IL171" s="30"/>
      <c r="IM171" s="30"/>
      <c r="IN171" s="30"/>
      <c r="IO171" s="30"/>
      <c r="IP171" s="30"/>
      <c r="IQ171" s="30"/>
      <c r="IR171" s="30"/>
      <c r="IS171" s="30"/>
      <c r="IT171" s="30"/>
      <c r="IU171" s="30"/>
      <c r="IV171" s="30"/>
      <c r="IW171" s="30"/>
      <c r="IX171" s="30"/>
      <c r="IY171" s="30"/>
      <c r="IZ171" s="30"/>
      <c r="JA171" s="30"/>
      <c r="JB171" s="30"/>
      <c r="JC171" s="30"/>
      <c r="JD171" s="30"/>
      <c r="JE171" s="30"/>
      <c r="JF171" s="30"/>
      <c r="JG171" s="30"/>
      <c r="JH171" s="30"/>
      <c r="JI171" s="30"/>
      <c r="JJ171" s="30"/>
      <c r="JK171" s="30"/>
      <c r="JL171" s="30"/>
      <c r="JM171" s="30"/>
      <c r="JN171" s="30"/>
      <c r="JO171" s="30"/>
      <c r="JP171" s="30"/>
      <c r="JQ171" s="30"/>
      <c r="JR171" s="30"/>
      <c r="JS171" s="30"/>
      <c r="JT171" s="30"/>
      <c r="JU171" s="30"/>
      <c r="JV171" s="30"/>
      <c r="JW171" s="30"/>
      <c r="JX171" s="30"/>
      <c r="JY171" s="30"/>
      <c r="JZ171" s="30"/>
      <c r="KA171" s="30"/>
      <c r="KB171" s="30"/>
      <c r="KC171" s="30"/>
      <c r="KD171" s="30"/>
      <c r="KE171" s="30"/>
      <c r="KF171" s="30"/>
      <c r="KG171" s="30"/>
      <c r="KH171" s="30"/>
      <c r="KI171" s="30"/>
      <c r="KJ171" s="30"/>
      <c r="KK171" s="30"/>
      <c r="KL171" s="30"/>
      <c r="KM171" s="30"/>
      <c r="KN171" s="30"/>
      <c r="KO171" s="30"/>
      <c r="KP171" s="1630"/>
    </row>
    <row r="172" spans="1:302" s="97" customFormat="1" ht="13.15" outlineLevel="1">
      <c r="A172" s="2659" t="s">
        <v>862</v>
      </c>
      <c r="B172" s="386"/>
      <c r="C172" s="1923" t="s">
        <v>863</v>
      </c>
      <c r="D172" s="1923" t="s">
        <v>864</v>
      </c>
      <c r="E172" s="376"/>
      <c r="F172" s="347"/>
      <c r="G172" s="348"/>
      <c r="H172" s="349" t="s">
        <v>26</v>
      </c>
      <c r="I172" s="2936"/>
      <c r="J172" s="362" t="s">
        <v>26</v>
      </c>
      <c r="K172" s="1745"/>
      <c r="L172" s="383"/>
      <c r="M172" s="383"/>
      <c r="N172" s="383"/>
      <c r="O172" s="1510">
        <v>1178293</v>
      </c>
      <c r="P172" s="383"/>
      <c r="Q172" s="383"/>
      <c r="R172" s="383"/>
      <c r="S172" s="1510">
        <f t="shared" si="220"/>
        <v>0</v>
      </c>
      <c r="T172" s="1509"/>
      <c r="U172" s="1746"/>
      <c r="V172" s="1746"/>
      <c r="W172" s="1744">
        <f t="shared" si="221"/>
        <v>1178293</v>
      </c>
      <c r="X172" s="362" t="s">
        <v>26</v>
      </c>
      <c r="Y172" s="1509"/>
      <c r="Z172" s="1746"/>
      <c r="AA172" s="1746"/>
      <c r="AB172" s="1510">
        <f t="shared" si="216"/>
        <v>1178292.997</v>
      </c>
      <c r="AC172" s="2069"/>
      <c r="AD172" s="1443"/>
      <c r="AE172" s="381"/>
      <c r="AF172" s="354"/>
      <c r="AG172" s="354"/>
      <c r="AH172" s="354">
        <f t="shared" si="222"/>
        <v>0</v>
      </c>
      <c r="AI172" s="355">
        <f t="shared" ca="1" si="214"/>
        <v>0</v>
      </c>
      <c r="AJ172" s="356">
        <f t="shared" ca="1" si="150"/>
        <v>0</v>
      </c>
      <c r="AK172" s="2185"/>
      <c r="AL172" s="2063"/>
      <c r="AM172" s="2258"/>
      <c r="AN172" s="2258"/>
      <c r="AO172" s="359"/>
      <c r="AP172" s="359"/>
      <c r="AQ172" s="377"/>
      <c r="AR172" s="359"/>
      <c r="AS172" s="359"/>
      <c r="AT172" s="390"/>
      <c r="AU172" s="377"/>
      <c r="AV172" s="377"/>
      <c r="AW172" s="359"/>
      <c r="AX172" s="359"/>
      <c r="AY172" s="390"/>
      <c r="AZ172" s="2273"/>
      <c r="BA172" s="513"/>
      <c r="BB172" s="513"/>
      <c r="BC172" s="359">
        <v>168327.571</v>
      </c>
      <c r="BD172" s="359">
        <v>168327.571</v>
      </c>
      <c r="BE172" s="359">
        <v>168327.571</v>
      </c>
      <c r="BF172" s="359">
        <v>168327.571</v>
      </c>
      <c r="BG172" s="359">
        <v>168327.571</v>
      </c>
      <c r="BH172" s="359">
        <v>168327.571</v>
      </c>
      <c r="BI172" s="359">
        <v>168327.571</v>
      </c>
      <c r="BJ172" s="359"/>
      <c r="BK172" s="2122"/>
      <c r="BL172" s="380"/>
      <c r="BM172" s="380"/>
      <c r="BN172" s="380"/>
      <c r="BO172" s="380"/>
      <c r="BP172" s="380"/>
      <c r="BQ172" s="2087"/>
      <c r="BR172" s="359"/>
      <c r="BS172" s="359"/>
      <c r="BT172" s="359"/>
      <c r="BU172" s="364"/>
      <c r="BV172" s="364"/>
      <c r="BW172" s="2366"/>
      <c r="BX172" s="2463"/>
      <c r="BY172" s="2543"/>
      <c r="BZ172" s="2543"/>
      <c r="CA172" s="2432">
        <f t="shared" si="224"/>
        <v>1178292.997</v>
      </c>
      <c r="CB172" s="2377">
        <f t="shared" si="225"/>
        <v>1</v>
      </c>
      <c r="CC172" s="365">
        <f t="shared" si="226"/>
        <v>8.486853461287269E-7</v>
      </c>
      <c r="CD172" s="366"/>
      <c r="CE172" s="343"/>
      <c r="CF172" s="343"/>
      <c r="CG172" s="340"/>
      <c r="CH172" s="367"/>
      <c r="CI172" s="368"/>
      <c r="CJ172" s="368"/>
      <c r="CK172" s="369"/>
      <c r="CL172" s="329">
        <f t="shared" si="182"/>
        <v>3.0000000260770321E-3</v>
      </c>
      <c r="CM172" s="330">
        <f t="shared" ca="1" si="183"/>
        <v>0</v>
      </c>
      <c r="CN172" s="331">
        <f t="shared" ca="1" si="223"/>
        <v>-1178292.997</v>
      </c>
      <c r="CO172" s="86"/>
      <c r="CP172" s="86"/>
      <c r="CQ172" s="1641"/>
      <c r="CR172" s="86"/>
      <c r="CS172" s="86"/>
      <c r="CT172" s="86"/>
      <c r="CU172" s="86"/>
      <c r="CV172" s="86"/>
      <c r="CW172" s="86"/>
      <c r="CX172" s="86"/>
      <c r="CY172" s="86"/>
      <c r="CZ172" s="86"/>
      <c r="DA172" s="86"/>
      <c r="DB172" s="1642"/>
      <c r="DC172" s="1642"/>
      <c r="DD172" s="30"/>
      <c r="DE172" s="30"/>
      <c r="DF172" s="30"/>
      <c r="DG172" s="1642"/>
      <c r="DH172" s="1642"/>
      <c r="DI172" s="1642"/>
      <c r="DJ172" s="1642"/>
      <c r="DK172" s="1642"/>
      <c r="DL172" s="1642"/>
      <c r="DM172" s="1642"/>
      <c r="DN172" s="1642"/>
      <c r="DO172" s="1642"/>
      <c r="DP172" s="1642"/>
      <c r="DQ172" s="1642"/>
      <c r="DR172" s="1642"/>
      <c r="DS172" s="1642"/>
      <c r="DT172" s="1642"/>
      <c r="DU172" s="1642"/>
      <c r="DV172" s="1642"/>
      <c r="DW172" s="1642"/>
      <c r="DX172" s="1642"/>
      <c r="DY172" s="1642"/>
      <c r="DZ172" s="1642"/>
      <c r="EA172" s="1642"/>
      <c r="EB172" s="1642"/>
      <c r="EC172" s="1642"/>
      <c r="ED172" s="1642"/>
      <c r="EE172" s="1642"/>
      <c r="EF172" s="1642"/>
      <c r="EG172" s="1642"/>
      <c r="EH172" s="1643"/>
      <c r="EI172" s="1658"/>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0"/>
      <c r="HP172" s="30"/>
      <c r="HQ172" s="30"/>
      <c r="HR172" s="30"/>
      <c r="HS172" s="30"/>
      <c r="HT172" s="30"/>
      <c r="HU172" s="30"/>
      <c r="HV172" s="30"/>
      <c r="HW172" s="30"/>
      <c r="HX172" s="30"/>
      <c r="HY172" s="30"/>
      <c r="HZ172" s="30"/>
      <c r="IA172" s="30"/>
      <c r="IB172" s="30"/>
      <c r="IC172" s="30"/>
      <c r="ID172" s="30"/>
      <c r="IE172" s="30"/>
      <c r="IF172" s="30"/>
      <c r="IG172" s="30"/>
      <c r="IH172" s="30"/>
      <c r="II172" s="30"/>
      <c r="IJ172" s="30"/>
      <c r="IK172" s="30"/>
      <c r="IL172" s="30"/>
      <c r="IM172" s="30"/>
      <c r="IN172" s="30"/>
      <c r="IO172" s="30"/>
      <c r="IP172" s="30"/>
      <c r="IQ172" s="30"/>
      <c r="IR172" s="30"/>
      <c r="IS172" s="30"/>
      <c r="IT172" s="30"/>
      <c r="IU172" s="30"/>
      <c r="IV172" s="30"/>
      <c r="IW172" s="30"/>
      <c r="IX172" s="30"/>
      <c r="IY172" s="30"/>
      <c r="IZ172" s="30"/>
      <c r="JA172" s="30"/>
      <c r="JB172" s="30"/>
      <c r="JC172" s="30"/>
      <c r="JD172" s="30"/>
      <c r="JE172" s="30"/>
      <c r="JF172" s="30"/>
      <c r="JG172" s="30"/>
      <c r="JH172" s="30"/>
      <c r="JI172" s="30"/>
      <c r="JJ172" s="30"/>
      <c r="JK172" s="30"/>
      <c r="JL172" s="30"/>
      <c r="JM172" s="30"/>
      <c r="JN172" s="30"/>
      <c r="JO172" s="30"/>
      <c r="JP172" s="30"/>
      <c r="JQ172" s="30"/>
      <c r="JR172" s="30"/>
      <c r="JS172" s="30"/>
      <c r="JT172" s="30"/>
      <c r="JU172" s="30"/>
      <c r="JV172" s="30"/>
      <c r="JW172" s="30"/>
      <c r="JX172" s="30"/>
      <c r="JY172" s="30"/>
      <c r="JZ172" s="30"/>
      <c r="KA172" s="30"/>
      <c r="KB172" s="30"/>
      <c r="KC172" s="30"/>
      <c r="KD172" s="30"/>
      <c r="KE172" s="30"/>
      <c r="KF172" s="30"/>
      <c r="KG172" s="30"/>
      <c r="KH172" s="30"/>
      <c r="KI172" s="30"/>
      <c r="KJ172" s="30"/>
      <c r="KK172" s="30"/>
      <c r="KL172" s="30"/>
      <c r="KM172" s="30"/>
      <c r="KN172" s="30"/>
      <c r="KO172" s="30"/>
      <c r="KP172" s="1630"/>
    </row>
    <row r="173" spans="1:302" s="97" customFormat="1" ht="13.9" outlineLevel="1">
      <c r="A173" s="2660" t="s">
        <v>135</v>
      </c>
      <c r="B173" s="2607"/>
      <c r="C173" s="2587" t="s">
        <v>865</v>
      </c>
      <c r="D173" s="2587" t="s">
        <v>866</v>
      </c>
      <c r="E173" s="376"/>
      <c r="F173" s="347"/>
      <c r="G173" s="348"/>
      <c r="H173" s="349" t="s">
        <v>26</v>
      </c>
      <c r="I173" s="2936"/>
      <c r="J173" s="362" t="s">
        <v>26</v>
      </c>
      <c r="K173" s="1745"/>
      <c r="L173" s="383"/>
      <c r="M173" s="383"/>
      <c r="N173" s="383"/>
      <c r="O173" s="1510"/>
      <c r="P173" s="383"/>
      <c r="Q173" s="383"/>
      <c r="R173" s="383"/>
      <c r="S173" s="1510">
        <f t="shared" si="220"/>
        <v>0</v>
      </c>
      <c r="T173" s="1509"/>
      <c r="U173" s="1746"/>
      <c r="V173" s="1746"/>
      <c r="W173" s="1744">
        <f t="shared" si="221"/>
        <v>0</v>
      </c>
      <c r="X173" s="362" t="s">
        <v>26</v>
      </c>
      <c r="Y173" s="1509"/>
      <c r="Z173" s="1746"/>
      <c r="AA173" s="1746"/>
      <c r="AB173" s="1510">
        <f t="shared" si="216"/>
        <v>0</v>
      </c>
      <c r="AC173" s="2069"/>
      <c r="AD173" s="1443"/>
      <c r="AE173" s="381"/>
      <c r="AF173" s="354"/>
      <c r="AG173" s="354"/>
      <c r="AH173" s="354">
        <f t="shared" si="222"/>
        <v>0</v>
      </c>
      <c r="AI173" s="355">
        <f t="shared" ca="1" si="214"/>
        <v>0</v>
      </c>
      <c r="AJ173" s="356" t="str">
        <f t="shared" si="150"/>
        <v/>
      </c>
      <c r="AK173" s="2185"/>
      <c r="AL173" s="2063"/>
      <c r="AM173" s="2258"/>
      <c r="AN173" s="2258"/>
      <c r="AO173" s="359"/>
      <c r="AP173" s="359"/>
      <c r="AQ173" s="377"/>
      <c r="AR173" s="359"/>
      <c r="AS173" s="359"/>
      <c r="AT173" s="390"/>
      <c r="AU173" s="377"/>
      <c r="AV173" s="377"/>
      <c r="AW173" s="359"/>
      <c r="AX173" s="359"/>
      <c r="AY173" s="390"/>
      <c r="AZ173" s="2273"/>
      <c r="BA173" s="513"/>
      <c r="BB173" s="513"/>
      <c r="BC173" s="359"/>
      <c r="BD173" s="359"/>
      <c r="BE173" s="359"/>
      <c r="BF173" s="359"/>
      <c r="BG173" s="359"/>
      <c r="BH173" s="359"/>
      <c r="BI173" s="359"/>
      <c r="BJ173" s="359"/>
      <c r="BK173" s="2122"/>
      <c r="BL173" s="380"/>
      <c r="BM173" s="380"/>
      <c r="BN173" s="380"/>
      <c r="BO173" s="380"/>
      <c r="BP173" s="380"/>
      <c r="BQ173" s="2087"/>
      <c r="BR173" s="359"/>
      <c r="BS173" s="359"/>
      <c r="BT173" s="359"/>
      <c r="BU173" s="364"/>
      <c r="BV173" s="364"/>
      <c r="BW173" s="2366"/>
      <c r="BX173" s="2463"/>
      <c r="BY173" s="2543"/>
      <c r="BZ173" s="2543"/>
      <c r="CA173" s="2432">
        <f t="shared" si="224"/>
        <v>0</v>
      </c>
      <c r="CB173" s="2377" t="str">
        <f t="shared" si="225"/>
        <v/>
      </c>
      <c r="CC173" s="365" t="str">
        <f t="shared" si="226"/>
        <v/>
      </c>
      <c r="CD173" s="366"/>
      <c r="CE173" s="343"/>
      <c r="CF173" s="343"/>
      <c r="CG173" s="340"/>
      <c r="CH173" s="367"/>
      <c r="CI173" s="368"/>
      <c r="CJ173" s="368"/>
      <c r="CK173" s="369"/>
      <c r="CL173" s="329">
        <f t="shared" si="182"/>
        <v>0</v>
      </c>
      <c r="CM173" s="330">
        <f t="shared" ca="1" si="183"/>
        <v>0</v>
      </c>
      <c r="CN173" s="331">
        <f t="shared" ca="1" si="223"/>
        <v>0</v>
      </c>
      <c r="CO173" s="86"/>
      <c r="CP173" s="86"/>
      <c r="CQ173" s="1641"/>
      <c r="CR173" s="86"/>
      <c r="CS173" s="86"/>
      <c r="CT173" s="86"/>
      <c r="CU173" s="86"/>
      <c r="CV173" s="86"/>
      <c r="CW173" s="86"/>
      <c r="CX173" s="86"/>
      <c r="CY173" s="86"/>
      <c r="CZ173" s="86"/>
      <c r="DA173" s="86"/>
      <c r="DB173" s="1642"/>
      <c r="DC173" s="1642"/>
      <c r="DD173" s="30"/>
      <c r="DE173" s="30"/>
      <c r="DF173" s="30"/>
      <c r="DG173" s="1642"/>
      <c r="DH173" s="1642"/>
      <c r="DI173" s="1642"/>
      <c r="DJ173" s="1642"/>
      <c r="DK173" s="1642"/>
      <c r="DL173" s="1642"/>
      <c r="DM173" s="1642"/>
      <c r="DN173" s="1642"/>
      <c r="DO173" s="1642"/>
      <c r="DP173" s="1642"/>
      <c r="DQ173" s="1642"/>
      <c r="DR173" s="1642"/>
      <c r="DS173" s="1642"/>
      <c r="DT173" s="1642"/>
      <c r="DU173" s="1642"/>
      <c r="DV173" s="1642"/>
      <c r="DW173" s="1642"/>
      <c r="DX173" s="1642"/>
      <c r="DY173" s="1642"/>
      <c r="DZ173" s="1642"/>
      <c r="EA173" s="1642"/>
      <c r="EB173" s="1642"/>
      <c r="EC173" s="1642"/>
      <c r="ED173" s="1642"/>
      <c r="EE173" s="1642"/>
      <c r="EF173" s="1642"/>
      <c r="EG173" s="1642"/>
      <c r="EH173" s="1643"/>
      <c r="EI173" s="1658"/>
      <c r="EJ173" s="30"/>
      <c r="EK173" s="30"/>
      <c r="EL173" s="30"/>
      <c r="EM173" s="30"/>
      <c r="EN173" s="30"/>
      <c r="EO173" s="30"/>
      <c r="EP173" s="30"/>
      <c r="EQ173" s="30"/>
      <c r="ER173" s="30"/>
      <c r="ES173" s="30"/>
      <c r="ET173" s="30"/>
      <c r="EU173" s="30"/>
      <c r="EV173" s="30"/>
      <c r="EW173" s="30"/>
      <c r="EX173" s="30"/>
      <c r="EY173" s="30"/>
      <c r="EZ173" s="30"/>
      <c r="FA173" s="30"/>
      <c r="FB173" s="30"/>
      <c r="FC173" s="30"/>
      <c r="FD173" s="30"/>
      <c r="FE173" s="30"/>
      <c r="FF173" s="30"/>
      <c r="FG173" s="30"/>
      <c r="FH173" s="30"/>
      <c r="FI173" s="30"/>
      <c r="FJ173" s="30"/>
      <c r="FK173" s="30"/>
      <c r="FL173" s="30"/>
      <c r="FM173" s="30"/>
      <c r="FN173" s="30"/>
      <c r="FO173" s="30"/>
      <c r="FP173" s="30"/>
      <c r="FQ173" s="30"/>
      <c r="FR173" s="30"/>
      <c r="FS173" s="30"/>
      <c r="FT173" s="30"/>
      <c r="FU173" s="30"/>
      <c r="FV173" s="30"/>
      <c r="FW173" s="30"/>
      <c r="FX173" s="30"/>
      <c r="FY173" s="30"/>
      <c r="FZ173" s="30"/>
      <c r="GA173" s="30"/>
      <c r="GB173" s="30"/>
      <c r="GC173" s="30"/>
      <c r="GD173" s="30"/>
      <c r="GE173" s="30"/>
      <c r="GF173" s="30"/>
      <c r="GG173" s="30"/>
      <c r="GH173" s="30"/>
      <c r="GI173" s="30"/>
      <c r="GJ173" s="30"/>
      <c r="GK173" s="30"/>
      <c r="GL173" s="30"/>
      <c r="GM173" s="30"/>
      <c r="GN173" s="30"/>
      <c r="GO173" s="30"/>
      <c r="GP173" s="30"/>
      <c r="GQ173" s="30"/>
      <c r="GR173" s="30"/>
      <c r="GS173" s="30"/>
      <c r="GT173" s="30"/>
      <c r="GU173" s="30"/>
      <c r="GV173" s="30"/>
      <c r="GW173" s="30"/>
      <c r="GX173" s="30"/>
      <c r="GY173" s="30"/>
      <c r="GZ173" s="30"/>
      <c r="HA173" s="30"/>
      <c r="HB173" s="30"/>
      <c r="HC173" s="30"/>
      <c r="HD173" s="30"/>
      <c r="HE173" s="30"/>
      <c r="HF173" s="30"/>
      <c r="HG173" s="30"/>
      <c r="HH173" s="30"/>
      <c r="HI173" s="30"/>
      <c r="HJ173" s="30"/>
      <c r="HK173" s="30"/>
      <c r="HL173" s="30"/>
      <c r="HM173" s="30"/>
      <c r="HN173" s="30"/>
      <c r="HO173" s="30"/>
      <c r="HP173" s="30"/>
      <c r="HQ173" s="30"/>
      <c r="HR173" s="30"/>
      <c r="HS173" s="30"/>
      <c r="HT173" s="30"/>
      <c r="HU173" s="30"/>
      <c r="HV173" s="30"/>
      <c r="HW173" s="30"/>
      <c r="HX173" s="30"/>
      <c r="HY173" s="30"/>
      <c r="HZ173" s="30"/>
      <c r="IA173" s="30"/>
      <c r="IB173" s="30"/>
      <c r="IC173" s="30"/>
      <c r="ID173" s="30"/>
      <c r="IE173" s="30"/>
      <c r="IF173" s="30"/>
      <c r="IG173" s="30"/>
      <c r="IH173" s="30"/>
      <c r="II173" s="30"/>
      <c r="IJ173" s="30"/>
      <c r="IK173" s="30"/>
      <c r="IL173" s="30"/>
      <c r="IM173" s="30"/>
      <c r="IN173" s="30"/>
      <c r="IO173" s="30"/>
      <c r="IP173" s="30"/>
      <c r="IQ173" s="30"/>
      <c r="IR173" s="30"/>
      <c r="IS173" s="30"/>
      <c r="IT173" s="30"/>
      <c r="IU173" s="30"/>
      <c r="IV173" s="30"/>
      <c r="IW173" s="30"/>
      <c r="IX173" s="30"/>
      <c r="IY173" s="30"/>
      <c r="IZ173" s="30"/>
      <c r="JA173" s="30"/>
      <c r="JB173" s="30"/>
      <c r="JC173" s="30"/>
      <c r="JD173" s="30"/>
      <c r="JE173" s="30"/>
      <c r="JF173" s="30"/>
      <c r="JG173" s="30"/>
      <c r="JH173" s="30"/>
      <c r="JI173" s="30"/>
      <c r="JJ173" s="30"/>
      <c r="JK173" s="30"/>
      <c r="JL173" s="30"/>
      <c r="JM173" s="30"/>
      <c r="JN173" s="30"/>
      <c r="JO173" s="30"/>
      <c r="JP173" s="30"/>
      <c r="JQ173" s="30"/>
      <c r="JR173" s="30"/>
      <c r="JS173" s="30"/>
      <c r="JT173" s="30"/>
      <c r="JU173" s="30"/>
      <c r="JV173" s="30"/>
      <c r="JW173" s="30"/>
      <c r="JX173" s="30"/>
      <c r="JY173" s="30"/>
      <c r="JZ173" s="30"/>
      <c r="KA173" s="30"/>
      <c r="KB173" s="30"/>
      <c r="KC173" s="30"/>
      <c r="KD173" s="30"/>
      <c r="KE173" s="30"/>
      <c r="KF173" s="30"/>
      <c r="KG173" s="30"/>
      <c r="KH173" s="30"/>
      <c r="KI173" s="30"/>
      <c r="KJ173" s="30"/>
      <c r="KK173" s="30"/>
      <c r="KL173" s="30"/>
      <c r="KM173" s="30"/>
      <c r="KN173" s="30"/>
      <c r="KO173" s="30"/>
      <c r="KP173" s="1630"/>
    </row>
    <row r="174" spans="1:302" s="97" customFormat="1" ht="13.15" outlineLevel="1">
      <c r="A174" s="2659" t="s">
        <v>259</v>
      </c>
      <c r="B174" s="386"/>
      <c r="C174" s="1923" t="s">
        <v>867</v>
      </c>
      <c r="D174" s="1923" t="s">
        <v>868</v>
      </c>
      <c r="E174" s="376"/>
      <c r="F174" s="347"/>
      <c r="G174" s="348"/>
      <c r="H174" s="349" t="s">
        <v>26</v>
      </c>
      <c r="I174" s="2936"/>
      <c r="J174" s="362" t="s">
        <v>26</v>
      </c>
      <c r="K174" s="1745"/>
      <c r="L174" s="383"/>
      <c r="M174" s="383"/>
      <c r="N174" s="383"/>
      <c r="O174" s="1510">
        <v>1500000</v>
      </c>
      <c r="P174" s="383"/>
      <c r="Q174" s="383"/>
      <c r="R174" s="383"/>
      <c r="S174" s="1510">
        <f t="shared" si="220"/>
        <v>0</v>
      </c>
      <c r="T174" s="1509"/>
      <c r="U174" s="1746"/>
      <c r="V174" s="1746"/>
      <c r="W174" s="1744">
        <f t="shared" si="221"/>
        <v>1500000</v>
      </c>
      <c r="X174" s="362" t="s">
        <v>26</v>
      </c>
      <c r="Y174" s="1509"/>
      <c r="Z174" s="1746"/>
      <c r="AA174" s="1746"/>
      <c r="AB174" s="1510">
        <f t="shared" si="216"/>
        <v>1500000</v>
      </c>
      <c r="AC174" s="2069"/>
      <c r="AD174" s="1443"/>
      <c r="AE174" s="381"/>
      <c r="AF174" s="373"/>
      <c r="AG174" s="373"/>
      <c r="AH174" s="354">
        <f t="shared" si="222"/>
        <v>0</v>
      </c>
      <c r="AI174" s="355">
        <f t="shared" ca="1" si="214"/>
        <v>0</v>
      </c>
      <c r="AJ174" s="356">
        <f t="shared" ca="1" si="150"/>
        <v>0</v>
      </c>
      <c r="AK174" s="2185"/>
      <c r="AL174" s="2063"/>
      <c r="AM174" s="2258"/>
      <c r="AN174" s="2258"/>
      <c r="AO174" s="359"/>
      <c r="AP174" s="359"/>
      <c r="AQ174" s="1505"/>
      <c r="AR174" s="1505"/>
      <c r="AS174" s="377"/>
      <c r="AT174" s="390"/>
      <c r="AU174" s="377"/>
      <c r="AV174" s="377"/>
      <c r="AW174" s="359"/>
      <c r="AX174" s="359"/>
      <c r="AY174" s="390"/>
      <c r="AZ174" s="2258"/>
      <c r="BA174" s="359"/>
      <c r="BB174" s="359"/>
      <c r="BC174" s="359">
        <v>300000</v>
      </c>
      <c r="BD174" s="359">
        <v>300000</v>
      </c>
      <c r="BE174" s="359">
        <v>300000</v>
      </c>
      <c r="BF174" s="359">
        <v>300000</v>
      </c>
      <c r="BG174" s="359">
        <v>300000</v>
      </c>
      <c r="BH174" s="359"/>
      <c r="BI174" s="359"/>
      <c r="BJ174" s="359"/>
      <c r="BK174" s="2122"/>
      <c r="BL174" s="380"/>
      <c r="BM174" s="380"/>
      <c r="BN174" s="380"/>
      <c r="BO174" s="380"/>
      <c r="BP174" s="380"/>
      <c r="BQ174" s="2087"/>
      <c r="BR174" s="359"/>
      <c r="BS174" s="359"/>
      <c r="BT174" s="359"/>
      <c r="BU174" s="364"/>
      <c r="BV174" s="364"/>
      <c r="BW174" s="2366"/>
      <c r="BX174" s="2463"/>
      <c r="BY174" s="2543"/>
      <c r="BZ174" s="2543"/>
      <c r="CA174" s="2432">
        <f t="shared" si="224"/>
        <v>1500000</v>
      </c>
      <c r="CB174" s="2377">
        <f t="shared" si="225"/>
        <v>1</v>
      </c>
      <c r="CC174" s="365">
        <f t="shared" si="226"/>
        <v>6.6666666666666671E-7</v>
      </c>
      <c r="CD174" s="366"/>
      <c r="CE174" s="343"/>
      <c r="CF174" s="343"/>
      <c r="CG174" s="340"/>
      <c r="CH174" s="367"/>
      <c r="CI174" s="368"/>
      <c r="CJ174" s="368"/>
      <c r="CK174" s="369"/>
      <c r="CL174" s="329">
        <f t="shared" si="182"/>
        <v>0</v>
      </c>
      <c r="CM174" s="330">
        <f t="shared" ca="1" si="183"/>
        <v>0</v>
      </c>
      <c r="CN174" s="331">
        <f t="shared" ca="1" si="223"/>
        <v>-1500000</v>
      </c>
      <c r="CO174" s="86"/>
      <c r="CP174" s="86"/>
      <c r="CQ174" s="1641"/>
      <c r="CR174" s="86"/>
      <c r="CS174" s="86"/>
      <c r="CT174" s="86"/>
      <c r="CU174" s="86"/>
      <c r="CV174" s="86"/>
      <c r="CW174" s="86"/>
      <c r="CX174" s="86"/>
      <c r="CY174" s="86"/>
      <c r="CZ174" s="86"/>
      <c r="DA174" s="86"/>
      <c r="DB174" s="1642"/>
      <c r="DC174" s="1642"/>
      <c r="DD174" s="30"/>
      <c r="DE174" s="30"/>
      <c r="DF174" s="30"/>
      <c r="DG174" s="1642"/>
      <c r="DH174" s="1642"/>
      <c r="DI174" s="1642"/>
      <c r="DJ174" s="1642"/>
      <c r="DK174" s="1642"/>
      <c r="DL174" s="1642"/>
      <c r="DM174" s="1642"/>
      <c r="DN174" s="1642"/>
      <c r="DO174" s="1642"/>
      <c r="DP174" s="1642"/>
      <c r="DQ174" s="1642"/>
      <c r="DR174" s="1642"/>
      <c r="DS174" s="1642"/>
      <c r="DT174" s="1642"/>
      <c r="DU174" s="1642"/>
      <c r="DV174" s="1642"/>
      <c r="DW174" s="1642"/>
      <c r="DX174" s="1642"/>
      <c r="DY174" s="1642"/>
      <c r="DZ174" s="1642"/>
      <c r="EA174" s="1642"/>
      <c r="EB174" s="1642"/>
      <c r="EC174" s="1642"/>
      <c r="ED174" s="1642"/>
      <c r="EE174" s="1642"/>
      <c r="EF174" s="1642"/>
      <c r="EG174" s="1642"/>
      <c r="EH174" s="1643"/>
      <c r="EI174" s="1658"/>
      <c r="EJ174" s="30"/>
      <c r="EK174" s="30"/>
      <c r="EL174" s="30"/>
      <c r="EM174" s="30"/>
      <c r="EN174" s="30"/>
      <c r="EO174" s="30"/>
      <c r="EP174" s="30"/>
      <c r="EQ174" s="30"/>
      <c r="ER174" s="30"/>
      <c r="ES174" s="30"/>
      <c r="ET174" s="30"/>
      <c r="EU174" s="30"/>
      <c r="EV174" s="30"/>
      <c r="EW174" s="30"/>
      <c r="EX174" s="30"/>
      <c r="EY174" s="30"/>
      <c r="EZ174" s="30"/>
      <c r="FA174" s="30"/>
      <c r="FB174" s="30"/>
      <c r="FC174" s="30"/>
      <c r="FD174" s="30"/>
      <c r="FE174" s="30"/>
      <c r="FF174" s="30"/>
      <c r="FG174" s="30"/>
      <c r="FH174" s="30"/>
      <c r="FI174" s="30"/>
      <c r="FJ174" s="30"/>
      <c r="FK174" s="30"/>
      <c r="FL174" s="30"/>
      <c r="FM174" s="30"/>
      <c r="FN174" s="30"/>
      <c r="FO174" s="30"/>
      <c r="FP174" s="30"/>
      <c r="FQ174" s="30"/>
      <c r="FR174" s="30"/>
      <c r="FS174" s="30"/>
      <c r="FT174" s="30"/>
      <c r="FU174" s="30"/>
      <c r="FV174" s="30"/>
      <c r="FW174" s="30"/>
      <c r="FX174" s="30"/>
      <c r="FY174" s="30"/>
      <c r="FZ174" s="30"/>
      <c r="GA174" s="30"/>
      <c r="GB174" s="30"/>
      <c r="GC174" s="30"/>
      <c r="GD174" s="30"/>
      <c r="GE174" s="30"/>
      <c r="GF174" s="30"/>
      <c r="GG174" s="30"/>
      <c r="GH174" s="30"/>
      <c r="GI174" s="30"/>
      <c r="GJ174" s="30"/>
      <c r="GK174" s="30"/>
      <c r="GL174" s="30"/>
      <c r="GM174" s="30"/>
      <c r="GN174" s="30"/>
      <c r="GO174" s="30"/>
      <c r="GP174" s="30"/>
      <c r="GQ174" s="30"/>
      <c r="GR174" s="30"/>
      <c r="GS174" s="30"/>
      <c r="GT174" s="30"/>
      <c r="GU174" s="30"/>
      <c r="GV174" s="30"/>
      <c r="GW174" s="30"/>
      <c r="GX174" s="30"/>
      <c r="GY174" s="30"/>
      <c r="GZ174" s="30"/>
      <c r="HA174" s="30"/>
      <c r="HB174" s="30"/>
      <c r="HC174" s="30"/>
      <c r="HD174" s="30"/>
      <c r="HE174" s="30"/>
      <c r="HF174" s="30"/>
      <c r="HG174" s="30"/>
      <c r="HH174" s="30"/>
      <c r="HI174" s="30"/>
      <c r="HJ174" s="30"/>
      <c r="HK174" s="30"/>
      <c r="HL174" s="30"/>
      <c r="HM174" s="30"/>
      <c r="HN174" s="30"/>
      <c r="HO174" s="30"/>
      <c r="HP174" s="30"/>
      <c r="HQ174" s="30"/>
      <c r="HR174" s="30"/>
      <c r="HS174" s="30"/>
      <c r="HT174" s="30"/>
      <c r="HU174" s="30"/>
      <c r="HV174" s="30"/>
      <c r="HW174" s="30"/>
      <c r="HX174" s="30"/>
      <c r="HY174" s="30"/>
      <c r="HZ174" s="30"/>
      <c r="IA174" s="30"/>
      <c r="IB174" s="30"/>
      <c r="IC174" s="30"/>
      <c r="ID174" s="30"/>
      <c r="IE174" s="30"/>
      <c r="IF174" s="30"/>
      <c r="IG174" s="30"/>
      <c r="IH174" s="30"/>
      <c r="II174" s="30"/>
      <c r="IJ174" s="30"/>
      <c r="IK174" s="30"/>
      <c r="IL174" s="30"/>
      <c r="IM174" s="30"/>
      <c r="IN174" s="30"/>
      <c r="IO174" s="30"/>
      <c r="IP174" s="30"/>
      <c r="IQ174" s="30"/>
      <c r="IR174" s="30"/>
      <c r="IS174" s="30"/>
      <c r="IT174" s="30"/>
      <c r="IU174" s="30"/>
      <c r="IV174" s="30"/>
      <c r="IW174" s="30"/>
      <c r="IX174" s="30"/>
      <c r="IY174" s="30"/>
      <c r="IZ174" s="30"/>
      <c r="JA174" s="30"/>
      <c r="JB174" s="30"/>
      <c r="JC174" s="30"/>
      <c r="JD174" s="30"/>
      <c r="JE174" s="30"/>
      <c r="JF174" s="30"/>
      <c r="JG174" s="30"/>
      <c r="JH174" s="30"/>
      <c r="JI174" s="30"/>
      <c r="JJ174" s="30"/>
      <c r="JK174" s="30"/>
      <c r="JL174" s="30"/>
      <c r="JM174" s="30"/>
      <c r="JN174" s="30"/>
      <c r="JO174" s="30"/>
      <c r="JP174" s="30"/>
      <c r="JQ174" s="30"/>
      <c r="JR174" s="30"/>
      <c r="JS174" s="30"/>
      <c r="JT174" s="30"/>
      <c r="JU174" s="30"/>
      <c r="JV174" s="30"/>
      <c r="JW174" s="30"/>
      <c r="JX174" s="30"/>
      <c r="JY174" s="30"/>
      <c r="JZ174" s="30"/>
      <c r="KA174" s="30"/>
      <c r="KB174" s="30"/>
      <c r="KC174" s="30"/>
      <c r="KD174" s="30"/>
      <c r="KE174" s="30"/>
      <c r="KF174" s="30"/>
      <c r="KG174" s="30"/>
      <c r="KH174" s="30"/>
      <c r="KI174" s="30"/>
      <c r="KJ174" s="30"/>
      <c r="KK174" s="30"/>
      <c r="KL174" s="30"/>
      <c r="KM174" s="30"/>
      <c r="KN174" s="30"/>
      <c r="KO174" s="30"/>
      <c r="KP174" s="1630"/>
    </row>
    <row r="175" spans="1:302" s="97" customFormat="1" ht="13.15" outlineLevel="1">
      <c r="A175" s="2659" t="s">
        <v>869</v>
      </c>
      <c r="B175" s="386"/>
      <c r="C175" s="1923" t="s">
        <v>870</v>
      </c>
      <c r="D175" s="1923" t="s">
        <v>871</v>
      </c>
      <c r="E175" s="376"/>
      <c r="F175" s="347"/>
      <c r="G175" s="348"/>
      <c r="H175" s="349" t="s">
        <v>26</v>
      </c>
      <c r="I175" s="2936"/>
      <c r="J175" s="362" t="s">
        <v>26</v>
      </c>
      <c r="K175" s="1745"/>
      <c r="L175" s="383"/>
      <c r="M175" s="383"/>
      <c r="N175" s="383"/>
      <c r="O175" s="1510">
        <v>3107033</v>
      </c>
      <c r="P175" s="383"/>
      <c r="Q175" s="383"/>
      <c r="R175" s="383"/>
      <c r="S175" s="1510">
        <f t="shared" si="220"/>
        <v>0</v>
      </c>
      <c r="T175" s="1509"/>
      <c r="U175" s="1746"/>
      <c r="V175" s="1746"/>
      <c r="W175" s="1744">
        <f t="shared" si="221"/>
        <v>3107033</v>
      </c>
      <c r="X175" s="362" t="s">
        <v>26</v>
      </c>
      <c r="Y175" s="1509"/>
      <c r="Z175" s="1746"/>
      <c r="AA175" s="1746"/>
      <c r="AB175" s="1510">
        <f t="shared" si="216"/>
        <v>3107032.9989999998</v>
      </c>
      <c r="AC175" s="2069"/>
      <c r="AD175" s="1443"/>
      <c r="AE175" s="381"/>
      <c r="AF175" s="373"/>
      <c r="AG175" s="373"/>
      <c r="AH175" s="354">
        <f t="shared" si="222"/>
        <v>0</v>
      </c>
      <c r="AI175" s="355">
        <f t="shared" ca="1" si="214"/>
        <v>0</v>
      </c>
      <c r="AJ175" s="356">
        <f t="shared" ca="1" si="150"/>
        <v>0</v>
      </c>
      <c r="AK175" s="2185"/>
      <c r="AL175" s="2063"/>
      <c r="AM175" s="2258"/>
      <c r="AN175" s="2258"/>
      <c r="AO175" s="359"/>
      <c r="AP175" s="359"/>
      <c r="AQ175" s="1505"/>
      <c r="AR175" s="1505"/>
      <c r="AS175" s="377"/>
      <c r="AT175" s="390"/>
      <c r="AU175" s="377"/>
      <c r="AV175" s="377"/>
      <c r="AW175" s="359"/>
      <c r="AX175" s="359"/>
      <c r="AY175" s="390"/>
      <c r="AZ175" s="2258"/>
      <c r="BA175" s="359">
        <v>443961.85700000002</v>
      </c>
      <c r="BB175" s="359">
        <v>443961.85700000002</v>
      </c>
      <c r="BC175" s="359">
        <v>443961.85700000002</v>
      </c>
      <c r="BD175" s="359">
        <v>443961.85700000002</v>
      </c>
      <c r="BE175" s="359">
        <v>443961.85700000002</v>
      </c>
      <c r="BF175" s="359">
        <v>443961.85700000002</v>
      </c>
      <c r="BG175" s="359">
        <v>443261.85700000002</v>
      </c>
      <c r="BH175" s="359"/>
      <c r="BI175" s="359"/>
      <c r="BJ175" s="359"/>
      <c r="BK175" s="2122"/>
      <c r="BL175" s="380"/>
      <c r="BM175" s="380"/>
      <c r="BN175" s="380"/>
      <c r="BO175" s="380"/>
      <c r="BP175" s="380"/>
      <c r="BQ175" s="2087"/>
      <c r="BR175" s="359"/>
      <c r="BS175" s="359"/>
      <c r="BT175" s="359"/>
      <c r="BU175" s="364"/>
      <c r="BV175" s="364"/>
      <c r="BW175" s="2366"/>
      <c r="BX175" s="2463"/>
      <c r="BY175" s="2543"/>
      <c r="BZ175" s="2543"/>
      <c r="CA175" s="2432">
        <f t="shared" si="224"/>
        <v>3107032.9989999998</v>
      </c>
      <c r="CB175" s="2377">
        <f t="shared" si="225"/>
        <v>1</v>
      </c>
      <c r="CC175" s="365">
        <f t="shared" si="226"/>
        <v>3.2185046001180241E-7</v>
      </c>
      <c r="CD175" s="366"/>
      <c r="CE175" s="343"/>
      <c r="CF175" s="343"/>
      <c r="CG175" s="340"/>
      <c r="CH175" s="367"/>
      <c r="CI175" s="368"/>
      <c r="CJ175" s="368"/>
      <c r="CK175" s="369"/>
      <c r="CL175" s="329">
        <f t="shared" si="182"/>
        <v>1.0000001639127731E-3</v>
      </c>
      <c r="CM175" s="330">
        <f t="shared" ca="1" si="183"/>
        <v>0</v>
      </c>
      <c r="CN175" s="331">
        <f t="shared" ca="1" si="223"/>
        <v>-3107032.9989999998</v>
      </c>
      <c r="CO175" s="86"/>
      <c r="CP175" s="86"/>
      <c r="CQ175" s="1641"/>
      <c r="CR175" s="86"/>
      <c r="CS175" s="86"/>
      <c r="CT175" s="86"/>
      <c r="CU175" s="86"/>
      <c r="CV175" s="86"/>
      <c r="CW175" s="86"/>
      <c r="CX175" s="86"/>
      <c r="CY175" s="86"/>
      <c r="CZ175" s="86"/>
      <c r="DA175" s="86"/>
      <c r="DB175" s="1642"/>
      <c r="DC175" s="1642"/>
      <c r="DD175" s="30"/>
      <c r="DE175" s="30"/>
      <c r="DF175" s="30"/>
      <c r="DG175" s="1642"/>
      <c r="DH175" s="1642"/>
      <c r="DI175" s="1642"/>
      <c r="DJ175" s="1642"/>
      <c r="DK175" s="1642"/>
      <c r="DL175" s="1642"/>
      <c r="DM175" s="1642"/>
      <c r="DN175" s="1642"/>
      <c r="DO175" s="1642"/>
      <c r="DP175" s="1642"/>
      <c r="DQ175" s="1642"/>
      <c r="DR175" s="1642"/>
      <c r="DS175" s="1642"/>
      <c r="DT175" s="1642"/>
      <c r="DU175" s="1642"/>
      <c r="DV175" s="1642"/>
      <c r="DW175" s="1642"/>
      <c r="DX175" s="1642"/>
      <c r="DY175" s="1642"/>
      <c r="DZ175" s="1642"/>
      <c r="EA175" s="1642"/>
      <c r="EB175" s="1642"/>
      <c r="EC175" s="1642"/>
      <c r="ED175" s="1642"/>
      <c r="EE175" s="1642"/>
      <c r="EF175" s="1642"/>
      <c r="EG175" s="1642"/>
      <c r="EH175" s="1643"/>
      <c r="EI175" s="1658"/>
      <c r="EJ175" s="30"/>
      <c r="EK175" s="30"/>
      <c r="EL175" s="30"/>
      <c r="EM175" s="30"/>
      <c r="EN175" s="30"/>
      <c r="EO175" s="30"/>
      <c r="EP175" s="30"/>
      <c r="EQ175" s="30"/>
      <c r="ER175" s="30"/>
      <c r="ES175" s="30"/>
      <c r="ET175" s="30"/>
      <c r="EU175" s="30"/>
      <c r="EV175" s="30"/>
      <c r="EW175" s="30"/>
      <c r="EX175" s="30"/>
      <c r="EY175" s="30"/>
      <c r="EZ175" s="30"/>
      <c r="FA175" s="30"/>
      <c r="FB175" s="30"/>
      <c r="FC175" s="30"/>
      <c r="FD175" s="30"/>
      <c r="FE175" s="30"/>
      <c r="FF175" s="30"/>
      <c r="FG175" s="30"/>
      <c r="FH175" s="30"/>
      <c r="FI175" s="30"/>
      <c r="FJ175" s="30"/>
      <c r="FK175" s="30"/>
      <c r="FL175" s="30"/>
      <c r="FM175" s="30"/>
      <c r="FN175" s="30"/>
      <c r="FO175" s="30"/>
      <c r="FP175" s="30"/>
      <c r="FQ175" s="30"/>
      <c r="FR175" s="30"/>
      <c r="FS175" s="30"/>
      <c r="FT175" s="30"/>
      <c r="FU175" s="30"/>
      <c r="FV175" s="30"/>
      <c r="FW175" s="30"/>
      <c r="FX175" s="30"/>
      <c r="FY175" s="30"/>
      <c r="FZ175" s="30"/>
      <c r="GA175" s="30"/>
      <c r="GB175" s="30"/>
      <c r="GC175" s="30"/>
      <c r="GD175" s="30"/>
      <c r="GE175" s="30"/>
      <c r="GF175" s="30"/>
      <c r="GG175" s="30"/>
      <c r="GH175" s="30"/>
      <c r="GI175" s="30"/>
      <c r="GJ175" s="30"/>
      <c r="GK175" s="30"/>
      <c r="GL175" s="30"/>
      <c r="GM175" s="30"/>
      <c r="GN175" s="30"/>
      <c r="GO175" s="30"/>
      <c r="GP175" s="30"/>
      <c r="GQ175" s="30"/>
      <c r="GR175" s="30"/>
      <c r="GS175" s="30"/>
      <c r="GT175" s="30"/>
      <c r="GU175" s="30"/>
      <c r="GV175" s="30"/>
      <c r="GW175" s="30"/>
      <c r="GX175" s="30"/>
      <c r="GY175" s="30"/>
      <c r="GZ175" s="30"/>
      <c r="HA175" s="30"/>
      <c r="HB175" s="30"/>
      <c r="HC175" s="30"/>
      <c r="HD175" s="30"/>
      <c r="HE175" s="30"/>
      <c r="HF175" s="30"/>
      <c r="HG175" s="30"/>
      <c r="HH175" s="30"/>
      <c r="HI175" s="30"/>
      <c r="HJ175" s="30"/>
      <c r="HK175" s="30"/>
      <c r="HL175" s="30"/>
      <c r="HM175" s="30"/>
      <c r="HN175" s="30"/>
      <c r="HO175" s="30"/>
      <c r="HP175" s="30"/>
      <c r="HQ175" s="30"/>
      <c r="HR175" s="30"/>
      <c r="HS175" s="30"/>
      <c r="HT175" s="30"/>
      <c r="HU175" s="30"/>
      <c r="HV175" s="30"/>
      <c r="HW175" s="30"/>
      <c r="HX175" s="30"/>
      <c r="HY175" s="30"/>
      <c r="HZ175" s="30"/>
      <c r="IA175" s="30"/>
      <c r="IB175" s="30"/>
      <c r="IC175" s="30"/>
      <c r="ID175" s="30"/>
      <c r="IE175" s="30"/>
      <c r="IF175" s="30"/>
      <c r="IG175" s="30"/>
      <c r="IH175" s="30"/>
      <c r="II175" s="30"/>
      <c r="IJ175" s="30"/>
      <c r="IK175" s="30"/>
      <c r="IL175" s="30"/>
      <c r="IM175" s="30"/>
      <c r="IN175" s="30"/>
      <c r="IO175" s="30"/>
      <c r="IP175" s="30"/>
      <c r="IQ175" s="30"/>
      <c r="IR175" s="30"/>
      <c r="IS175" s="30"/>
      <c r="IT175" s="30"/>
      <c r="IU175" s="30"/>
      <c r="IV175" s="30"/>
      <c r="IW175" s="30"/>
      <c r="IX175" s="30"/>
      <c r="IY175" s="30"/>
      <c r="IZ175" s="30"/>
      <c r="JA175" s="30"/>
      <c r="JB175" s="30"/>
      <c r="JC175" s="30"/>
      <c r="JD175" s="30"/>
      <c r="JE175" s="30"/>
      <c r="JF175" s="30"/>
      <c r="JG175" s="30"/>
      <c r="JH175" s="30"/>
      <c r="JI175" s="30"/>
      <c r="JJ175" s="30"/>
      <c r="JK175" s="30"/>
      <c r="JL175" s="30"/>
      <c r="JM175" s="30"/>
      <c r="JN175" s="30"/>
      <c r="JO175" s="30"/>
      <c r="JP175" s="30"/>
      <c r="JQ175" s="30"/>
      <c r="JR175" s="30"/>
      <c r="JS175" s="30"/>
      <c r="JT175" s="30"/>
      <c r="JU175" s="30"/>
      <c r="JV175" s="30"/>
      <c r="JW175" s="30"/>
      <c r="JX175" s="30"/>
      <c r="JY175" s="30"/>
      <c r="JZ175" s="30"/>
      <c r="KA175" s="30"/>
      <c r="KB175" s="30"/>
      <c r="KC175" s="30"/>
      <c r="KD175" s="30"/>
      <c r="KE175" s="30"/>
      <c r="KF175" s="30"/>
      <c r="KG175" s="30"/>
      <c r="KH175" s="30"/>
      <c r="KI175" s="30"/>
      <c r="KJ175" s="30"/>
      <c r="KK175" s="30"/>
      <c r="KL175" s="30"/>
      <c r="KM175" s="30"/>
      <c r="KN175" s="30"/>
      <c r="KO175" s="30"/>
      <c r="KP175" s="1630"/>
    </row>
    <row r="176" spans="1:302" s="97" customFormat="1" ht="13.15" outlineLevel="1">
      <c r="A176" s="2659" t="s">
        <v>872</v>
      </c>
      <c r="B176" s="386"/>
      <c r="C176" s="1923" t="s">
        <v>873</v>
      </c>
      <c r="D176" s="1923" t="s">
        <v>874</v>
      </c>
      <c r="E176" s="376"/>
      <c r="F176" s="347"/>
      <c r="G176" s="348"/>
      <c r="H176" s="349" t="s">
        <v>26</v>
      </c>
      <c r="I176" s="2936"/>
      <c r="J176" s="362" t="s">
        <v>26</v>
      </c>
      <c r="K176" s="1745"/>
      <c r="L176" s="383"/>
      <c r="M176" s="383"/>
      <c r="N176" s="383"/>
      <c r="O176" s="1510">
        <v>1548256</v>
      </c>
      <c r="P176" s="383"/>
      <c r="Q176" s="383"/>
      <c r="R176" s="383"/>
      <c r="S176" s="1510">
        <f t="shared" si="220"/>
        <v>0</v>
      </c>
      <c r="T176" s="1509"/>
      <c r="U176" s="1746"/>
      <c r="V176" s="1746"/>
      <c r="W176" s="1744">
        <f t="shared" si="221"/>
        <v>1548256</v>
      </c>
      <c r="X176" s="362" t="s">
        <v>26</v>
      </c>
      <c r="Y176" s="1509"/>
      <c r="Z176" s="1746"/>
      <c r="AA176" s="1746"/>
      <c r="AB176" s="1510">
        <f t="shared" si="216"/>
        <v>1548256.0019999999</v>
      </c>
      <c r="AC176" s="2069"/>
      <c r="AD176" s="1443"/>
      <c r="AE176" s="381"/>
      <c r="AF176" s="373"/>
      <c r="AG176" s="373"/>
      <c r="AH176" s="354">
        <f t="shared" si="222"/>
        <v>0</v>
      </c>
      <c r="AI176" s="355">
        <f t="shared" ca="1" si="214"/>
        <v>0</v>
      </c>
      <c r="AJ176" s="356">
        <f t="shared" ca="1" si="150"/>
        <v>0</v>
      </c>
      <c r="AK176" s="2185"/>
      <c r="AL176" s="2063"/>
      <c r="AM176" s="2258"/>
      <c r="AN176" s="2258"/>
      <c r="AO176" s="359"/>
      <c r="AP176" s="359"/>
      <c r="AQ176" s="1505"/>
      <c r="AR176" s="1505"/>
      <c r="AS176" s="377"/>
      <c r="AT176" s="390"/>
      <c r="AU176" s="377"/>
      <c r="AV176" s="377"/>
      <c r="AW176" s="359"/>
      <c r="AX176" s="359"/>
      <c r="AY176" s="390"/>
      <c r="AZ176" s="2258">
        <v>258042.66699999999</v>
      </c>
      <c r="BA176" s="359">
        <v>258042.66699999999</v>
      </c>
      <c r="BB176" s="359">
        <v>258042.66699999999</v>
      </c>
      <c r="BC176" s="359">
        <v>258042.66699999999</v>
      </c>
      <c r="BD176" s="359">
        <v>258042.66699999999</v>
      </c>
      <c r="BE176" s="359">
        <v>258042.66699999999</v>
      </c>
      <c r="BF176" s="359"/>
      <c r="BG176" s="359"/>
      <c r="BH176" s="359"/>
      <c r="BI176" s="359"/>
      <c r="BJ176" s="359"/>
      <c r="BK176" s="2122"/>
      <c r="BL176" s="380"/>
      <c r="BM176" s="380"/>
      <c r="BN176" s="380"/>
      <c r="BO176" s="380"/>
      <c r="BP176" s="380"/>
      <c r="BQ176" s="2087"/>
      <c r="BR176" s="359"/>
      <c r="BS176" s="359"/>
      <c r="BT176" s="359"/>
      <c r="BU176" s="364"/>
      <c r="BV176" s="364"/>
      <c r="BW176" s="2366"/>
      <c r="BX176" s="2463"/>
      <c r="BY176" s="2543"/>
      <c r="BZ176" s="2543"/>
      <c r="CA176" s="2432">
        <f t="shared" si="224"/>
        <v>1548256.0019999999</v>
      </c>
      <c r="CB176" s="2377">
        <f t="shared" si="225"/>
        <v>1</v>
      </c>
      <c r="CC176" s="365">
        <f t="shared" si="226"/>
        <v>6.4588801768455866E-7</v>
      </c>
      <c r="CD176" s="366"/>
      <c r="CE176" s="343"/>
      <c r="CF176" s="343"/>
      <c r="CG176" s="340"/>
      <c r="CH176" s="367"/>
      <c r="CI176" s="368"/>
      <c r="CJ176" s="368"/>
      <c r="CK176" s="369"/>
      <c r="CL176" s="329">
        <f t="shared" si="182"/>
        <v>-1.999999862164259E-3</v>
      </c>
      <c r="CM176" s="330">
        <f t="shared" ca="1" si="183"/>
        <v>0</v>
      </c>
      <c r="CN176" s="331">
        <f t="shared" ca="1" si="223"/>
        <v>-1548256.0019999999</v>
      </c>
      <c r="CO176" s="86"/>
      <c r="CP176" s="86"/>
      <c r="CQ176" s="1641"/>
      <c r="CR176" s="86"/>
      <c r="CS176" s="86"/>
      <c r="CT176" s="86"/>
      <c r="CU176" s="86"/>
      <c r="CV176" s="86"/>
      <c r="CW176" s="86"/>
      <c r="CX176" s="86"/>
      <c r="CY176" s="86"/>
      <c r="CZ176" s="86"/>
      <c r="DA176" s="86"/>
      <c r="DB176" s="1642"/>
      <c r="DC176" s="1642"/>
      <c r="DD176" s="30"/>
      <c r="DE176" s="30"/>
      <c r="DF176" s="30"/>
      <c r="DG176" s="1642"/>
      <c r="DH176" s="1642"/>
      <c r="DI176" s="1642"/>
      <c r="DJ176" s="1642"/>
      <c r="DK176" s="1642"/>
      <c r="DL176" s="1642"/>
      <c r="DM176" s="1642"/>
      <c r="DN176" s="1642"/>
      <c r="DO176" s="1642"/>
      <c r="DP176" s="1642"/>
      <c r="DQ176" s="1642"/>
      <c r="DR176" s="1642"/>
      <c r="DS176" s="1642"/>
      <c r="DT176" s="1642"/>
      <c r="DU176" s="1642"/>
      <c r="DV176" s="1642"/>
      <c r="DW176" s="1642"/>
      <c r="DX176" s="1642"/>
      <c r="DY176" s="1642"/>
      <c r="DZ176" s="1642"/>
      <c r="EA176" s="1642"/>
      <c r="EB176" s="1642"/>
      <c r="EC176" s="1642"/>
      <c r="ED176" s="1642"/>
      <c r="EE176" s="1642"/>
      <c r="EF176" s="1642"/>
      <c r="EG176" s="1642"/>
      <c r="EH176" s="1643"/>
      <c r="EI176" s="1658"/>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0"/>
      <c r="HP176" s="30"/>
      <c r="HQ176" s="30"/>
      <c r="HR176" s="30"/>
      <c r="HS176" s="30"/>
      <c r="HT176" s="30"/>
      <c r="HU176" s="30"/>
      <c r="HV176" s="30"/>
      <c r="HW176" s="30"/>
      <c r="HX176" s="30"/>
      <c r="HY176" s="30"/>
      <c r="HZ176" s="30"/>
      <c r="IA176" s="30"/>
      <c r="IB176" s="30"/>
      <c r="IC176" s="30"/>
      <c r="ID176" s="30"/>
      <c r="IE176" s="30"/>
      <c r="IF176" s="30"/>
      <c r="IG176" s="30"/>
      <c r="IH176" s="30"/>
      <c r="II176" s="30"/>
      <c r="IJ176" s="30"/>
      <c r="IK176" s="30"/>
      <c r="IL176" s="30"/>
      <c r="IM176" s="30"/>
      <c r="IN176" s="30"/>
      <c r="IO176" s="30"/>
      <c r="IP176" s="30"/>
      <c r="IQ176" s="30"/>
      <c r="IR176" s="30"/>
      <c r="IS176" s="30"/>
      <c r="IT176" s="30"/>
      <c r="IU176" s="30"/>
      <c r="IV176" s="30"/>
      <c r="IW176" s="30"/>
      <c r="IX176" s="30"/>
      <c r="IY176" s="30"/>
      <c r="IZ176" s="30"/>
      <c r="JA176" s="30"/>
      <c r="JB176" s="30"/>
      <c r="JC176" s="30"/>
      <c r="JD176" s="30"/>
      <c r="JE176" s="30"/>
      <c r="JF176" s="30"/>
      <c r="JG176" s="30"/>
      <c r="JH176" s="30"/>
      <c r="JI176" s="30"/>
      <c r="JJ176" s="30"/>
      <c r="JK176" s="30"/>
      <c r="JL176" s="30"/>
      <c r="JM176" s="30"/>
      <c r="JN176" s="30"/>
      <c r="JO176" s="30"/>
      <c r="JP176" s="30"/>
      <c r="JQ176" s="30"/>
      <c r="JR176" s="30"/>
      <c r="JS176" s="30"/>
      <c r="JT176" s="30"/>
      <c r="JU176" s="30"/>
      <c r="JV176" s="30"/>
      <c r="JW176" s="30"/>
      <c r="JX176" s="30"/>
      <c r="JY176" s="30"/>
      <c r="JZ176" s="30"/>
      <c r="KA176" s="30"/>
      <c r="KB176" s="30"/>
      <c r="KC176" s="30"/>
      <c r="KD176" s="30"/>
      <c r="KE176" s="30"/>
      <c r="KF176" s="30"/>
      <c r="KG176" s="30"/>
      <c r="KH176" s="30"/>
      <c r="KI176" s="30"/>
      <c r="KJ176" s="30"/>
      <c r="KK176" s="30"/>
      <c r="KL176" s="30"/>
      <c r="KM176" s="30"/>
      <c r="KN176" s="30"/>
      <c r="KO176" s="30"/>
      <c r="KP176" s="1630"/>
    </row>
    <row r="177" spans="1:302" s="97" customFormat="1" ht="25.5" outlineLevel="1">
      <c r="A177" s="2659" t="s">
        <v>875</v>
      </c>
      <c r="B177" s="386"/>
      <c r="C177" s="1923" t="s">
        <v>876</v>
      </c>
      <c r="D177" s="1923" t="s">
        <v>877</v>
      </c>
      <c r="E177" s="376"/>
      <c r="F177" s="347"/>
      <c r="G177" s="348"/>
      <c r="H177" s="349" t="s">
        <v>26</v>
      </c>
      <c r="I177" s="2936"/>
      <c r="J177" s="362" t="s">
        <v>26</v>
      </c>
      <c r="K177" s="1745"/>
      <c r="L177" s="383"/>
      <c r="M177" s="383"/>
      <c r="N177" s="383"/>
      <c r="O177" s="1510">
        <v>1053444</v>
      </c>
      <c r="P177" s="383"/>
      <c r="Q177" s="383"/>
      <c r="R177" s="383"/>
      <c r="S177" s="1510">
        <f t="shared" si="220"/>
        <v>0</v>
      </c>
      <c r="T177" s="1509"/>
      <c r="U177" s="1746"/>
      <c r="V177" s="1746"/>
      <c r="W177" s="1744">
        <f t="shared" si="221"/>
        <v>1053444</v>
      </c>
      <c r="X177" s="362" t="s">
        <v>26</v>
      </c>
      <c r="Y177" s="1509"/>
      <c r="Z177" s="1746"/>
      <c r="AA177" s="1746"/>
      <c r="AB177" s="1510">
        <f t="shared" si="216"/>
        <v>1053444</v>
      </c>
      <c r="AC177" s="2069"/>
      <c r="AD177" s="1443"/>
      <c r="AE177" s="381"/>
      <c r="AF177" s="373"/>
      <c r="AG177" s="373"/>
      <c r="AH177" s="354">
        <f t="shared" si="222"/>
        <v>0</v>
      </c>
      <c r="AI177" s="355">
        <f t="shared" ca="1" si="214"/>
        <v>0</v>
      </c>
      <c r="AJ177" s="356">
        <f t="shared" ca="1" si="150"/>
        <v>0</v>
      </c>
      <c r="AK177" s="2185"/>
      <c r="AL177" s="2063"/>
      <c r="AM177" s="2258"/>
      <c r="AN177" s="2258"/>
      <c r="AO177" s="359"/>
      <c r="AP177" s="359"/>
      <c r="AQ177" s="1505"/>
      <c r="AR177" s="1505"/>
      <c r="AS177" s="377"/>
      <c r="AT177" s="390"/>
      <c r="AU177" s="377"/>
      <c r="AV177" s="377"/>
      <c r="AW177" s="359"/>
      <c r="AX177" s="359"/>
      <c r="AY177" s="390">
        <v>150492</v>
      </c>
      <c r="AZ177" s="2258">
        <v>150492</v>
      </c>
      <c r="BA177" s="359">
        <v>150492</v>
      </c>
      <c r="BB177" s="359">
        <v>150492</v>
      </c>
      <c r="BC177" s="359">
        <v>150492</v>
      </c>
      <c r="BD177" s="359">
        <v>150492</v>
      </c>
      <c r="BE177" s="359">
        <v>150492</v>
      </c>
      <c r="BF177" s="359"/>
      <c r="BG177" s="359"/>
      <c r="BH177" s="359"/>
      <c r="BI177" s="359"/>
      <c r="BJ177" s="359"/>
      <c r="BK177" s="2122"/>
      <c r="BL177" s="380"/>
      <c r="BM177" s="380"/>
      <c r="BN177" s="380"/>
      <c r="BO177" s="380"/>
      <c r="BP177" s="380"/>
      <c r="BQ177" s="2087"/>
      <c r="BR177" s="359"/>
      <c r="BS177" s="359"/>
      <c r="BT177" s="359"/>
      <c r="BU177" s="364"/>
      <c r="BV177" s="364"/>
      <c r="BW177" s="2366"/>
      <c r="BX177" s="2463"/>
      <c r="BY177" s="2543"/>
      <c r="BZ177" s="2543"/>
      <c r="CA177" s="2432">
        <f t="shared" si="224"/>
        <v>1053444</v>
      </c>
      <c r="CB177" s="2377">
        <f t="shared" si="225"/>
        <v>1</v>
      </c>
      <c r="CC177" s="365">
        <f t="shared" si="226"/>
        <v>9.4926735545505979E-7</v>
      </c>
      <c r="CD177" s="366"/>
      <c r="CE177" s="343"/>
      <c r="CF177" s="343"/>
      <c r="CG177" s="340"/>
      <c r="CH177" s="367"/>
      <c r="CI177" s="368"/>
      <c r="CJ177" s="368"/>
      <c r="CK177" s="369"/>
      <c r="CL177" s="329">
        <f t="shared" si="182"/>
        <v>0</v>
      </c>
      <c r="CM177" s="330">
        <f t="shared" ca="1" si="183"/>
        <v>0</v>
      </c>
      <c r="CN177" s="331">
        <f t="shared" ca="1" si="223"/>
        <v>-902952</v>
      </c>
      <c r="CO177" s="86"/>
      <c r="CP177" s="86"/>
      <c r="CQ177" s="1641"/>
      <c r="CR177" s="86"/>
      <c r="CS177" s="86"/>
      <c r="CT177" s="86"/>
      <c r="CU177" s="86"/>
      <c r="CV177" s="86"/>
      <c r="CW177" s="86"/>
      <c r="CX177" s="86"/>
      <c r="CY177" s="86"/>
      <c r="CZ177" s="86"/>
      <c r="DA177" s="86"/>
      <c r="DB177" s="1642"/>
      <c r="DC177" s="1642"/>
      <c r="DD177" s="30"/>
      <c r="DE177" s="30"/>
      <c r="DF177" s="30"/>
      <c r="DG177" s="1642"/>
      <c r="DH177" s="1642"/>
      <c r="DI177" s="1642"/>
      <c r="DJ177" s="1642"/>
      <c r="DK177" s="1642"/>
      <c r="DL177" s="1642"/>
      <c r="DM177" s="1642"/>
      <c r="DN177" s="1642"/>
      <c r="DO177" s="1642"/>
      <c r="DP177" s="1642"/>
      <c r="DQ177" s="1642"/>
      <c r="DR177" s="1642"/>
      <c r="DS177" s="1642"/>
      <c r="DT177" s="1642"/>
      <c r="DU177" s="1642"/>
      <c r="DV177" s="1642"/>
      <c r="DW177" s="1642"/>
      <c r="DX177" s="1642"/>
      <c r="DY177" s="1642"/>
      <c r="DZ177" s="1642"/>
      <c r="EA177" s="1642"/>
      <c r="EB177" s="1642"/>
      <c r="EC177" s="1642"/>
      <c r="ED177" s="1642"/>
      <c r="EE177" s="1642"/>
      <c r="EF177" s="1642"/>
      <c r="EG177" s="1642"/>
      <c r="EH177" s="1643"/>
      <c r="EI177" s="1658"/>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0"/>
      <c r="HP177" s="30"/>
      <c r="HQ177" s="30"/>
      <c r="HR177" s="30"/>
      <c r="HS177" s="30"/>
      <c r="HT177" s="30"/>
      <c r="HU177" s="30"/>
      <c r="HV177" s="30"/>
      <c r="HW177" s="30"/>
      <c r="HX177" s="30"/>
      <c r="HY177" s="30"/>
      <c r="HZ177" s="30"/>
      <c r="IA177" s="30"/>
      <c r="IB177" s="30"/>
      <c r="IC177" s="30"/>
      <c r="ID177" s="30"/>
      <c r="IE177" s="30"/>
      <c r="IF177" s="30"/>
      <c r="IG177" s="30"/>
      <c r="IH177" s="30"/>
      <c r="II177" s="30"/>
      <c r="IJ177" s="30"/>
      <c r="IK177" s="30"/>
      <c r="IL177" s="30"/>
      <c r="IM177" s="30"/>
      <c r="IN177" s="30"/>
      <c r="IO177" s="30"/>
      <c r="IP177" s="30"/>
      <c r="IQ177" s="30"/>
      <c r="IR177" s="30"/>
      <c r="IS177" s="30"/>
      <c r="IT177" s="30"/>
      <c r="IU177" s="30"/>
      <c r="IV177" s="30"/>
      <c r="IW177" s="30"/>
      <c r="IX177" s="30"/>
      <c r="IY177" s="30"/>
      <c r="IZ177" s="30"/>
      <c r="JA177" s="30"/>
      <c r="JB177" s="30"/>
      <c r="JC177" s="30"/>
      <c r="JD177" s="30"/>
      <c r="JE177" s="30"/>
      <c r="JF177" s="30"/>
      <c r="JG177" s="30"/>
      <c r="JH177" s="30"/>
      <c r="JI177" s="30"/>
      <c r="JJ177" s="30"/>
      <c r="JK177" s="30"/>
      <c r="JL177" s="30"/>
      <c r="JM177" s="30"/>
      <c r="JN177" s="30"/>
      <c r="JO177" s="30"/>
      <c r="JP177" s="30"/>
      <c r="JQ177" s="30"/>
      <c r="JR177" s="30"/>
      <c r="JS177" s="30"/>
      <c r="JT177" s="30"/>
      <c r="JU177" s="30"/>
      <c r="JV177" s="30"/>
      <c r="JW177" s="30"/>
      <c r="JX177" s="30"/>
      <c r="JY177" s="30"/>
      <c r="JZ177" s="30"/>
      <c r="KA177" s="30"/>
      <c r="KB177" s="30"/>
      <c r="KC177" s="30"/>
      <c r="KD177" s="30"/>
      <c r="KE177" s="30"/>
      <c r="KF177" s="30"/>
      <c r="KG177" s="30"/>
      <c r="KH177" s="30"/>
      <c r="KI177" s="30"/>
      <c r="KJ177" s="30"/>
      <c r="KK177" s="30"/>
      <c r="KL177" s="30"/>
      <c r="KM177" s="30"/>
      <c r="KN177" s="30"/>
      <c r="KO177" s="30"/>
      <c r="KP177" s="1630"/>
    </row>
    <row r="178" spans="1:302" s="97" customFormat="1" ht="25.5" outlineLevel="1">
      <c r="A178" s="2659" t="s">
        <v>878</v>
      </c>
      <c r="B178" s="386"/>
      <c r="C178" s="1923" t="s">
        <v>879</v>
      </c>
      <c r="D178" s="1923" t="s">
        <v>880</v>
      </c>
      <c r="E178" s="376"/>
      <c r="F178" s="347"/>
      <c r="G178" s="348"/>
      <c r="H178" s="349" t="s">
        <v>26</v>
      </c>
      <c r="I178" s="2936"/>
      <c r="J178" s="362" t="s">
        <v>26</v>
      </c>
      <c r="K178" s="1745"/>
      <c r="L178" s="383"/>
      <c r="M178" s="383"/>
      <c r="N178" s="383"/>
      <c r="O178" s="1510">
        <v>637613</v>
      </c>
      <c r="P178" s="383"/>
      <c r="Q178" s="383"/>
      <c r="R178" s="383"/>
      <c r="S178" s="1510">
        <f t="shared" si="220"/>
        <v>0</v>
      </c>
      <c r="T178" s="1509"/>
      <c r="U178" s="1746"/>
      <c r="V178" s="1746"/>
      <c r="W178" s="1744">
        <f t="shared" si="221"/>
        <v>637613</v>
      </c>
      <c r="X178" s="362" t="s">
        <v>26</v>
      </c>
      <c r="Y178" s="1509"/>
      <c r="Z178" s="1746"/>
      <c r="AA178" s="1746"/>
      <c r="AB178" s="1510">
        <f t="shared" si="216"/>
        <v>637613</v>
      </c>
      <c r="AC178" s="2069"/>
      <c r="AD178" s="1443"/>
      <c r="AE178" s="381"/>
      <c r="AF178" s="373"/>
      <c r="AG178" s="373"/>
      <c r="AH178" s="354">
        <f t="shared" si="222"/>
        <v>0</v>
      </c>
      <c r="AI178" s="355">
        <f t="shared" ca="1" si="214"/>
        <v>0</v>
      </c>
      <c r="AJ178" s="356">
        <f t="shared" ref="AJ178:AJ242" ca="1" si="227">IF($AB178&lt;&gt;0,AI178/$AB178,"")</f>
        <v>0</v>
      </c>
      <c r="AK178" s="2185"/>
      <c r="AL178" s="2063"/>
      <c r="AM178" s="2258"/>
      <c r="AN178" s="2258"/>
      <c r="AO178" s="359"/>
      <c r="AP178" s="359"/>
      <c r="AQ178" s="1505"/>
      <c r="AR178" s="1505"/>
      <c r="AS178" s="377"/>
      <c r="AT178" s="390"/>
      <c r="AU178" s="377"/>
      <c r="AV178" s="377"/>
      <c r="AW178" s="359"/>
      <c r="AX178" s="359"/>
      <c r="AY178" s="390">
        <v>127522.6</v>
      </c>
      <c r="AZ178" s="2258">
        <v>127522.6</v>
      </c>
      <c r="BA178" s="359">
        <v>127522.6</v>
      </c>
      <c r="BB178" s="359">
        <v>127522.6</v>
      </c>
      <c r="BC178" s="359">
        <v>127522.6</v>
      </c>
      <c r="BD178" s="359"/>
      <c r="BE178" s="359"/>
      <c r="BF178" s="359"/>
      <c r="BG178" s="359"/>
      <c r="BH178" s="359"/>
      <c r="BI178" s="359"/>
      <c r="BJ178" s="359"/>
      <c r="BK178" s="2122"/>
      <c r="BL178" s="380"/>
      <c r="BM178" s="380"/>
      <c r="BN178" s="380"/>
      <c r="BO178" s="380"/>
      <c r="BP178" s="380"/>
      <c r="BQ178" s="2087"/>
      <c r="BR178" s="359"/>
      <c r="BS178" s="359"/>
      <c r="BT178" s="359"/>
      <c r="BU178" s="364"/>
      <c r="BV178" s="364"/>
      <c r="BW178" s="2366"/>
      <c r="BX178" s="2463"/>
      <c r="BY178" s="2543"/>
      <c r="BZ178" s="2543"/>
      <c r="CA178" s="2432">
        <f t="shared" si="224"/>
        <v>637613</v>
      </c>
      <c r="CB178" s="2377">
        <f t="shared" si="225"/>
        <v>1</v>
      </c>
      <c r="CC178" s="365">
        <f t="shared" si="226"/>
        <v>1.568349453351798E-6</v>
      </c>
      <c r="CD178" s="366"/>
      <c r="CE178" s="343"/>
      <c r="CF178" s="343"/>
      <c r="CG178" s="340"/>
      <c r="CH178" s="367"/>
      <c r="CI178" s="368"/>
      <c r="CJ178" s="368"/>
      <c r="CK178" s="369"/>
      <c r="CL178" s="329">
        <f t="shared" si="182"/>
        <v>0</v>
      </c>
      <c r="CM178" s="330">
        <f t="shared" ca="1" si="183"/>
        <v>0</v>
      </c>
      <c r="CN178" s="331">
        <f t="shared" ca="1" si="223"/>
        <v>-510090.4</v>
      </c>
      <c r="CO178" s="86"/>
      <c r="CP178" s="86"/>
      <c r="CQ178" s="1641"/>
      <c r="CR178" s="86"/>
      <c r="CS178" s="86"/>
      <c r="CT178" s="86"/>
      <c r="CU178" s="86"/>
      <c r="CV178" s="86"/>
      <c r="CW178" s="86"/>
      <c r="CX178" s="86"/>
      <c r="CY178" s="86"/>
      <c r="CZ178" s="86"/>
      <c r="DA178" s="86"/>
      <c r="DB178" s="1642"/>
      <c r="DC178" s="1642"/>
      <c r="DD178" s="30"/>
      <c r="DE178" s="30"/>
      <c r="DF178" s="30"/>
      <c r="DG178" s="1642"/>
      <c r="DH178" s="1642"/>
      <c r="DI178" s="1642"/>
      <c r="DJ178" s="1642"/>
      <c r="DK178" s="1642"/>
      <c r="DL178" s="1642"/>
      <c r="DM178" s="1642"/>
      <c r="DN178" s="1642"/>
      <c r="DO178" s="1642"/>
      <c r="DP178" s="1642"/>
      <c r="DQ178" s="1642"/>
      <c r="DR178" s="1642"/>
      <c r="DS178" s="1642"/>
      <c r="DT178" s="1642"/>
      <c r="DU178" s="1642"/>
      <c r="DV178" s="1642"/>
      <c r="DW178" s="1642"/>
      <c r="DX178" s="1642"/>
      <c r="DY178" s="1642"/>
      <c r="DZ178" s="1642"/>
      <c r="EA178" s="1642"/>
      <c r="EB178" s="1642"/>
      <c r="EC178" s="1642"/>
      <c r="ED178" s="1642"/>
      <c r="EE178" s="1642"/>
      <c r="EF178" s="1642"/>
      <c r="EG178" s="1642"/>
      <c r="EH178" s="1643"/>
      <c r="EI178" s="1658"/>
      <c r="EJ178" s="30"/>
      <c r="EK178" s="30"/>
      <c r="EL178" s="30"/>
      <c r="EM178" s="30"/>
      <c r="EN178" s="30"/>
      <c r="EO178" s="30"/>
      <c r="EP178" s="30"/>
      <c r="EQ178" s="30"/>
      <c r="ER178" s="30"/>
      <c r="ES178" s="30"/>
      <c r="ET178" s="30"/>
      <c r="EU178" s="30"/>
      <c r="EV178" s="30"/>
      <c r="EW178" s="30"/>
      <c r="EX178" s="30"/>
      <c r="EY178" s="30"/>
      <c r="EZ178" s="30"/>
      <c r="FA178" s="30"/>
      <c r="FB178" s="30"/>
      <c r="FC178" s="30"/>
      <c r="FD178" s="30"/>
      <c r="FE178" s="30"/>
      <c r="FF178" s="30"/>
      <c r="FG178" s="30"/>
      <c r="FH178" s="30"/>
      <c r="FI178" s="30"/>
      <c r="FJ178" s="30"/>
      <c r="FK178" s="30"/>
      <c r="FL178" s="30"/>
      <c r="FM178" s="30"/>
      <c r="FN178" s="30"/>
      <c r="FO178" s="30"/>
      <c r="FP178" s="30"/>
      <c r="FQ178" s="30"/>
      <c r="FR178" s="30"/>
      <c r="FS178" s="30"/>
      <c r="FT178" s="30"/>
      <c r="FU178" s="30"/>
      <c r="FV178" s="30"/>
      <c r="FW178" s="30"/>
      <c r="FX178" s="30"/>
      <c r="FY178" s="30"/>
      <c r="FZ178" s="30"/>
      <c r="GA178" s="30"/>
      <c r="GB178" s="30"/>
      <c r="GC178" s="30"/>
      <c r="GD178" s="30"/>
      <c r="GE178" s="30"/>
      <c r="GF178" s="30"/>
      <c r="GG178" s="30"/>
      <c r="GH178" s="30"/>
      <c r="GI178" s="30"/>
      <c r="GJ178" s="30"/>
      <c r="GK178" s="30"/>
      <c r="GL178" s="30"/>
      <c r="GM178" s="30"/>
      <c r="GN178" s="30"/>
      <c r="GO178" s="30"/>
      <c r="GP178" s="30"/>
      <c r="GQ178" s="30"/>
      <c r="GR178" s="30"/>
      <c r="GS178" s="30"/>
      <c r="GT178" s="30"/>
      <c r="GU178" s="30"/>
      <c r="GV178" s="30"/>
      <c r="GW178" s="30"/>
      <c r="GX178" s="30"/>
      <c r="GY178" s="30"/>
      <c r="GZ178" s="30"/>
      <c r="HA178" s="30"/>
      <c r="HB178" s="30"/>
      <c r="HC178" s="30"/>
      <c r="HD178" s="30"/>
      <c r="HE178" s="30"/>
      <c r="HF178" s="30"/>
      <c r="HG178" s="30"/>
      <c r="HH178" s="30"/>
      <c r="HI178" s="30"/>
      <c r="HJ178" s="30"/>
      <c r="HK178" s="30"/>
      <c r="HL178" s="30"/>
      <c r="HM178" s="30"/>
      <c r="HN178" s="30"/>
      <c r="HO178" s="30"/>
      <c r="HP178" s="30"/>
      <c r="HQ178" s="30"/>
      <c r="HR178" s="30"/>
      <c r="HS178" s="30"/>
      <c r="HT178" s="30"/>
      <c r="HU178" s="30"/>
      <c r="HV178" s="30"/>
      <c r="HW178" s="30"/>
      <c r="HX178" s="30"/>
      <c r="HY178" s="30"/>
      <c r="HZ178" s="30"/>
      <c r="IA178" s="30"/>
      <c r="IB178" s="30"/>
      <c r="IC178" s="30"/>
      <c r="ID178" s="30"/>
      <c r="IE178" s="30"/>
      <c r="IF178" s="30"/>
      <c r="IG178" s="30"/>
      <c r="IH178" s="30"/>
      <c r="II178" s="30"/>
      <c r="IJ178" s="30"/>
      <c r="IK178" s="30"/>
      <c r="IL178" s="30"/>
      <c r="IM178" s="30"/>
      <c r="IN178" s="30"/>
      <c r="IO178" s="30"/>
      <c r="IP178" s="30"/>
      <c r="IQ178" s="30"/>
      <c r="IR178" s="30"/>
      <c r="IS178" s="30"/>
      <c r="IT178" s="30"/>
      <c r="IU178" s="30"/>
      <c r="IV178" s="30"/>
      <c r="IW178" s="30"/>
      <c r="IX178" s="30"/>
      <c r="IY178" s="30"/>
      <c r="IZ178" s="30"/>
      <c r="JA178" s="30"/>
      <c r="JB178" s="30"/>
      <c r="JC178" s="30"/>
      <c r="JD178" s="30"/>
      <c r="JE178" s="30"/>
      <c r="JF178" s="30"/>
      <c r="JG178" s="30"/>
      <c r="JH178" s="30"/>
      <c r="JI178" s="30"/>
      <c r="JJ178" s="30"/>
      <c r="JK178" s="30"/>
      <c r="JL178" s="30"/>
      <c r="JM178" s="30"/>
      <c r="JN178" s="30"/>
      <c r="JO178" s="30"/>
      <c r="JP178" s="30"/>
      <c r="JQ178" s="30"/>
      <c r="JR178" s="30"/>
      <c r="JS178" s="30"/>
      <c r="JT178" s="30"/>
      <c r="JU178" s="30"/>
      <c r="JV178" s="30"/>
      <c r="JW178" s="30"/>
      <c r="JX178" s="30"/>
      <c r="JY178" s="30"/>
      <c r="JZ178" s="30"/>
      <c r="KA178" s="30"/>
      <c r="KB178" s="30"/>
      <c r="KC178" s="30"/>
      <c r="KD178" s="30"/>
      <c r="KE178" s="30"/>
      <c r="KF178" s="30"/>
      <c r="KG178" s="30"/>
      <c r="KH178" s="30"/>
      <c r="KI178" s="30"/>
      <c r="KJ178" s="30"/>
      <c r="KK178" s="30"/>
      <c r="KL178" s="30"/>
      <c r="KM178" s="30"/>
      <c r="KN178" s="30"/>
      <c r="KO178" s="30"/>
      <c r="KP178" s="1630"/>
    </row>
    <row r="179" spans="1:302" s="197" customFormat="1" ht="13.15" outlineLevel="1">
      <c r="A179" s="2659" t="s">
        <v>881</v>
      </c>
      <c r="B179" s="386"/>
      <c r="C179" s="255" t="s">
        <v>882</v>
      </c>
      <c r="D179" s="255" t="s">
        <v>883</v>
      </c>
      <c r="E179" s="397"/>
      <c r="F179" s="398"/>
      <c r="G179" s="399"/>
      <c r="H179" s="349" t="s">
        <v>26</v>
      </c>
      <c r="I179" s="2936"/>
      <c r="J179" s="362" t="s">
        <v>26</v>
      </c>
      <c r="K179" s="1747"/>
      <c r="L179" s="1748"/>
      <c r="M179" s="1748"/>
      <c r="N179" s="1748"/>
      <c r="O179" s="1510">
        <v>10000</v>
      </c>
      <c r="P179" s="1748"/>
      <c r="Q179" s="1748"/>
      <c r="R179" s="1748"/>
      <c r="S179" s="1510">
        <f t="shared" si="220"/>
        <v>0</v>
      </c>
      <c r="T179" s="1509"/>
      <c r="U179" s="1746"/>
      <c r="V179" s="1746"/>
      <c r="W179" s="1744">
        <f t="shared" si="221"/>
        <v>10000</v>
      </c>
      <c r="X179" s="362" t="s">
        <v>26</v>
      </c>
      <c r="Y179" s="1509"/>
      <c r="Z179" s="1746"/>
      <c r="AA179" s="1746"/>
      <c r="AB179" s="1510">
        <f t="shared" si="216"/>
        <v>10000</v>
      </c>
      <c r="AC179" s="2069"/>
      <c r="AD179" s="1459"/>
      <c r="AE179" s="400"/>
      <c r="AF179" s="1995"/>
      <c r="AG179" s="1995"/>
      <c r="AH179" s="354">
        <f t="shared" si="222"/>
        <v>0</v>
      </c>
      <c r="AI179" s="355">
        <f t="shared" ca="1" si="214"/>
        <v>0</v>
      </c>
      <c r="AJ179" s="356">
        <f t="shared" ca="1" si="227"/>
        <v>0</v>
      </c>
      <c r="AK179" s="2185"/>
      <c r="AL179" s="2066"/>
      <c r="AM179" s="2265"/>
      <c r="AN179" s="2265"/>
      <c r="AO179" s="401"/>
      <c r="AP179" s="401"/>
      <c r="AQ179" s="401"/>
      <c r="AR179" s="401"/>
      <c r="AS179" s="401"/>
      <c r="AT179" s="1525"/>
      <c r="AU179" s="401"/>
      <c r="AV179" s="401"/>
      <c r="AW179" s="401"/>
      <c r="AX179" s="401"/>
      <c r="AY179" s="1525"/>
      <c r="AZ179" s="2258"/>
      <c r="BA179" s="359"/>
      <c r="BB179" s="359"/>
      <c r="BC179" s="359"/>
      <c r="BD179" s="359"/>
      <c r="BE179" s="2083"/>
      <c r="BF179" s="2083"/>
      <c r="BG179" s="359">
        <v>2500</v>
      </c>
      <c r="BH179" s="359">
        <v>2500</v>
      </c>
      <c r="BI179" s="380">
        <v>2500</v>
      </c>
      <c r="BJ179" s="359">
        <v>2500</v>
      </c>
      <c r="BK179" s="2122"/>
      <c r="BL179" s="1526"/>
      <c r="BM179" s="1526"/>
      <c r="BN179" s="1526"/>
      <c r="BO179" s="1526"/>
      <c r="BP179" s="1526"/>
      <c r="BQ179" s="2398"/>
      <c r="BR179" s="401"/>
      <c r="BS179" s="401"/>
      <c r="BT179" s="401"/>
      <c r="BU179" s="402"/>
      <c r="BV179" s="402"/>
      <c r="BW179" s="2369"/>
      <c r="BX179" s="2466"/>
      <c r="BY179" s="2546"/>
      <c r="BZ179" s="2546"/>
      <c r="CA179" s="2432">
        <f t="shared" si="224"/>
        <v>10000</v>
      </c>
      <c r="CB179" s="2377">
        <f t="shared" si="225"/>
        <v>1</v>
      </c>
      <c r="CC179" s="365">
        <f t="shared" si="226"/>
        <v>1E-4</v>
      </c>
      <c r="CD179" s="404"/>
      <c r="CE179" s="405"/>
      <c r="CF179" s="405"/>
      <c r="CG179" s="403"/>
      <c r="CH179" s="406"/>
      <c r="CI179" s="407"/>
      <c r="CJ179" s="407"/>
      <c r="CK179" s="408"/>
      <c r="CL179" s="329">
        <f t="shared" si="182"/>
        <v>0</v>
      </c>
      <c r="CM179" s="330">
        <f t="shared" ca="1" si="183"/>
        <v>0</v>
      </c>
      <c r="CN179" s="331">
        <f t="shared" ca="1" si="223"/>
        <v>-10000</v>
      </c>
      <c r="CO179" s="1653"/>
      <c r="CP179" s="1653"/>
      <c r="CQ179" s="1654"/>
      <c r="CR179" s="1653"/>
      <c r="CS179" s="1653"/>
      <c r="CT179" s="1653"/>
      <c r="CU179" s="1653"/>
      <c r="CV179" s="1653"/>
      <c r="CW179" s="1653"/>
      <c r="CX179" s="1653"/>
      <c r="CY179" s="86"/>
      <c r="CZ179" s="86"/>
      <c r="DA179" s="1653"/>
      <c r="DB179" s="1655"/>
      <c r="DC179" s="1655"/>
      <c r="DD179" s="1656"/>
      <c r="DE179" s="1656"/>
      <c r="DF179" s="1656"/>
      <c r="DG179" s="1655"/>
      <c r="DH179" s="1655"/>
      <c r="DI179" s="1655"/>
      <c r="DJ179" s="1655"/>
      <c r="DK179" s="1655"/>
      <c r="DL179" s="1655"/>
      <c r="DM179" s="1655"/>
      <c r="DN179" s="1655"/>
      <c r="DO179" s="1655"/>
      <c r="DP179" s="1655"/>
      <c r="DQ179" s="1655"/>
      <c r="DR179" s="1655"/>
      <c r="DS179" s="1655"/>
      <c r="DT179" s="1655"/>
      <c r="DU179" s="1655"/>
      <c r="DV179" s="1655"/>
      <c r="DW179" s="1655"/>
      <c r="DX179" s="1655"/>
      <c r="DY179" s="1655"/>
      <c r="DZ179" s="1655"/>
      <c r="EA179" s="1655"/>
      <c r="EB179" s="1655"/>
      <c r="EC179" s="1655"/>
      <c r="ED179" s="1655"/>
      <c r="EE179" s="1655"/>
      <c r="EF179" s="1655"/>
      <c r="EG179" s="1655"/>
      <c r="EH179" s="1657"/>
      <c r="EI179" s="1658"/>
      <c r="EJ179" s="1656"/>
      <c r="EK179" s="1656"/>
      <c r="EL179" s="1656"/>
      <c r="EM179" s="1656"/>
      <c r="EN179" s="1656"/>
      <c r="EO179" s="1656"/>
      <c r="EP179" s="1656"/>
      <c r="EQ179" s="1656"/>
      <c r="ER179" s="1656"/>
      <c r="ES179" s="1656"/>
      <c r="ET179" s="1656"/>
      <c r="EU179" s="1656"/>
      <c r="EV179" s="1656"/>
      <c r="EW179" s="1656"/>
      <c r="EX179" s="1656"/>
      <c r="EY179" s="1656"/>
      <c r="EZ179" s="1656"/>
      <c r="FA179" s="1656"/>
      <c r="FB179" s="1656"/>
      <c r="FC179" s="1656"/>
      <c r="FD179" s="1656"/>
      <c r="FE179" s="1656"/>
      <c r="FF179" s="1656"/>
      <c r="FG179" s="1656"/>
      <c r="FH179" s="1656"/>
      <c r="FI179" s="1656"/>
      <c r="FJ179" s="1656"/>
      <c r="FK179" s="1656"/>
      <c r="FL179" s="1656"/>
      <c r="FM179" s="1656"/>
      <c r="FN179" s="1656"/>
      <c r="FO179" s="1656"/>
      <c r="FP179" s="1656"/>
      <c r="FQ179" s="1656"/>
      <c r="FR179" s="1656"/>
      <c r="FS179" s="1656"/>
      <c r="FT179" s="1656"/>
      <c r="FU179" s="1656"/>
      <c r="FV179" s="1656"/>
      <c r="FW179" s="1656"/>
      <c r="FX179" s="1656"/>
      <c r="FY179" s="1656"/>
      <c r="FZ179" s="1656"/>
      <c r="GA179" s="1656"/>
      <c r="GB179" s="1656"/>
      <c r="GC179" s="1656"/>
      <c r="GD179" s="1656"/>
      <c r="GE179" s="1656"/>
      <c r="GF179" s="1656"/>
      <c r="GG179" s="1656"/>
      <c r="GH179" s="1656"/>
      <c r="GI179" s="1656"/>
      <c r="GJ179" s="1656"/>
      <c r="GK179" s="1656"/>
      <c r="GL179" s="1656"/>
      <c r="GM179" s="1656"/>
      <c r="GN179" s="1656"/>
      <c r="GO179" s="1656"/>
      <c r="GP179" s="1656"/>
      <c r="GQ179" s="1656"/>
      <c r="GR179" s="1656"/>
      <c r="GS179" s="1656"/>
      <c r="GT179" s="1656"/>
      <c r="GU179" s="1656"/>
      <c r="GV179" s="1656"/>
      <c r="GW179" s="1656"/>
      <c r="GX179" s="1656"/>
      <c r="GY179" s="1656"/>
      <c r="GZ179" s="1656"/>
      <c r="HA179" s="1656"/>
      <c r="HB179" s="1656"/>
      <c r="HC179" s="1656"/>
      <c r="HD179" s="1656"/>
      <c r="HE179" s="1656"/>
      <c r="HF179" s="1656"/>
      <c r="HG179" s="1656"/>
      <c r="HH179" s="1656"/>
      <c r="HI179" s="1656"/>
      <c r="HJ179" s="1656"/>
      <c r="HK179" s="1656"/>
      <c r="HL179" s="1656"/>
      <c r="HM179" s="1656"/>
      <c r="HN179" s="1656"/>
      <c r="HO179" s="1656"/>
      <c r="HP179" s="1656"/>
      <c r="HQ179" s="1656"/>
      <c r="HR179" s="1656"/>
      <c r="HS179" s="1656"/>
      <c r="HT179" s="1656"/>
      <c r="HU179" s="1656"/>
      <c r="HV179" s="1656"/>
      <c r="HW179" s="1656"/>
      <c r="HX179" s="1656"/>
      <c r="HY179" s="1656"/>
      <c r="HZ179" s="1656"/>
      <c r="IA179" s="1656"/>
      <c r="IB179" s="1656"/>
      <c r="IC179" s="1656"/>
      <c r="ID179" s="1656"/>
      <c r="IE179" s="1656"/>
      <c r="IF179" s="1656"/>
      <c r="IG179" s="1656"/>
      <c r="IH179" s="1656"/>
      <c r="II179" s="1656"/>
      <c r="IJ179" s="1656"/>
      <c r="IK179" s="1656"/>
      <c r="IL179" s="1656"/>
      <c r="IM179" s="1656"/>
      <c r="IN179" s="1656"/>
      <c r="IO179" s="1656"/>
      <c r="IP179" s="1656"/>
      <c r="IQ179" s="1656"/>
      <c r="IR179" s="1656"/>
      <c r="IS179" s="1656"/>
      <c r="IT179" s="1656"/>
      <c r="IU179" s="1656"/>
      <c r="IV179" s="1656"/>
      <c r="IW179" s="1656"/>
      <c r="IX179" s="1656"/>
      <c r="IY179" s="1656"/>
      <c r="IZ179" s="1656"/>
      <c r="JA179" s="1656"/>
      <c r="JB179" s="1656"/>
      <c r="JC179" s="1656"/>
      <c r="JD179" s="1656"/>
      <c r="JE179" s="1656"/>
      <c r="JF179" s="1656"/>
      <c r="JG179" s="1656"/>
      <c r="JH179" s="1656"/>
      <c r="JI179" s="1656"/>
      <c r="JJ179" s="1656"/>
      <c r="JK179" s="1656"/>
      <c r="JL179" s="1656"/>
      <c r="JM179" s="1656"/>
      <c r="JN179" s="1656"/>
      <c r="JO179" s="1656"/>
      <c r="JP179" s="1656"/>
      <c r="JQ179" s="1656"/>
      <c r="JR179" s="1656"/>
      <c r="JS179" s="1656"/>
      <c r="JT179" s="1656"/>
      <c r="JU179" s="1656"/>
      <c r="JV179" s="1656"/>
      <c r="JW179" s="1656"/>
      <c r="JX179" s="1656"/>
      <c r="JY179" s="1656"/>
      <c r="JZ179" s="1656"/>
      <c r="KA179" s="1656"/>
      <c r="KB179" s="1656"/>
      <c r="KC179" s="1656"/>
      <c r="KD179" s="1656"/>
      <c r="KE179" s="1656"/>
      <c r="KF179" s="1656"/>
      <c r="KG179" s="1656"/>
      <c r="KH179" s="1656"/>
      <c r="KI179" s="1656"/>
      <c r="KJ179" s="1656"/>
      <c r="KK179" s="1656"/>
      <c r="KL179" s="1656"/>
      <c r="KM179" s="1656"/>
      <c r="KN179" s="1656"/>
      <c r="KO179" s="1656"/>
      <c r="KP179" s="1632"/>
    </row>
    <row r="180" spans="1:302" s="97" customFormat="1" ht="25.5" outlineLevel="1">
      <c r="A180" s="2659" t="s">
        <v>884</v>
      </c>
      <c r="B180" s="386"/>
      <c r="C180" s="255" t="s">
        <v>885</v>
      </c>
      <c r="D180" s="255" t="s">
        <v>886</v>
      </c>
      <c r="E180" s="376"/>
      <c r="F180" s="347"/>
      <c r="G180" s="348"/>
      <c r="H180" s="349" t="s">
        <v>26</v>
      </c>
      <c r="I180" s="2936"/>
      <c r="J180" s="362" t="s">
        <v>26</v>
      </c>
      <c r="K180" s="1745"/>
      <c r="L180" s="383"/>
      <c r="M180" s="383"/>
      <c r="N180" s="383"/>
      <c r="O180" s="1510">
        <v>624272</v>
      </c>
      <c r="P180" s="383"/>
      <c r="Q180" s="383"/>
      <c r="R180" s="383"/>
      <c r="S180" s="1510">
        <f t="shared" si="220"/>
        <v>0</v>
      </c>
      <c r="T180" s="1509"/>
      <c r="U180" s="1746"/>
      <c r="V180" s="1746"/>
      <c r="W180" s="1744">
        <f t="shared" si="221"/>
        <v>624272</v>
      </c>
      <c r="X180" s="362" t="s">
        <v>26</v>
      </c>
      <c r="Y180" s="1509"/>
      <c r="Z180" s="1746"/>
      <c r="AA180" s="1746"/>
      <c r="AB180" s="1510">
        <f t="shared" si="216"/>
        <v>624272.00040000002</v>
      </c>
      <c r="AC180" s="2069"/>
      <c r="AD180" s="1458"/>
      <c r="AE180" s="381"/>
      <c r="AF180" s="388"/>
      <c r="AG180" s="1995"/>
      <c r="AH180" s="354">
        <f t="shared" si="222"/>
        <v>0</v>
      </c>
      <c r="AI180" s="355">
        <f t="shared" ca="1" si="214"/>
        <v>0</v>
      </c>
      <c r="AJ180" s="356">
        <f t="shared" ca="1" si="227"/>
        <v>0</v>
      </c>
      <c r="AK180" s="356"/>
      <c r="AL180" s="1995"/>
      <c r="AM180" s="2264"/>
      <c r="AN180" s="2264"/>
      <c r="AO180" s="389"/>
      <c r="AP180" s="389"/>
      <c r="AQ180" s="389"/>
      <c r="AR180" s="389"/>
      <c r="AS180" s="389"/>
      <c r="AT180" s="389"/>
      <c r="AU180" s="359"/>
      <c r="AV180" s="359"/>
      <c r="AW180" s="359"/>
      <c r="AX180" s="359"/>
      <c r="AY180" s="390"/>
      <c r="AZ180" s="2258">
        <v>69363.555600000007</v>
      </c>
      <c r="BA180" s="359">
        <v>69363.555600000007</v>
      </c>
      <c r="BB180" s="359">
        <v>69363.555600000007</v>
      </c>
      <c r="BC180" s="359">
        <v>69363.555600000007</v>
      </c>
      <c r="BD180" s="497">
        <v>69363.555600000007</v>
      </c>
      <c r="BE180" s="497">
        <v>69363.555600000007</v>
      </c>
      <c r="BF180" s="377">
        <v>69363.555600000007</v>
      </c>
      <c r="BG180" s="359">
        <v>69363.555600000007</v>
      </c>
      <c r="BH180" s="359">
        <v>69363.555600000007</v>
      </c>
      <c r="BI180" s="380"/>
      <c r="BJ180" s="359"/>
      <c r="BK180" s="2122"/>
      <c r="BL180" s="380"/>
      <c r="BM180" s="380"/>
      <c r="BN180" s="380"/>
      <c r="BO180" s="380"/>
      <c r="BP180" s="380"/>
      <c r="BQ180" s="2087"/>
      <c r="BR180" s="359"/>
      <c r="BS180" s="359"/>
      <c r="BT180" s="359"/>
      <c r="BU180" s="364"/>
      <c r="BV180" s="364"/>
      <c r="BW180" s="2366"/>
      <c r="BX180" s="2463"/>
      <c r="BY180" s="2543"/>
      <c r="BZ180" s="2543"/>
      <c r="CA180" s="2432">
        <f t="shared" si="224"/>
        <v>624272.00040000002</v>
      </c>
      <c r="CB180" s="2377">
        <f t="shared" si="225"/>
        <v>1</v>
      </c>
      <c r="CC180" s="365">
        <f t="shared" si="226"/>
        <v>1.6018658523195877E-6</v>
      </c>
      <c r="CD180" s="366"/>
      <c r="CE180" s="343"/>
      <c r="CF180" s="343"/>
      <c r="CG180" s="340"/>
      <c r="CH180" s="367"/>
      <c r="CI180" s="368"/>
      <c r="CJ180" s="368"/>
      <c r="CK180" s="369"/>
      <c r="CL180" s="329">
        <f t="shared" si="182"/>
        <v>-4.0000001899898052E-4</v>
      </c>
      <c r="CM180" s="330">
        <f t="shared" ca="1" si="183"/>
        <v>0</v>
      </c>
      <c r="CN180" s="331">
        <f t="shared" ca="1" si="223"/>
        <v>-624272.00040000002</v>
      </c>
      <c r="CO180" s="86"/>
      <c r="CP180" s="86"/>
      <c r="CQ180" s="1641"/>
      <c r="CR180" s="86"/>
      <c r="CS180" s="86"/>
      <c r="CT180" s="86"/>
      <c r="CU180" s="86"/>
      <c r="CV180" s="86"/>
      <c r="CW180" s="86"/>
      <c r="CX180" s="86"/>
      <c r="CY180" s="86"/>
      <c r="CZ180" s="86"/>
      <c r="DA180" s="86"/>
      <c r="DB180" s="1642"/>
      <c r="DC180" s="1642"/>
      <c r="DD180" s="30"/>
      <c r="DE180" s="30"/>
      <c r="DF180" s="30"/>
      <c r="DG180" s="1642"/>
      <c r="DH180" s="1642"/>
      <c r="DI180" s="1642"/>
      <c r="DJ180" s="1642"/>
      <c r="DK180" s="1642"/>
      <c r="DL180" s="1642"/>
      <c r="DM180" s="1642"/>
      <c r="DN180" s="1642"/>
      <c r="DO180" s="1642"/>
      <c r="DP180" s="1642"/>
      <c r="DQ180" s="1642"/>
      <c r="DR180" s="1642"/>
      <c r="DS180" s="1642"/>
      <c r="DT180" s="1642"/>
      <c r="DU180" s="1642"/>
      <c r="DV180" s="1642"/>
      <c r="DW180" s="1642"/>
      <c r="DX180" s="1642"/>
      <c r="DY180" s="1642"/>
      <c r="DZ180" s="1642"/>
      <c r="EA180" s="1642"/>
      <c r="EB180" s="1642"/>
      <c r="EC180" s="1642"/>
      <c r="ED180" s="1642"/>
      <c r="EE180" s="1642"/>
      <c r="EF180" s="1642"/>
      <c r="EG180" s="1642"/>
      <c r="EH180" s="1643"/>
      <c r="EI180" s="1658"/>
      <c r="EJ180" s="30"/>
      <c r="EK180" s="30"/>
      <c r="EL180" s="30"/>
      <c r="EM180" s="30"/>
      <c r="EN180" s="30"/>
      <c r="EO180" s="30"/>
      <c r="EP180" s="30"/>
      <c r="EQ180" s="30"/>
      <c r="ER180" s="30"/>
      <c r="ES180" s="30"/>
      <c r="ET180" s="30"/>
      <c r="EU180" s="30"/>
      <c r="EV180" s="30"/>
      <c r="EW180" s="30"/>
      <c r="EX180" s="30"/>
      <c r="EY180" s="30"/>
      <c r="EZ180" s="30"/>
      <c r="FA180" s="30"/>
      <c r="FB180" s="30"/>
      <c r="FC180" s="30"/>
      <c r="FD180" s="30"/>
      <c r="FE180" s="30"/>
      <c r="FF180" s="30"/>
      <c r="FG180" s="30"/>
      <c r="FH180" s="30"/>
      <c r="FI180" s="30"/>
      <c r="FJ180" s="30"/>
      <c r="FK180" s="30"/>
      <c r="FL180" s="30"/>
      <c r="FM180" s="30"/>
      <c r="FN180" s="30"/>
      <c r="FO180" s="30"/>
      <c r="FP180" s="30"/>
      <c r="FQ180" s="30"/>
      <c r="FR180" s="30"/>
      <c r="FS180" s="30"/>
      <c r="FT180" s="30"/>
      <c r="FU180" s="30"/>
      <c r="FV180" s="30"/>
      <c r="FW180" s="30"/>
      <c r="FX180" s="30"/>
      <c r="FY180" s="30"/>
      <c r="FZ180" s="30"/>
      <c r="GA180" s="30"/>
      <c r="GB180" s="30"/>
      <c r="GC180" s="30"/>
      <c r="GD180" s="30"/>
      <c r="GE180" s="30"/>
      <c r="GF180" s="30"/>
      <c r="GG180" s="30"/>
      <c r="GH180" s="30"/>
      <c r="GI180" s="30"/>
      <c r="GJ180" s="30"/>
      <c r="GK180" s="30"/>
      <c r="GL180" s="30"/>
      <c r="GM180" s="30"/>
      <c r="GN180" s="30"/>
      <c r="GO180" s="30"/>
      <c r="GP180" s="30"/>
      <c r="GQ180" s="30"/>
      <c r="GR180" s="30"/>
      <c r="GS180" s="30"/>
      <c r="GT180" s="30"/>
      <c r="GU180" s="30"/>
      <c r="GV180" s="30"/>
      <c r="GW180" s="30"/>
      <c r="GX180" s="30"/>
      <c r="GY180" s="30"/>
      <c r="GZ180" s="30"/>
      <c r="HA180" s="30"/>
      <c r="HB180" s="30"/>
      <c r="HC180" s="30"/>
      <c r="HD180" s="30"/>
      <c r="HE180" s="30"/>
      <c r="HF180" s="30"/>
      <c r="HG180" s="30"/>
      <c r="HH180" s="30"/>
      <c r="HI180" s="30"/>
      <c r="HJ180" s="30"/>
      <c r="HK180" s="30"/>
      <c r="HL180" s="30"/>
      <c r="HM180" s="30"/>
      <c r="HN180" s="30"/>
      <c r="HO180" s="30"/>
      <c r="HP180" s="30"/>
      <c r="HQ180" s="30"/>
      <c r="HR180" s="30"/>
      <c r="HS180" s="30"/>
      <c r="HT180" s="30"/>
      <c r="HU180" s="30"/>
      <c r="HV180" s="30"/>
      <c r="HW180" s="30"/>
      <c r="HX180" s="30"/>
      <c r="HY180" s="30"/>
      <c r="HZ180" s="30"/>
      <c r="IA180" s="30"/>
      <c r="IB180" s="30"/>
      <c r="IC180" s="30"/>
      <c r="ID180" s="30"/>
      <c r="IE180" s="30"/>
      <c r="IF180" s="30"/>
      <c r="IG180" s="30"/>
      <c r="IH180" s="30"/>
      <c r="II180" s="30"/>
      <c r="IJ180" s="30"/>
      <c r="IK180" s="30"/>
      <c r="IL180" s="30"/>
      <c r="IM180" s="30"/>
      <c r="IN180" s="30"/>
      <c r="IO180" s="30"/>
      <c r="IP180" s="30"/>
      <c r="IQ180" s="30"/>
      <c r="IR180" s="30"/>
      <c r="IS180" s="30"/>
      <c r="IT180" s="30"/>
      <c r="IU180" s="30"/>
      <c r="IV180" s="30"/>
      <c r="IW180" s="30"/>
      <c r="IX180" s="30"/>
      <c r="IY180" s="30"/>
      <c r="IZ180" s="30"/>
      <c r="JA180" s="30"/>
      <c r="JB180" s="30"/>
      <c r="JC180" s="30"/>
      <c r="JD180" s="30"/>
      <c r="JE180" s="30"/>
      <c r="JF180" s="30"/>
      <c r="JG180" s="30"/>
      <c r="JH180" s="30"/>
      <c r="JI180" s="30"/>
      <c r="JJ180" s="30"/>
      <c r="JK180" s="30"/>
      <c r="JL180" s="30"/>
      <c r="JM180" s="30"/>
      <c r="JN180" s="30"/>
      <c r="JO180" s="30"/>
      <c r="JP180" s="30"/>
      <c r="JQ180" s="30"/>
      <c r="JR180" s="30"/>
      <c r="JS180" s="30"/>
      <c r="JT180" s="30"/>
      <c r="JU180" s="30"/>
      <c r="JV180" s="30"/>
      <c r="JW180" s="30"/>
      <c r="JX180" s="30"/>
      <c r="JY180" s="30"/>
      <c r="JZ180" s="30"/>
      <c r="KA180" s="30"/>
      <c r="KB180" s="30"/>
      <c r="KC180" s="30"/>
      <c r="KD180" s="30"/>
      <c r="KE180" s="30"/>
      <c r="KF180" s="30"/>
      <c r="KG180" s="30"/>
      <c r="KH180" s="30"/>
      <c r="KI180" s="30"/>
      <c r="KJ180" s="30"/>
      <c r="KK180" s="30"/>
      <c r="KL180" s="30"/>
      <c r="KM180" s="30"/>
      <c r="KN180" s="30"/>
      <c r="KO180" s="30"/>
      <c r="KP180" s="1630"/>
    </row>
    <row r="181" spans="1:302" s="97" customFormat="1" ht="13.15" outlineLevel="1">
      <c r="A181" s="2659" t="s">
        <v>887</v>
      </c>
      <c r="B181" s="386"/>
      <c r="C181" s="1923" t="s">
        <v>888</v>
      </c>
      <c r="D181" s="255" t="s">
        <v>889</v>
      </c>
      <c r="E181" s="376"/>
      <c r="F181" s="347"/>
      <c r="G181" s="348"/>
      <c r="H181" s="349" t="s">
        <v>26</v>
      </c>
      <c r="I181" s="2936"/>
      <c r="J181" s="362" t="s">
        <v>26</v>
      </c>
      <c r="K181" s="1745"/>
      <c r="L181" s="383"/>
      <c r="M181" s="383"/>
      <c r="N181" s="383"/>
      <c r="O181" s="1510">
        <v>200969</v>
      </c>
      <c r="P181" s="383"/>
      <c r="Q181" s="383"/>
      <c r="R181" s="383"/>
      <c r="S181" s="1510">
        <f t="shared" si="220"/>
        <v>0</v>
      </c>
      <c r="T181" s="1509"/>
      <c r="U181" s="1746"/>
      <c r="V181" s="1746"/>
      <c r="W181" s="1744">
        <f t="shared" si="221"/>
        <v>200969</v>
      </c>
      <c r="X181" s="362" t="s">
        <v>26</v>
      </c>
      <c r="Y181" s="1509"/>
      <c r="Z181" s="1746"/>
      <c r="AA181" s="1746"/>
      <c r="AB181" s="1510">
        <f t="shared" si="216"/>
        <v>200969.00009999998</v>
      </c>
      <c r="AC181" s="2069"/>
      <c r="AD181" s="1443"/>
      <c r="AE181" s="381"/>
      <c r="AF181" s="373"/>
      <c r="AG181" s="373"/>
      <c r="AH181" s="354">
        <f t="shared" si="222"/>
        <v>0</v>
      </c>
      <c r="AI181" s="355">
        <f t="shared" ca="1" si="214"/>
        <v>0</v>
      </c>
      <c r="AJ181" s="356">
        <f t="shared" ca="1" si="227"/>
        <v>0</v>
      </c>
      <c r="AK181" s="2185"/>
      <c r="AL181" s="2063"/>
      <c r="AM181" s="2264"/>
      <c r="AN181" s="2264"/>
      <c r="AO181" s="389"/>
      <c r="AP181" s="389"/>
      <c r="AQ181" s="389"/>
      <c r="AR181" s="389"/>
      <c r="AS181" s="389"/>
      <c r="AT181" s="389"/>
      <c r="AU181" s="359"/>
      <c r="AV181" s="359"/>
      <c r="AW181" s="359"/>
      <c r="AX181" s="359"/>
      <c r="AY181" s="390"/>
      <c r="AZ181" s="2258">
        <v>22329.888900000002</v>
      </c>
      <c r="BA181" s="359">
        <v>22329.888900000002</v>
      </c>
      <c r="BB181" s="359">
        <v>22329.888900000002</v>
      </c>
      <c r="BC181" s="359">
        <v>22329.888900000002</v>
      </c>
      <c r="BD181" s="359">
        <v>22329.888900000002</v>
      </c>
      <c r="BE181" s="359">
        <v>22329.888900000002</v>
      </c>
      <c r="BF181" s="359">
        <v>22329.888900000002</v>
      </c>
      <c r="BG181" s="359">
        <v>22329.888900000002</v>
      </c>
      <c r="BH181" s="359">
        <v>22329.888900000002</v>
      </c>
      <c r="BI181" s="380"/>
      <c r="BJ181" s="359"/>
      <c r="BK181" s="2122"/>
      <c r="BL181" s="380"/>
      <c r="BM181" s="380"/>
      <c r="BN181" s="380"/>
      <c r="BO181" s="380"/>
      <c r="BP181" s="380"/>
      <c r="BQ181" s="2087"/>
      <c r="BR181" s="359"/>
      <c r="BS181" s="359"/>
      <c r="BT181" s="359"/>
      <c r="BU181" s="364"/>
      <c r="BV181" s="364"/>
      <c r="BW181" s="2366"/>
      <c r="BX181" s="2463"/>
      <c r="BY181" s="2543"/>
      <c r="BZ181" s="2543"/>
      <c r="CA181" s="2432">
        <f t="shared" si="224"/>
        <v>200969.00009999998</v>
      </c>
      <c r="CB181" s="2377">
        <f t="shared" si="225"/>
        <v>1</v>
      </c>
      <c r="CC181" s="365">
        <f t="shared" si="226"/>
        <v>4.9758918017326601E-6</v>
      </c>
      <c r="CD181" s="366"/>
      <c r="CE181" s="343"/>
      <c r="CF181" s="343"/>
      <c r="CG181" s="340"/>
      <c r="CH181" s="367"/>
      <c r="CI181" s="368"/>
      <c r="CJ181" s="368"/>
      <c r="CK181" s="369"/>
      <c r="CL181" s="329">
        <f t="shared" si="182"/>
        <v>-9.9999975645914674E-5</v>
      </c>
      <c r="CM181" s="330">
        <f t="shared" ca="1" si="183"/>
        <v>0</v>
      </c>
      <c r="CN181" s="331">
        <f t="shared" ca="1" si="223"/>
        <v>-200969.00009999998</v>
      </c>
      <c r="CO181" s="86"/>
      <c r="CP181" s="86"/>
      <c r="CQ181" s="1641"/>
      <c r="CR181" s="86"/>
      <c r="CS181" s="86"/>
      <c r="CT181" s="86"/>
      <c r="CU181" s="86"/>
      <c r="CV181" s="86"/>
      <c r="CW181" s="86"/>
      <c r="CX181" s="86"/>
      <c r="CY181" s="86"/>
      <c r="CZ181" s="86"/>
      <c r="DA181" s="86"/>
      <c r="DB181" s="1642"/>
      <c r="DC181" s="1642"/>
      <c r="DD181" s="30"/>
      <c r="DE181" s="30"/>
      <c r="DF181" s="30"/>
      <c r="DG181" s="1642"/>
      <c r="DH181" s="1642"/>
      <c r="DI181" s="1642"/>
      <c r="DJ181" s="1642"/>
      <c r="DK181" s="1642"/>
      <c r="DL181" s="1642"/>
      <c r="DM181" s="1642"/>
      <c r="DN181" s="1642"/>
      <c r="DO181" s="1642"/>
      <c r="DP181" s="1642"/>
      <c r="DQ181" s="1642"/>
      <c r="DR181" s="1642"/>
      <c r="DS181" s="1642"/>
      <c r="DT181" s="1642"/>
      <c r="DU181" s="1642"/>
      <c r="DV181" s="1642"/>
      <c r="DW181" s="1642"/>
      <c r="DX181" s="1642"/>
      <c r="DY181" s="1642"/>
      <c r="DZ181" s="1642"/>
      <c r="EA181" s="1642"/>
      <c r="EB181" s="1642"/>
      <c r="EC181" s="1642"/>
      <c r="ED181" s="1642"/>
      <c r="EE181" s="1642"/>
      <c r="EF181" s="1642"/>
      <c r="EG181" s="1642"/>
      <c r="EH181" s="1643"/>
      <c r="EI181" s="1658"/>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0"/>
      <c r="HP181" s="30"/>
      <c r="HQ181" s="30"/>
      <c r="HR181" s="30"/>
      <c r="HS181" s="30"/>
      <c r="HT181" s="30"/>
      <c r="HU181" s="30"/>
      <c r="HV181" s="30"/>
      <c r="HW181" s="30"/>
      <c r="HX181" s="30"/>
      <c r="HY181" s="30"/>
      <c r="HZ181" s="30"/>
      <c r="IA181" s="30"/>
      <c r="IB181" s="30"/>
      <c r="IC181" s="30"/>
      <c r="ID181" s="30"/>
      <c r="IE181" s="30"/>
      <c r="IF181" s="30"/>
      <c r="IG181" s="30"/>
      <c r="IH181" s="30"/>
      <c r="II181" s="30"/>
      <c r="IJ181" s="30"/>
      <c r="IK181" s="30"/>
      <c r="IL181" s="30"/>
      <c r="IM181" s="30"/>
      <c r="IN181" s="30"/>
      <c r="IO181" s="30"/>
      <c r="IP181" s="30"/>
      <c r="IQ181" s="30"/>
      <c r="IR181" s="30"/>
      <c r="IS181" s="30"/>
      <c r="IT181" s="30"/>
      <c r="IU181" s="30"/>
      <c r="IV181" s="30"/>
      <c r="IW181" s="30"/>
      <c r="IX181" s="30"/>
      <c r="IY181" s="30"/>
      <c r="IZ181" s="30"/>
      <c r="JA181" s="30"/>
      <c r="JB181" s="30"/>
      <c r="JC181" s="30"/>
      <c r="JD181" s="30"/>
      <c r="JE181" s="30"/>
      <c r="JF181" s="30"/>
      <c r="JG181" s="30"/>
      <c r="JH181" s="30"/>
      <c r="JI181" s="30"/>
      <c r="JJ181" s="30"/>
      <c r="JK181" s="30"/>
      <c r="JL181" s="30"/>
      <c r="JM181" s="30"/>
      <c r="JN181" s="30"/>
      <c r="JO181" s="30"/>
      <c r="JP181" s="30"/>
      <c r="JQ181" s="30"/>
      <c r="JR181" s="30"/>
      <c r="JS181" s="30"/>
      <c r="JT181" s="30"/>
      <c r="JU181" s="30"/>
      <c r="JV181" s="30"/>
      <c r="JW181" s="30"/>
      <c r="JX181" s="30"/>
      <c r="JY181" s="30"/>
      <c r="JZ181" s="30"/>
      <c r="KA181" s="30"/>
      <c r="KB181" s="30"/>
      <c r="KC181" s="30"/>
      <c r="KD181" s="30"/>
      <c r="KE181" s="30"/>
      <c r="KF181" s="30"/>
      <c r="KG181" s="30"/>
      <c r="KH181" s="30"/>
      <c r="KI181" s="30"/>
      <c r="KJ181" s="30"/>
      <c r="KK181" s="30"/>
      <c r="KL181" s="30"/>
      <c r="KM181" s="30"/>
      <c r="KN181" s="30"/>
      <c r="KO181" s="30"/>
      <c r="KP181" s="1630"/>
    </row>
    <row r="182" spans="1:302" s="97" customFormat="1" ht="25.5" outlineLevel="1">
      <c r="A182" s="2659" t="s">
        <v>890</v>
      </c>
      <c r="B182" s="386"/>
      <c r="C182" s="255" t="s">
        <v>891</v>
      </c>
      <c r="D182" s="255" t="s">
        <v>892</v>
      </c>
      <c r="E182" s="376"/>
      <c r="F182" s="347"/>
      <c r="G182" s="348"/>
      <c r="H182" s="349" t="s">
        <v>26</v>
      </c>
      <c r="I182" s="2936"/>
      <c r="J182" s="362" t="s">
        <v>26</v>
      </c>
      <c r="K182" s="1745"/>
      <c r="L182" s="383"/>
      <c r="M182" s="383"/>
      <c r="N182" s="383"/>
      <c r="O182" s="1510">
        <v>3359643</v>
      </c>
      <c r="P182" s="383"/>
      <c r="Q182" s="383"/>
      <c r="R182" s="383"/>
      <c r="S182" s="1510">
        <f t="shared" si="220"/>
        <v>0</v>
      </c>
      <c r="T182" s="1509"/>
      <c r="U182" s="1746"/>
      <c r="V182" s="1746"/>
      <c r="W182" s="1744">
        <f t="shared" si="221"/>
        <v>3359643</v>
      </c>
      <c r="X182" s="362" t="s">
        <v>26</v>
      </c>
      <c r="Y182" s="1509"/>
      <c r="Z182" s="1746"/>
      <c r="AA182" s="1746"/>
      <c r="AB182" s="1510">
        <f t="shared" si="216"/>
        <v>3359643.0029999996</v>
      </c>
      <c r="AC182" s="2069"/>
      <c r="AD182" s="1458"/>
      <c r="AE182" s="381"/>
      <c r="AF182" s="388"/>
      <c r="AG182" s="388"/>
      <c r="AH182" s="354">
        <f t="shared" si="222"/>
        <v>0</v>
      </c>
      <c r="AI182" s="355">
        <f t="shared" ca="1" si="214"/>
        <v>0</v>
      </c>
      <c r="AJ182" s="356">
        <f t="shared" ca="1" si="227"/>
        <v>0</v>
      </c>
      <c r="AK182" s="2185"/>
      <c r="AL182" s="2063"/>
      <c r="AM182" s="2258"/>
      <c r="AN182" s="2258"/>
      <c r="AO182" s="359"/>
      <c r="AP182" s="359"/>
      <c r="AQ182" s="377"/>
      <c r="AR182" s="377"/>
      <c r="AS182" s="359"/>
      <c r="AT182" s="360"/>
      <c r="AU182" s="359"/>
      <c r="AV182" s="359"/>
      <c r="AW182" s="359"/>
      <c r="AX182" s="359"/>
      <c r="AY182" s="360"/>
      <c r="AZ182" s="2258">
        <v>373293.66700000002</v>
      </c>
      <c r="BA182" s="359">
        <v>373293.66700000002</v>
      </c>
      <c r="BB182" s="359">
        <v>373293.66700000002</v>
      </c>
      <c r="BC182" s="359">
        <v>373293.66700000002</v>
      </c>
      <c r="BD182" s="359">
        <v>373293.66700000002</v>
      </c>
      <c r="BE182" s="359">
        <v>373293.66700000002</v>
      </c>
      <c r="BF182" s="359">
        <v>373293.66700000002</v>
      </c>
      <c r="BG182" s="359">
        <v>373293.66700000002</v>
      </c>
      <c r="BH182" s="377">
        <v>373293.66700000002</v>
      </c>
      <c r="BI182" s="380"/>
      <c r="BJ182" s="359"/>
      <c r="BK182" s="2122"/>
      <c r="BL182" s="380"/>
      <c r="BM182" s="380"/>
      <c r="BN182" s="380"/>
      <c r="BO182" s="380"/>
      <c r="BP182" s="380"/>
      <c r="BQ182" s="2087"/>
      <c r="BR182" s="359"/>
      <c r="BS182" s="359"/>
      <c r="BT182" s="359"/>
      <c r="BU182" s="364"/>
      <c r="BV182" s="364"/>
      <c r="BW182" s="2366"/>
      <c r="BX182" s="2463"/>
      <c r="BY182" s="2543"/>
      <c r="BZ182" s="2543"/>
      <c r="CA182" s="2432">
        <f t="shared" si="224"/>
        <v>3359643.0029999996</v>
      </c>
      <c r="CB182" s="2377">
        <f t="shared" si="225"/>
        <v>1</v>
      </c>
      <c r="CC182" s="365">
        <f t="shared" si="226"/>
        <v>2.9765067273726645E-7</v>
      </c>
      <c r="CD182" s="366"/>
      <c r="CE182" s="343"/>
      <c r="CF182" s="343"/>
      <c r="CG182" s="340"/>
      <c r="CH182" s="367"/>
      <c r="CI182" s="368"/>
      <c r="CJ182" s="368"/>
      <c r="CK182" s="369"/>
      <c r="CL182" s="329">
        <f t="shared" si="182"/>
        <v>-2.9999995604157448E-3</v>
      </c>
      <c r="CM182" s="330">
        <f t="shared" ca="1" si="183"/>
        <v>0</v>
      </c>
      <c r="CN182" s="331">
        <f t="shared" ca="1" si="223"/>
        <v>-3359643.0029999996</v>
      </c>
      <c r="CO182" s="86"/>
      <c r="CP182" s="86"/>
      <c r="CQ182" s="1641"/>
      <c r="CR182" s="86"/>
      <c r="CS182" s="86"/>
      <c r="CT182" s="86"/>
      <c r="CU182" s="86"/>
      <c r="CV182" s="86"/>
      <c r="CW182" s="86"/>
      <c r="CX182" s="86"/>
      <c r="CY182" s="86"/>
      <c r="CZ182" s="86"/>
      <c r="DA182" s="86"/>
      <c r="DB182" s="1642"/>
      <c r="DC182" s="1642"/>
      <c r="DD182" s="30"/>
      <c r="DE182" s="30"/>
      <c r="DF182" s="30"/>
      <c r="DG182" s="1642"/>
      <c r="DH182" s="1642"/>
      <c r="DI182" s="1642"/>
      <c r="DJ182" s="1642"/>
      <c r="DK182" s="1642"/>
      <c r="DL182" s="1642"/>
      <c r="DM182" s="1642"/>
      <c r="DN182" s="1642"/>
      <c r="DO182" s="1642"/>
      <c r="DP182" s="1642"/>
      <c r="DQ182" s="1642"/>
      <c r="DR182" s="1642"/>
      <c r="DS182" s="1642"/>
      <c r="DT182" s="1642"/>
      <c r="DU182" s="1642"/>
      <c r="DV182" s="1642"/>
      <c r="DW182" s="1642"/>
      <c r="DX182" s="1642"/>
      <c r="DY182" s="1642"/>
      <c r="DZ182" s="1642"/>
      <c r="EA182" s="1642"/>
      <c r="EB182" s="1642"/>
      <c r="EC182" s="1642"/>
      <c r="ED182" s="1642"/>
      <c r="EE182" s="1642"/>
      <c r="EF182" s="1642"/>
      <c r="EG182" s="1642"/>
      <c r="EH182" s="1643"/>
      <c r="EI182" s="1658"/>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0"/>
      <c r="HP182" s="30"/>
      <c r="HQ182" s="30"/>
      <c r="HR182" s="30"/>
      <c r="HS182" s="30"/>
      <c r="HT182" s="30"/>
      <c r="HU182" s="30"/>
      <c r="HV182" s="30"/>
      <c r="HW182" s="30"/>
      <c r="HX182" s="30"/>
      <c r="HY182" s="30"/>
      <c r="HZ182" s="30"/>
      <c r="IA182" s="30"/>
      <c r="IB182" s="30"/>
      <c r="IC182" s="30"/>
      <c r="ID182" s="30"/>
      <c r="IE182" s="30"/>
      <c r="IF182" s="30"/>
      <c r="IG182" s="30"/>
      <c r="IH182" s="30"/>
      <c r="II182" s="30"/>
      <c r="IJ182" s="30"/>
      <c r="IK182" s="30"/>
      <c r="IL182" s="30"/>
      <c r="IM182" s="30"/>
      <c r="IN182" s="30"/>
      <c r="IO182" s="30"/>
      <c r="IP182" s="30"/>
      <c r="IQ182" s="30"/>
      <c r="IR182" s="30"/>
      <c r="IS182" s="30"/>
      <c r="IT182" s="30"/>
      <c r="IU182" s="30"/>
      <c r="IV182" s="30"/>
      <c r="IW182" s="30"/>
      <c r="IX182" s="30"/>
      <c r="IY182" s="30"/>
      <c r="IZ182" s="30"/>
      <c r="JA182" s="30"/>
      <c r="JB182" s="30"/>
      <c r="JC182" s="30"/>
      <c r="JD182" s="30"/>
      <c r="JE182" s="30"/>
      <c r="JF182" s="30"/>
      <c r="JG182" s="30"/>
      <c r="JH182" s="30"/>
      <c r="JI182" s="30"/>
      <c r="JJ182" s="30"/>
      <c r="JK182" s="30"/>
      <c r="JL182" s="30"/>
      <c r="JM182" s="30"/>
      <c r="JN182" s="30"/>
      <c r="JO182" s="30"/>
      <c r="JP182" s="30"/>
      <c r="JQ182" s="30"/>
      <c r="JR182" s="30"/>
      <c r="JS182" s="30"/>
      <c r="JT182" s="30"/>
      <c r="JU182" s="30"/>
      <c r="JV182" s="30"/>
      <c r="JW182" s="30"/>
      <c r="JX182" s="30"/>
      <c r="JY182" s="30"/>
      <c r="JZ182" s="30"/>
      <c r="KA182" s="30"/>
      <c r="KB182" s="30"/>
      <c r="KC182" s="30"/>
      <c r="KD182" s="30"/>
      <c r="KE182" s="30"/>
      <c r="KF182" s="30"/>
      <c r="KG182" s="30"/>
      <c r="KH182" s="30"/>
      <c r="KI182" s="30"/>
      <c r="KJ182" s="30"/>
      <c r="KK182" s="30"/>
      <c r="KL182" s="30"/>
      <c r="KM182" s="30"/>
      <c r="KN182" s="30"/>
      <c r="KO182" s="30"/>
      <c r="KP182" s="1630"/>
    </row>
    <row r="183" spans="1:302" s="97" customFormat="1" ht="15" customHeight="1" outlineLevel="1">
      <c r="A183" s="382"/>
      <c r="B183" s="382"/>
      <c r="C183" s="261"/>
      <c r="D183" s="261"/>
      <c r="E183" s="376"/>
      <c r="F183" s="347"/>
      <c r="G183" s="348"/>
      <c r="H183" s="349" t="s">
        <v>26</v>
      </c>
      <c r="I183" s="2590"/>
      <c r="J183" s="362" t="s">
        <v>26</v>
      </c>
      <c r="K183" s="1745"/>
      <c r="L183" s="383"/>
      <c r="M183" s="383"/>
      <c r="N183" s="383"/>
      <c r="O183" s="1510"/>
      <c r="P183" s="383"/>
      <c r="Q183" s="383"/>
      <c r="R183" s="383"/>
      <c r="S183" s="1510">
        <f t="shared" si="220"/>
        <v>0</v>
      </c>
      <c r="T183" s="1509"/>
      <c r="U183" s="1746"/>
      <c r="V183" s="1746"/>
      <c r="W183" s="1744">
        <f t="shared" si="221"/>
        <v>0</v>
      </c>
      <c r="X183" s="362" t="s">
        <v>26</v>
      </c>
      <c r="Y183" s="1509"/>
      <c r="Z183" s="1746"/>
      <c r="AA183" s="1746"/>
      <c r="AB183" s="1510">
        <f t="shared" si="216"/>
        <v>0</v>
      </c>
      <c r="AC183" s="2069"/>
      <c r="AD183" s="1458"/>
      <c r="AE183" s="381"/>
      <c r="AF183" s="388"/>
      <c r="AG183" s="388"/>
      <c r="AH183" s="354">
        <f t="shared" si="222"/>
        <v>0</v>
      </c>
      <c r="AI183" s="355">
        <f t="shared" ca="1" si="214"/>
        <v>0</v>
      </c>
      <c r="AJ183" s="356" t="str">
        <f t="shared" si="227"/>
        <v/>
      </c>
      <c r="AK183" s="2185"/>
      <c r="AL183" s="2063"/>
      <c r="AM183" s="2258"/>
      <c r="AN183" s="2258"/>
      <c r="AO183" s="359"/>
      <c r="AP183" s="359"/>
      <c r="AQ183" s="359"/>
      <c r="AR183" s="359"/>
      <c r="AS183" s="359"/>
      <c r="AT183" s="360"/>
      <c r="AU183" s="359"/>
      <c r="AV183" s="359"/>
      <c r="AW183" s="359"/>
      <c r="AX183" s="359"/>
      <c r="AY183" s="360"/>
      <c r="AZ183" s="2273"/>
      <c r="BA183" s="497"/>
      <c r="BB183" s="359"/>
      <c r="BC183" s="359"/>
      <c r="BD183" s="359"/>
      <c r="BE183" s="359"/>
      <c r="BF183" s="359"/>
      <c r="BG183" s="359"/>
      <c r="BH183" s="359"/>
      <c r="BI183" s="380"/>
      <c r="BJ183" s="359"/>
      <c r="BK183" s="2122"/>
      <c r="BL183" s="380"/>
      <c r="BM183" s="380"/>
      <c r="BN183" s="380"/>
      <c r="BO183" s="380"/>
      <c r="BP183" s="380"/>
      <c r="BQ183" s="2087"/>
      <c r="BR183" s="359"/>
      <c r="BS183" s="359"/>
      <c r="BT183" s="359"/>
      <c r="BU183" s="364"/>
      <c r="BV183" s="364"/>
      <c r="BW183" s="2366"/>
      <c r="BX183" s="2463"/>
      <c r="BY183" s="2543"/>
      <c r="BZ183" s="2543"/>
      <c r="CA183" s="2432">
        <f t="shared" si="224"/>
        <v>0</v>
      </c>
      <c r="CB183" s="2377" t="str">
        <f t="shared" si="225"/>
        <v/>
      </c>
      <c r="CC183" s="365" t="str">
        <f t="shared" si="226"/>
        <v/>
      </c>
      <c r="CD183" s="366"/>
      <c r="CE183" s="343"/>
      <c r="CF183" s="343"/>
      <c r="CG183" s="340"/>
      <c r="CH183" s="367"/>
      <c r="CI183" s="368"/>
      <c r="CJ183" s="368"/>
      <c r="CK183" s="369"/>
      <c r="CL183" s="329">
        <f t="shared" si="182"/>
        <v>0</v>
      </c>
      <c r="CM183" s="330">
        <f t="shared" ca="1" si="183"/>
        <v>0</v>
      </c>
      <c r="CN183" s="331">
        <f t="shared" ca="1" si="223"/>
        <v>0</v>
      </c>
      <c r="CO183" s="86"/>
      <c r="CP183" s="86"/>
      <c r="CQ183" s="1641"/>
      <c r="CR183" s="86"/>
      <c r="CS183" s="86"/>
      <c r="CT183" s="86"/>
      <c r="CU183" s="86"/>
      <c r="CV183" s="86"/>
      <c r="CW183" s="86"/>
      <c r="CX183" s="86"/>
      <c r="CY183" s="86"/>
      <c r="CZ183" s="86"/>
      <c r="DA183" s="86"/>
      <c r="DB183" s="1642"/>
      <c r="DC183" s="1642"/>
      <c r="DD183" s="30"/>
      <c r="DE183" s="30"/>
      <c r="DF183" s="30"/>
      <c r="DG183" s="1642"/>
      <c r="DH183" s="1642"/>
      <c r="DI183" s="1642"/>
      <c r="DJ183" s="1642"/>
      <c r="DK183" s="1642"/>
      <c r="DL183" s="1642"/>
      <c r="DM183" s="1642"/>
      <c r="DN183" s="1642"/>
      <c r="DO183" s="1642"/>
      <c r="DP183" s="1642"/>
      <c r="DQ183" s="1642"/>
      <c r="DR183" s="1642"/>
      <c r="DS183" s="1642"/>
      <c r="DT183" s="1642"/>
      <c r="DU183" s="1642"/>
      <c r="DV183" s="1642"/>
      <c r="DW183" s="1642"/>
      <c r="DX183" s="1642"/>
      <c r="DY183" s="1642"/>
      <c r="DZ183" s="1642"/>
      <c r="EA183" s="1642"/>
      <c r="EB183" s="1642"/>
      <c r="EC183" s="1642"/>
      <c r="ED183" s="1642"/>
      <c r="EE183" s="1642"/>
      <c r="EF183" s="1642"/>
      <c r="EG183" s="1642"/>
      <c r="EH183" s="1643"/>
      <c r="EI183" s="1658"/>
      <c r="EJ183" s="30"/>
      <c r="EK183" s="30"/>
      <c r="EL183" s="30"/>
      <c r="EM183" s="30"/>
      <c r="EN183" s="30"/>
      <c r="EO183" s="30"/>
      <c r="EP183" s="30"/>
      <c r="EQ183" s="30"/>
      <c r="ER183" s="30"/>
      <c r="ES183" s="30"/>
      <c r="ET183" s="30"/>
      <c r="EU183" s="30"/>
      <c r="EV183" s="30"/>
      <c r="EW183" s="30"/>
      <c r="EX183" s="30"/>
      <c r="EY183" s="30"/>
      <c r="EZ183" s="30"/>
      <c r="FA183" s="30"/>
      <c r="FB183" s="30"/>
      <c r="FC183" s="30"/>
      <c r="FD183" s="30"/>
      <c r="FE183" s="30"/>
      <c r="FF183" s="30"/>
      <c r="FG183" s="30"/>
      <c r="FH183" s="30"/>
      <c r="FI183" s="30"/>
      <c r="FJ183" s="30"/>
      <c r="FK183" s="30"/>
      <c r="FL183" s="30"/>
      <c r="FM183" s="30"/>
      <c r="FN183" s="30"/>
      <c r="FO183" s="30"/>
      <c r="FP183" s="30"/>
      <c r="FQ183" s="30"/>
      <c r="FR183" s="30"/>
      <c r="FS183" s="30"/>
      <c r="FT183" s="30"/>
      <c r="FU183" s="30"/>
      <c r="FV183" s="30"/>
      <c r="FW183" s="30"/>
      <c r="FX183" s="30"/>
      <c r="FY183" s="30"/>
      <c r="FZ183" s="30"/>
      <c r="GA183" s="30"/>
      <c r="GB183" s="30"/>
      <c r="GC183" s="30"/>
      <c r="GD183" s="30"/>
      <c r="GE183" s="30"/>
      <c r="GF183" s="30"/>
      <c r="GG183" s="30"/>
      <c r="GH183" s="30"/>
      <c r="GI183" s="30"/>
      <c r="GJ183" s="30"/>
      <c r="GK183" s="30"/>
      <c r="GL183" s="30"/>
      <c r="GM183" s="30"/>
      <c r="GN183" s="30"/>
      <c r="GO183" s="30"/>
      <c r="GP183" s="30"/>
      <c r="GQ183" s="30"/>
      <c r="GR183" s="30"/>
      <c r="GS183" s="30"/>
      <c r="GT183" s="30"/>
      <c r="GU183" s="30"/>
      <c r="GV183" s="30"/>
      <c r="GW183" s="30"/>
      <c r="GX183" s="30"/>
      <c r="GY183" s="30"/>
      <c r="GZ183" s="30"/>
      <c r="HA183" s="30"/>
      <c r="HB183" s="30"/>
      <c r="HC183" s="30"/>
      <c r="HD183" s="30"/>
      <c r="HE183" s="30"/>
      <c r="HF183" s="30"/>
      <c r="HG183" s="30"/>
      <c r="HH183" s="30"/>
      <c r="HI183" s="30"/>
      <c r="HJ183" s="30"/>
      <c r="HK183" s="30"/>
      <c r="HL183" s="30"/>
      <c r="HM183" s="30"/>
      <c r="HN183" s="30"/>
      <c r="HO183" s="30"/>
      <c r="HP183" s="30"/>
      <c r="HQ183" s="30"/>
      <c r="HR183" s="30"/>
      <c r="HS183" s="30"/>
      <c r="HT183" s="30"/>
      <c r="HU183" s="30"/>
      <c r="HV183" s="30"/>
      <c r="HW183" s="30"/>
      <c r="HX183" s="30"/>
      <c r="HY183" s="30"/>
      <c r="HZ183" s="30"/>
      <c r="IA183" s="30"/>
      <c r="IB183" s="30"/>
      <c r="IC183" s="30"/>
      <c r="ID183" s="30"/>
      <c r="IE183" s="30"/>
      <c r="IF183" s="30"/>
      <c r="IG183" s="30"/>
      <c r="IH183" s="30"/>
      <c r="II183" s="30"/>
      <c r="IJ183" s="30"/>
      <c r="IK183" s="30"/>
      <c r="IL183" s="30"/>
      <c r="IM183" s="30"/>
      <c r="IN183" s="30"/>
      <c r="IO183" s="30"/>
      <c r="IP183" s="30"/>
      <c r="IQ183" s="30"/>
      <c r="IR183" s="30"/>
      <c r="IS183" s="30"/>
      <c r="IT183" s="30"/>
      <c r="IU183" s="30"/>
      <c r="IV183" s="30"/>
      <c r="IW183" s="30"/>
      <c r="IX183" s="30"/>
      <c r="IY183" s="30"/>
      <c r="IZ183" s="30"/>
      <c r="JA183" s="30"/>
      <c r="JB183" s="30"/>
      <c r="JC183" s="30"/>
      <c r="JD183" s="30"/>
      <c r="JE183" s="30"/>
      <c r="JF183" s="30"/>
      <c r="JG183" s="30"/>
      <c r="JH183" s="30"/>
      <c r="JI183" s="30"/>
      <c r="JJ183" s="30"/>
      <c r="JK183" s="30"/>
      <c r="JL183" s="30"/>
      <c r="JM183" s="30"/>
      <c r="JN183" s="30"/>
      <c r="JO183" s="30"/>
      <c r="JP183" s="30"/>
      <c r="JQ183" s="30"/>
      <c r="JR183" s="30"/>
      <c r="JS183" s="30"/>
      <c r="JT183" s="30"/>
      <c r="JU183" s="30"/>
      <c r="JV183" s="30"/>
      <c r="JW183" s="30"/>
      <c r="JX183" s="30"/>
      <c r="JY183" s="30"/>
      <c r="JZ183" s="30"/>
      <c r="KA183" s="30"/>
      <c r="KB183" s="30"/>
      <c r="KC183" s="30"/>
      <c r="KD183" s="30"/>
      <c r="KE183" s="30"/>
      <c r="KF183" s="30"/>
      <c r="KG183" s="30"/>
      <c r="KH183" s="30"/>
      <c r="KI183" s="30"/>
      <c r="KJ183" s="30"/>
      <c r="KK183" s="30"/>
      <c r="KL183" s="30"/>
      <c r="KM183" s="30"/>
      <c r="KN183" s="30"/>
      <c r="KO183" s="30"/>
      <c r="KP183" s="1630"/>
    </row>
    <row r="184" spans="1:302" s="97" customFormat="1" ht="38.25" customHeight="1" outlineLevel="1">
      <c r="A184" s="2659"/>
      <c r="B184" s="386"/>
      <c r="C184" s="255"/>
      <c r="D184" s="255"/>
      <c r="E184" s="376"/>
      <c r="F184" s="347"/>
      <c r="G184" s="348"/>
      <c r="H184" s="349" t="s">
        <v>26</v>
      </c>
      <c r="I184" s="2590"/>
      <c r="J184" s="362" t="s">
        <v>26</v>
      </c>
      <c r="K184" s="1745"/>
      <c r="L184" s="383"/>
      <c r="M184" s="421"/>
      <c r="N184" s="421"/>
      <c r="O184" s="1510"/>
      <c r="P184" s="383"/>
      <c r="Q184" s="383"/>
      <c r="R184" s="383"/>
      <c r="S184" s="1510">
        <f t="shared" si="220"/>
        <v>0</v>
      </c>
      <c r="T184" s="1509"/>
      <c r="U184" s="1746"/>
      <c r="V184" s="1746"/>
      <c r="W184" s="1744">
        <f t="shared" si="221"/>
        <v>0</v>
      </c>
      <c r="X184" s="362" t="s">
        <v>26</v>
      </c>
      <c r="Y184" s="1509"/>
      <c r="Z184" s="1746"/>
      <c r="AA184" s="1746"/>
      <c r="AB184" s="1510">
        <f t="shared" si="216"/>
        <v>0</v>
      </c>
      <c r="AC184" s="2069"/>
      <c r="AD184" s="1443"/>
      <c r="AE184" s="381"/>
      <c r="AF184" s="373"/>
      <c r="AG184" s="373"/>
      <c r="AH184" s="354">
        <f t="shared" si="222"/>
        <v>0</v>
      </c>
      <c r="AI184" s="355">
        <f t="shared" ca="1" si="214"/>
        <v>0</v>
      </c>
      <c r="AJ184" s="356" t="str">
        <f t="shared" si="227"/>
        <v/>
      </c>
      <c r="AK184" s="2185"/>
      <c r="AL184" s="2063"/>
      <c r="AM184" s="2258"/>
      <c r="AN184" s="2258"/>
      <c r="AO184" s="359"/>
      <c r="AP184" s="359"/>
      <c r="AQ184" s="359"/>
      <c r="AR184" s="359"/>
      <c r="AS184" s="359"/>
      <c r="AT184" s="360"/>
      <c r="AU184" s="359"/>
      <c r="AV184" s="359"/>
      <c r="AW184" s="377"/>
      <c r="AX184" s="1505"/>
      <c r="AY184" s="1987"/>
      <c r="AZ184" s="2273"/>
      <c r="BA184" s="497"/>
      <c r="BB184" s="359"/>
      <c r="BC184" s="359"/>
      <c r="BD184" s="359"/>
      <c r="BE184" s="359"/>
      <c r="BF184" s="1505"/>
      <c r="BG184" s="1505"/>
      <c r="BH184" s="1505"/>
      <c r="BI184" s="380"/>
      <c r="BJ184" s="359"/>
      <c r="BK184" s="2122"/>
      <c r="BL184" s="380"/>
      <c r="BM184" s="380"/>
      <c r="BN184" s="380"/>
      <c r="BO184" s="380"/>
      <c r="BP184" s="380"/>
      <c r="BQ184" s="2087"/>
      <c r="BR184" s="359"/>
      <c r="BS184" s="359"/>
      <c r="BT184" s="359"/>
      <c r="BU184" s="364"/>
      <c r="BV184" s="364"/>
      <c r="BW184" s="2366"/>
      <c r="BX184" s="2463"/>
      <c r="BY184" s="2543"/>
      <c r="BZ184" s="2543"/>
      <c r="CA184" s="2432">
        <f t="shared" si="224"/>
        <v>0</v>
      </c>
      <c r="CB184" s="2377" t="str">
        <f t="shared" si="225"/>
        <v/>
      </c>
      <c r="CC184" s="365" t="str">
        <f t="shared" si="226"/>
        <v/>
      </c>
      <c r="CD184" s="365" t="str">
        <f>IF($AB184&lt;&gt;0,CC184/$AB184,"")</f>
        <v/>
      </c>
      <c r="CE184" s="365" t="str">
        <f>IF($AB184&lt;&gt;0,CD184/$AB184,"")</f>
        <v/>
      </c>
      <c r="CF184" s="365" t="str">
        <f>IF($AB184&lt;&gt;0,CE184/$AB184,"")</f>
        <v/>
      </c>
      <c r="CG184" s="340"/>
      <c r="CH184" s="367"/>
      <c r="CI184" s="368"/>
      <c r="CJ184" s="368"/>
      <c r="CK184" s="369"/>
      <c r="CL184" s="329">
        <f t="shared" si="182"/>
        <v>0</v>
      </c>
      <c r="CM184" s="330">
        <f t="shared" ca="1" si="183"/>
        <v>0</v>
      </c>
      <c r="CN184" s="331">
        <f t="shared" ca="1" si="223"/>
        <v>0</v>
      </c>
      <c r="CO184" s="86"/>
      <c r="CP184" s="86"/>
      <c r="CQ184" s="1641"/>
      <c r="CR184" s="86"/>
      <c r="CS184" s="86"/>
      <c r="CT184" s="86"/>
      <c r="CU184" s="86"/>
      <c r="CV184" s="86"/>
      <c r="CW184" s="86"/>
      <c r="CX184" s="86"/>
      <c r="CY184" s="86"/>
      <c r="CZ184" s="86"/>
      <c r="DA184" s="86"/>
      <c r="DB184" s="1642"/>
      <c r="DC184" s="1642"/>
      <c r="DD184" s="30"/>
      <c r="DE184" s="30"/>
      <c r="DF184" s="30"/>
      <c r="DG184" s="1642"/>
      <c r="DH184" s="1642"/>
      <c r="DI184" s="1642"/>
      <c r="DJ184" s="1642"/>
      <c r="DK184" s="1642"/>
      <c r="DL184" s="1642"/>
      <c r="DM184" s="1642"/>
      <c r="DN184" s="1642"/>
      <c r="DO184" s="1642"/>
      <c r="DP184" s="1642"/>
      <c r="DQ184" s="1642"/>
      <c r="DR184" s="1642"/>
      <c r="DS184" s="1642"/>
      <c r="DT184" s="1642"/>
      <c r="DU184" s="1642"/>
      <c r="DV184" s="1642"/>
      <c r="DW184" s="1642"/>
      <c r="DX184" s="1642"/>
      <c r="DY184" s="1642"/>
      <c r="DZ184" s="1642"/>
      <c r="EA184" s="1642"/>
      <c r="EB184" s="1642"/>
      <c r="EC184" s="1642"/>
      <c r="ED184" s="1642"/>
      <c r="EE184" s="1642"/>
      <c r="EF184" s="1642"/>
      <c r="EG184" s="1642"/>
      <c r="EH184" s="1643"/>
      <c r="EI184" s="1658"/>
      <c r="EJ184" s="30"/>
      <c r="EK184" s="30"/>
      <c r="EL184" s="30"/>
      <c r="EM184" s="30"/>
      <c r="EN184" s="30"/>
      <c r="EO184" s="30"/>
      <c r="EP184" s="30"/>
      <c r="EQ184" s="30"/>
      <c r="ER184" s="30"/>
      <c r="ES184" s="30"/>
      <c r="ET184" s="30"/>
      <c r="EU184" s="30"/>
      <c r="EV184" s="30"/>
      <c r="EW184" s="30"/>
      <c r="EX184" s="30"/>
      <c r="EY184" s="30"/>
      <c r="EZ184" s="30"/>
      <c r="FA184" s="30"/>
      <c r="FB184" s="30"/>
      <c r="FC184" s="30"/>
      <c r="FD184" s="30"/>
      <c r="FE184" s="30"/>
      <c r="FF184" s="30"/>
      <c r="FG184" s="30"/>
      <c r="FH184" s="30"/>
      <c r="FI184" s="30"/>
      <c r="FJ184" s="30"/>
      <c r="FK184" s="30"/>
      <c r="FL184" s="30"/>
      <c r="FM184" s="30"/>
      <c r="FN184" s="30"/>
      <c r="FO184" s="30"/>
      <c r="FP184" s="30"/>
      <c r="FQ184" s="30"/>
      <c r="FR184" s="30"/>
      <c r="FS184" s="30"/>
      <c r="FT184" s="30"/>
      <c r="FU184" s="30"/>
      <c r="FV184" s="30"/>
      <c r="FW184" s="30"/>
      <c r="FX184" s="30"/>
      <c r="FY184" s="30"/>
      <c r="FZ184" s="30"/>
      <c r="GA184" s="30"/>
      <c r="GB184" s="30"/>
      <c r="GC184" s="30"/>
      <c r="GD184" s="30"/>
      <c r="GE184" s="30"/>
      <c r="GF184" s="30"/>
      <c r="GG184" s="30"/>
      <c r="GH184" s="30"/>
      <c r="GI184" s="30"/>
      <c r="GJ184" s="30"/>
      <c r="GK184" s="30"/>
      <c r="GL184" s="30"/>
      <c r="GM184" s="30"/>
      <c r="GN184" s="30"/>
      <c r="GO184" s="30"/>
      <c r="GP184" s="30"/>
      <c r="GQ184" s="30"/>
      <c r="GR184" s="30"/>
      <c r="GS184" s="30"/>
      <c r="GT184" s="30"/>
      <c r="GU184" s="30"/>
      <c r="GV184" s="30"/>
      <c r="GW184" s="30"/>
      <c r="GX184" s="30"/>
      <c r="GY184" s="30"/>
      <c r="GZ184" s="30"/>
      <c r="HA184" s="30"/>
      <c r="HB184" s="30"/>
      <c r="HC184" s="30"/>
      <c r="HD184" s="30"/>
      <c r="HE184" s="30"/>
      <c r="HF184" s="30"/>
      <c r="HG184" s="30"/>
      <c r="HH184" s="30"/>
      <c r="HI184" s="30"/>
      <c r="HJ184" s="30"/>
      <c r="HK184" s="30"/>
      <c r="HL184" s="30"/>
      <c r="HM184" s="30"/>
      <c r="HN184" s="30"/>
      <c r="HO184" s="30"/>
      <c r="HP184" s="30"/>
      <c r="HQ184" s="30"/>
      <c r="HR184" s="30"/>
      <c r="HS184" s="30"/>
      <c r="HT184" s="30"/>
      <c r="HU184" s="30"/>
      <c r="HV184" s="30"/>
      <c r="HW184" s="30"/>
      <c r="HX184" s="30"/>
      <c r="HY184" s="30"/>
      <c r="HZ184" s="30"/>
      <c r="IA184" s="30"/>
      <c r="IB184" s="30"/>
      <c r="IC184" s="30"/>
      <c r="ID184" s="30"/>
      <c r="IE184" s="30"/>
      <c r="IF184" s="30"/>
      <c r="IG184" s="30"/>
      <c r="IH184" s="30"/>
      <c r="II184" s="30"/>
      <c r="IJ184" s="30"/>
      <c r="IK184" s="30"/>
      <c r="IL184" s="30"/>
      <c r="IM184" s="30"/>
      <c r="IN184" s="30"/>
      <c r="IO184" s="30"/>
      <c r="IP184" s="30"/>
      <c r="IQ184" s="30"/>
      <c r="IR184" s="30"/>
      <c r="IS184" s="30"/>
      <c r="IT184" s="30"/>
      <c r="IU184" s="30"/>
      <c r="IV184" s="30"/>
      <c r="IW184" s="30"/>
      <c r="IX184" s="30"/>
      <c r="IY184" s="30"/>
      <c r="IZ184" s="30"/>
      <c r="JA184" s="30"/>
      <c r="JB184" s="30"/>
      <c r="JC184" s="30"/>
      <c r="JD184" s="30"/>
      <c r="JE184" s="30"/>
      <c r="JF184" s="30"/>
      <c r="JG184" s="30"/>
      <c r="JH184" s="30"/>
      <c r="JI184" s="30"/>
      <c r="JJ184" s="30"/>
      <c r="JK184" s="30"/>
      <c r="JL184" s="30"/>
      <c r="JM184" s="30"/>
      <c r="JN184" s="30"/>
      <c r="JO184" s="30"/>
      <c r="JP184" s="30"/>
      <c r="JQ184" s="30"/>
      <c r="JR184" s="30"/>
      <c r="JS184" s="30"/>
      <c r="JT184" s="30"/>
      <c r="JU184" s="30"/>
      <c r="JV184" s="30"/>
      <c r="JW184" s="30"/>
      <c r="JX184" s="30"/>
      <c r="JY184" s="30"/>
      <c r="JZ184" s="30"/>
      <c r="KA184" s="30"/>
      <c r="KB184" s="30"/>
      <c r="KC184" s="30"/>
      <c r="KD184" s="30"/>
      <c r="KE184" s="30"/>
      <c r="KF184" s="30"/>
      <c r="KG184" s="30"/>
      <c r="KH184" s="30"/>
      <c r="KI184" s="30"/>
      <c r="KJ184" s="30"/>
      <c r="KK184" s="30"/>
      <c r="KL184" s="30"/>
      <c r="KM184" s="30"/>
      <c r="KN184" s="30"/>
      <c r="KO184" s="30"/>
      <c r="KP184" s="1630"/>
    </row>
    <row r="185" spans="1:302" s="97" customFormat="1" ht="25.25" customHeight="1">
      <c r="A185" s="2654">
        <v>5</v>
      </c>
      <c r="B185" s="332"/>
      <c r="C185" s="164" t="s">
        <v>893</v>
      </c>
      <c r="D185" s="164" t="s">
        <v>894</v>
      </c>
      <c r="E185" s="333"/>
      <c r="F185" s="334"/>
      <c r="G185" s="335"/>
      <c r="H185" s="349"/>
      <c r="I185" s="336">
        <f>SUM(I186:I256)</f>
        <v>293798902</v>
      </c>
      <c r="J185" s="336"/>
      <c r="K185" s="336"/>
      <c r="L185" s="336"/>
      <c r="M185" s="336"/>
      <c r="N185" s="336"/>
      <c r="O185" s="336">
        <f t="shared" ref="O185:W185" si="228">SUM(O186:O256)</f>
        <v>258666646</v>
      </c>
      <c r="P185" s="336">
        <f t="shared" si="228"/>
        <v>0</v>
      </c>
      <c r="Q185" s="336">
        <f t="shared" si="228"/>
        <v>0</v>
      </c>
      <c r="R185" s="336">
        <f t="shared" si="228"/>
        <v>0</v>
      </c>
      <c r="S185" s="336">
        <f t="shared" si="228"/>
        <v>0</v>
      </c>
      <c r="T185" s="336">
        <f t="shared" si="228"/>
        <v>0</v>
      </c>
      <c r="U185" s="336">
        <f t="shared" si="228"/>
        <v>0</v>
      </c>
      <c r="V185" s="336">
        <f t="shared" si="228"/>
        <v>0</v>
      </c>
      <c r="W185" s="336">
        <f t="shared" si="228"/>
        <v>258666646</v>
      </c>
      <c r="X185" s="1743"/>
      <c r="Y185" s="1742">
        <f t="shared" ref="Y185:AA185" si="229">SUM(Y186:Y272)</f>
        <v>0</v>
      </c>
      <c r="Z185" s="1742">
        <f t="shared" si="229"/>
        <v>0</v>
      </c>
      <c r="AA185" s="1743">
        <f t="shared" si="229"/>
        <v>0</v>
      </c>
      <c r="AB185" s="336">
        <f>SUM(AB186:AB256)</f>
        <v>258666645.99915147</v>
      </c>
      <c r="AC185" s="1440"/>
      <c r="AD185" s="1456"/>
      <c r="AE185" s="336"/>
      <c r="AF185" s="336"/>
      <c r="AG185" s="336"/>
      <c r="AH185" s="336">
        <f>SUM(AH186:AH256)</f>
        <v>114195000</v>
      </c>
      <c r="AI185" s="336">
        <f ca="1">SUM(AI186:AI256)</f>
        <v>2966915.9</v>
      </c>
      <c r="AJ185" s="337">
        <f t="shared" ca="1" si="227"/>
        <v>1.1470036612334365E-2</v>
      </c>
      <c r="AK185" s="2183"/>
      <c r="AL185" s="1331"/>
      <c r="AM185" s="2259">
        <f t="shared" ref="AM185:BZ185" si="230">SUM(AM186:AM256)</f>
        <v>0</v>
      </c>
      <c r="AN185" s="2259">
        <f t="shared" si="230"/>
        <v>0</v>
      </c>
      <c r="AO185" s="336">
        <f t="shared" si="230"/>
        <v>2966915.9</v>
      </c>
      <c r="AP185" s="336">
        <f t="shared" si="230"/>
        <v>3762102.2299233722</v>
      </c>
      <c r="AQ185" s="336">
        <f t="shared" si="230"/>
        <v>2138438.2910344824</v>
      </c>
      <c r="AR185" s="336">
        <f t="shared" si="230"/>
        <v>3898059.1243678159</v>
      </c>
      <c r="AS185" s="336">
        <f t="shared" si="230"/>
        <v>4352066.941845594</v>
      </c>
      <c r="AT185" s="338">
        <f t="shared" si="230"/>
        <v>4258053.0529567041</v>
      </c>
      <c r="AU185" s="336">
        <f t="shared" si="230"/>
        <v>6682605.7112933723</v>
      </c>
      <c r="AV185" s="336">
        <f t="shared" si="230"/>
        <v>8071584.099068149</v>
      </c>
      <c r="AW185" s="336">
        <f t="shared" si="230"/>
        <v>14450722.541194523</v>
      </c>
      <c r="AX185" s="336">
        <f t="shared" si="230"/>
        <v>11144003.887823373</v>
      </c>
      <c r="AY185" s="338">
        <f t="shared" si="230"/>
        <v>11647469.689156706</v>
      </c>
      <c r="AZ185" s="2308">
        <f t="shared" si="230"/>
        <v>15804840.545334483</v>
      </c>
      <c r="BA185" s="336">
        <f t="shared" si="230"/>
        <v>15725892.276601151</v>
      </c>
      <c r="BB185" s="336">
        <f t="shared" si="230"/>
        <v>19080426.0243567</v>
      </c>
      <c r="BC185" s="336">
        <f t="shared" si="230"/>
        <v>19002214.913134478</v>
      </c>
      <c r="BD185" s="336">
        <f t="shared" si="230"/>
        <v>19529379.378656704</v>
      </c>
      <c r="BE185" s="336">
        <f t="shared" si="230"/>
        <v>12385348.747578925</v>
      </c>
      <c r="BF185" s="336">
        <f t="shared" si="230"/>
        <v>9875614.4541567061</v>
      </c>
      <c r="BG185" s="336">
        <f t="shared" si="230"/>
        <v>9078317.6291567069</v>
      </c>
      <c r="BH185" s="336">
        <f t="shared" si="230"/>
        <v>6041620.2128900383</v>
      </c>
      <c r="BI185" s="336">
        <f t="shared" si="230"/>
        <v>5529690.2921122611</v>
      </c>
      <c r="BJ185" s="336">
        <f t="shared" si="230"/>
        <v>3769202.0832233713</v>
      </c>
      <c r="BK185" s="2121">
        <f t="shared" si="230"/>
        <v>11544683.446223373</v>
      </c>
      <c r="BL185" s="339">
        <f t="shared" si="230"/>
        <v>3243439.0814455939</v>
      </c>
      <c r="BM185" s="339">
        <f t="shared" si="230"/>
        <v>1999041.7770344827</v>
      </c>
      <c r="BN185" s="339">
        <f t="shared" si="230"/>
        <v>392887.93103448278</v>
      </c>
      <c r="BO185" s="339">
        <f t="shared" si="230"/>
        <v>24137.931034482757</v>
      </c>
      <c r="BP185" s="339">
        <f t="shared" si="230"/>
        <v>1927544.8754789273</v>
      </c>
      <c r="BQ185" s="2086">
        <f t="shared" si="230"/>
        <v>24137.931034482757</v>
      </c>
      <c r="BR185" s="336">
        <f t="shared" si="230"/>
        <v>0</v>
      </c>
      <c r="BS185" s="336">
        <f t="shared" si="230"/>
        <v>0</v>
      </c>
      <c r="BT185" s="336">
        <f t="shared" si="230"/>
        <v>0</v>
      </c>
      <c r="BU185" s="336">
        <f t="shared" si="230"/>
        <v>0</v>
      </c>
      <c r="BV185" s="336">
        <f t="shared" si="230"/>
        <v>0</v>
      </c>
      <c r="BW185" s="338">
        <f t="shared" si="230"/>
        <v>30316205</v>
      </c>
      <c r="BX185" s="2391">
        <f t="shared" si="230"/>
        <v>0</v>
      </c>
      <c r="BY185" s="2391">
        <f t="shared" si="230"/>
        <v>0</v>
      </c>
      <c r="BZ185" s="2391">
        <f t="shared" si="230"/>
        <v>0</v>
      </c>
      <c r="CA185" s="2431">
        <f>SUMIF($AM$10:$BZ$10,$CA$9,AM185:BZ185)</f>
        <v>255699730.09915143</v>
      </c>
      <c r="CB185" s="2376">
        <f t="shared" si="3"/>
        <v>0.98852996338766552</v>
      </c>
      <c r="CC185" s="365">
        <f t="shared" si="3"/>
        <v>3.8216367617451088E-9</v>
      </c>
      <c r="CD185" s="341"/>
      <c r="CE185" s="342"/>
      <c r="CF185" s="343"/>
      <c r="CG185" s="340"/>
      <c r="CH185" s="344"/>
      <c r="CI185" s="345"/>
      <c r="CJ185" s="345"/>
      <c r="CK185" s="346"/>
      <c r="CL185" s="329">
        <f t="shared" si="182"/>
        <v>2966915.9008485675</v>
      </c>
      <c r="CM185" s="330">
        <f t="shared" ca="1" si="183"/>
        <v>0</v>
      </c>
      <c r="CN185" s="331">
        <f t="shared" ca="1" si="223"/>
        <v>-185294624.53048733</v>
      </c>
      <c r="CO185" s="86"/>
      <c r="CP185" s="86"/>
      <c r="CQ185" s="1641"/>
      <c r="CR185" s="86"/>
      <c r="CS185" s="86"/>
      <c r="CT185" s="86"/>
      <c r="CU185" s="86"/>
      <c r="CV185" s="86"/>
      <c r="CW185" s="86"/>
      <c r="CX185" s="86"/>
      <c r="CY185" s="86"/>
      <c r="CZ185" s="86"/>
      <c r="DA185" s="86"/>
      <c r="DB185" s="1642"/>
      <c r="DC185" s="1642"/>
      <c r="DD185" s="30"/>
      <c r="DE185" s="30"/>
      <c r="DF185" s="30"/>
      <c r="DG185" s="1642"/>
      <c r="DH185" s="1642"/>
      <c r="DI185" s="1642"/>
      <c r="DJ185" s="1642"/>
      <c r="DK185" s="1642"/>
      <c r="DL185" s="1642"/>
      <c r="DM185" s="1642"/>
      <c r="DN185" s="1642"/>
      <c r="DO185" s="1642"/>
      <c r="DP185" s="1642"/>
      <c r="DQ185" s="1642"/>
      <c r="DR185" s="1642"/>
      <c r="DS185" s="1642"/>
      <c r="DT185" s="1642"/>
      <c r="DU185" s="1642"/>
      <c r="DV185" s="1642"/>
      <c r="DW185" s="1642"/>
      <c r="DX185" s="1642"/>
      <c r="DY185" s="1642"/>
      <c r="DZ185" s="1642"/>
      <c r="EA185" s="1642"/>
      <c r="EB185" s="1642"/>
      <c r="EC185" s="1642"/>
      <c r="ED185" s="1642"/>
      <c r="EE185" s="1642"/>
      <c r="EF185" s="1642"/>
      <c r="EG185" s="1642"/>
      <c r="EH185" s="1643"/>
      <c r="EI185" s="1658"/>
      <c r="EJ185" s="30"/>
      <c r="EK185" s="30"/>
      <c r="EL185" s="30"/>
      <c r="EM185" s="30"/>
      <c r="EN185" s="30"/>
      <c r="EO185" s="30"/>
      <c r="EP185" s="30"/>
      <c r="EQ185" s="30"/>
      <c r="ER185" s="30"/>
      <c r="ES185" s="30"/>
      <c r="ET185" s="30"/>
      <c r="EU185" s="30"/>
      <c r="EV185" s="30"/>
      <c r="EW185" s="30"/>
      <c r="EX185" s="30"/>
      <c r="EY185" s="30"/>
      <c r="EZ185" s="30"/>
      <c r="FA185" s="30"/>
      <c r="FB185" s="30"/>
      <c r="FC185" s="30"/>
      <c r="FD185" s="30"/>
      <c r="FE185" s="30"/>
      <c r="FF185" s="30"/>
      <c r="FG185" s="30"/>
      <c r="FH185" s="30"/>
      <c r="FI185" s="30"/>
      <c r="FJ185" s="30"/>
      <c r="FK185" s="30"/>
      <c r="FL185" s="30"/>
      <c r="FM185" s="30"/>
      <c r="FN185" s="30"/>
      <c r="FO185" s="30"/>
      <c r="FP185" s="30"/>
      <c r="FQ185" s="30"/>
      <c r="FR185" s="30"/>
      <c r="FS185" s="30"/>
      <c r="FT185" s="30"/>
      <c r="FU185" s="30"/>
      <c r="FV185" s="30"/>
      <c r="FW185" s="30"/>
      <c r="FX185" s="30"/>
      <c r="FY185" s="30"/>
      <c r="FZ185" s="30"/>
      <c r="GA185" s="30"/>
      <c r="GB185" s="30"/>
      <c r="GC185" s="30"/>
      <c r="GD185" s="30"/>
      <c r="GE185" s="30"/>
      <c r="GF185" s="30"/>
      <c r="GG185" s="30"/>
      <c r="GH185" s="30"/>
      <c r="GI185" s="30"/>
      <c r="GJ185" s="30"/>
      <c r="GK185" s="30"/>
      <c r="GL185" s="30"/>
      <c r="GM185" s="30"/>
      <c r="GN185" s="30"/>
      <c r="GO185" s="30"/>
      <c r="GP185" s="30"/>
      <c r="GQ185" s="30"/>
      <c r="GR185" s="30"/>
      <c r="GS185" s="30"/>
      <c r="GT185" s="30"/>
      <c r="GU185" s="30"/>
      <c r="GV185" s="30"/>
      <c r="GW185" s="30"/>
      <c r="GX185" s="30"/>
      <c r="GY185" s="30"/>
      <c r="GZ185" s="30"/>
      <c r="HA185" s="30"/>
      <c r="HB185" s="30"/>
      <c r="HC185" s="30"/>
      <c r="HD185" s="30"/>
      <c r="HE185" s="30"/>
      <c r="HF185" s="30"/>
      <c r="HG185" s="30"/>
      <c r="HH185" s="30"/>
      <c r="HI185" s="30"/>
      <c r="HJ185" s="30"/>
      <c r="HK185" s="30"/>
      <c r="HL185" s="30"/>
      <c r="HM185" s="30"/>
      <c r="HN185" s="30"/>
      <c r="HO185" s="30"/>
      <c r="HP185" s="30"/>
      <c r="HQ185" s="30"/>
      <c r="HR185" s="30"/>
      <c r="HS185" s="30"/>
      <c r="HT185" s="30"/>
      <c r="HU185" s="30"/>
      <c r="HV185" s="30"/>
      <c r="HW185" s="30"/>
      <c r="HX185" s="30"/>
      <c r="HY185" s="30"/>
      <c r="HZ185" s="30"/>
      <c r="IA185" s="30"/>
      <c r="IB185" s="30"/>
      <c r="IC185" s="30"/>
      <c r="ID185" s="30"/>
      <c r="IE185" s="30"/>
      <c r="IF185" s="30"/>
      <c r="IG185" s="30"/>
      <c r="IH185" s="30"/>
      <c r="II185" s="30"/>
      <c r="IJ185" s="30"/>
      <c r="IK185" s="30"/>
      <c r="IL185" s="30"/>
      <c r="IM185" s="30"/>
      <c r="IN185" s="30"/>
      <c r="IO185" s="30"/>
      <c r="IP185" s="30"/>
      <c r="IQ185" s="30"/>
      <c r="IR185" s="30"/>
      <c r="IS185" s="30"/>
      <c r="IT185" s="30"/>
      <c r="IU185" s="30"/>
      <c r="IV185" s="30"/>
      <c r="IW185" s="30"/>
      <c r="IX185" s="30"/>
      <c r="IY185" s="30"/>
      <c r="IZ185" s="30"/>
      <c r="JA185" s="30"/>
      <c r="JB185" s="30"/>
      <c r="JC185" s="30"/>
      <c r="JD185" s="30"/>
      <c r="JE185" s="30"/>
      <c r="JF185" s="30"/>
      <c r="JG185" s="30"/>
      <c r="JH185" s="30"/>
      <c r="JI185" s="30"/>
      <c r="JJ185" s="30"/>
      <c r="JK185" s="30"/>
      <c r="JL185" s="30"/>
      <c r="JM185" s="30"/>
      <c r="JN185" s="30"/>
      <c r="JO185" s="30"/>
      <c r="JP185" s="30"/>
      <c r="JQ185" s="30"/>
      <c r="JR185" s="30"/>
      <c r="JS185" s="30"/>
      <c r="JT185" s="30"/>
      <c r="JU185" s="30"/>
      <c r="JV185" s="30"/>
      <c r="JW185" s="30"/>
      <c r="JX185" s="30"/>
      <c r="JY185" s="30"/>
      <c r="JZ185" s="30"/>
      <c r="KA185" s="30"/>
      <c r="KB185" s="30"/>
      <c r="KC185" s="30"/>
      <c r="KD185" s="30"/>
      <c r="KE185" s="30"/>
      <c r="KF185" s="30"/>
      <c r="KG185" s="30"/>
      <c r="KH185" s="30"/>
      <c r="KI185" s="30"/>
      <c r="KJ185" s="30"/>
      <c r="KK185" s="30"/>
      <c r="KL185" s="30"/>
      <c r="KM185" s="30"/>
      <c r="KN185" s="30"/>
      <c r="KO185" s="30"/>
      <c r="KP185" s="1630"/>
    </row>
    <row r="186" spans="1:302" s="97" customFormat="1" ht="17.25" customHeight="1" outlineLevel="1">
      <c r="A186" s="2587" t="s">
        <v>142</v>
      </c>
      <c r="B186" s="2605"/>
      <c r="C186" s="2587" t="s">
        <v>902</v>
      </c>
      <c r="D186" s="2587" t="s">
        <v>916</v>
      </c>
      <c r="E186" s="376"/>
      <c r="F186" s="347"/>
      <c r="G186" s="348"/>
      <c r="H186" s="349" t="s">
        <v>26</v>
      </c>
      <c r="I186" s="2939">
        <v>271629205</v>
      </c>
      <c r="J186" s="362" t="s">
        <v>26</v>
      </c>
      <c r="K186" s="1745"/>
      <c r="L186" s="383"/>
      <c r="M186" s="383"/>
      <c r="N186" s="383"/>
      <c r="O186" s="1510">
        <v>0</v>
      </c>
      <c r="P186" s="383"/>
      <c r="Q186" s="383"/>
      <c r="R186" s="383"/>
      <c r="S186" s="1510">
        <f>R186*Q186</f>
        <v>0</v>
      </c>
      <c r="T186" s="1509"/>
      <c r="U186" s="1746"/>
      <c r="V186" s="1746"/>
      <c r="W186" s="1510">
        <f>O186+S186</f>
        <v>0</v>
      </c>
      <c r="X186" s="362" t="s">
        <v>26</v>
      </c>
      <c r="Y186" s="1509"/>
      <c r="Z186" s="1746"/>
      <c r="AA186" s="1746"/>
      <c r="AB186" s="1510">
        <f>SUM(AM186:BZ186)</f>
        <v>0</v>
      </c>
      <c r="AC186" s="1442"/>
      <c r="AD186" s="1457"/>
      <c r="AE186" s="352"/>
      <c r="AF186" s="353"/>
      <c r="AG186" s="353"/>
      <c r="AH186" s="354">
        <f t="shared" ref="AH186:AH189" si="231">AF186*AG186</f>
        <v>0</v>
      </c>
      <c r="AI186" s="355">
        <f t="shared" ref="AI186:AI250" ca="1" si="232">SUMIF($AM$10:$BZ$10,$AI$9,AM186:BT186)</f>
        <v>0</v>
      </c>
      <c r="AJ186" s="374" t="str">
        <f t="shared" si="227"/>
        <v/>
      </c>
      <c r="AK186" s="2184"/>
      <c r="AL186" s="260"/>
      <c r="AM186" s="2261"/>
      <c r="AN186" s="2261"/>
      <c r="AO186" s="362"/>
      <c r="AP186" s="384"/>
      <c r="AQ186" s="362"/>
      <c r="AR186" s="362"/>
      <c r="AS186" s="362"/>
      <c r="AT186" s="385"/>
      <c r="AU186" s="362"/>
      <c r="AV186" s="362"/>
      <c r="AW186" s="362"/>
      <c r="AX186" s="362"/>
      <c r="AY186" s="385"/>
      <c r="AZ186" s="2256"/>
      <c r="BA186" s="359"/>
      <c r="BB186" s="362"/>
      <c r="BC186" s="362"/>
      <c r="BD186" s="362"/>
      <c r="BE186" s="362"/>
      <c r="BF186" s="362"/>
      <c r="BG186" s="362"/>
      <c r="BH186" s="362"/>
      <c r="BI186" s="362"/>
      <c r="BJ186" s="362"/>
      <c r="BK186" s="2123"/>
      <c r="BL186" s="414"/>
      <c r="BM186" s="414"/>
      <c r="BN186" s="414"/>
      <c r="BO186" s="414"/>
      <c r="BP186" s="414"/>
      <c r="BQ186" s="2399"/>
      <c r="BR186" s="362"/>
      <c r="BS186" s="362"/>
      <c r="BT186" s="362"/>
      <c r="BU186" s="364"/>
      <c r="BV186" s="364"/>
      <c r="BW186" s="2366"/>
      <c r="BX186" s="2463"/>
      <c r="BY186" s="2543"/>
      <c r="BZ186" s="2543"/>
      <c r="CA186" s="2432">
        <f>SUMIF($AM$10:$BZ$10,$CA$9,AM186:BZ186)</f>
        <v>0</v>
      </c>
      <c r="CB186" s="2377" t="str">
        <f t="shared" ref="CB186:CC187" si="233">IF($AB186&lt;&gt;0,CA186/$AB186,"")</f>
        <v/>
      </c>
      <c r="CC186" s="365" t="str">
        <f t="shared" si="233"/>
        <v/>
      </c>
      <c r="CD186" s="366"/>
      <c r="CE186" s="343"/>
      <c r="CF186" s="343"/>
      <c r="CG186" s="340"/>
      <c r="CH186" s="367"/>
      <c r="CI186" s="368"/>
      <c r="CJ186" s="368"/>
      <c r="CK186" s="369"/>
      <c r="CL186" s="329">
        <f t="shared" si="182"/>
        <v>0</v>
      </c>
      <c r="CM186" s="330">
        <f t="shared" ca="1" si="183"/>
        <v>0</v>
      </c>
      <c r="CN186" s="331">
        <f t="shared" ca="1" si="223"/>
        <v>0</v>
      </c>
      <c r="CO186" s="86"/>
      <c r="CP186" s="86"/>
      <c r="CQ186" s="1641"/>
      <c r="CR186" s="86"/>
      <c r="CS186" s="86"/>
      <c r="CT186" s="86"/>
      <c r="CU186" s="86"/>
      <c r="CV186" s="86"/>
      <c r="CW186" s="86"/>
      <c r="CX186" s="86"/>
      <c r="CY186" s="86"/>
      <c r="CZ186" s="86"/>
      <c r="DA186" s="86"/>
      <c r="DB186" s="1642"/>
      <c r="DC186" s="1642"/>
      <c r="DD186" s="30"/>
      <c r="DE186" s="30"/>
      <c r="DF186" s="30"/>
      <c r="DG186" s="1642"/>
      <c r="DH186" s="1642"/>
      <c r="DI186" s="1642"/>
      <c r="DJ186" s="1642"/>
      <c r="DK186" s="1642"/>
      <c r="DL186" s="1642"/>
      <c r="DM186" s="1642"/>
      <c r="DN186" s="1642"/>
      <c r="DO186" s="1642"/>
      <c r="DP186" s="1642"/>
      <c r="DQ186" s="1642"/>
      <c r="DR186" s="1642"/>
      <c r="DS186" s="1642"/>
      <c r="DT186" s="1642"/>
      <c r="DU186" s="1642"/>
      <c r="DV186" s="1642"/>
      <c r="DW186" s="1642"/>
      <c r="DX186" s="1642"/>
      <c r="DY186" s="1642"/>
      <c r="DZ186" s="1642"/>
      <c r="EA186" s="1642"/>
      <c r="EB186" s="1642"/>
      <c r="EC186" s="1642"/>
      <c r="ED186" s="1642"/>
      <c r="EE186" s="1642"/>
      <c r="EF186" s="1642"/>
      <c r="EG186" s="1642"/>
      <c r="EH186" s="1643"/>
      <c r="EI186" s="1658"/>
      <c r="EJ186" s="1642"/>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0"/>
      <c r="HP186" s="30"/>
      <c r="HQ186" s="30"/>
      <c r="HR186" s="30"/>
      <c r="HS186" s="30"/>
      <c r="HT186" s="30"/>
      <c r="HU186" s="30"/>
      <c r="HV186" s="30"/>
      <c r="HW186" s="30"/>
      <c r="HX186" s="30"/>
      <c r="HY186" s="30"/>
      <c r="HZ186" s="30"/>
      <c r="IA186" s="30"/>
      <c r="IB186" s="30"/>
      <c r="IC186" s="30"/>
      <c r="ID186" s="30"/>
      <c r="IE186" s="30"/>
      <c r="IF186" s="30"/>
      <c r="IG186" s="30"/>
      <c r="IH186" s="30"/>
      <c r="II186" s="30"/>
      <c r="IJ186" s="30"/>
      <c r="IK186" s="30"/>
      <c r="IL186" s="30"/>
      <c r="IM186" s="30"/>
      <c r="IN186" s="30"/>
      <c r="IO186" s="30"/>
      <c r="IP186" s="30"/>
      <c r="IQ186" s="30"/>
      <c r="IR186" s="30"/>
      <c r="IS186" s="30"/>
      <c r="IT186" s="30"/>
      <c r="IU186" s="30"/>
      <c r="IV186" s="30"/>
      <c r="IW186" s="30"/>
      <c r="IX186" s="30"/>
      <c r="IY186" s="30"/>
      <c r="IZ186" s="30"/>
      <c r="JA186" s="30"/>
      <c r="JB186" s="30"/>
      <c r="JC186" s="30"/>
      <c r="JD186" s="30"/>
      <c r="JE186" s="30"/>
      <c r="JF186" s="30"/>
      <c r="JG186" s="30"/>
      <c r="JH186" s="30"/>
      <c r="JI186" s="30"/>
      <c r="JJ186" s="30"/>
      <c r="JK186" s="30"/>
      <c r="JL186" s="30"/>
      <c r="JM186" s="30"/>
      <c r="JN186" s="30"/>
      <c r="JO186" s="30"/>
      <c r="JP186" s="30"/>
      <c r="JQ186" s="30"/>
      <c r="JR186" s="30"/>
      <c r="JS186" s="30"/>
      <c r="JT186" s="30"/>
      <c r="JU186" s="30"/>
      <c r="JV186" s="30"/>
      <c r="JW186" s="30"/>
      <c r="JX186" s="30"/>
      <c r="JY186" s="30"/>
      <c r="JZ186" s="30"/>
      <c r="KA186" s="30"/>
      <c r="KB186" s="30"/>
      <c r="KC186" s="30"/>
      <c r="KD186" s="30"/>
      <c r="KE186" s="30"/>
      <c r="KF186" s="30"/>
      <c r="KG186" s="30"/>
      <c r="KH186" s="30"/>
      <c r="KI186" s="30"/>
      <c r="KJ186" s="30"/>
      <c r="KK186" s="30"/>
      <c r="KL186" s="30"/>
      <c r="KM186" s="30"/>
      <c r="KN186" s="30"/>
      <c r="KO186" s="30"/>
      <c r="KP186" s="1630"/>
    </row>
    <row r="187" spans="1:302" s="97" customFormat="1" ht="32.25" customHeight="1" outlineLevel="1">
      <c r="A187" s="2582" t="s">
        <v>208</v>
      </c>
      <c r="B187" s="2608"/>
      <c r="C187" s="2582" t="s">
        <v>903</v>
      </c>
      <c r="D187" s="2582" t="s">
        <v>917</v>
      </c>
      <c r="E187" s="376"/>
      <c r="F187" s="347"/>
      <c r="G187" s="348"/>
      <c r="H187" s="349" t="s">
        <v>26</v>
      </c>
      <c r="I187" s="2940"/>
      <c r="J187" s="362" t="s">
        <v>26</v>
      </c>
      <c r="K187" s="1745"/>
      <c r="L187" s="383"/>
      <c r="M187" s="383"/>
      <c r="N187" s="383"/>
      <c r="O187" s="1510">
        <v>185000</v>
      </c>
      <c r="P187" s="383"/>
      <c r="Q187" s="383"/>
      <c r="R187" s="383"/>
      <c r="S187" s="1510">
        <f t="shared" ref="S187:S189" si="234">R187*Q187</f>
        <v>0</v>
      </c>
      <c r="T187" s="1509"/>
      <c r="U187" s="1746"/>
      <c r="V187" s="1746"/>
      <c r="W187" s="1510">
        <f t="shared" ref="W187:W249" si="235">O187+S187</f>
        <v>185000</v>
      </c>
      <c r="X187" s="362" t="s">
        <v>26</v>
      </c>
      <c r="Y187" s="1509"/>
      <c r="Z187" s="1746"/>
      <c r="AA187" s="1746"/>
      <c r="AB187" s="1510">
        <f t="shared" ref="AB187:AB251" si="236">SUM(AM187:BZ187)</f>
        <v>185000</v>
      </c>
      <c r="AC187" s="1442"/>
      <c r="AD187" s="1457"/>
      <c r="AE187" s="352"/>
      <c r="AF187" s="353"/>
      <c r="AG187" s="353"/>
      <c r="AH187" s="354">
        <f t="shared" si="231"/>
        <v>0</v>
      </c>
      <c r="AI187" s="355">
        <f t="shared" ca="1" si="232"/>
        <v>0</v>
      </c>
      <c r="AJ187" s="356">
        <f t="shared" ca="1" si="227"/>
        <v>0</v>
      </c>
      <c r="AK187" s="2185"/>
      <c r="AL187" s="260"/>
      <c r="AM187" s="2262"/>
      <c r="AN187" s="2262"/>
      <c r="AO187" s="1509"/>
      <c r="AP187" s="1509"/>
      <c r="AQ187" s="362"/>
      <c r="AR187" s="362"/>
      <c r="AS187" s="362"/>
      <c r="AT187" s="390"/>
      <c r="AU187" s="377"/>
      <c r="AV187" s="377"/>
      <c r="AW187" s="359"/>
      <c r="AX187" s="362"/>
      <c r="AY187" s="390"/>
      <c r="AZ187" s="2258"/>
      <c r="BA187" s="497"/>
      <c r="BB187" s="362"/>
      <c r="BC187" s="362"/>
      <c r="BD187" s="362"/>
      <c r="BE187" s="377"/>
      <c r="BF187" s="362">
        <v>37000</v>
      </c>
      <c r="BG187" s="377">
        <v>37000</v>
      </c>
      <c r="BH187" s="377">
        <v>37000</v>
      </c>
      <c r="BI187" s="377">
        <v>37000</v>
      </c>
      <c r="BJ187" s="377">
        <v>37000</v>
      </c>
      <c r="BK187" s="2124"/>
      <c r="BL187" s="2106"/>
      <c r="BM187" s="2106"/>
      <c r="BN187" s="2106"/>
      <c r="BO187" s="2106"/>
      <c r="BP187" s="2106"/>
      <c r="BQ187" s="2397"/>
      <c r="BR187" s="362"/>
      <c r="BS187" s="362"/>
      <c r="BT187" s="362"/>
      <c r="BU187" s="364"/>
      <c r="BV187" s="364"/>
      <c r="BW187" s="2366"/>
      <c r="BX187" s="2463"/>
      <c r="BY187" s="2543"/>
      <c r="BZ187" s="2543"/>
      <c r="CA187" s="2432">
        <f t="shared" ref="CA187:CA188" si="237">SUMIF($AM$10:$BZ$10,$CA$9,AM187:BZ187)</f>
        <v>185000</v>
      </c>
      <c r="CB187" s="2377">
        <f t="shared" si="233"/>
        <v>1</v>
      </c>
      <c r="CC187" s="365">
        <f t="shared" si="233"/>
        <v>5.4054054054054052E-6</v>
      </c>
      <c r="CD187" s="366"/>
      <c r="CE187" s="343"/>
      <c r="CF187" s="343"/>
      <c r="CG187" s="340"/>
      <c r="CH187" s="367"/>
      <c r="CI187" s="368"/>
      <c r="CJ187" s="368"/>
      <c r="CK187" s="369"/>
      <c r="CL187" s="329">
        <f t="shared" si="182"/>
        <v>0</v>
      </c>
      <c r="CM187" s="330">
        <f t="shared" ca="1" si="183"/>
        <v>0</v>
      </c>
      <c r="CN187" s="331">
        <f t="shared" ca="1" si="223"/>
        <v>-185000</v>
      </c>
      <c r="CO187" s="86"/>
      <c r="CP187" s="86"/>
      <c r="CQ187" s="1641"/>
      <c r="CR187" s="86"/>
      <c r="CS187" s="86"/>
      <c r="CT187" s="86"/>
      <c r="CU187" s="86"/>
      <c r="CV187" s="86"/>
      <c r="CW187" s="86"/>
      <c r="CX187" s="86"/>
      <c r="CY187" s="86"/>
      <c r="CZ187" s="86"/>
      <c r="DA187" s="86"/>
      <c r="DB187" s="1642"/>
      <c r="DC187" s="1642"/>
      <c r="DD187" s="30"/>
      <c r="DE187" s="30"/>
      <c r="DF187" s="30"/>
      <c r="DG187" s="1642"/>
      <c r="DH187" s="1642"/>
      <c r="DI187" s="1642"/>
      <c r="DJ187" s="1642"/>
      <c r="DK187" s="1642"/>
      <c r="DL187" s="1642"/>
      <c r="DM187" s="1642"/>
      <c r="DN187" s="1642"/>
      <c r="DO187" s="1642"/>
      <c r="DP187" s="1642"/>
      <c r="DQ187" s="1642"/>
      <c r="DR187" s="1642"/>
      <c r="DS187" s="1642"/>
      <c r="DT187" s="1642"/>
      <c r="DU187" s="1642"/>
      <c r="DV187" s="1642"/>
      <c r="DW187" s="1642"/>
      <c r="DX187" s="1642"/>
      <c r="DY187" s="1642"/>
      <c r="DZ187" s="1642"/>
      <c r="EA187" s="1642"/>
      <c r="EB187" s="1642"/>
      <c r="EC187" s="1642"/>
      <c r="ED187" s="1642"/>
      <c r="EE187" s="1642"/>
      <c r="EF187" s="1642"/>
      <c r="EG187" s="1642"/>
      <c r="EH187" s="1643"/>
      <c r="EI187" s="1658"/>
      <c r="EJ187" s="1642"/>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0"/>
      <c r="HP187" s="30"/>
      <c r="HQ187" s="30"/>
      <c r="HR187" s="30"/>
      <c r="HS187" s="30"/>
      <c r="HT187" s="30"/>
      <c r="HU187" s="30"/>
      <c r="HV187" s="30"/>
      <c r="HW187" s="30"/>
      <c r="HX187" s="30"/>
      <c r="HY187" s="30"/>
      <c r="HZ187" s="30"/>
      <c r="IA187" s="30"/>
      <c r="IB187" s="30"/>
      <c r="IC187" s="30"/>
      <c r="ID187" s="30"/>
      <c r="IE187" s="30"/>
      <c r="IF187" s="30"/>
      <c r="IG187" s="30"/>
      <c r="IH187" s="30"/>
      <c r="II187" s="30"/>
      <c r="IJ187" s="30"/>
      <c r="IK187" s="30"/>
      <c r="IL187" s="30"/>
      <c r="IM187" s="30"/>
      <c r="IN187" s="30"/>
      <c r="IO187" s="30"/>
      <c r="IP187" s="30"/>
      <c r="IQ187" s="30"/>
      <c r="IR187" s="30"/>
      <c r="IS187" s="30"/>
      <c r="IT187" s="30"/>
      <c r="IU187" s="30"/>
      <c r="IV187" s="30"/>
      <c r="IW187" s="30"/>
      <c r="IX187" s="30"/>
      <c r="IY187" s="30"/>
      <c r="IZ187" s="30"/>
      <c r="JA187" s="30"/>
      <c r="JB187" s="30"/>
      <c r="JC187" s="30"/>
      <c r="JD187" s="30"/>
      <c r="JE187" s="30"/>
      <c r="JF187" s="30"/>
      <c r="JG187" s="30"/>
      <c r="JH187" s="30"/>
      <c r="JI187" s="30"/>
      <c r="JJ187" s="30"/>
      <c r="JK187" s="30"/>
      <c r="JL187" s="30"/>
      <c r="JM187" s="30"/>
      <c r="JN187" s="30"/>
      <c r="JO187" s="30"/>
      <c r="JP187" s="30"/>
      <c r="JQ187" s="30"/>
      <c r="JR187" s="30"/>
      <c r="JS187" s="30"/>
      <c r="JT187" s="30"/>
      <c r="JU187" s="30"/>
      <c r="JV187" s="30"/>
      <c r="JW187" s="30"/>
      <c r="JX187" s="30"/>
      <c r="JY187" s="30"/>
      <c r="JZ187" s="30"/>
      <c r="KA187" s="30"/>
      <c r="KB187" s="30"/>
      <c r="KC187" s="30"/>
      <c r="KD187" s="30"/>
      <c r="KE187" s="30"/>
      <c r="KF187" s="30"/>
      <c r="KG187" s="30"/>
      <c r="KH187" s="30"/>
      <c r="KI187" s="30"/>
      <c r="KJ187" s="30"/>
      <c r="KK187" s="30"/>
      <c r="KL187" s="30"/>
      <c r="KM187" s="30"/>
      <c r="KN187" s="30"/>
      <c r="KO187" s="30"/>
      <c r="KP187" s="1630"/>
    </row>
    <row r="188" spans="1:302" s="97" customFormat="1" ht="32.25" customHeight="1" outlineLevel="1">
      <c r="A188" s="2587" t="s">
        <v>143</v>
      </c>
      <c r="B188" s="2605"/>
      <c r="C188" s="2587" t="s">
        <v>904</v>
      </c>
      <c r="D188" s="2587" t="s">
        <v>918</v>
      </c>
      <c r="E188" s="376"/>
      <c r="F188" s="347"/>
      <c r="G188" s="348"/>
      <c r="H188" s="349" t="s">
        <v>26</v>
      </c>
      <c r="I188" s="2940"/>
      <c r="J188" s="362" t="s">
        <v>26</v>
      </c>
      <c r="K188" s="1745"/>
      <c r="L188" s="383"/>
      <c r="M188" s="383"/>
      <c r="N188" s="383"/>
      <c r="O188" s="1510"/>
      <c r="P188" s="383"/>
      <c r="Q188" s="383"/>
      <c r="R188" s="383"/>
      <c r="S188" s="1510">
        <f t="shared" si="234"/>
        <v>0</v>
      </c>
      <c r="T188" s="1509"/>
      <c r="U188" s="1746"/>
      <c r="V188" s="1746"/>
      <c r="W188" s="1510">
        <f t="shared" si="235"/>
        <v>0</v>
      </c>
      <c r="X188" s="362" t="s">
        <v>26</v>
      </c>
      <c r="Y188" s="1509"/>
      <c r="Z188" s="1746"/>
      <c r="AA188" s="1746"/>
      <c r="AB188" s="1510">
        <f t="shared" si="236"/>
        <v>0</v>
      </c>
      <c r="AC188" s="1442"/>
      <c r="AD188" s="1457"/>
      <c r="AE188" s="352"/>
      <c r="AF188" s="353"/>
      <c r="AG188" s="353"/>
      <c r="AH188" s="354">
        <f t="shared" si="231"/>
        <v>0</v>
      </c>
      <c r="AI188" s="355">
        <f t="shared" ca="1" si="232"/>
        <v>0</v>
      </c>
      <c r="AJ188" s="356" t="str">
        <f t="shared" si="227"/>
        <v/>
      </c>
      <c r="AK188" s="2185"/>
      <c r="AL188" s="260"/>
      <c r="AM188" s="2262"/>
      <c r="AN188" s="2262"/>
      <c r="AO188" s="1509"/>
      <c r="AP188" s="1509"/>
      <c r="AQ188" s="362"/>
      <c r="AR188" s="362"/>
      <c r="AS188" s="362"/>
      <c r="AT188" s="390"/>
      <c r="AU188" s="377"/>
      <c r="AV188" s="377"/>
      <c r="AW188" s="359"/>
      <c r="AX188" s="362"/>
      <c r="AY188" s="390"/>
      <c r="AZ188" s="2258"/>
      <c r="BA188" s="497"/>
      <c r="BB188" s="362"/>
      <c r="BC188" s="362"/>
      <c r="BD188" s="362"/>
      <c r="BE188" s="377"/>
      <c r="BF188" s="362"/>
      <c r="BG188" s="377"/>
      <c r="BH188" s="377"/>
      <c r="BI188" s="377"/>
      <c r="BJ188" s="377"/>
      <c r="BK188" s="2124"/>
      <c r="BL188" s="2106"/>
      <c r="BM188" s="2106"/>
      <c r="BN188" s="2106"/>
      <c r="BO188" s="2106"/>
      <c r="BP188" s="2106"/>
      <c r="BQ188" s="2397"/>
      <c r="BR188" s="362"/>
      <c r="BS188" s="362"/>
      <c r="BT188" s="362"/>
      <c r="BU188" s="364"/>
      <c r="BV188" s="364"/>
      <c r="BW188" s="2366"/>
      <c r="BX188" s="2463"/>
      <c r="BY188" s="2543"/>
      <c r="BZ188" s="2543"/>
      <c r="CA188" s="2432">
        <f t="shared" si="237"/>
        <v>0</v>
      </c>
      <c r="CB188" s="2377" t="str">
        <f t="shared" ref="CB188:CB192" si="238">IF($AB188&lt;&gt;0,CA188/$AB188,"")</f>
        <v/>
      </c>
      <c r="CC188" s="365" t="str">
        <f t="shared" ref="CC188:CC192" si="239">IF($AB188&lt;&gt;0,CB188/$AB188,"")</f>
        <v/>
      </c>
      <c r="CD188" s="366"/>
      <c r="CE188" s="343"/>
      <c r="CF188" s="343"/>
      <c r="CG188" s="340"/>
      <c r="CH188" s="367"/>
      <c r="CI188" s="368"/>
      <c r="CJ188" s="368"/>
      <c r="CK188" s="369"/>
      <c r="CL188" s="329">
        <f t="shared" si="182"/>
        <v>0</v>
      </c>
      <c r="CM188" s="330">
        <f t="shared" ca="1" si="183"/>
        <v>0</v>
      </c>
      <c r="CN188" s="331">
        <f t="shared" ca="1" si="223"/>
        <v>0</v>
      </c>
      <c r="CO188" s="86"/>
      <c r="CP188" s="86"/>
      <c r="CQ188" s="1641"/>
      <c r="CR188" s="86"/>
      <c r="CS188" s="86"/>
      <c r="CT188" s="86"/>
      <c r="CU188" s="86"/>
      <c r="CV188" s="86"/>
      <c r="CW188" s="86"/>
      <c r="CX188" s="86"/>
      <c r="CY188" s="86"/>
      <c r="CZ188" s="86"/>
      <c r="DA188" s="86"/>
      <c r="DB188" s="1642"/>
      <c r="DC188" s="1642"/>
      <c r="DD188" s="30"/>
      <c r="DE188" s="30"/>
      <c r="DF188" s="30"/>
      <c r="DG188" s="1642"/>
      <c r="DH188" s="1642"/>
      <c r="DI188" s="1642"/>
      <c r="DJ188" s="1642"/>
      <c r="DK188" s="1642"/>
      <c r="DL188" s="1642"/>
      <c r="DM188" s="1642"/>
      <c r="DN188" s="1642"/>
      <c r="DO188" s="1642"/>
      <c r="DP188" s="1642"/>
      <c r="DQ188" s="1642"/>
      <c r="DR188" s="1642"/>
      <c r="DS188" s="1642"/>
      <c r="DT188" s="1642"/>
      <c r="DU188" s="1642"/>
      <c r="DV188" s="1642"/>
      <c r="DW188" s="1642"/>
      <c r="DX188" s="1642"/>
      <c r="DY188" s="1642"/>
      <c r="DZ188" s="1642"/>
      <c r="EA188" s="1642"/>
      <c r="EB188" s="1642"/>
      <c r="EC188" s="1642"/>
      <c r="ED188" s="1642"/>
      <c r="EE188" s="1642"/>
      <c r="EF188" s="1642"/>
      <c r="EG188" s="1642"/>
      <c r="EH188" s="1643"/>
      <c r="EI188" s="1658"/>
      <c r="EJ188" s="1642"/>
      <c r="EK188" s="30"/>
      <c r="EL188" s="30"/>
      <c r="EM188" s="30"/>
      <c r="EN188" s="30"/>
      <c r="EO188" s="30"/>
      <c r="EP188" s="30"/>
      <c r="EQ188" s="30"/>
      <c r="ER188" s="30"/>
      <c r="ES188" s="30"/>
      <c r="ET188" s="30"/>
      <c r="EU188" s="30"/>
      <c r="EV188" s="30"/>
      <c r="EW188" s="30"/>
      <c r="EX188" s="30"/>
      <c r="EY188" s="30"/>
      <c r="EZ188" s="30"/>
      <c r="FA188" s="30"/>
      <c r="FB188" s="30"/>
      <c r="FC188" s="30"/>
      <c r="FD188" s="30"/>
      <c r="FE188" s="30"/>
      <c r="FF188" s="30"/>
      <c r="FG188" s="30"/>
      <c r="FH188" s="30"/>
      <c r="FI188" s="30"/>
      <c r="FJ188" s="30"/>
      <c r="FK188" s="30"/>
      <c r="FL188" s="30"/>
      <c r="FM188" s="30"/>
      <c r="FN188" s="30"/>
      <c r="FO188" s="30"/>
      <c r="FP188" s="30"/>
      <c r="FQ188" s="30"/>
      <c r="FR188" s="30"/>
      <c r="FS188" s="30"/>
      <c r="FT188" s="30"/>
      <c r="FU188" s="30"/>
      <c r="FV188" s="30"/>
      <c r="FW188" s="30"/>
      <c r="FX188" s="30"/>
      <c r="FY188" s="30"/>
      <c r="FZ188" s="30"/>
      <c r="GA188" s="30"/>
      <c r="GB188" s="30"/>
      <c r="GC188" s="30"/>
      <c r="GD188" s="30"/>
      <c r="GE188" s="30"/>
      <c r="GF188" s="30"/>
      <c r="GG188" s="30"/>
      <c r="GH188" s="30"/>
      <c r="GI188" s="30"/>
      <c r="GJ188" s="30"/>
      <c r="GK188" s="30"/>
      <c r="GL188" s="30"/>
      <c r="GM188" s="30"/>
      <c r="GN188" s="30"/>
      <c r="GO188" s="30"/>
      <c r="GP188" s="30"/>
      <c r="GQ188" s="30"/>
      <c r="GR188" s="30"/>
      <c r="GS188" s="30"/>
      <c r="GT188" s="30"/>
      <c r="GU188" s="30"/>
      <c r="GV188" s="30"/>
      <c r="GW188" s="30"/>
      <c r="GX188" s="30"/>
      <c r="GY188" s="30"/>
      <c r="GZ188" s="30"/>
      <c r="HA188" s="30"/>
      <c r="HB188" s="30"/>
      <c r="HC188" s="30"/>
      <c r="HD188" s="30"/>
      <c r="HE188" s="30"/>
      <c r="HF188" s="30"/>
      <c r="HG188" s="30"/>
      <c r="HH188" s="30"/>
      <c r="HI188" s="30"/>
      <c r="HJ188" s="30"/>
      <c r="HK188" s="30"/>
      <c r="HL188" s="30"/>
      <c r="HM188" s="30"/>
      <c r="HN188" s="30"/>
      <c r="HO188" s="30"/>
      <c r="HP188" s="30"/>
      <c r="HQ188" s="30"/>
      <c r="HR188" s="30"/>
      <c r="HS188" s="30"/>
      <c r="HT188" s="30"/>
      <c r="HU188" s="30"/>
      <c r="HV188" s="30"/>
      <c r="HW188" s="30"/>
      <c r="HX188" s="30"/>
      <c r="HY188" s="30"/>
      <c r="HZ188" s="30"/>
      <c r="IA188" s="30"/>
      <c r="IB188" s="30"/>
      <c r="IC188" s="30"/>
      <c r="ID188" s="30"/>
      <c r="IE188" s="30"/>
      <c r="IF188" s="30"/>
      <c r="IG188" s="30"/>
      <c r="IH188" s="30"/>
      <c r="II188" s="30"/>
      <c r="IJ188" s="30"/>
      <c r="IK188" s="30"/>
      <c r="IL188" s="30"/>
      <c r="IM188" s="30"/>
      <c r="IN188" s="30"/>
      <c r="IO188" s="30"/>
      <c r="IP188" s="30"/>
      <c r="IQ188" s="30"/>
      <c r="IR188" s="30"/>
      <c r="IS188" s="30"/>
      <c r="IT188" s="30"/>
      <c r="IU188" s="30"/>
      <c r="IV188" s="30"/>
      <c r="IW188" s="30"/>
      <c r="IX188" s="30"/>
      <c r="IY188" s="30"/>
      <c r="IZ188" s="30"/>
      <c r="JA188" s="30"/>
      <c r="JB188" s="30"/>
      <c r="JC188" s="30"/>
      <c r="JD188" s="30"/>
      <c r="JE188" s="30"/>
      <c r="JF188" s="30"/>
      <c r="JG188" s="30"/>
      <c r="JH188" s="30"/>
      <c r="JI188" s="30"/>
      <c r="JJ188" s="30"/>
      <c r="JK188" s="30"/>
      <c r="JL188" s="30"/>
      <c r="JM188" s="30"/>
      <c r="JN188" s="30"/>
      <c r="JO188" s="30"/>
      <c r="JP188" s="30"/>
      <c r="JQ188" s="30"/>
      <c r="JR188" s="30"/>
      <c r="JS188" s="30"/>
      <c r="JT188" s="30"/>
      <c r="JU188" s="30"/>
      <c r="JV188" s="30"/>
      <c r="JW188" s="30"/>
      <c r="JX188" s="30"/>
      <c r="JY188" s="30"/>
      <c r="JZ188" s="30"/>
      <c r="KA188" s="30"/>
      <c r="KB188" s="30"/>
      <c r="KC188" s="30"/>
      <c r="KD188" s="30"/>
      <c r="KE188" s="30"/>
      <c r="KF188" s="30"/>
      <c r="KG188" s="30"/>
      <c r="KH188" s="30"/>
      <c r="KI188" s="30"/>
      <c r="KJ188" s="30"/>
      <c r="KK188" s="30"/>
      <c r="KL188" s="30"/>
      <c r="KM188" s="30"/>
      <c r="KN188" s="30"/>
      <c r="KO188" s="30"/>
      <c r="KP188" s="1630"/>
    </row>
    <row r="189" spans="1:302" s="97" customFormat="1" ht="32.25" customHeight="1" outlineLevel="1">
      <c r="A189" s="2661" t="s">
        <v>744</v>
      </c>
      <c r="B189" s="2609"/>
      <c r="C189" s="2582" t="s">
        <v>905</v>
      </c>
      <c r="D189" s="2582" t="s">
        <v>919</v>
      </c>
      <c r="E189" s="376"/>
      <c r="F189" s="347"/>
      <c r="G189" s="348"/>
      <c r="H189" s="349" t="s">
        <v>26</v>
      </c>
      <c r="I189" s="2940"/>
      <c r="J189" s="362" t="s">
        <v>26</v>
      </c>
      <c r="K189" s="1745"/>
      <c r="L189" s="383"/>
      <c r="M189" s="383"/>
      <c r="N189" s="383"/>
      <c r="O189" s="1510">
        <v>9072785</v>
      </c>
      <c r="P189" s="383"/>
      <c r="Q189" s="383"/>
      <c r="R189" s="383"/>
      <c r="S189" s="1510">
        <f t="shared" si="234"/>
        <v>0</v>
      </c>
      <c r="T189" s="1509"/>
      <c r="U189" s="1746"/>
      <c r="V189" s="1746"/>
      <c r="W189" s="1510">
        <f t="shared" si="235"/>
        <v>9072785</v>
      </c>
      <c r="X189" s="362" t="s">
        <v>26</v>
      </c>
      <c r="Y189" s="1509"/>
      <c r="Z189" s="1746"/>
      <c r="AA189" s="1746"/>
      <c r="AB189" s="1510">
        <f t="shared" si="236"/>
        <v>9072785</v>
      </c>
      <c r="AC189" s="1442"/>
      <c r="AD189" s="1457"/>
      <c r="AE189" s="352"/>
      <c r="AF189" s="353"/>
      <c r="AG189" s="353"/>
      <c r="AH189" s="354">
        <f t="shared" si="231"/>
        <v>0</v>
      </c>
      <c r="AI189" s="355">
        <f t="shared" ca="1" si="232"/>
        <v>0</v>
      </c>
      <c r="AJ189" s="356">
        <f t="shared" ca="1" si="227"/>
        <v>0</v>
      </c>
      <c r="AK189" s="2185"/>
      <c r="AL189" s="260"/>
      <c r="AM189" s="2262"/>
      <c r="AN189" s="2262"/>
      <c r="AO189" s="1509"/>
      <c r="AP189" s="1509"/>
      <c r="AQ189" s="362"/>
      <c r="AR189" s="362"/>
      <c r="AS189" s="362"/>
      <c r="AT189" s="390"/>
      <c r="AU189" s="377"/>
      <c r="AV189" s="359"/>
      <c r="AW189" s="359"/>
      <c r="AX189" s="377">
        <v>907278.5</v>
      </c>
      <c r="AY189" s="359">
        <f>907278.5+907278.5</f>
        <v>1814557</v>
      </c>
      <c r="AZ189" s="2258">
        <v>907278.5</v>
      </c>
      <c r="BA189" s="359">
        <f>907278.5+907278.5</f>
        <v>1814557</v>
      </c>
      <c r="BB189" s="359">
        <f>907278.5+907278.5</f>
        <v>1814557</v>
      </c>
      <c r="BC189" s="390">
        <f>907278.5+907278.5</f>
        <v>1814557</v>
      </c>
      <c r="BD189" s="359"/>
      <c r="BE189" s="359"/>
      <c r="BF189" s="362"/>
      <c r="BG189" s="377"/>
      <c r="BH189" s="377"/>
      <c r="BI189" s="377"/>
      <c r="BJ189" s="377"/>
      <c r="BK189" s="2124"/>
      <c r="BL189" s="2106"/>
      <c r="BM189" s="2106"/>
      <c r="BN189" s="2106"/>
      <c r="BO189" s="2106"/>
      <c r="BP189" s="2106"/>
      <c r="BQ189" s="2397"/>
      <c r="BR189" s="362"/>
      <c r="BS189" s="362"/>
      <c r="BT189" s="362"/>
      <c r="BU189" s="364"/>
      <c r="BV189" s="364"/>
      <c r="BW189" s="2366"/>
      <c r="BX189" s="2463"/>
      <c r="BY189" s="2543"/>
      <c r="BZ189" s="2543"/>
      <c r="CA189" s="2432">
        <f t="shared" ref="CA189:CA192" si="240">SUMIF($AM$10:$BZ$10,$CA$9,AM189:BZ189)</f>
        <v>9072785</v>
      </c>
      <c r="CB189" s="2377">
        <f t="shared" si="238"/>
        <v>1</v>
      </c>
      <c r="CC189" s="365">
        <f t="shared" si="239"/>
        <v>1.1021973958382128E-7</v>
      </c>
      <c r="CD189" s="366"/>
      <c r="CE189" s="343"/>
      <c r="CF189" s="343"/>
      <c r="CG189" s="340"/>
      <c r="CH189" s="367"/>
      <c r="CI189" s="368"/>
      <c r="CJ189" s="368"/>
      <c r="CK189" s="369"/>
      <c r="CL189" s="329">
        <f t="shared" si="182"/>
        <v>0</v>
      </c>
      <c r="CM189" s="330">
        <f t="shared" ca="1" si="183"/>
        <v>0</v>
      </c>
      <c r="CN189" s="331">
        <f t="shared" ca="1" si="223"/>
        <v>-6350949.5</v>
      </c>
      <c r="CO189" s="86"/>
      <c r="CP189" s="86"/>
      <c r="CQ189" s="1641"/>
      <c r="CR189" s="86"/>
      <c r="CS189" s="86"/>
      <c r="CT189" s="86"/>
      <c r="CU189" s="86"/>
      <c r="CV189" s="86"/>
      <c r="CW189" s="86"/>
      <c r="CX189" s="86"/>
      <c r="CY189" s="86"/>
      <c r="CZ189" s="86"/>
      <c r="DA189" s="86"/>
      <c r="DB189" s="1642"/>
      <c r="DC189" s="1642"/>
      <c r="DD189" s="30"/>
      <c r="DE189" s="30"/>
      <c r="DF189" s="30"/>
      <c r="DG189" s="1642"/>
      <c r="DH189" s="1642"/>
      <c r="DI189" s="1642"/>
      <c r="DJ189" s="1642"/>
      <c r="DK189" s="1642"/>
      <c r="DL189" s="1642"/>
      <c r="DM189" s="1642"/>
      <c r="DN189" s="1642"/>
      <c r="DO189" s="1642"/>
      <c r="DP189" s="1642"/>
      <c r="DQ189" s="1642"/>
      <c r="DR189" s="1642"/>
      <c r="DS189" s="1642"/>
      <c r="DT189" s="1642"/>
      <c r="DU189" s="1642"/>
      <c r="DV189" s="1642"/>
      <c r="DW189" s="1642"/>
      <c r="DX189" s="1642"/>
      <c r="DY189" s="1642"/>
      <c r="DZ189" s="1642"/>
      <c r="EA189" s="1642"/>
      <c r="EB189" s="1642"/>
      <c r="EC189" s="1642"/>
      <c r="ED189" s="1642"/>
      <c r="EE189" s="1642"/>
      <c r="EF189" s="1642"/>
      <c r="EG189" s="1642"/>
      <c r="EH189" s="1643"/>
      <c r="EI189" s="1658"/>
      <c r="EJ189" s="1642"/>
      <c r="EK189" s="30"/>
      <c r="EL189" s="30"/>
      <c r="EM189" s="30"/>
      <c r="EN189" s="30"/>
      <c r="EO189" s="30"/>
      <c r="EP189" s="30"/>
      <c r="EQ189" s="30"/>
      <c r="ER189" s="30"/>
      <c r="ES189" s="30"/>
      <c r="ET189" s="30"/>
      <c r="EU189" s="30"/>
      <c r="EV189" s="30"/>
      <c r="EW189" s="30"/>
      <c r="EX189" s="30"/>
      <c r="EY189" s="30"/>
      <c r="EZ189" s="30"/>
      <c r="FA189" s="30"/>
      <c r="FB189" s="30"/>
      <c r="FC189" s="30"/>
      <c r="FD189" s="30"/>
      <c r="FE189" s="30"/>
      <c r="FF189" s="30"/>
      <c r="FG189" s="30"/>
      <c r="FH189" s="30"/>
      <c r="FI189" s="30"/>
      <c r="FJ189" s="30"/>
      <c r="FK189" s="30"/>
      <c r="FL189" s="30"/>
      <c r="FM189" s="30"/>
      <c r="FN189" s="30"/>
      <c r="FO189" s="30"/>
      <c r="FP189" s="30"/>
      <c r="FQ189" s="30"/>
      <c r="FR189" s="30"/>
      <c r="FS189" s="30"/>
      <c r="FT189" s="30"/>
      <c r="FU189" s="30"/>
      <c r="FV189" s="30"/>
      <c r="FW189" s="30"/>
      <c r="FX189" s="30"/>
      <c r="FY189" s="30"/>
      <c r="FZ189" s="30"/>
      <c r="GA189" s="30"/>
      <c r="GB189" s="30"/>
      <c r="GC189" s="30"/>
      <c r="GD189" s="30"/>
      <c r="GE189" s="30"/>
      <c r="GF189" s="30"/>
      <c r="GG189" s="30"/>
      <c r="GH189" s="30"/>
      <c r="GI189" s="30"/>
      <c r="GJ189" s="30"/>
      <c r="GK189" s="30"/>
      <c r="GL189" s="30"/>
      <c r="GM189" s="30"/>
      <c r="GN189" s="30"/>
      <c r="GO189" s="30"/>
      <c r="GP189" s="30"/>
      <c r="GQ189" s="30"/>
      <c r="GR189" s="30"/>
      <c r="GS189" s="30"/>
      <c r="GT189" s="30"/>
      <c r="GU189" s="30"/>
      <c r="GV189" s="30"/>
      <c r="GW189" s="30"/>
      <c r="GX189" s="30"/>
      <c r="GY189" s="30"/>
      <c r="GZ189" s="30"/>
      <c r="HA189" s="30"/>
      <c r="HB189" s="30"/>
      <c r="HC189" s="30"/>
      <c r="HD189" s="30"/>
      <c r="HE189" s="30"/>
      <c r="HF189" s="30"/>
      <c r="HG189" s="30"/>
      <c r="HH189" s="30"/>
      <c r="HI189" s="30"/>
      <c r="HJ189" s="30"/>
      <c r="HK189" s="30"/>
      <c r="HL189" s="30"/>
      <c r="HM189" s="30"/>
      <c r="HN189" s="30"/>
      <c r="HO189" s="30"/>
      <c r="HP189" s="30"/>
      <c r="HQ189" s="30"/>
      <c r="HR189" s="30"/>
      <c r="HS189" s="30"/>
      <c r="HT189" s="30"/>
      <c r="HU189" s="30"/>
      <c r="HV189" s="30"/>
      <c r="HW189" s="30"/>
      <c r="HX189" s="30"/>
      <c r="HY189" s="30"/>
      <c r="HZ189" s="30"/>
      <c r="IA189" s="30"/>
      <c r="IB189" s="30"/>
      <c r="IC189" s="30"/>
      <c r="ID189" s="30"/>
      <c r="IE189" s="30"/>
      <c r="IF189" s="30"/>
      <c r="IG189" s="30"/>
      <c r="IH189" s="30"/>
      <c r="II189" s="30"/>
      <c r="IJ189" s="30"/>
      <c r="IK189" s="30"/>
      <c r="IL189" s="30"/>
      <c r="IM189" s="30"/>
      <c r="IN189" s="30"/>
      <c r="IO189" s="30"/>
      <c r="IP189" s="30"/>
      <c r="IQ189" s="30"/>
      <c r="IR189" s="30"/>
      <c r="IS189" s="30"/>
      <c r="IT189" s="30"/>
      <c r="IU189" s="30"/>
      <c r="IV189" s="30"/>
      <c r="IW189" s="30"/>
      <c r="IX189" s="30"/>
      <c r="IY189" s="30"/>
      <c r="IZ189" s="30"/>
      <c r="JA189" s="30"/>
      <c r="JB189" s="30"/>
      <c r="JC189" s="30"/>
      <c r="JD189" s="30"/>
      <c r="JE189" s="30"/>
      <c r="JF189" s="30"/>
      <c r="JG189" s="30"/>
      <c r="JH189" s="30"/>
      <c r="JI189" s="30"/>
      <c r="JJ189" s="30"/>
      <c r="JK189" s="30"/>
      <c r="JL189" s="30"/>
      <c r="JM189" s="30"/>
      <c r="JN189" s="30"/>
      <c r="JO189" s="30"/>
      <c r="JP189" s="30"/>
      <c r="JQ189" s="30"/>
      <c r="JR189" s="30"/>
      <c r="JS189" s="30"/>
      <c r="JT189" s="30"/>
      <c r="JU189" s="30"/>
      <c r="JV189" s="30"/>
      <c r="JW189" s="30"/>
      <c r="JX189" s="30"/>
      <c r="JY189" s="30"/>
      <c r="JZ189" s="30"/>
      <c r="KA189" s="30"/>
      <c r="KB189" s="30"/>
      <c r="KC189" s="30"/>
      <c r="KD189" s="30"/>
      <c r="KE189" s="30"/>
      <c r="KF189" s="30"/>
      <c r="KG189" s="30"/>
      <c r="KH189" s="30"/>
      <c r="KI189" s="30"/>
      <c r="KJ189" s="30"/>
      <c r="KK189" s="30"/>
      <c r="KL189" s="30"/>
      <c r="KM189" s="30"/>
      <c r="KN189" s="30"/>
      <c r="KO189" s="30"/>
      <c r="KP189" s="1630"/>
    </row>
    <row r="190" spans="1:302" s="97" customFormat="1" ht="32.25" customHeight="1" outlineLevel="1">
      <c r="A190" s="2661" t="s">
        <v>745</v>
      </c>
      <c r="B190" s="2609"/>
      <c r="C190" s="2582" t="s">
        <v>906</v>
      </c>
      <c r="D190" s="2582" t="s">
        <v>920</v>
      </c>
      <c r="E190" s="376"/>
      <c r="F190" s="347"/>
      <c r="G190" s="348"/>
      <c r="H190" s="349" t="s">
        <v>26</v>
      </c>
      <c r="I190" s="2940"/>
      <c r="J190" s="362" t="s">
        <v>26</v>
      </c>
      <c r="K190" s="1745"/>
      <c r="L190" s="383"/>
      <c r="M190" s="383"/>
      <c r="N190" s="383"/>
      <c r="O190" s="1510">
        <v>81600</v>
      </c>
      <c r="P190" s="383"/>
      <c r="Q190" s="383"/>
      <c r="R190" s="383"/>
      <c r="S190" s="1510">
        <f t="shared" ref="S190:S240" si="241">R190*Q190</f>
        <v>0</v>
      </c>
      <c r="T190" s="1509"/>
      <c r="U190" s="1746"/>
      <c r="V190" s="1746"/>
      <c r="W190" s="1510">
        <f t="shared" si="235"/>
        <v>81600</v>
      </c>
      <c r="X190" s="362" t="s">
        <v>26</v>
      </c>
      <c r="Y190" s="1509"/>
      <c r="Z190" s="1746"/>
      <c r="AA190" s="1746"/>
      <c r="AB190" s="1510">
        <f t="shared" si="236"/>
        <v>81600</v>
      </c>
      <c r="AC190" s="1442"/>
      <c r="AD190" s="1457"/>
      <c r="AE190" s="352"/>
      <c r="AF190" s="353"/>
      <c r="AG190" s="353"/>
      <c r="AH190" s="354">
        <f t="shared" ref="AH190:AH239" si="242">AF190*AG190</f>
        <v>0</v>
      </c>
      <c r="AI190" s="355">
        <f t="shared" ca="1" si="232"/>
        <v>0</v>
      </c>
      <c r="AJ190" s="356">
        <f t="shared" ca="1" si="227"/>
        <v>0</v>
      </c>
      <c r="AK190" s="2185"/>
      <c r="AL190" s="260"/>
      <c r="AM190" s="2262"/>
      <c r="AN190" s="2262"/>
      <c r="AO190" s="1509"/>
      <c r="AP190" s="1509"/>
      <c r="AQ190" s="362"/>
      <c r="AR190" s="362"/>
      <c r="AS190" s="362"/>
      <c r="AT190" s="390"/>
      <c r="AU190" s="377"/>
      <c r="AV190" s="377"/>
      <c r="AW190" s="359"/>
      <c r="AX190" s="362"/>
      <c r="AY190" s="390"/>
      <c r="AZ190" s="2258"/>
      <c r="BA190" s="497"/>
      <c r="BB190" s="362">
        <v>13600</v>
      </c>
      <c r="BC190" s="362">
        <v>13600</v>
      </c>
      <c r="BD190" s="362">
        <v>13600</v>
      </c>
      <c r="BE190" s="377">
        <v>13600</v>
      </c>
      <c r="BF190" s="362">
        <v>13600</v>
      </c>
      <c r="BG190" s="377">
        <v>13600</v>
      </c>
      <c r="BH190" s="377"/>
      <c r="BI190" s="377"/>
      <c r="BJ190" s="377"/>
      <c r="BK190" s="2124"/>
      <c r="BL190" s="2106"/>
      <c r="BM190" s="2106"/>
      <c r="BN190" s="2106"/>
      <c r="BO190" s="2106"/>
      <c r="BP190" s="2106"/>
      <c r="BQ190" s="2397"/>
      <c r="BR190" s="362"/>
      <c r="BS190" s="362"/>
      <c r="BT190" s="362"/>
      <c r="BU190" s="364"/>
      <c r="BV190" s="364"/>
      <c r="BW190" s="2366"/>
      <c r="BX190" s="2463"/>
      <c r="BY190" s="2543"/>
      <c r="BZ190" s="2543"/>
      <c r="CA190" s="2432">
        <f t="shared" si="240"/>
        <v>81600</v>
      </c>
      <c r="CB190" s="2377">
        <f t="shared" si="238"/>
        <v>1</v>
      </c>
      <c r="CC190" s="365">
        <f t="shared" si="239"/>
        <v>1.2254901960784313E-5</v>
      </c>
      <c r="CD190" s="366"/>
      <c r="CE190" s="343"/>
      <c r="CF190" s="343"/>
      <c r="CG190" s="340"/>
      <c r="CH190" s="367"/>
      <c r="CI190" s="368"/>
      <c r="CJ190" s="368"/>
      <c r="CK190" s="369"/>
      <c r="CL190" s="329">
        <f t="shared" si="182"/>
        <v>0</v>
      </c>
      <c r="CM190" s="330">
        <f t="shared" ca="1" si="183"/>
        <v>0</v>
      </c>
      <c r="CN190" s="331">
        <f t="shared" ca="1" si="223"/>
        <v>-81600</v>
      </c>
      <c r="CO190" s="86"/>
      <c r="CP190" s="86"/>
      <c r="CQ190" s="1641"/>
      <c r="CR190" s="86"/>
      <c r="CS190" s="86"/>
      <c r="CT190" s="86"/>
      <c r="CU190" s="86"/>
      <c r="CV190" s="86"/>
      <c r="CW190" s="86"/>
      <c r="CX190" s="86"/>
      <c r="CY190" s="86"/>
      <c r="CZ190" s="86"/>
      <c r="DA190" s="86"/>
      <c r="DB190" s="1642"/>
      <c r="DC190" s="1642"/>
      <c r="DD190" s="30"/>
      <c r="DE190" s="30"/>
      <c r="DF190" s="30"/>
      <c r="DG190" s="1642"/>
      <c r="DH190" s="1642"/>
      <c r="DI190" s="1642"/>
      <c r="DJ190" s="1642"/>
      <c r="DK190" s="1642"/>
      <c r="DL190" s="1642"/>
      <c r="DM190" s="1642"/>
      <c r="DN190" s="1642"/>
      <c r="DO190" s="1642"/>
      <c r="DP190" s="1642"/>
      <c r="DQ190" s="1642"/>
      <c r="DR190" s="1642"/>
      <c r="DS190" s="1642"/>
      <c r="DT190" s="1642"/>
      <c r="DU190" s="1642"/>
      <c r="DV190" s="1642"/>
      <c r="DW190" s="1642"/>
      <c r="DX190" s="1642"/>
      <c r="DY190" s="1642"/>
      <c r="DZ190" s="1642"/>
      <c r="EA190" s="1642"/>
      <c r="EB190" s="1642"/>
      <c r="EC190" s="1642"/>
      <c r="ED190" s="1642"/>
      <c r="EE190" s="1642"/>
      <c r="EF190" s="1642"/>
      <c r="EG190" s="1642"/>
      <c r="EH190" s="1643"/>
      <c r="EI190" s="1658"/>
      <c r="EJ190" s="1642"/>
      <c r="EK190" s="30"/>
      <c r="EL190" s="30"/>
      <c r="EM190" s="30"/>
      <c r="EN190" s="30"/>
      <c r="EO190" s="30"/>
      <c r="EP190" s="30"/>
      <c r="EQ190" s="30"/>
      <c r="ER190" s="30"/>
      <c r="ES190" s="30"/>
      <c r="ET190" s="30"/>
      <c r="EU190" s="30"/>
      <c r="EV190" s="30"/>
      <c r="EW190" s="30"/>
      <c r="EX190" s="30"/>
      <c r="EY190" s="30"/>
      <c r="EZ190" s="30"/>
      <c r="FA190" s="30"/>
      <c r="FB190" s="30"/>
      <c r="FC190" s="30"/>
      <c r="FD190" s="30"/>
      <c r="FE190" s="30"/>
      <c r="FF190" s="30"/>
      <c r="FG190" s="30"/>
      <c r="FH190" s="30"/>
      <c r="FI190" s="30"/>
      <c r="FJ190" s="30"/>
      <c r="FK190" s="30"/>
      <c r="FL190" s="30"/>
      <c r="FM190" s="30"/>
      <c r="FN190" s="30"/>
      <c r="FO190" s="30"/>
      <c r="FP190" s="30"/>
      <c r="FQ190" s="30"/>
      <c r="FR190" s="30"/>
      <c r="FS190" s="30"/>
      <c r="FT190" s="30"/>
      <c r="FU190" s="30"/>
      <c r="FV190" s="30"/>
      <c r="FW190" s="30"/>
      <c r="FX190" s="30"/>
      <c r="FY190" s="30"/>
      <c r="FZ190" s="30"/>
      <c r="GA190" s="30"/>
      <c r="GB190" s="30"/>
      <c r="GC190" s="30"/>
      <c r="GD190" s="30"/>
      <c r="GE190" s="30"/>
      <c r="GF190" s="30"/>
      <c r="GG190" s="30"/>
      <c r="GH190" s="30"/>
      <c r="GI190" s="30"/>
      <c r="GJ190" s="30"/>
      <c r="GK190" s="30"/>
      <c r="GL190" s="30"/>
      <c r="GM190" s="30"/>
      <c r="GN190" s="30"/>
      <c r="GO190" s="30"/>
      <c r="GP190" s="30"/>
      <c r="GQ190" s="30"/>
      <c r="GR190" s="30"/>
      <c r="GS190" s="30"/>
      <c r="GT190" s="30"/>
      <c r="GU190" s="30"/>
      <c r="GV190" s="30"/>
      <c r="GW190" s="30"/>
      <c r="GX190" s="30"/>
      <c r="GY190" s="30"/>
      <c r="GZ190" s="30"/>
      <c r="HA190" s="30"/>
      <c r="HB190" s="30"/>
      <c r="HC190" s="30"/>
      <c r="HD190" s="30"/>
      <c r="HE190" s="30"/>
      <c r="HF190" s="30"/>
      <c r="HG190" s="30"/>
      <c r="HH190" s="30"/>
      <c r="HI190" s="30"/>
      <c r="HJ190" s="30"/>
      <c r="HK190" s="30"/>
      <c r="HL190" s="30"/>
      <c r="HM190" s="30"/>
      <c r="HN190" s="30"/>
      <c r="HO190" s="30"/>
      <c r="HP190" s="30"/>
      <c r="HQ190" s="30"/>
      <c r="HR190" s="30"/>
      <c r="HS190" s="30"/>
      <c r="HT190" s="30"/>
      <c r="HU190" s="30"/>
      <c r="HV190" s="30"/>
      <c r="HW190" s="30"/>
      <c r="HX190" s="30"/>
      <c r="HY190" s="30"/>
      <c r="HZ190" s="30"/>
      <c r="IA190" s="30"/>
      <c r="IB190" s="30"/>
      <c r="IC190" s="30"/>
      <c r="ID190" s="30"/>
      <c r="IE190" s="30"/>
      <c r="IF190" s="30"/>
      <c r="IG190" s="30"/>
      <c r="IH190" s="30"/>
      <c r="II190" s="30"/>
      <c r="IJ190" s="30"/>
      <c r="IK190" s="30"/>
      <c r="IL190" s="30"/>
      <c r="IM190" s="30"/>
      <c r="IN190" s="30"/>
      <c r="IO190" s="30"/>
      <c r="IP190" s="30"/>
      <c r="IQ190" s="30"/>
      <c r="IR190" s="30"/>
      <c r="IS190" s="30"/>
      <c r="IT190" s="30"/>
      <c r="IU190" s="30"/>
      <c r="IV190" s="30"/>
      <c r="IW190" s="30"/>
      <c r="IX190" s="30"/>
      <c r="IY190" s="30"/>
      <c r="IZ190" s="30"/>
      <c r="JA190" s="30"/>
      <c r="JB190" s="30"/>
      <c r="JC190" s="30"/>
      <c r="JD190" s="30"/>
      <c r="JE190" s="30"/>
      <c r="JF190" s="30"/>
      <c r="JG190" s="30"/>
      <c r="JH190" s="30"/>
      <c r="JI190" s="30"/>
      <c r="JJ190" s="30"/>
      <c r="JK190" s="30"/>
      <c r="JL190" s="30"/>
      <c r="JM190" s="30"/>
      <c r="JN190" s="30"/>
      <c r="JO190" s="30"/>
      <c r="JP190" s="30"/>
      <c r="JQ190" s="30"/>
      <c r="JR190" s="30"/>
      <c r="JS190" s="30"/>
      <c r="JT190" s="30"/>
      <c r="JU190" s="30"/>
      <c r="JV190" s="30"/>
      <c r="JW190" s="30"/>
      <c r="JX190" s="30"/>
      <c r="JY190" s="30"/>
      <c r="JZ190" s="30"/>
      <c r="KA190" s="30"/>
      <c r="KB190" s="30"/>
      <c r="KC190" s="30"/>
      <c r="KD190" s="30"/>
      <c r="KE190" s="30"/>
      <c r="KF190" s="30"/>
      <c r="KG190" s="30"/>
      <c r="KH190" s="30"/>
      <c r="KI190" s="30"/>
      <c r="KJ190" s="30"/>
      <c r="KK190" s="30"/>
      <c r="KL190" s="30"/>
      <c r="KM190" s="30"/>
      <c r="KN190" s="30"/>
      <c r="KO190" s="30"/>
      <c r="KP190" s="1630"/>
    </row>
    <row r="191" spans="1:302" s="97" customFormat="1" ht="32.25" customHeight="1" outlineLevel="1">
      <c r="A191" s="2587" t="s">
        <v>146</v>
      </c>
      <c r="B191" s="2605"/>
      <c r="C191" s="2587" t="s">
        <v>907</v>
      </c>
      <c r="D191" s="2587" t="s">
        <v>921</v>
      </c>
      <c r="E191" s="376"/>
      <c r="F191" s="347"/>
      <c r="G191" s="348"/>
      <c r="H191" s="349" t="s">
        <v>26</v>
      </c>
      <c r="I191" s="2940"/>
      <c r="J191" s="362" t="s">
        <v>26</v>
      </c>
      <c r="K191" s="1745"/>
      <c r="L191" s="383"/>
      <c r="M191" s="383"/>
      <c r="N191" s="383"/>
      <c r="O191" s="1510"/>
      <c r="P191" s="383"/>
      <c r="Q191" s="383"/>
      <c r="R191" s="383"/>
      <c r="S191" s="1510">
        <f t="shared" si="241"/>
        <v>0</v>
      </c>
      <c r="T191" s="1509"/>
      <c r="U191" s="1746"/>
      <c r="V191" s="1746"/>
      <c r="W191" s="1510">
        <f t="shared" si="235"/>
        <v>0</v>
      </c>
      <c r="X191" s="362" t="s">
        <v>26</v>
      </c>
      <c r="Y191" s="1509"/>
      <c r="Z191" s="1746"/>
      <c r="AA191" s="1746"/>
      <c r="AB191" s="1510">
        <f t="shared" si="236"/>
        <v>0</v>
      </c>
      <c r="AC191" s="1442"/>
      <c r="AD191" s="1457"/>
      <c r="AE191" s="352"/>
      <c r="AF191" s="353"/>
      <c r="AG191" s="353"/>
      <c r="AH191" s="354">
        <f t="shared" si="242"/>
        <v>0</v>
      </c>
      <c r="AI191" s="355">
        <f t="shared" ca="1" si="232"/>
        <v>0</v>
      </c>
      <c r="AJ191" s="356" t="str">
        <f t="shared" si="227"/>
        <v/>
      </c>
      <c r="AK191" s="2185"/>
      <c r="AL191" s="260"/>
      <c r="AM191" s="2262"/>
      <c r="AN191" s="2262"/>
      <c r="AO191" s="1509"/>
      <c r="AP191" s="1509"/>
      <c r="AQ191" s="362"/>
      <c r="AR191" s="362"/>
      <c r="AS191" s="362"/>
      <c r="AT191" s="390"/>
      <c r="AU191" s="377"/>
      <c r="AV191" s="377"/>
      <c r="AW191" s="359"/>
      <c r="AX191" s="362"/>
      <c r="AY191" s="390"/>
      <c r="AZ191" s="2258"/>
      <c r="BA191" s="497"/>
      <c r="BB191" s="362"/>
      <c r="BC191" s="362"/>
      <c r="BD191" s="362"/>
      <c r="BE191" s="377"/>
      <c r="BF191" s="362"/>
      <c r="BG191" s="377"/>
      <c r="BH191" s="377"/>
      <c r="BI191" s="377"/>
      <c r="BJ191" s="377"/>
      <c r="BK191" s="2124"/>
      <c r="BL191" s="2106"/>
      <c r="BM191" s="2106"/>
      <c r="BN191" s="2106"/>
      <c r="BO191" s="2106"/>
      <c r="BP191" s="2106"/>
      <c r="BQ191" s="2397"/>
      <c r="BR191" s="362"/>
      <c r="BS191" s="362"/>
      <c r="BT191" s="362"/>
      <c r="BU191" s="364"/>
      <c r="BV191" s="364"/>
      <c r="BW191" s="2366"/>
      <c r="BX191" s="2463"/>
      <c r="BY191" s="2543"/>
      <c r="BZ191" s="2543"/>
      <c r="CA191" s="2432">
        <f t="shared" si="240"/>
        <v>0</v>
      </c>
      <c r="CB191" s="2377" t="str">
        <f t="shared" si="238"/>
        <v/>
      </c>
      <c r="CC191" s="365" t="str">
        <f t="shared" si="239"/>
        <v/>
      </c>
      <c r="CD191" s="366"/>
      <c r="CE191" s="343"/>
      <c r="CF191" s="343"/>
      <c r="CG191" s="340"/>
      <c r="CH191" s="367"/>
      <c r="CI191" s="368"/>
      <c r="CJ191" s="368"/>
      <c r="CK191" s="369"/>
      <c r="CL191" s="329">
        <f t="shared" si="182"/>
        <v>0</v>
      </c>
      <c r="CM191" s="330">
        <f t="shared" ca="1" si="183"/>
        <v>0</v>
      </c>
      <c r="CN191" s="331">
        <f t="shared" ca="1" si="223"/>
        <v>0</v>
      </c>
      <c r="CO191" s="86"/>
      <c r="CP191" s="86"/>
      <c r="CQ191" s="1641"/>
      <c r="CR191" s="86"/>
      <c r="CS191" s="86"/>
      <c r="CT191" s="86"/>
      <c r="CU191" s="86"/>
      <c r="CV191" s="86"/>
      <c r="CW191" s="86"/>
      <c r="CX191" s="86"/>
      <c r="CY191" s="86"/>
      <c r="CZ191" s="86"/>
      <c r="DA191" s="86"/>
      <c r="DB191" s="1642"/>
      <c r="DC191" s="1642"/>
      <c r="DD191" s="30"/>
      <c r="DE191" s="30"/>
      <c r="DF191" s="30"/>
      <c r="DG191" s="1642"/>
      <c r="DH191" s="1642"/>
      <c r="DI191" s="1642"/>
      <c r="DJ191" s="1642"/>
      <c r="DK191" s="1642"/>
      <c r="DL191" s="1642"/>
      <c r="DM191" s="1642"/>
      <c r="DN191" s="1642"/>
      <c r="DO191" s="1642"/>
      <c r="DP191" s="1642"/>
      <c r="DQ191" s="1642"/>
      <c r="DR191" s="1642"/>
      <c r="DS191" s="1642"/>
      <c r="DT191" s="1642"/>
      <c r="DU191" s="1642"/>
      <c r="DV191" s="1642"/>
      <c r="DW191" s="1642"/>
      <c r="DX191" s="1642"/>
      <c r="DY191" s="1642"/>
      <c r="DZ191" s="1642"/>
      <c r="EA191" s="1642"/>
      <c r="EB191" s="1642"/>
      <c r="EC191" s="1642"/>
      <c r="ED191" s="1642"/>
      <c r="EE191" s="1642"/>
      <c r="EF191" s="1642"/>
      <c r="EG191" s="1642"/>
      <c r="EH191" s="1643"/>
      <c r="EI191" s="1658"/>
      <c r="EJ191" s="1642"/>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0"/>
      <c r="HP191" s="30"/>
      <c r="HQ191" s="30"/>
      <c r="HR191" s="30"/>
      <c r="HS191" s="30"/>
      <c r="HT191" s="30"/>
      <c r="HU191" s="30"/>
      <c r="HV191" s="30"/>
      <c r="HW191" s="30"/>
      <c r="HX191" s="30"/>
      <c r="HY191" s="30"/>
      <c r="HZ191" s="30"/>
      <c r="IA191" s="30"/>
      <c r="IB191" s="30"/>
      <c r="IC191" s="30"/>
      <c r="ID191" s="30"/>
      <c r="IE191" s="30"/>
      <c r="IF191" s="30"/>
      <c r="IG191" s="30"/>
      <c r="IH191" s="30"/>
      <c r="II191" s="30"/>
      <c r="IJ191" s="30"/>
      <c r="IK191" s="30"/>
      <c r="IL191" s="30"/>
      <c r="IM191" s="30"/>
      <c r="IN191" s="30"/>
      <c r="IO191" s="30"/>
      <c r="IP191" s="30"/>
      <c r="IQ191" s="30"/>
      <c r="IR191" s="30"/>
      <c r="IS191" s="30"/>
      <c r="IT191" s="30"/>
      <c r="IU191" s="30"/>
      <c r="IV191" s="30"/>
      <c r="IW191" s="30"/>
      <c r="IX191" s="30"/>
      <c r="IY191" s="30"/>
      <c r="IZ191" s="30"/>
      <c r="JA191" s="30"/>
      <c r="JB191" s="30"/>
      <c r="JC191" s="30"/>
      <c r="JD191" s="30"/>
      <c r="JE191" s="30"/>
      <c r="JF191" s="30"/>
      <c r="JG191" s="30"/>
      <c r="JH191" s="30"/>
      <c r="JI191" s="30"/>
      <c r="JJ191" s="30"/>
      <c r="JK191" s="30"/>
      <c r="JL191" s="30"/>
      <c r="JM191" s="30"/>
      <c r="JN191" s="30"/>
      <c r="JO191" s="30"/>
      <c r="JP191" s="30"/>
      <c r="JQ191" s="30"/>
      <c r="JR191" s="30"/>
      <c r="JS191" s="30"/>
      <c r="JT191" s="30"/>
      <c r="JU191" s="30"/>
      <c r="JV191" s="30"/>
      <c r="JW191" s="30"/>
      <c r="JX191" s="30"/>
      <c r="JY191" s="30"/>
      <c r="JZ191" s="30"/>
      <c r="KA191" s="30"/>
      <c r="KB191" s="30"/>
      <c r="KC191" s="30"/>
      <c r="KD191" s="30"/>
      <c r="KE191" s="30"/>
      <c r="KF191" s="30"/>
      <c r="KG191" s="30"/>
      <c r="KH191" s="30"/>
      <c r="KI191" s="30"/>
      <c r="KJ191" s="30"/>
      <c r="KK191" s="30"/>
      <c r="KL191" s="30"/>
      <c r="KM191" s="30"/>
      <c r="KN191" s="30"/>
      <c r="KO191" s="30"/>
      <c r="KP191" s="1630"/>
    </row>
    <row r="192" spans="1:302" s="97" customFormat="1" ht="41.65" outlineLevel="1">
      <c r="A192" s="2661" t="s">
        <v>555</v>
      </c>
      <c r="B192" s="2609"/>
      <c r="C192" s="2582" t="s">
        <v>908</v>
      </c>
      <c r="D192" s="2582" t="s">
        <v>922</v>
      </c>
      <c r="E192" s="376"/>
      <c r="F192" s="347"/>
      <c r="G192" s="348"/>
      <c r="H192" s="349" t="s">
        <v>26</v>
      </c>
      <c r="I192" s="2940"/>
      <c r="J192" s="362" t="s">
        <v>26</v>
      </c>
      <c r="K192" s="1745"/>
      <c r="L192" s="383"/>
      <c r="M192" s="383"/>
      <c r="N192" s="383"/>
      <c r="O192" s="1510">
        <v>33755000</v>
      </c>
      <c r="P192" s="383"/>
      <c r="Q192" s="383"/>
      <c r="R192" s="383"/>
      <c r="S192" s="1510">
        <f t="shared" si="241"/>
        <v>0</v>
      </c>
      <c r="T192" s="1509"/>
      <c r="U192" s="1746"/>
      <c r="V192" s="1746"/>
      <c r="W192" s="1510">
        <f t="shared" si="235"/>
        <v>33755000</v>
      </c>
      <c r="X192" s="362" t="s">
        <v>26</v>
      </c>
      <c r="Y192" s="1509"/>
      <c r="Z192" s="1746"/>
      <c r="AA192" s="1746"/>
      <c r="AB192" s="1510">
        <f t="shared" si="236"/>
        <v>33755000.004444458</v>
      </c>
      <c r="AC192" s="2022" t="s">
        <v>1147</v>
      </c>
      <c r="AD192" s="1457"/>
      <c r="AE192" s="2612" t="s">
        <v>564</v>
      </c>
      <c r="AF192" s="2613">
        <v>33755000</v>
      </c>
      <c r="AG192" s="2613">
        <v>1</v>
      </c>
      <c r="AH192" s="354">
        <f t="shared" si="242"/>
        <v>33755000</v>
      </c>
      <c r="AI192" s="355">
        <f t="shared" ca="1" si="232"/>
        <v>2966915.9</v>
      </c>
      <c r="AJ192" s="356">
        <f t="shared" ca="1" si="227"/>
        <v>8.7895597677658172E-2</v>
      </c>
      <c r="AK192" s="2185"/>
      <c r="AL192" s="260"/>
      <c r="AM192" s="2262"/>
      <c r="AN192" s="2262"/>
      <c r="AO192" s="1509">
        <f>3355011.5-388095.6</f>
        <v>2966915.9</v>
      </c>
      <c r="AP192" s="2743">
        <f>2844796.38888889+3649290.55+0.01-3355011.5-953996.4-457955.05</f>
        <v>1727123.9988888896</v>
      </c>
      <c r="AQ192" s="359">
        <f>1907157.5</f>
        <v>1907157.5</v>
      </c>
      <c r="AR192" s="359">
        <v>3566778.3333333335</v>
      </c>
      <c r="AS192" s="359">
        <v>3231103.611111111</v>
      </c>
      <c r="AT192" s="359">
        <f>2563504.72222222-1000000</f>
        <v>1563504.7222222202</v>
      </c>
      <c r="AU192" s="359">
        <f>1157046.38888889+388095.6+953996.4+1000000</f>
        <v>3499138.3888888899</v>
      </c>
      <c r="AV192" s="359">
        <v>3032324.1666666665</v>
      </c>
      <c r="AW192" s="359">
        <v>3294863.0555555555</v>
      </c>
      <c r="AX192" s="359">
        <v>157046.38888889001</v>
      </c>
      <c r="AY192" s="390">
        <v>1922159.7222222222</v>
      </c>
      <c r="AZ192" s="2258">
        <f>388182.5+457955.05</f>
        <v>846137.55</v>
      </c>
      <c r="BA192" s="359">
        <v>703229.16666666663</v>
      </c>
      <c r="BB192" s="359">
        <v>234409.72222222222</v>
      </c>
      <c r="BC192" s="359">
        <v>421937.5</v>
      </c>
      <c r="BD192" s="359">
        <v>234409.72222222222</v>
      </c>
      <c r="BE192" s="359">
        <v>1418186.9444444401</v>
      </c>
      <c r="BF192" s="359">
        <v>234409.72222222222</v>
      </c>
      <c r="BG192" s="359">
        <v>234409.72222222222</v>
      </c>
      <c r="BH192" s="359">
        <v>206280.55555555556</v>
      </c>
      <c r="BI192" s="359">
        <v>187527.77777777778</v>
      </c>
      <c r="BJ192" s="359">
        <v>93763.888888888891</v>
      </c>
      <c r="BK192" s="2124">
        <v>93763.888888888891</v>
      </c>
      <c r="BL192" s="2258">
        <v>75011.111111111109</v>
      </c>
      <c r="BM192" s="359">
        <v>0</v>
      </c>
      <c r="BN192" s="359">
        <v>0</v>
      </c>
      <c r="BO192" s="359">
        <v>0</v>
      </c>
      <c r="BP192" s="359">
        <v>1903406.9444444445</v>
      </c>
      <c r="BQ192" s="2397"/>
      <c r="BR192" s="362"/>
      <c r="BS192" s="362"/>
      <c r="BT192" s="362"/>
      <c r="BU192" s="364"/>
      <c r="BV192" s="364"/>
      <c r="BW192" s="2366"/>
      <c r="BX192" s="2463"/>
      <c r="BY192" s="2543"/>
      <c r="BZ192" s="2543"/>
      <c r="CA192" s="2432">
        <f t="shared" si="240"/>
        <v>30788084.104444452</v>
      </c>
      <c r="CB192" s="2377">
        <f t="shared" si="238"/>
        <v>0.91210440232234169</v>
      </c>
      <c r="CC192" s="365">
        <f t="shared" si="239"/>
        <v>2.7021312463405321E-8</v>
      </c>
      <c r="CD192" s="366"/>
      <c r="CE192" s="343"/>
      <c r="CF192" s="343"/>
      <c r="CG192" s="340"/>
      <c r="CH192" s="367"/>
      <c r="CI192" s="368"/>
      <c r="CJ192" s="368"/>
      <c r="CK192" s="369"/>
      <c r="CL192" s="329">
        <f t="shared" si="182"/>
        <v>2966915.8955555484</v>
      </c>
      <c r="CM192" s="330">
        <f t="shared" ca="1" si="183"/>
        <v>0</v>
      </c>
      <c r="CN192" s="331">
        <f t="shared" ca="1" si="223"/>
        <v>-6886884.2166666668</v>
      </c>
      <c r="CO192" s="86"/>
      <c r="CP192" s="86"/>
      <c r="CQ192" s="1641"/>
      <c r="CR192" s="86"/>
      <c r="CS192" s="86"/>
      <c r="CT192" s="86"/>
      <c r="CU192" s="86"/>
      <c r="CV192" s="86"/>
      <c r="CW192" s="86"/>
      <c r="CX192" s="86"/>
      <c r="CY192" s="86"/>
      <c r="CZ192" s="86"/>
      <c r="DA192" s="86"/>
      <c r="DB192" s="1642"/>
      <c r="DC192" s="1642"/>
      <c r="DD192" s="30"/>
      <c r="DE192" s="30"/>
      <c r="DF192" s="30"/>
      <c r="DG192" s="1642"/>
      <c r="DH192" s="1642"/>
      <c r="DI192" s="1642"/>
      <c r="DJ192" s="1642"/>
      <c r="DK192" s="1642"/>
      <c r="DL192" s="1642"/>
      <c r="DM192" s="1642"/>
      <c r="DN192" s="1642"/>
      <c r="DO192" s="1642"/>
      <c r="DP192" s="1642"/>
      <c r="DQ192" s="1642"/>
      <c r="DR192" s="1642"/>
      <c r="DS192" s="1642"/>
      <c r="DT192" s="1642"/>
      <c r="DU192" s="1642"/>
      <c r="DV192" s="1642"/>
      <c r="DW192" s="1642"/>
      <c r="DX192" s="1642"/>
      <c r="DY192" s="1642"/>
      <c r="DZ192" s="1642"/>
      <c r="EA192" s="1642"/>
      <c r="EB192" s="1642"/>
      <c r="EC192" s="1642"/>
      <c r="ED192" s="1642"/>
      <c r="EE192" s="1642"/>
      <c r="EF192" s="1642"/>
      <c r="EG192" s="1642"/>
      <c r="EH192" s="1643"/>
      <c r="EI192" s="1658"/>
      <c r="EJ192" s="1642"/>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0"/>
      <c r="HP192" s="30"/>
      <c r="HQ192" s="30"/>
      <c r="HR192" s="30"/>
      <c r="HS192" s="30"/>
      <c r="HT192" s="30"/>
      <c r="HU192" s="30"/>
      <c r="HV192" s="30"/>
      <c r="HW192" s="30"/>
      <c r="HX192" s="30"/>
      <c r="HY192" s="30"/>
      <c r="HZ192" s="30"/>
      <c r="IA192" s="30"/>
      <c r="IB192" s="30"/>
      <c r="IC192" s="30"/>
      <c r="ID192" s="30"/>
      <c r="IE192" s="30"/>
      <c r="IF192" s="30"/>
      <c r="IG192" s="30"/>
      <c r="IH192" s="30"/>
      <c r="II192" s="30"/>
      <c r="IJ192" s="30"/>
      <c r="IK192" s="30"/>
      <c r="IL192" s="30"/>
      <c r="IM192" s="30"/>
      <c r="IN192" s="30"/>
      <c r="IO192" s="30"/>
      <c r="IP192" s="30"/>
      <c r="IQ192" s="30"/>
      <c r="IR192" s="30"/>
      <c r="IS192" s="30"/>
      <c r="IT192" s="30"/>
      <c r="IU192" s="30"/>
      <c r="IV192" s="30"/>
      <c r="IW192" s="30"/>
      <c r="IX192" s="30"/>
      <c r="IY192" s="30"/>
      <c r="IZ192" s="30"/>
      <c r="JA192" s="30"/>
      <c r="JB192" s="30"/>
      <c r="JC192" s="30"/>
      <c r="JD192" s="30"/>
      <c r="JE192" s="30"/>
      <c r="JF192" s="30"/>
      <c r="JG192" s="30"/>
      <c r="JH192" s="30"/>
      <c r="JI192" s="30"/>
      <c r="JJ192" s="30"/>
      <c r="JK192" s="30"/>
      <c r="JL192" s="30"/>
      <c r="JM192" s="30"/>
      <c r="JN192" s="30"/>
      <c r="JO192" s="30"/>
      <c r="JP192" s="30"/>
      <c r="JQ192" s="30"/>
      <c r="JR192" s="30"/>
      <c r="JS192" s="30"/>
      <c r="JT192" s="30"/>
      <c r="JU192" s="30"/>
      <c r="JV192" s="30"/>
      <c r="JW192" s="30"/>
      <c r="JX192" s="30"/>
      <c r="JY192" s="30"/>
      <c r="JZ192" s="30"/>
      <c r="KA192" s="30"/>
      <c r="KB192" s="30"/>
      <c r="KC192" s="30"/>
      <c r="KD192" s="30"/>
      <c r="KE192" s="30"/>
      <c r="KF192" s="30"/>
      <c r="KG192" s="30"/>
      <c r="KH192" s="30"/>
      <c r="KI192" s="30"/>
      <c r="KJ192" s="30"/>
      <c r="KK192" s="30"/>
      <c r="KL192" s="30"/>
      <c r="KM192" s="30"/>
      <c r="KN192" s="30"/>
      <c r="KO192" s="30"/>
      <c r="KP192" s="1630"/>
    </row>
    <row r="193" spans="1:302" s="97" customFormat="1" ht="32.25" customHeight="1" outlineLevel="1">
      <c r="A193" s="2661" t="s">
        <v>895</v>
      </c>
      <c r="B193" s="2609"/>
      <c r="C193" s="2582" t="s">
        <v>909</v>
      </c>
      <c r="D193" s="2582" t="s">
        <v>923</v>
      </c>
      <c r="E193" s="376"/>
      <c r="F193" s="347"/>
      <c r="G193" s="348"/>
      <c r="H193" s="349" t="s">
        <v>26</v>
      </c>
      <c r="I193" s="2940"/>
      <c r="J193" s="362" t="s">
        <v>26</v>
      </c>
      <c r="K193" s="1745"/>
      <c r="L193" s="383"/>
      <c r="M193" s="383"/>
      <c r="N193" s="383"/>
      <c r="O193" s="1510">
        <v>595000</v>
      </c>
      <c r="P193" s="383"/>
      <c r="Q193" s="383"/>
      <c r="R193" s="383"/>
      <c r="S193" s="1510">
        <f t="shared" si="241"/>
        <v>0</v>
      </c>
      <c r="T193" s="1509"/>
      <c r="U193" s="1746"/>
      <c r="V193" s="1746"/>
      <c r="W193" s="1510">
        <f t="shared" si="235"/>
        <v>595000</v>
      </c>
      <c r="X193" s="362" t="s">
        <v>26</v>
      </c>
      <c r="Y193" s="1509"/>
      <c r="Z193" s="1746"/>
      <c r="AA193" s="1746"/>
      <c r="AB193" s="1510">
        <f t="shared" si="236"/>
        <v>595000</v>
      </c>
      <c r="AC193" s="1442"/>
      <c r="AD193" s="1457"/>
      <c r="AE193" s="352"/>
      <c r="AF193" s="353"/>
      <c r="AG193" s="353"/>
      <c r="AH193" s="354">
        <f t="shared" si="242"/>
        <v>0</v>
      </c>
      <c r="AI193" s="355">
        <f t="shared" ca="1" si="232"/>
        <v>0</v>
      </c>
      <c r="AJ193" s="356">
        <f t="shared" ca="1" si="227"/>
        <v>0</v>
      </c>
      <c r="AK193" s="2185"/>
      <c r="AL193" s="260"/>
      <c r="AM193" s="2262"/>
      <c r="AN193" s="2262"/>
      <c r="AO193" s="1509"/>
      <c r="AP193" s="1509"/>
      <c r="AQ193" s="362"/>
      <c r="AR193" s="362"/>
      <c r="AS193" s="362"/>
      <c r="AT193" s="390">
        <v>59500</v>
      </c>
      <c r="AU193" s="377">
        <v>59500</v>
      </c>
      <c r="AV193" s="377">
        <v>59500</v>
      </c>
      <c r="AW193" s="359">
        <v>59500</v>
      </c>
      <c r="AX193" s="362">
        <v>59500</v>
      </c>
      <c r="AY193" s="390">
        <v>59500</v>
      </c>
      <c r="AZ193" s="2258">
        <v>59500</v>
      </c>
      <c r="BA193" s="359">
        <v>59500</v>
      </c>
      <c r="BB193" s="359">
        <v>59500</v>
      </c>
      <c r="BC193" s="359">
        <v>59500</v>
      </c>
      <c r="BD193" s="359"/>
      <c r="BE193" s="359"/>
      <c r="BF193" s="359"/>
      <c r="BG193" s="359"/>
      <c r="BH193" s="359"/>
      <c r="BI193" s="359"/>
      <c r="BJ193" s="359"/>
      <c r="BK193" s="2124"/>
      <c r="BL193" s="2106"/>
      <c r="BM193" s="2106"/>
      <c r="BN193" s="2106"/>
      <c r="BO193" s="2106"/>
      <c r="BP193" s="2106"/>
      <c r="BQ193" s="2397"/>
      <c r="BR193" s="362"/>
      <c r="BS193" s="362"/>
      <c r="BT193" s="362"/>
      <c r="BU193" s="364"/>
      <c r="BV193" s="364"/>
      <c r="BW193" s="2366"/>
      <c r="BX193" s="2463"/>
      <c r="BY193" s="2543"/>
      <c r="BZ193" s="2543"/>
      <c r="CA193" s="2432">
        <f t="shared" ref="CA193:CA207" si="243">SUMIF($AM$10:$BZ$10,$CA$9,AM193:BZ193)</f>
        <v>595000</v>
      </c>
      <c r="CB193" s="2377">
        <f t="shared" ref="CB193:CB207" si="244">IF($AB193&lt;&gt;0,CA193/$AB193,"")</f>
        <v>1</v>
      </c>
      <c r="CC193" s="365">
        <f t="shared" ref="CC193:CC207" si="245">IF($AB193&lt;&gt;0,CB193/$AB193,"")</f>
        <v>1.680672268907563E-6</v>
      </c>
      <c r="CD193" s="366"/>
      <c r="CE193" s="343"/>
      <c r="CF193" s="343"/>
      <c r="CG193" s="340"/>
      <c r="CH193" s="367"/>
      <c r="CI193" s="368"/>
      <c r="CJ193" s="368"/>
      <c r="CK193" s="369"/>
      <c r="CL193" s="329">
        <f t="shared" si="182"/>
        <v>0</v>
      </c>
      <c r="CM193" s="330">
        <f t="shared" ca="1" si="183"/>
        <v>0</v>
      </c>
      <c r="CN193" s="331">
        <f t="shared" ca="1" si="223"/>
        <v>-238000</v>
      </c>
      <c r="CO193" s="86"/>
      <c r="CP193" s="86"/>
      <c r="CQ193" s="1641"/>
      <c r="CR193" s="86"/>
      <c r="CS193" s="86"/>
      <c r="CT193" s="86"/>
      <c r="CU193" s="86"/>
      <c r="CV193" s="86"/>
      <c r="CW193" s="86"/>
      <c r="CX193" s="86"/>
      <c r="CY193" s="86"/>
      <c r="CZ193" s="86"/>
      <c r="DA193" s="86"/>
      <c r="DB193" s="1642"/>
      <c r="DC193" s="1642"/>
      <c r="DD193" s="30"/>
      <c r="DE193" s="30"/>
      <c r="DF193" s="30"/>
      <c r="DG193" s="1642"/>
      <c r="DH193" s="1642"/>
      <c r="DI193" s="1642"/>
      <c r="DJ193" s="1642"/>
      <c r="DK193" s="1642"/>
      <c r="DL193" s="1642"/>
      <c r="DM193" s="1642"/>
      <c r="DN193" s="1642"/>
      <c r="DO193" s="1642"/>
      <c r="DP193" s="1642"/>
      <c r="DQ193" s="1642"/>
      <c r="DR193" s="1642"/>
      <c r="DS193" s="1642"/>
      <c r="DT193" s="1642"/>
      <c r="DU193" s="1642"/>
      <c r="DV193" s="1642"/>
      <c r="DW193" s="1642"/>
      <c r="DX193" s="1642"/>
      <c r="DY193" s="1642"/>
      <c r="DZ193" s="1642"/>
      <c r="EA193" s="1642"/>
      <c r="EB193" s="1642"/>
      <c r="EC193" s="1642"/>
      <c r="ED193" s="1642"/>
      <c r="EE193" s="1642"/>
      <c r="EF193" s="1642"/>
      <c r="EG193" s="1642"/>
      <c r="EH193" s="1643"/>
      <c r="EI193" s="1658"/>
      <c r="EJ193" s="1642"/>
      <c r="EK193" s="30"/>
      <c r="EL193" s="30"/>
      <c r="EM193" s="30"/>
      <c r="EN193" s="30"/>
      <c r="EO193" s="30"/>
      <c r="EP193" s="30"/>
      <c r="EQ193" s="30"/>
      <c r="ER193" s="30"/>
      <c r="ES193" s="30"/>
      <c r="ET193" s="30"/>
      <c r="EU193" s="30"/>
      <c r="EV193" s="30"/>
      <c r="EW193" s="30"/>
      <c r="EX193" s="30"/>
      <c r="EY193" s="30"/>
      <c r="EZ193" s="30"/>
      <c r="FA193" s="30"/>
      <c r="FB193" s="30"/>
      <c r="FC193" s="30"/>
      <c r="FD193" s="30"/>
      <c r="FE193" s="30"/>
      <c r="FF193" s="30"/>
      <c r="FG193" s="30"/>
      <c r="FH193" s="30"/>
      <c r="FI193" s="30"/>
      <c r="FJ193" s="30"/>
      <c r="FK193" s="30"/>
      <c r="FL193" s="30"/>
      <c r="FM193" s="30"/>
      <c r="FN193" s="30"/>
      <c r="FO193" s="30"/>
      <c r="FP193" s="30"/>
      <c r="FQ193" s="30"/>
      <c r="FR193" s="30"/>
      <c r="FS193" s="30"/>
      <c r="FT193" s="30"/>
      <c r="FU193" s="30"/>
      <c r="FV193" s="30"/>
      <c r="FW193" s="30"/>
      <c r="FX193" s="30"/>
      <c r="FY193" s="30"/>
      <c r="FZ193" s="30"/>
      <c r="GA193" s="30"/>
      <c r="GB193" s="30"/>
      <c r="GC193" s="30"/>
      <c r="GD193" s="30"/>
      <c r="GE193" s="30"/>
      <c r="GF193" s="30"/>
      <c r="GG193" s="30"/>
      <c r="GH193" s="30"/>
      <c r="GI193" s="30"/>
      <c r="GJ193" s="30"/>
      <c r="GK193" s="30"/>
      <c r="GL193" s="30"/>
      <c r="GM193" s="30"/>
      <c r="GN193" s="30"/>
      <c r="GO193" s="30"/>
      <c r="GP193" s="30"/>
      <c r="GQ193" s="30"/>
      <c r="GR193" s="30"/>
      <c r="GS193" s="30"/>
      <c r="GT193" s="30"/>
      <c r="GU193" s="30"/>
      <c r="GV193" s="30"/>
      <c r="GW193" s="30"/>
      <c r="GX193" s="30"/>
      <c r="GY193" s="30"/>
      <c r="GZ193" s="30"/>
      <c r="HA193" s="30"/>
      <c r="HB193" s="30"/>
      <c r="HC193" s="30"/>
      <c r="HD193" s="30"/>
      <c r="HE193" s="30"/>
      <c r="HF193" s="30"/>
      <c r="HG193" s="30"/>
      <c r="HH193" s="30"/>
      <c r="HI193" s="30"/>
      <c r="HJ193" s="30"/>
      <c r="HK193" s="30"/>
      <c r="HL193" s="30"/>
      <c r="HM193" s="30"/>
      <c r="HN193" s="30"/>
      <c r="HO193" s="30"/>
      <c r="HP193" s="30"/>
      <c r="HQ193" s="30"/>
      <c r="HR193" s="30"/>
      <c r="HS193" s="30"/>
      <c r="HT193" s="30"/>
      <c r="HU193" s="30"/>
      <c r="HV193" s="30"/>
      <c r="HW193" s="30"/>
      <c r="HX193" s="30"/>
      <c r="HY193" s="30"/>
      <c r="HZ193" s="30"/>
      <c r="IA193" s="30"/>
      <c r="IB193" s="30"/>
      <c r="IC193" s="30"/>
      <c r="ID193" s="30"/>
      <c r="IE193" s="30"/>
      <c r="IF193" s="30"/>
      <c r="IG193" s="30"/>
      <c r="IH193" s="30"/>
      <c r="II193" s="30"/>
      <c r="IJ193" s="30"/>
      <c r="IK193" s="30"/>
      <c r="IL193" s="30"/>
      <c r="IM193" s="30"/>
      <c r="IN193" s="30"/>
      <c r="IO193" s="30"/>
      <c r="IP193" s="30"/>
      <c r="IQ193" s="30"/>
      <c r="IR193" s="30"/>
      <c r="IS193" s="30"/>
      <c r="IT193" s="30"/>
      <c r="IU193" s="30"/>
      <c r="IV193" s="30"/>
      <c r="IW193" s="30"/>
      <c r="IX193" s="30"/>
      <c r="IY193" s="30"/>
      <c r="IZ193" s="30"/>
      <c r="JA193" s="30"/>
      <c r="JB193" s="30"/>
      <c r="JC193" s="30"/>
      <c r="JD193" s="30"/>
      <c r="JE193" s="30"/>
      <c r="JF193" s="30"/>
      <c r="JG193" s="30"/>
      <c r="JH193" s="30"/>
      <c r="JI193" s="30"/>
      <c r="JJ193" s="30"/>
      <c r="JK193" s="30"/>
      <c r="JL193" s="30"/>
      <c r="JM193" s="30"/>
      <c r="JN193" s="30"/>
      <c r="JO193" s="30"/>
      <c r="JP193" s="30"/>
      <c r="JQ193" s="30"/>
      <c r="JR193" s="30"/>
      <c r="JS193" s="30"/>
      <c r="JT193" s="30"/>
      <c r="JU193" s="30"/>
      <c r="JV193" s="30"/>
      <c r="JW193" s="30"/>
      <c r="JX193" s="30"/>
      <c r="JY193" s="30"/>
      <c r="JZ193" s="30"/>
      <c r="KA193" s="30"/>
      <c r="KB193" s="30"/>
      <c r="KC193" s="30"/>
      <c r="KD193" s="30"/>
      <c r="KE193" s="30"/>
      <c r="KF193" s="30"/>
      <c r="KG193" s="30"/>
      <c r="KH193" s="30"/>
      <c r="KI193" s="30"/>
      <c r="KJ193" s="30"/>
      <c r="KK193" s="30"/>
      <c r="KL193" s="30"/>
      <c r="KM193" s="30"/>
      <c r="KN193" s="30"/>
      <c r="KO193" s="30"/>
      <c r="KP193" s="1630"/>
    </row>
    <row r="194" spans="1:302" s="97" customFormat="1" ht="32.25" customHeight="1" outlineLevel="1">
      <c r="A194" s="2661" t="s">
        <v>896</v>
      </c>
      <c r="B194" s="2609"/>
      <c r="C194" s="2582" t="s">
        <v>910</v>
      </c>
      <c r="D194" s="2582" t="s">
        <v>924</v>
      </c>
      <c r="E194" s="376"/>
      <c r="F194" s="347"/>
      <c r="G194" s="348"/>
      <c r="H194" s="349" t="s">
        <v>26</v>
      </c>
      <c r="I194" s="2940"/>
      <c r="J194" s="362" t="s">
        <v>26</v>
      </c>
      <c r="K194" s="1745"/>
      <c r="L194" s="383"/>
      <c r="M194" s="383"/>
      <c r="N194" s="383"/>
      <c r="O194" s="1510">
        <v>1281400</v>
      </c>
      <c r="P194" s="383"/>
      <c r="Q194" s="383"/>
      <c r="R194" s="383"/>
      <c r="S194" s="1510">
        <f t="shared" si="241"/>
        <v>0</v>
      </c>
      <c r="T194" s="1509"/>
      <c r="U194" s="1746"/>
      <c r="V194" s="1746"/>
      <c r="W194" s="1510">
        <f t="shared" si="235"/>
        <v>1281400</v>
      </c>
      <c r="X194" s="362" t="s">
        <v>26</v>
      </c>
      <c r="Y194" s="1509"/>
      <c r="Z194" s="1746"/>
      <c r="AA194" s="1746"/>
      <c r="AB194" s="1510">
        <f t="shared" si="236"/>
        <v>1281400</v>
      </c>
      <c r="AC194" s="1442"/>
      <c r="AD194" s="1457"/>
      <c r="AE194" s="352"/>
      <c r="AF194" s="353"/>
      <c r="AG194" s="353"/>
      <c r="AH194" s="354">
        <f t="shared" si="242"/>
        <v>0</v>
      </c>
      <c r="AI194" s="355">
        <f t="shared" ca="1" si="232"/>
        <v>0</v>
      </c>
      <c r="AJ194" s="356">
        <f t="shared" ca="1" si="227"/>
        <v>0</v>
      </c>
      <c r="AK194" s="2185"/>
      <c r="AL194" s="260"/>
      <c r="AM194" s="2262"/>
      <c r="AN194" s="2262"/>
      <c r="AO194" s="1509"/>
      <c r="AP194" s="1509"/>
      <c r="AQ194" s="362"/>
      <c r="AR194" s="362"/>
      <c r="AS194" s="362"/>
      <c r="AT194" s="390">
        <v>160175</v>
      </c>
      <c r="AU194" s="377">
        <v>160175</v>
      </c>
      <c r="AV194" s="377">
        <v>160175</v>
      </c>
      <c r="AW194" s="359">
        <v>160175</v>
      </c>
      <c r="AX194" s="362">
        <v>160175</v>
      </c>
      <c r="AY194" s="390">
        <v>160175</v>
      </c>
      <c r="AZ194" s="2258">
        <v>160175</v>
      </c>
      <c r="BA194" s="359">
        <v>160175</v>
      </c>
      <c r="BB194" s="362"/>
      <c r="BC194" s="362"/>
      <c r="BD194" s="362"/>
      <c r="BE194" s="377"/>
      <c r="BF194" s="362"/>
      <c r="BG194" s="377"/>
      <c r="BH194" s="377"/>
      <c r="BI194" s="377"/>
      <c r="BJ194" s="377"/>
      <c r="BK194" s="2124"/>
      <c r="BL194" s="2106"/>
      <c r="BM194" s="2106"/>
      <c r="BN194" s="2106"/>
      <c r="BO194" s="2106"/>
      <c r="BP194" s="2106"/>
      <c r="BQ194" s="2397"/>
      <c r="BR194" s="362"/>
      <c r="BS194" s="362"/>
      <c r="BT194" s="362"/>
      <c r="BU194" s="364"/>
      <c r="BV194" s="364"/>
      <c r="BW194" s="2366"/>
      <c r="BX194" s="2463"/>
      <c r="BY194" s="2543"/>
      <c r="BZ194" s="2543"/>
      <c r="CA194" s="2432">
        <f t="shared" si="243"/>
        <v>1281400</v>
      </c>
      <c r="CB194" s="2377">
        <f t="shared" si="244"/>
        <v>1</v>
      </c>
      <c r="CC194" s="365">
        <f t="shared" si="245"/>
        <v>7.8039644139222727E-7</v>
      </c>
      <c r="CD194" s="366"/>
      <c r="CE194" s="343"/>
      <c r="CF194" s="343"/>
      <c r="CG194" s="340"/>
      <c r="CH194" s="367"/>
      <c r="CI194" s="368"/>
      <c r="CJ194" s="368"/>
      <c r="CK194" s="369"/>
      <c r="CL194" s="329">
        <f t="shared" si="182"/>
        <v>0</v>
      </c>
      <c r="CM194" s="330">
        <f t="shared" ca="1" si="183"/>
        <v>0</v>
      </c>
      <c r="CN194" s="331">
        <f t="shared" ca="1" si="223"/>
        <v>-320350</v>
      </c>
      <c r="CO194" s="86"/>
      <c r="CP194" s="86"/>
      <c r="CQ194" s="1641"/>
      <c r="CR194" s="86"/>
      <c r="CS194" s="86"/>
      <c r="CT194" s="86"/>
      <c r="CU194" s="86"/>
      <c r="CV194" s="86"/>
      <c r="CW194" s="86"/>
      <c r="CX194" s="86"/>
      <c r="CY194" s="86"/>
      <c r="CZ194" s="86"/>
      <c r="DA194" s="86"/>
      <c r="DB194" s="1642"/>
      <c r="DC194" s="1642"/>
      <c r="DD194" s="30"/>
      <c r="DE194" s="30"/>
      <c r="DF194" s="30"/>
      <c r="DG194" s="1642"/>
      <c r="DH194" s="1642"/>
      <c r="DI194" s="1642"/>
      <c r="DJ194" s="1642"/>
      <c r="DK194" s="1642"/>
      <c r="DL194" s="1642"/>
      <c r="DM194" s="1642"/>
      <c r="DN194" s="1642"/>
      <c r="DO194" s="1642"/>
      <c r="DP194" s="1642"/>
      <c r="DQ194" s="1642"/>
      <c r="DR194" s="1642"/>
      <c r="DS194" s="1642"/>
      <c r="DT194" s="1642"/>
      <c r="DU194" s="1642"/>
      <c r="DV194" s="1642"/>
      <c r="DW194" s="1642"/>
      <c r="DX194" s="1642"/>
      <c r="DY194" s="1642"/>
      <c r="DZ194" s="1642"/>
      <c r="EA194" s="1642"/>
      <c r="EB194" s="1642"/>
      <c r="EC194" s="1642"/>
      <c r="ED194" s="1642"/>
      <c r="EE194" s="1642"/>
      <c r="EF194" s="1642"/>
      <c r="EG194" s="1642"/>
      <c r="EH194" s="1643"/>
      <c r="EI194" s="1658"/>
      <c r="EJ194" s="1642"/>
      <c r="EK194" s="30"/>
      <c r="EL194" s="30"/>
      <c r="EM194" s="30"/>
      <c r="EN194" s="30"/>
      <c r="EO194" s="30"/>
      <c r="EP194" s="30"/>
      <c r="EQ194" s="30"/>
      <c r="ER194" s="30"/>
      <c r="ES194" s="30"/>
      <c r="ET194" s="30"/>
      <c r="EU194" s="30"/>
      <c r="EV194" s="30"/>
      <c r="EW194" s="30"/>
      <c r="EX194" s="30"/>
      <c r="EY194" s="30"/>
      <c r="EZ194" s="30"/>
      <c r="FA194" s="30"/>
      <c r="FB194" s="30"/>
      <c r="FC194" s="30"/>
      <c r="FD194" s="30"/>
      <c r="FE194" s="30"/>
      <c r="FF194" s="30"/>
      <c r="FG194" s="30"/>
      <c r="FH194" s="30"/>
      <c r="FI194" s="30"/>
      <c r="FJ194" s="30"/>
      <c r="FK194" s="30"/>
      <c r="FL194" s="30"/>
      <c r="FM194" s="30"/>
      <c r="FN194" s="30"/>
      <c r="FO194" s="30"/>
      <c r="FP194" s="30"/>
      <c r="FQ194" s="30"/>
      <c r="FR194" s="30"/>
      <c r="FS194" s="30"/>
      <c r="FT194" s="30"/>
      <c r="FU194" s="30"/>
      <c r="FV194" s="30"/>
      <c r="FW194" s="30"/>
      <c r="FX194" s="30"/>
      <c r="FY194" s="30"/>
      <c r="FZ194" s="30"/>
      <c r="GA194" s="30"/>
      <c r="GB194" s="30"/>
      <c r="GC194" s="30"/>
      <c r="GD194" s="30"/>
      <c r="GE194" s="30"/>
      <c r="GF194" s="30"/>
      <c r="GG194" s="30"/>
      <c r="GH194" s="30"/>
      <c r="GI194" s="30"/>
      <c r="GJ194" s="30"/>
      <c r="GK194" s="30"/>
      <c r="GL194" s="30"/>
      <c r="GM194" s="30"/>
      <c r="GN194" s="30"/>
      <c r="GO194" s="30"/>
      <c r="GP194" s="30"/>
      <c r="GQ194" s="30"/>
      <c r="GR194" s="30"/>
      <c r="GS194" s="30"/>
      <c r="GT194" s="30"/>
      <c r="GU194" s="30"/>
      <c r="GV194" s="30"/>
      <c r="GW194" s="30"/>
      <c r="GX194" s="30"/>
      <c r="GY194" s="30"/>
      <c r="GZ194" s="30"/>
      <c r="HA194" s="30"/>
      <c r="HB194" s="30"/>
      <c r="HC194" s="30"/>
      <c r="HD194" s="30"/>
      <c r="HE194" s="30"/>
      <c r="HF194" s="30"/>
      <c r="HG194" s="30"/>
      <c r="HH194" s="30"/>
      <c r="HI194" s="30"/>
      <c r="HJ194" s="30"/>
      <c r="HK194" s="30"/>
      <c r="HL194" s="30"/>
      <c r="HM194" s="30"/>
      <c r="HN194" s="30"/>
      <c r="HO194" s="30"/>
      <c r="HP194" s="30"/>
      <c r="HQ194" s="30"/>
      <c r="HR194" s="30"/>
      <c r="HS194" s="30"/>
      <c r="HT194" s="30"/>
      <c r="HU194" s="30"/>
      <c r="HV194" s="30"/>
      <c r="HW194" s="30"/>
      <c r="HX194" s="30"/>
      <c r="HY194" s="30"/>
      <c r="HZ194" s="30"/>
      <c r="IA194" s="30"/>
      <c r="IB194" s="30"/>
      <c r="IC194" s="30"/>
      <c r="ID194" s="30"/>
      <c r="IE194" s="30"/>
      <c r="IF194" s="30"/>
      <c r="IG194" s="30"/>
      <c r="IH194" s="30"/>
      <c r="II194" s="30"/>
      <c r="IJ194" s="30"/>
      <c r="IK194" s="30"/>
      <c r="IL194" s="30"/>
      <c r="IM194" s="30"/>
      <c r="IN194" s="30"/>
      <c r="IO194" s="30"/>
      <c r="IP194" s="30"/>
      <c r="IQ194" s="30"/>
      <c r="IR194" s="30"/>
      <c r="IS194" s="30"/>
      <c r="IT194" s="30"/>
      <c r="IU194" s="30"/>
      <c r="IV194" s="30"/>
      <c r="IW194" s="30"/>
      <c r="IX194" s="30"/>
      <c r="IY194" s="30"/>
      <c r="IZ194" s="30"/>
      <c r="JA194" s="30"/>
      <c r="JB194" s="30"/>
      <c r="JC194" s="30"/>
      <c r="JD194" s="30"/>
      <c r="JE194" s="30"/>
      <c r="JF194" s="30"/>
      <c r="JG194" s="30"/>
      <c r="JH194" s="30"/>
      <c r="JI194" s="30"/>
      <c r="JJ194" s="30"/>
      <c r="JK194" s="30"/>
      <c r="JL194" s="30"/>
      <c r="JM194" s="30"/>
      <c r="JN194" s="30"/>
      <c r="JO194" s="30"/>
      <c r="JP194" s="30"/>
      <c r="JQ194" s="30"/>
      <c r="JR194" s="30"/>
      <c r="JS194" s="30"/>
      <c r="JT194" s="30"/>
      <c r="JU194" s="30"/>
      <c r="JV194" s="30"/>
      <c r="JW194" s="30"/>
      <c r="JX194" s="30"/>
      <c r="JY194" s="30"/>
      <c r="JZ194" s="30"/>
      <c r="KA194" s="30"/>
      <c r="KB194" s="30"/>
      <c r="KC194" s="30"/>
      <c r="KD194" s="30"/>
      <c r="KE194" s="30"/>
      <c r="KF194" s="30"/>
      <c r="KG194" s="30"/>
      <c r="KH194" s="30"/>
      <c r="KI194" s="30"/>
      <c r="KJ194" s="30"/>
      <c r="KK194" s="30"/>
      <c r="KL194" s="30"/>
      <c r="KM194" s="30"/>
      <c r="KN194" s="30"/>
      <c r="KO194" s="30"/>
      <c r="KP194" s="1630"/>
    </row>
    <row r="195" spans="1:302" s="97" customFormat="1" ht="32.25" customHeight="1" outlineLevel="1">
      <c r="A195" s="2661" t="s">
        <v>897</v>
      </c>
      <c r="B195" s="2609"/>
      <c r="C195" s="2582" t="s">
        <v>911</v>
      </c>
      <c r="D195" s="2582" t="s">
        <v>925</v>
      </c>
      <c r="E195" s="376"/>
      <c r="F195" s="347"/>
      <c r="G195" s="348"/>
      <c r="H195" s="349" t="s">
        <v>26</v>
      </c>
      <c r="I195" s="2940"/>
      <c r="J195" s="362" t="s">
        <v>26</v>
      </c>
      <c r="K195" s="1745"/>
      <c r="L195" s="383"/>
      <c r="M195" s="383"/>
      <c r="N195" s="383"/>
      <c r="O195" s="1510">
        <v>2502500</v>
      </c>
      <c r="P195" s="383"/>
      <c r="Q195" s="383"/>
      <c r="R195" s="383"/>
      <c r="S195" s="1510">
        <f t="shared" ref="S195:S196" si="246">R195*Q195</f>
        <v>0</v>
      </c>
      <c r="T195" s="1509"/>
      <c r="U195" s="1746"/>
      <c r="V195" s="1746"/>
      <c r="W195" s="1510">
        <f t="shared" si="235"/>
        <v>2502500</v>
      </c>
      <c r="X195" s="362" t="s">
        <v>26</v>
      </c>
      <c r="Y195" s="1509"/>
      <c r="Z195" s="1746"/>
      <c r="AA195" s="1746"/>
      <c r="AB195" s="1510">
        <f t="shared" si="236"/>
        <v>2502500</v>
      </c>
      <c r="AC195" s="1442"/>
      <c r="AD195" s="1457"/>
      <c r="AE195" s="352"/>
      <c r="AF195" s="353"/>
      <c r="AG195" s="353"/>
      <c r="AH195" s="354">
        <f t="shared" ref="AH195:AH196" si="247">AF195*AG195</f>
        <v>0</v>
      </c>
      <c r="AI195" s="355">
        <f t="shared" ca="1" si="232"/>
        <v>0</v>
      </c>
      <c r="AJ195" s="356">
        <f t="shared" ca="1" si="227"/>
        <v>0</v>
      </c>
      <c r="AK195" s="2185"/>
      <c r="AL195" s="260"/>
      <c r="AM195" s="2262"/>
      <c r="AN195" s="2262"/>
      <c r="AO195" s="1509"/>
      <c r="AP195" s="1509"/>
      <c r="AQ195" s="362"/>
      <c r="AR195" s="362"/>
      <c r="AS195" s="362"/>
      <c r="AT195" s="390"/>
      <c r="AU195" s="377"/>
      <c r="AV195" s="377">
        <v>312812.5</v>
      </c>
      <c r="AW195" s="359">
        <v>312812.5</v>
      </c>
      <c r="AX195" s="362">
        <v>312812.5</v>
      </c>
      <c r="AY195" s="390">
        <v>312812.5</v>
      </c>
      <c r="AZ195" s="2258">
        <v>312812.5</v>
      </c>
      <c r="BA195" s="359">
        <v>312812.5</v>
      </c>
      <c r="BB195" s="362">
        <v>312812.5</v>
      </c>
      <c r="BC195" s="362">
        <v>312812.5</v>
      </c>
      <c r="BD195" s="362"/>
      <c r="BE195" s="377"/>
      <c r="BF195" s="362"/>
      <c r="BG195" s="377"/>
      <c r="BH195" s="377"/>
      <c r="BI195" s="377"/>
      <c r="BJ195" s="377"/>
      <c r="BK195" s="2124"/>
      <c r="BL195" s="2106"/>
      <c r="BM195" s="2106"/>
      <c r="BN195" s="2106"/>
      <c r="BO195" s="2106"/>
      <c r="BP195" s="2106"/>
      <c r="BQ195" s="2397"/>
      <c r="BR195" s="362"/>
      <c r="BS195" s="362"/>
      <c r="BT195" s="362"/>
      <c r="BU195" s="364"/>
      <c r="BV195" s="364"/>
      <c r="BW195" s="2366"/>
      <c r="BX195" s="2463"/>
      <c r="BY195" s="2543"/>
      <c r="BZ195" s="2543"/>
      <c r="CA195" s="2432">
        <f t="shared" si="243"/>
        <v>2502500</v>
      </c>
      <c r="CB195" s="2377">
        <f t="shared" si="244"/>
        <v>1</v>
      </c>
      <c r="CC195" s="365">
        <f t="shared" si="245"/>
        <v>3.9960039960039958E-7</v>
      </c>
      <c r="CD195" s="366"/>
      <c r="CE195" s="343"/>
      <c r="CF195" s="343"/>
      <c r="CG195" s="340"/>
      <c r="CH195" s="367"/>
      <c r="CI195" s="368"/>
      <c r="CJ195" s="368"/>
      <c r="CK195" s="369"/>
      <c r="CL195" s="329">
        <f t="shared" si="182"/>
        <v>0</v>
      </c>
      <c r="CM195" s="330">
        <f t="shared" ca="1" si="183"/>
        <v>0</v>
      </c>
      <c r="CN195" s="331">
        <f t="shared" ca="1" si="223"/>
        <v>-1251250</v>
      </c>
      <c r="CO195" s="86"/>
      <c r="CP195" s="86"/>
      <c r="CQ195" s="1641"/>
      <c r="CR195" s="86"/>
      <c r="CS195" s="86"/>
      <c r="CT195" s="86"/>
      <c r="CU195" s="86"/>
      <c r="CV195" s="86"/>
      <c r="CW195" s="86"/>
      <c r="CX195" s="86"/>
      <c r="CY195" s="86"/>
      <c r="CZ195" s="86"/>
      <c r="DA195" s="86"/>
      <c r="DB195" s="1642"/>
      <c r="DC195" s="1642"/>
      <c r="DD195" s="30"/>
      <c r="DE195" s="30"/>
      <c r="DF195" s="30"/>
      <c r="DG195" s="1642"/>
      <c r="DH195" s="1642"/>
      <c r="DI195" s="1642"/>
      <c r="DJ195" s="1642"/>
      <c r="DK195" s="1642"/>
      <c r="DL195" s="1642"/>
      <c r="DM195" s="1642"/>
      <c r="DN195" s="1642"/>
      <c r="DO195" s="1642"/>
      <c r="DP195" s="1642"/>
      <c r="DQ195" s="1642"/>
      <c r="DR195" s="1642"/>
      <c r="DS195" s="1642"/>
      <c r="DT195" s="1642"/>
      <c r="DU195" s="1642"/>
      <c r="DV195" s="1642"/>
      <c r="DW195" s="1642"/>
      <c r="DX195" s="1642"/>
      <c r="DY195" s="1642"/>
      <c r="DZ195" s="1642"/>
      <c r="EA195" s="1642"/>
      <c r="EB195" s="1642"/>
      <c r="EC195" s="1642"/>
      <c r="ED195" s="1642"/>
      <c r="EE195" s="1642"/>
      <c r="EF195" s="1642"/>
      <c r="EG195" s="1642"/>
      <c r="EH195" s="1643"/>
      <c r="EI195" s="1658"/>
      <c r="EJ195" s="1642"/>
      <c r="EK195" s="30"/>
      <c r="EL195" s="30"/>
      <c r="EM195" s="30"/>
      <c r="EN195" s="30"/>
      <c r="EO195" s="30"/>
      <c r="EP195" s="30"/>
      <c r="EQ195" s="30"/>
      <c r="ER195" s="30"/>
      <c r="ES195" s="30"/>
      <c r="ET195" s="30"/>
      <c r="EU195" s="30"/>
      <c r="EV195" s="30"/>
      <c r="EW195" s="30"/>
      <c r="EX195" s="30"/>
      <c r="EY195" s="30"/>
      <c r="EZ195" s="30"/>
      <c r="FA195" s="30"/>
      <c r="FB195" s="30"/>
      <c r="FC195" s="30"/>
      <c r="FD195" s="30"/>
      <c r="FE195" s="30"/>
      <c r="FF195" s="30"/>
      <c r="FG195" s="30"/>
      <c r="FH195" s="30"/>
      <c r="FI195" s="30"/>
      <c r="FJ195" s="30"/>
      <c r="FK195" s="30"/>
      <c r="FL195" s="30"/>
      <c r="FM195" s="30"/>
      <c r="FN195" s="30"/>
      <c r="FO195" s="30"/>
      <c r="FP195" s="30"/>
      <c r="FQ195" s="30"/>
      <c r="FR195" s="30"/>
      <c r="FS195" s="30"/>
      <c r="FT195" s="30"/>
      <c r="FU195" s="30"/>
      <c r="FV195" s="30"/>
      <c r="FW195" s="30"/>
      <c r="FX195" s="30"/>
      <c r="FY195" s="30"/>
      <c r="FZ195" s="30"/>
      <c r="GA195" s="30"/>
      <c r="GB195" s="30"/>
      <c r="GC195" s="30"/>
      <c r="GD195" s="30"/>
      <c r="GE195" s="30"/>
      <c r="GF195" s="30"/>
      <c r="GG195" s="30"/>
      <c r="GH195" s="30"/>
      <c r="GI195" s="30"/>
      <c r="GJ195" s="30"/>
      <c r="GK195" s="30"/>
      <c r="GL195" s="30"/>
      <c r="GM195" s="30"/>
      <c r="GN195" s="30"/>
      <c r="GO195" s="30"/>
      <c r="GP195" s="30"/>
      <c r="GQ195" s="30"/>
      <c r="GR195" s="30"/>
      <c r="GS195" s="30"/>
      <c r="GT195" s="30"/>
      <c r="GU195" s="30"/>
      <c r="GV195" s="30"/>
      <c r="GW195" s="30"/>
      <c r="GX195" s="30"/>
      <c r="GY195" s="30"/>
      <c r="GZ195" s="30"/>
      <c r="HA195" s="30"/>
      <c r="HB195" s="30"/>
      <c r="HC195" s="30"/>
      <c r="HD195" s="30"/>
      <c r="HE195" s="30"/>
      <c r="HF195" s="30"/>
      <c r="HG195" s="30"/>
      <c r="HH195" s="30"/>
      <c r="HI195" s="30"/>
      <c r="HJ195" s="30"/>
      <c r="HK195" s="30"/>
      <c r="HL195" s="30"/>
      <c r="HM195" s="30"/>
      <c r="HN195" s="30"/>
      <c r="HO195" s="30"/>
      <c r="HP195" s="30"/>
      <c r="HQ195" s="30"/>
      <c r="HR195" s="30"/>
      <c r="HS195" s="30"/>
      <c r="HT195" s="30"/>
      <c r="HU195" s="30"/>
      <c r="HV195" s="30"/>
      <c r="HW195" s="30"/>
      <c r="HX195" s="30"/>
      <c r="HY195" s="30"/>
      <c r="HZ195" s="30"/>
      <c r="IA195" s="30"/>
      <c r="IB195" s="30"/>
      <c r="IC195" s="30"/>
      <c r="ID195" s="30"/>
      <c r="IE195" s="30"/>
      <c r="IF195" s="30"/>
      <c r="IG195" s="30"/>
      <c r="IH195" s="30"/>
      <c r="II195" s="30"/>
      <c r="IJ195" s="30"/>
      <c r="IK195" s="30"/>
      <c r="IL195" s="30"/>
      <c r="IM195" s="30"/>
      <c r="IN195" s="30"/>
      <c r="IO195" s="30"/>
      <c r="IP195" s="30"/>
      <c r="IQ195" s="30"/>
      <c r="IR195" s="30"/>
      <c r="IS195" s="30"/>
      <c r="IT195" s="30"/>
      <c r="IU195" s="30"/>
      <c r="IV195" s="30"/>
      <c r="IW195" s="30"/>
      <c r="IX195" s="30"/>
      <c r="IY195" s="30"/>
      <c r="IZ195" s="30"/>
      <c r="JA195" s="30"/>
      <c r="JB195" s="30"/>
      <c r="JC195" s="30"/>
      <c r="JD195" s="30"/>
      <c r="JE195" s="30"/>
      <c r="JF195" s="30"/>
      <c r="JG195" s="30"/>
      <c r="JH195" s="30"/>
      <c r="JI195" s="30"/>
      <c r="JJ195" s="30"/>
      <c r="JK195" s="30"/>
      <c r="JL195" s="30"/>
      <c r="JM195" s="30"/>
      <c r="JN195" s="30"/>
      <c r="JO195" s="30"/>
      <c r="JP195" s="30"/>
      <c r="JQ195" s="30"/>
      <c r="JR195" s="30"/>
      <c r="JS195" s="30"/>
      <c r="JT195" s="30"/>
      <c r="JU195" s="30"/>
      <c r="JV195" s="30"/>
      <c r="JW195" s="30"/>
      <c r="JX195" s="30"/>
      <c r="JY195" s="30"/>
      <c r="JZ195" s="30"/>
      <c r="KA195" s="30"/>
      <c r="KB195" s="30"/>
      <c r="KC195" s="30"/>
      <c r="KD195" s="30"/>
      <c r="KE195" s="30"/>
      <c r="KF195" s="30"/>
      <c r="KG195" s="30"/>
      <c r="KH195" s="30"/>
      <c r="KI195" s="30"/>
      <c r="KJ195" s="30"/>
      <c r="KK195" s="30"/>
      <c r="KL195" s="30"/>
      <c r="KM195" s="30"/>
      <c r="KN195" s="30"/>
      <c r="KO195" s="30"/>
      <c r="KP195" s="1630"/>
    </row>
    <row r="196" spans="1:302" s="97" customFormat="1" ht="32.25" customHeight="1" outlineLevel="1">
      <c r="A196" s="2661" t="s">
        <v>898</v>
      </c>
      <c r="B196" s="2609"/>
      <c r="C196" s="2582" t="s">
        <v>912</v>
      </c>
      <c r="D196" s="2582" t="s">
        <v>926</v>
      </c>
      <c r="E196" s="376"/>
      <c r="F196" s="347"/>
      <c r="G196" s="348"/>
      <c r="H196" s="349" t="s">
        <v>26</v>
      </c>
      <c r="I196" s="2940"/>
      <c r="J196" s="362" t="s">
        <v>26</v>
      </c>
      <c r="K196" s="1745"/>
      <c r="L196" s="383"/>
      <c r="M196" s="383"/>
      <c r="N196" s="383"/>
      <c r="O196" s="1510">
        <v>100000</v>
      </c>
      <c r="P196" s="383"/>
      <c r="Q196" s="383"/>
      <c r="R196" s="383"/>
      <c r="S196" s="1510">
        <f t="shared" si="246"/>
        <v>0</v>
      </c>
      <c r="T196" s="1509"/>
      <c r="U196" s="1746"/>
      <c r="V196" s="1746"/>
      <c r="W196" s="1510">
        <f t="shared" si="235"/>
        <v>100000</v>
      </c>
      <c r="X196" s="362" t="s">
        <v>26</v>
      </c>
      <c r="Y196" s="1509"/>
      <c r="Z196" s="1746"/>
      <c r="AA196" s="1746"/>
      <c r="AB196" s="1510">
        <f t="shared" si="236"/>
        <v>99999.999899999995</v>
      </c>
      <c r="AC196" s="1442"/>
      <c r="AD196" s="1457"/>
      <c r="AE196" s="352"/>
      <c r="AF196" s="353"/>
      <c r="AG196" s="353"/>
      <c r="AH196" s="354">
        <f t="shared" si="247"/>
        <v>0</v>
      </c>
      <c r="AI196" s="355">
        <f t="shared" ca="1" si="232"/>
        <v>0</v>
      </c>
      <c r="AJ196" s="356">
        <f t="shared" ca="1" si="227"/>
        <v>0</v>
      </c>
      <c r="AK196" s="2185"/>
      <c r="AL196" s="260"/>
      <c r="AM196" s="2262"/>
      <c r="AN196" s="2262"/>
      <c r="AO196" s="1509"/>
      <c r="AP196" s="1509"/>
      <c r="AQ196" s="362"/>
      <c r="AR196" s="362"/>
      <c r="AS196" s="362"/>
      <c r="AT196" s="390"/>
      <c r="AU196" s="377"/>
      <c r="AV196" s="377"/>
      <c r="AW196" s="359"/>
      <c r="AX196" s="362"/>
      <c r="AY196" s="390"/>
      <c r="AZ196" s="2258"/>
      <c r="BA196" s="497"/>
      <c r="BB196" s="362"/>
      <c r="BC196" s="362"/>
      <c r="BD196" s="362">
        <v>33333.333299999998</v>
      </c>
      <c r="BE196" s="377">
        <v>33333.333299999998</v>
      </c>
      <c r="BF196" s="362">
        <v>33333.333299999998</v>
      </c>
      <c r="BG196" s="377"/>
      <c r="BH196" s="377"/>
      <c r="BI196" s="377"/>
      <c r="BJ196" s="377"/>
      <c r="BK196" s="2124"/>
      <c r="BL196" s="2106"/>
      <c r="BM196" s="2106"/>
      <c r="BN196" s="2106"/>
      <c r="BO196" s="2106"/>
      <c r="BP196" s="2106"/>
      <c r="BQ196" s="2397"/>
      <c r="BR196" s="362"/>
      <c r="BS196" s="362"/>
      <c r="BT196" s="362"/>
      <c r="BU196" s="364"/>
      <c r="BV196" s="364"/>
      <c r="BW196" s="2366"/>
      <c r="BX196" s="2463"/>
      <c r="BY196" s="2543"/>
      <c r="BZ196" s="2543"/>
      <c r="CA196" s="2432">
        <f t="shared" si="243"/>
        <v>99999.999899999995</v>
      </c>
      <c r="CB196" s="2377">
        <f t="shared" si="244"/>
        <v>1</v>
      </c>
      <c r="CC196" s="365">
        <f t="shared" si="245"/>
        <v>1.0000000010000001E-5</v>
      </c>
      <c r="CD196" s="366"/>
      <c r="CE196" s="343"/>
      <c r="CF196" s="343"/>
      <c r="CG196" s="340"/>
      <c r="CH196" s="367"/>
      <c r="CI196" s="368"/>
      <c r="CJ196" s="368"/>
      <c r="CK196" s="369"/>
      <c r="CL196" s="329">
        <f t="shared" si="182"/>
        <v>1.0000000474974513E-4</v>
      </c>
      <c r="CM196" s="330">
        <f t="shared" ca="1" si="183"/>
        <v>0</v>
      </c>
      <c r="CN196" s="331">
        <f t="shared" ca="1" si="223"/>
        <v>-99999.999899999995</v>
      </c>
      <c r="CO196" s="86"/>
      <c r="CP196" s="86"/>
      <c r="CQ196" s="1641"/>
      <c r="CR196" s="86"/>
      <c r="CS196" s="86"/>
      <c r="CT196" s="86"/>
      <c r="CU196" s="86"/>
      <c r="CV196" s="86"/>
      <c r="CW196" s="86"/>
      <c r="CX196" s="86"/>
      <c r="CY196" s="86"/>
      <c r="CZ196" s="86"/>
      <c r="DA196" s="86"/>
      <c r="DB196" s="1642"/>
      <c r="DC196" s="1642"/>
      <c r="DD196" s="30"/>
      <c r="DE196" s="30"/>
      <c r="DF196" s="30"/>
      <c r="DG196" s="1642"/>
      <c r="DH196" s="1642"/>
      <c r="DI196" s="1642"/>
      <c r="DJ196" s="1642"/>
      <c r="DK196" s="1642"/>
      <c r="DL196" s="1642"/>
      <c r="DM196" s="1642"/>
      <c r="DN196" s="1642"/>
      <c r="DO196" s="1642"/>
      <c r="DP196" s="1642"/>
      <c r="DQ196" s="1642"/>
      <c r="DR196" s="1642"/>
      <c r="DS196" s="1642"/>
      <c r="DT196" s="1642"/>
      <c r="DU196" s="1642"/>
      <c r="DV196" s="1642"/>
      <c r="DW196" s="1642"/>
      <c r="DX196" s="1642"/>
      <c r="DY196" s="1642"/>
      <c r="DZ196" s="1642"/>
      <c r="EA196" s="1642"/>
      <c r="EB196" s="1642"/>
      <c r="EC196" s="1642"/>
      <c r="ED196" s="1642"/>
      <c r="EE196" s="1642"/>
      <c r="EF196" s="1642"/>
      <c r="EG196" s="1642"/>
      <c r="EH196" s="1643"/>
      <c r="EI196" s="1658"/>
      <c r="EJ196" s="1642"/>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0"/>
      <c r="HP196" s="30"/>
      <c r="HQ196" s="30"/>
      <c r="HR196" s="30"/>
      <c r="HS196" s="30"/>
      <c r="HT196" s="30"/>
      <c r="HU196" s="30"/>
      <c r="HV196" s="30"/>
      <c r="HW196" s="30"/>
      <c r="HX196" s="30"/>
      <c r="HY196" s="30"/>
      <c r="HZ196" s="30"/>
      <c r="IA196" s="30"/>
      <c r="IB196" s="30"/>
      <c r="IC196" s="30"/>
      <c r="ID196" s="30"/>
      <c r="IE196" s="30"/>
      <c r="IF196" s="30"/>
      <c r="IG196" s="30"/>
      <c r="IH196" s="30"/>
      <c r="II196" s="30"/>
      <c r="IJ196" s="30"/>
      <c r="IK196" s="30"/>
      <c r="IL196" s="30"/>
      <c r="IM196" s="30"/>
      <c r="IN196" s="30"/>
      <c r="IO196" s="30"/>
      <c r="IP196" s="30"/>
      <c r="IQ196" s="30"/>
      <c r="IR196" s="30"/>
      <c r="IS196" s="30"/>
      <c r="IT196" s="30"/>
      <c r="IU196" s="30"/>
      <c r="IV196" s="30"/>
      <c r="IW196" s="30"/>
      <c r="IX196" s="30"/>
      <c r="IY196" s="30"/>
      <c r="IZ196" s="30"/>
      <c r="JA196" s="30"/>
      <c r="JB196" s="30"/>
      <c r="JC196" s="30"/>
      <c r="JD196" s="30"/>
      <c r="JE196" s="30"/>
      <c r="JF196" s="30"/>
      <c r="JG196" s="30"/>
      <c r="JH196" s="30"/>
      <c r="JI196" s="30"/>
      <c r="JJ196" s="30"/>
      <c r="JK196" s="30"/>
      <c r="JL196" s="30"/>
      <c r="JM196" s="30"/>
      <c r="JN196" s="30"/>
      <c r="JO196" s="30"/>
      <c r="JP196" s="30"/>
      <c r="JQ196" s="30"/>
      <c r="JR196" s="30"/>
      <c r="JS196" s="30"/>
      <c r="JT196" s="30"/>
      <c r="JU196" s="30"/>
      <c r="JV196" s="30"/>
      <c r="JW196" s="30"/>
      <c r="JX196" s="30"/>
      <c r="JY196" s="30"/>
      <c r="JZ196" s="30"/>
      <c r="KA196" s="30"/>
      <c r="KB196" s="30"/>
      <c r="KC196" s="30"/>
      <c r="KD196" s="30"/>
      <c r="KE196" s="30"/>
      <c r="KF196" s="30"/>
      <c r="KG196" s="30"/>
      <c r="KH196" s="30"/>
      <c r="KI196" s="30"/>
      <c r="KJ196" s="30"/>
      <c r="KK196" s="30"/>
      <c r="KL196" s="30"/>
      <c r="KM196" s="30"/>
      <c r="KN196" s="30"/>
      <c r="KO196" s="30"/>
      <c r="KP196" s="1630"/>
    </row>
    <row r="197" spans="1:302" s="97" customFormat="1" ht="19.5" customHeight="1" outlineLevel="1">
      <c r="A197" s="2661" t="s">
        <v>899</v>
      </c>
      <c r="B197" s="2609"/>
      <c r="C197" s="2582" t="s">
        <v>913</v>
      </c>
      <c r="D197" s="2582" t="s">
        <v>927</v>
      </c>
      <c r="E197" s="376"/>
      <c r="F197" s="347"/>
      <c r="G197" s="348"/>
      <c r="H197" s="349" t="s">
        <v>26</v>
      </c>
      <c r="I197" s="2940"/>
      <c r="J197" s="362" t="s">
        <v>26</v>
      </c>
      <c r="K197" s="1745"/>
      <c r="L197" s="383"/>
      <c r="M197" s="383"/>
      <c r="N197" s="383"/>
      <c r="O197" s="1510">
        <v>220000</v>
      </c>
      <c r="P197" s="383"/>
      <c r="Q197" s="383"/>
      <c r="R197" s="383"/>
      <c r="S197" s="1510">
        <f t="shared" ref="S197:S200" si="248">R197*Q197</f>
        <v>0</v>
      </c>
      <c r="T197" s="1509"/>
      <c r="U197" s="1746"/>
      <c r="V197" s="1746"/>
      <c r="W197" s="1510">
        <f t="shared" si="235"/>
        <v>220000</v>
      </c>
      <c r="X197" s="362" t="s">
        <v>26</v>
      </c>
      <c r="Y197" s="1509"/>
      <c r="Z197" s="1746"/>
      <c r="AA197" s="1746"/>
      <c r="AB197" s="1510">
        <f t="shared" si="236"/>
        <v>220000</v>
      </c>
      <c r="AC197" s="1442"/>
      <c r="AD197" s="1457"/>
      <c r="AE197" s="352"/>
      <c r="AF197" s="353"/>
      <c r="AG197" s="353"/>
      <c r="AH197" s="354">
        <f t="shared" ref="AH197:AH200" si="249">AF197*AG197</f>
        <v>0</v>
      </c>
      <c r="AI197" s="355">
        <f t="shared" ca="1" si="232"/>
        <v>0</v>
      </c>
      <c r="AJ197" s="356">
        <f t="shared" ca="1" si="227"/>
        <v>0</v>
      </c>
      <c r="AK197" s="2185"/>
      <c r="AL197" s="260"/>
      <c r="AM197" s="2262"/>
      <c r="AN197" s="2262"/>
      <c r="AO197" s="1509"/>
      <c r="AP197" s="1509"/>
      <c r="AQ197" s="362"/>
      <c r="AR197" s="362"/>
      <c r="AS197" s="362"/>
      <c r="AT197" s="390"/>
      <c r="AU197" s="377"/>
      <c r="AV197" s="377"/>
      <c r="AW197" s="359"/>
      <c r="AX197" s="362"/>
      <c r="AY197" s="390"/>
      <c r="AZ197" s="2258">
        <v>55000</v>
      </c>
      <c r="BA197" s="359">
        <v>55000</v>
      </c>
      <c r="BB197" s="362">
        <v>55000</v>
      </c>
      <c r="BC197" s="362">
        <v>55000</v>
      </c>
      <c r="BD197" s="362"/>
      <c r="BE197" s="362"/>
      <c r="BF197" s="362"/>
      <c r="BG197" s="362"/>
      <c r="BH197" s="362"/>
      <c r="BI197" s="362"/>
      <c r="BJ197" s="362"/>
      <c r="BK197" s="2123"/>
      <c r="BL197" s="414"/>
      <c r="BM197" s="414"/>
      <c r="BN197" s="414"/>
      <c r="BO197" s="414"/>
      <c r="BP197" s="414"/>
      <c r="BQ197" s="2399"/>
      <c r="BR197" s="362"/>
      <c r="BS197" s="362"/>
      <c r="BT197" s="362"/>
      <c r="BU197" s="364"/>
      <c r="BV197" s="364"/>
      <c r="BW197" s="2366"/>
      <c r="BX197" s="2463"/>
      <c r="BY197" s="2543"/>
      <c r="BZ197" s="2543"/>
      <c r="CA197" s="2432">
        <f t="shared" si="243"/>
        <v>220000</v>
      </c>
      <c r="CB197" s="2377">
        <f t="shared" si="244"/>
        <v>1</v>
      </c>
      <c r="CC197" s="365">
        <f t="shared" si="245"/>
        <v>4.5454545454545455E-6</v>
      </c>
      <c r="CD197" s="366"/>
      <c r="CE197" s="343"/>
      <c r="CF197" s="343"/>
      <c r="CG197" s="340"/>
      <c r="CH197" s="367"/>
      <c r="CI197" s="368"/>
      <c r="CJ197" s="368"/>
      <c r="CK197" s="369"/>
      <c r="CL197" s="329">
        <f t="shared" si="182"/>
        <v>0</v>
      </c>
      <c r="CM197" s="330">
        <f t="shared" ca="1" si="183"/>
        <v>0</v>
      </c>
      <c r="CN197" s="331">
        <f t="shared" ca="1" si="223"/>
        <v>-220000</v>
      </c>
      <c r="CO197" s="86"/>
      <c r="CP197" s="86"/>
      <c r="CQ197" s="1641"/>
      <c r="CR197" s="86"/>
      <c r="CS197" s="86"/>
      <c r="CT197" s="86"/>
      <c r="CU197" s="86"/>
      <c r="CV197" s="86"/>
      <c r="CW197" s="86"/>
      <c r="CX197" s="86"/>
      <c r="CY197" s="86"/>
      <c r="CZ197" s="86"/>
      <c r="DA197" s="86"/>
      <c r="DB197" s="1642"/>
      <c r="DC197" s="1642"/>
      <c r="DD197" s="30"/>
      <c r="DE197" s="30"/>
      <c r="DF197" s="30"/>
      <c r="DG197" s="1642"/>
      <c r="DH197" s="1642"/>
      <c r="DI197" s="1642"/>
      <c r="DJ197" s="1642"/>
      <c r="DK197" s="1642"/>
      <c r="DL197" s="1642"/>
      <c r="DM197" s="1642"/>
      <c r="DN197" s="1642"/>
      <c r="DO197" s="1642"/>
      <c r="DP197" s="1642"/>
      <c r="DQ197" s="1642"/>
      <c r="DR197" s="1642"/>
      <c r="DS197" s="1642"/>
      <c r="DT197" s="1642"/>
      <c r="DU197" s="1642"/>
      <c r="DV197" s="1642"/>
      <c r="DW197" s="1642"/>
      <c r="DX197" s="1642"/>
      <c r="DY197" s="1642"/>
      <c r="DZ197" s="1642"/>
      <c r="EA197" s="1642"/>
      <c r="EB197" s="1642"/>
      <c r="EC197" s="1642"/>
      <c r="ED197" s="1642"/>
      <c r="EE197" s="1642"/>
      <c r="EF197" s="1642"/>
      <c r="EG197" s="1642"/>
      <c r="EH197" s="1643"/>
      <c r="EI197" s="1658"/>
      <c r="EJ197" s="1642"/>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0"/>
      <c r="HP197" s="30"/>
      <c r="HQ197" s="30"/>
      <c r="HR197" s="30"/>
      <c r="HS197" s="30"/>
      <c r="HT197" s="30"/>
      <c r="HU197" s="30"/>
      <c r="HV197" s="30"/>
      <c r="HW197" s="30"/>
      <c r="HX197" s="30"/>
      <c r="HY197" s="30"/>
      <c r="HZ197" s="30"/>
      <c r="IA197" s="30"/>
      <c r="IB197" s="30"/>
      <c r="IC197" s="30"/>
      <c r="ID197" s="30"/>
      <c r="IE197" s="30"/>
      <c r="IF197" s="30"/>
      <c r="IG197" s="30"/>
      <c r="IH197" s="30"/>
      <c r="II197" s="30"/>
      <c r="IJ197" s="30"/>
      <c r="IK197" s="30"/>
      <c r="IL197" s="30"/>
      <c r="IM197" s="30"/>
      <c r="IN197" s="30"/>
      <c r="IO197" s="30"/>
      <c r="IP197" s="30"/>
      <c r="IQ197" s="30"/>
      <c r="IR197" s="30"/>
      <c r="IS197" s="30"/>
      <c r="IT197" s="30"/>
      <c r="IU197" s="30"/>
      <c r="IV197" s="30"/>
      <c r="IW197" s="30"/>
      <c r="IX197" s="30"/>
      <c r="IY197" s="30"/>
      <c r="IZ197" s="30"/>
      <c r="JA197" s="30"/>
      <c r="JB197" s="30"/>
      <c r="JC197" s="30"/>
      <c r="JD197" s="30"/>
      <c r="JE197" s="30"/>
      <c r="JF197" s="30"/>
      <c r="JG197" s="30"/>
      <c r="JH197" s="30"/>
      <c r="JI197" s="30"/>
      <c r="JJ197" s="30"/>
      <c r="JK197" s="30"/>
      <c r="JL197" s="30"/>
      <c r="JM197" s="30"/>
      <c r="JN197" s="30"/>
      <c r="JO197" s="30"/>
      <c r="JP197" s="30"/>
      <c r="JQ197" s="30"/>
      <c r="JR197" s="30"/>
      <c r="JS197" s="30"/>
      <c r="JT197" s="30"/>
      <c r="JU197" s="30"/>
      <c r="JV197" s="30"/>
      <c r="JW197" s="30"/>
      <c r="JX197" s="30"/>
      <c r="JY197" s="30"/>
      <c r="JZ197" s="30"/>
      <c r="KA197" s="30"/>
      <c r="KB197" s="30"/>
      <c r="KC197" s="30"/>
      <c r="KD197" s="30"/>
      <c r="KE197" s="30"/>
      <c r="KF197" s="30"/>
      <c r="KG197" s="30"/>
      <c r="KH197" s="30"/>
      <c r="KI197" s="30"/>
      <c r="KJ197" s="30"/>
      <c r="KK197" s="30"/>
      <c r="KL197" s="30"/>
      <c r="KM197" s="30"/>
      <c r="KN197" s="30"/>
      <c r="KO197" s="30"/>
      <c r="KP197" s="1630"/>
    </row>
    <row r="198" spans="1:302" s="97" customFormat="1" ht="18.75" customHeight="1" outlineLevel="1">
      <c r="A198" s="2661" t="s">
        <v>900</v>
      </c>
      <c r="B198" s="2609"/>
      <c r="C198" s="2582" t="s">
        <v>914</v>
      </c>
      <c r="D198" s="2582" t="s">
        <v>928</v>
      </c>
      <c r="E198" s="376"/>
      <c r="F198" s="347"/>
      <c r="G198" s="348"/>
      <c r="H198" s="349" t="s">
        <v>26</v>
      </c>
      <c r="I198" s="2940"/>
      <c r="J198" s="362" t="s">
        <v>26</v>
      </c>
      <c r="K198" s="1745"/>
      <c r="L198" s="383"/>
      <c r="M198" s="383"/>
      <c r="N198" s="383"/>
      <c r="O198" s="1510">
        <v>40000</v>
      </c>
      <c r="P198" s="383"/>
      <c r="Q198" s="383"/>
      <c r="R198" s="383"/>
      <c r="S198" s="1510">
        <f t="shared" si="248"/>
        <v>0</v>
      </c>
      <c r="T198" s="1509"/>
      <c r="U198" s="1746"/>
      <c r="V198" s="1746"/>
      <c r="W198" s="1510">
        <f t="shared" si="235"/>
        <v>40000</v>
      </c>
      <c r="X198" s="362" t="s">
        <v>26</v>
      </c>
      <c r="Y198" s="1509"/>
      <c r="Z198" s="1746"/>
      <c r="AA198" s="1746"/>
      <c r="AB198" s="1510">
        <f t="shared" si="236"/>
        <v>40000</v>
      </c>
      <c r="AC198" s="1442"/>
      <c r="AD198" s="1457"/>
      <c r="AE198" s="352"/>
      <c r="AF198" s="353"/>
      <c r="AG198" s="353"/>
      <c r="AH198" s="354">
        <f t="shared" si="249"/>
        <v>0</v>
      </c>
      <c r="AI198" s="355">
        <f t="shared" ca="1" si="232"/>
        <v>0</v>
      </c>
      <c r="AJ198" s="356">
        <f t="shared" ca="1" si="227"/>
        <v>0</v>
      </c>
      <c r="AK198" s="2185"/>
      <c r="AL198" s="260"/>
      <c r="AM198" s="2262"/>
      <c r="AN198" s="2262"/>
      <c r="AO198" s="1509"/>
      <c r="AP198" s="384"/>
      <c r="AQ198" s="1509"/>
      <c r="AR198" s="362"/>
      <c r="AS198" s="362"/>
      <c r="AT198" s="385"/>
      <c r="AU198" s="359"/>
      <c r="AV198" s="359"/>
      <c r="AW198" s="377"/>
      <c r="AX198" s="362"/>
      <c r="AY198" s="385"/>
      <c r="AZ198" s="2333">
        <v>10000</v>
      </c>
      <c r="BA198" s="497">
        <v>10000</v>
      </c>
      <c r="BB198" s="359">
        <v>10000</v>
      </c>
      <c r="BC198" s="359">
        <v>10000</v>
      </c>
      <c r="BD198" s="359"/>
      <c r="BE198" s="362"/>
      <c r="BF198" s="362"/>
      <c r="BG198" s="362"/>
      <c r="BH198" s="362"/>
      <c r="BI198" s="362"/>
      <c r="BJ198" s="362"/>
      <c r="BK198" s="2123"/>
      <c r="BL198" s="414"/>
      <c r="BM198" s="414"/>
      <c r="BN198" s="414"/>
      <c r="BO198" s="414"/>
      <c r="BP198" s="414"/>
      <c r="BQ198" s="2399"/>
      <c r="BR198" s="362"/>
      <c r="BS198" s="362"/>
      <c r="BT198" s="362"/>
      <c r="BU198" s="364"/>
      <c r="BV198" s="364"/>
      <c r="BW198" s="2366"/>
      <c r="BX198" s="2463"/>
      <c r="BY198" s="2543"/>
      <c r="BZ198" s="2543"/>
      <c r="CA198" s="2432">
        <f t="shared" si="243"/>
        <v>40000</v>
      </c>
      <c r="CB198" s="2377">
        <f t="shared" si="244"/>
        <v>1</v>
      </c>
      <c r="CC198" s="365">
        <f t="shared" si="245"/>
        <v>2.5000000000000001E-5</v>
      </c>
      <c r="CD198" s="366"/>
      <c r="CE198" s="343"/>
      <c r="CF198" s="343"/>
      <c r="CG198" s="340"/>
      <c r="CH198" s="367"/>
      <c r="CI198" s="368"/>
      <c r="CJ198" s="368"/>
      <c r="CK198" s="369"/>
      <c r="CL198" s="329">
        <f t="shared" si="182"/>
        <v>0</v>
      </c>
      <c r="CM198" s="330">
        <f t="shared" ca="1" si="183"/>
        <v>0</v>
      </c>
      <c r="CN198" s="331">
        <f t="shared" ca="1" si="223"/>
        <v>-40000</v>
      </c>
      <c r="CO198" s="86"/>
      <c r="CP198" s="86"/>
      <c r="CQ198" s="1641"/>
      <c r="CR198" s="86"/>
      <c r="CS198" s="86"/>
      <c r="CT198" s="86"/>
      <c r="CU198" s="86"/>
      <c r="CV198" s="86"/>
      <c r="CW198" s="86"/>
      <c r="CX198" s="86"/>
      <c r="CY198" s="86"/>
      <c r="CZ198" s="86"/>
      <c r="DA198" s="86"/>
      <c r="DB198" s="1642"/>
      <c r="DC198" s="1642"/>
      <c r="DD198" s="30"/>
      <c r="DE198" s="30"/>
      <c r="DF198" s="30"/>
      <c r="DG198" s="1642"/>
      <c r="DH198" s="1642"/>
      <c r="DI198" s="1642"/>
      <c r="DJ198" s="1642"/>
      <c r="DK198" s="1642"/>
      <c r="DL198" s="1642"/>
      <c r="DM198" s="1642"/>
      <c r="DN198" s="1642"/>
      <c r="DO198" s="1642"/>
      <c r="DP198" s="1642"/>
      <c r="DQ198" s="1642"/>
      <c r="DR198" s="1642"/>
      <c r="DS198" s="1642"/>
      <c r="DT198" s="1642"/>
      <c r="DU198" s="1642"/>
      <c r="DV198" s="1642"/>
      <c r="DW198" s="1642"/>
      <c r="DX198" s="1642"/>
      <c r="DY198" s="1642"/>
      <c r="DZ198" s="1642"/>
      <c r="EA198" s="1642"/>
      <c r="EB198" s="1642"/>
      <c r="EC198" s="1642"/>
      <c r="ED198" s="1642"/>
      <c r="EE198" s="1642"/>
      <c r="EF198" s="1642"/>
      <c r="EG198" s="1642"/>
      <c r="EH198" s="1643"/>
      <c r="EI198" s="1658"/>
      <c r="EJ198" s="1642"/>
      <c r="EK198" s="30"/>
      <c r="EL198" s="30"/>
      <c r="EM198" s="30"/>
      <c r="EN198" s="30"/>
      <c r="EO198" s="30"/>
      <c r="EP198" s="30"/>
      <c r="EQ198" s="30"/>
      <c r="ER198" s="30"/>
      <c r="ES198" s="30"/>
      <c r="ET198" s="30"/>
      <c r="EU198" s="30"/>
      <c r="EV198" s="30"/>
      <c r="EW198" s="30"/>
      <c r="EX198" s="30"/>
      <c r="EY198" s="30"/>
      <c r="EZ198" s="30"/>
      <c r="FA198" s="30"/>
      <c r="FB198" s="30"/>
      <c r="FC198" s="30"/>
      <c r="FD198" s="30"/>
      <c r="FE198" s="30"/>
      <c r="FF198" s="30"/>
      <c r="FG198" s="30"/>
      <c r="FH198" s="30"/>
      <c r="FI198" s="30"/>
      <c r="FJ198" s="30"/>
      <c r="FK198" s="30"/>
      <c r="FL198" s="30"/>
      <c r="FM198" s="30"/>
      <c r="FN198" s="30"/>
      <c r="FO198" s="30"/>
      <c r="FP198" s="30"/>
      <c r="FQ198" s="30"/>
      <c r="FR198" s="30"/>
      <c r="FS198" s="30"/>
      <c r="FT198" s="30"/>
      <c r="FU198" s="30"/>
      <c r="FV198" s="30"/>
      <c r="FW198" s="30"/>
      <c r="FX198" s="30"/>
      <c r="FY198" s="30"/>
      <c r="FZ198" s="30"/>
      <c r="GA198" s="30"/>
      <c r="GB198" s="30"/>
      <c r="GC198" s="30"/>
      <c r="GD198" s="30"/>
      <c r="GE198" s="30"/>
      <c r="GF198" s="30"/>
      <c r="GG198" s="30"/>
      <c r="GH198" s="30"/>
      <c r="GI198" s="30"/>
      <c r="GJ198" s="30"/>
      <c r="GK198" s="30"/>
      <c r="GL198" s="30"/>
      <c r="GM198" s="30"/>
      <c r="GN198" s="30"/>
      <c r="GO198" s="30"/>
      <c r="GP198" s="30"/>
      <c r="GQ198" s="30"/>
      <c r="GR198" s="30"/>
      <c r="GS198" s="30"/>
      <c r="GT198" s="30"/>
      <c r="GU198" s="30"/>
      <c r="GV198" s="30"/>
      <c r="GW198" s="30"/>
      <c r="GX198" s="30"/>
      <c r="GY198" s="30"/>
      <c r="GZ198" s="30"/>
      <c r="HA198" s="30"/>
      <c r="HB198" s="30"/>
      <c r="HC198" s="30"/>
      <c r="HD198" s="30"/>
      <c r="HE198" s="30"/>
      <c r="HF198" s="30"/>
      <c r="HG198" s="30"/>
      <c r="HH198" s="30"/>
      <c r="HI198" s="30"/>
      <c r="HJ198" s="30"/>
      <c r="HK198" s="30"/>
      <c r="HL198" s="30"/>
      <c r="HM198" s="30"/>
      <c r="HN198" s="30"/>
      <c r="HO198" s="30"/>
      <c r="HP198" s="30"/>
      <c r="HQ198" s="30"/>
      <c r="HR198" s="30"/>
      <c r="HS198" s="30"/>
      <c r="HT198" s="30"/>
      <c r="HU198" s="30"/>
      <c r="HV198" s="30"/>
      <c r="HW198" s="30"/>
      <c r="HX198" s="30"/>
      <c r="HY198" s="30"/>
      <c r="HZ198" s="30"/>
      <c r="IA198" s="30"/>
      <c r="IB198" s="30"/>
      <c r="IC198" s="30"/>
      <c r="ID198" s="30"/>
      <c r="IE198" s="30"/>
      <c r="IF198" s="30"/>
      <c r="IG198" s="30"/>
      <c r="IH198" s="30"/>
      <c r="II198" s="30"/>
      <c r="IJ198" s="30"/>
      <c r="IK198" s="30"/>
      <c r="IL198" s="30"/>
      <c r="IM198" s="30"/>
      <c r="IN198" s="30"/>
      <c r="IO198" s="30"/>
      <c r="IP198" s="30"/>
      <c r="IQ198" s="30"/>
      <c r="IR198" s="30"/>
      <c r="IS198" s="30"/>
      <c r="IT198" s="30"/>
      <c r="IU198" s="30"/>
      <c r="IV198" s="30"/>
      <c r="IW198" s="30"/>
      <c r="IX198" s="30"/>
      <c r="IY198" s="30"/>
      <c r="IZ198" s="30"/>
      <c r="JA198" s="30"/>
      <c r="JB198" s="30"/>
      <c r="JC198" s="30"/>
      <c r="JD198" s="30"/>
      <c r="JE198" s="30"/>
      <c r="JF198" s="30"/>
      <c r="JG198" s="30"/>
      <c r="JH198" s="30"/>
      <c r="JI198" s="30"/>
      <c r="JJ198" s="30"/>
      <c r="JK198" s="30"/>
      <c r="JL198" s="30"/>
      <c r="JM198" s="30"/>
      <c r="JN198" s="30"/>
      <c r="JO198" s="30"/>
      <c r="JP198" s="30"/>
      <c r="JQ198" s="30"/>
      <c r="JR198" s="30"/>
      <c r="JS198" s="30"/>
      <c r="JT198" s="30"/>
      <c r="JU198" s="30"/>
      <c r="JV198" s="30"/>
      <c r="JW198" s="30"/>
      <c r="JX198" s="30"/>
      <c r="JY198" s="30"/>
      <c r="JZ198" s="30"/>
      <c r="KA198" s="30"/>
      <c r="KB198" s="30"/>
      <c r="KC198" s="30"/>
      <c r="KD198" s="30"/>
      <c r="KE198" s="30"/>
      <c r="KF198" s="30"/>
      <c r="KG198" s="30"/>
      <c r="KH198" s="30"/>
      <c r="KI198" s="30"/>
      <c r="KJ198" s="30"/>
      <c r="KK198" s="30"/>
      <c r="KL198" s="30"/>
      <c r="KM198" s="30"/>
      <c r="KN198" s="30"/>
      <c r="KO198" s="30"/>
      <c r="KP198" s="1630"/>
    </row>
    <row r="199" spans="1:302" s="97" customFormat="1" ht="23.25" customHeight="1" outlineLevel="1">
      <c r="A199" s="2661" t="s">
        <v>901</v>
      </c>
      <c r="B199" s="2609"/>
      <c r="C199" s="2582" t="s">
        <v>915</v>
      </c>
      <c r="D199" s="2582" t="s">
        <v>929</v>
      </c>
      <c r="E199" s="376"/>
      <c r="F199" s="347"/>
      <c r="G199" s="348"/>
      <c r="H199" s="349" t="s">
        <v>26</v>
      </c>
      <c r="I199" s="2940"/>
      <c r="J199" s="362" t="s">
        <v>26</v>
      </c>
      <c r="K199" s="1745"/>
      <c r="L199" s="383"/>
      <c r="M199" s="383"/>
      <c r="N199" s="383"/>
      <c r="O199" s="1510">
        <v>51600</v>
      </c>
      <c r="P199" s="383"/>
      <c r="Q199" s="383"/>
      <c r="R199" s="383"/>
      <c r="S199" s="1510">
        <f t="shared" si="248"/>
        <v>0</v>
      </c>
      <c r="T199" s="1509"/>
      <c r="U199" s="1746"/>
      <c r="V199" s="1746"/>
      <c r="W199" s="1510">
        <f t="shared" si="235"/>
        <v>51600</v>
      </c>
      <c r="X199" s="362" t="s">
        <v>26</v>
      </c>
      <c r="Y199" s="1509"/>
      <c r="Z199" s="1746"/>
      <c r="AA199" s="1746"/>
      <c r="AB199" s="1510">
        <f t="shared" si="236"/>
        <v>51600</v>
      </c>
      <c r="AC199" s="1505"/>
      <c r="AD199" s="1505"/>
      <c r="AE199" s="1505"/>
      <c r="AF199" s="1505"/>
      <c r="AG199" s="1505"/>
      <c r="AH199" s="354">
        <f t="shared" si="249"/>
        <v>0</v>
      </c>
      <c r="AI199" s="355">
        <f t="shared" ca="1" si="232"/>
        <v>0</v>
      </c>
      <c r="AJ199" s="356">
        <f t="shared" ca="1" si="227"/>
        <v>0</v>
      </c>
      <c r="AK199" s="2185"/>
      <c r="AL199" s="260"/>
      <c r="AM199" s="2262"/>
      <c r="AN199" s="2262"/>
      <c r="AO199" s="1509"/>
      <c r="AP199" s="384"/>
      <c r="AQ199" s="1509"/>
      <c r="AR199" s="362"/>
      <c r="AS199" s="362"/>
      <c r="AT199" s="385"/>
      <c r="AU199" s="1505"/>
      <c r="AV199" s="1505"/>
      <c r="AW199" s="1505"/>
      <c r="AX199" s="1505"/>
      <c r="AY199" s="1987"/>
      <c r="AZ199" s="2256"/>
      <c r="BA199" s="359"/>
      <c r="BB199" s="359"/>
      <c r="BC199" s="359"/>
      <c r="BD199" s="359">
        <v>10320</v>
      </c>
      <c r="BE199" s="362">
        <v>10320</v>
      </c>
      <c r="BF199" s="362">
        <v>10320</v>
      </c>
      <c r="BG199" s="362">
        <v>10320</v>
      </c>
      <c r="BH199" s="362">
        <v>10320</v>
      </c>
      <c r="BI199" s="362"/>
      <c r="BJ199" s="362"/>
      <c r="BK199" s="2123"/>
      <c r="BL199" s="414"/>
      <c r="BM199" s="414"/>
      <c r="BN199" s="414"/>
      <c r="BO199" s="414"/>
      <c r="BP199" s="414"/>
      <c r="BQ199" s="2399"/>
      <c r="BR199" s="362"/>
      <c r="BS199" s="362"/>
      <c r="BT199" s="362"/>
      <c r="BU199" s="364"/>
      <c r="BV199" s="364"/>
      <c r="BW199" s="2366"/>
      <c r="BX199" s="2463"/>
      <c r="BY199" s="2543"/>
      <c r="BZ199" s="2543"/>
      <c r="CA199" s="2432">
        <f t="shared" si="243"/>
        <v>51600</v>
      </c>
      <c r="CB199" s="2377">
        <f t="shared" si="244"/>
        <v>1</v>
      </c>
      <c r="CC199" s="365">
        <f t="shared" si="245"/>
        <v>1.9379844961240311E-5</v>
      </c>
      <c r="CD199" s="366"/>
      <c r="CE199" s="343"/>
      <c r="CF199" s="343"/>
      <c r="CG199" s="340"/>
      <c r="CH199" s="367"/>
      <c r="CI199" s="368"/>
      <c r="CJ199" s="368"/>
      <c r="CK199" s="369"/>
      <c r="CL199" s="329">
        <f t="shared" si="182"/>
        <v>0</v>
      </c>
      <c r="CM199" s="330">
        <f t="shared" ca="1" si="183"/>
        <v>0</v>
      </c>
      <c r="CN199" s="331">
        <f t="shared" ca="1" si="223"/>
        <v>-51600</v>
      </c>
      <c r="CO199" s="86"/>
      <c r="CP199" s="86"/>
      <c r="CQ199" s="1641"/>
      <c r="CR199" s="86"/>
      <c r="CS199" s="86"/>
      <c r="CT199" s="86"/>
      <c r="CU199" s="86"/>
      <c r="CV199" s="86"/>
      <c r="CW199" s="86"/>
      <c r="CX199" s="86"/>
      <c r="CY199" s="86"/>
      <c r="CZ199" s="86"/>
      <c r="DA199" s="86"/>
      <c r="DB199" s="1642"/>
      <c r="DC199" s="1642"/>
      <c r="DD199" s="30"/>
      <c r="DE199" s="30"/>
      <c r="DF199" s="30"/>
      <c r="DG199" s="1642"/>
      <c r="DH199" s="1642"/>
      <c r="DI199" s="1642"/>
      <c r="DJ199" s="1642"/>
      <c r="DK199" s="1642"/>
      <c r="DL199" s="1642"/>
      <c r="DM199" s="1642"/>
      <c r="DN199" s="1642"/>
      <c r="DO199" s="1642"/>
      <c r="DP199" s="1642"/>
      <c r="DQ199" s="1642"/>
      <c r="DR199" s="1642"/>
      <c r="DS199" s="1642"/>
      <c r="DT199" s="1642"/>
      <c r="DU199" s="1642"/>
      <c r="DV199" s="1642"/>
      <c r="DW199" s="1642"/>
      <c r="DX199" s="1642"/>
      <c r="DY199" s="1642"/>
      <c r="DZ199" s="1642"/>
      <c r="EA199" s="1642"/>
      <c r="EB199" s="1642"/>
      <c r="EC199" s="1642"/>
      <c r="ED199" s="1642"/>
      <c r="EE199" s="1642"/>
      <c r="EF199" s="1642"/>
      <c r="EG199" s="1642"/>
      <c r="EH199" s="1643"/>
      <c r="EI199" s="1658"/>
      <c r="EJ199" s="1642"/>
      <c r="EK199" s="30"/>
      <c r="EL199" s="30"/>
      <c r="EM199" s="30"/>
      <c r="EN199" s="30"/>
      <c r="EO199" s="30"/>
      <c r="EP199" s="30"/>
      <c r="EQ199" s="30"/>
      <c r="ER199" s="30"/>
      <c r="ES199" s="30"/>
      <c r="ET199" s="30"/>
      <c r="EU199" s="30"/>
      <c r="EV199" s="30"/>
      <c r="EW199" s="30"/>
      <c r="EX199" s="30"/>
      <c r="EY199" s="30"/>
      <c r="EZ199" s="30"/>
      <c r="FA199" s="30"/>
      <c r="FB199" s="30"/>
      <c r="FC199" s="30"/>
      <c r="FD199" s="30"/>
      <c r="FE199" s="30"/>
      <c r="FF199" s="30"/>
      <c r="FG199" s="30"/>
      <c r="FH199" s="30"/>
      <c r="FI199" s="30"/>
      <c r="FJ199" s="30"/>
      <c r="FK199" s="30"/>
      <c r="FL199" s="30"/>
      <c r="FM199" s="30"/>
      <c r="FN199" s="30"/>
      <c r="FO199" s="30"/>
      <c r="FP199" s="30"/>
      <c r="FQ199" s="30"/>
      <c r="FR199" s="30"/>
      <c r="FS199" s="30"/>
      <c r="FT199" s="30"/>
      <c r="FU199" s="30"/>
      <c r="FV199" s="30"/>
      <c r="FW199" s="30"/>
      <c r="FX199" s="30"/>
      <c r="FY199" s="30"/>
      <c r="FZ199" s="30"/>
      <c r="GA199" s="30"/>
      <c r="GB199" s="30"/>
      <c r="GC199" s="30"/>
      <c r="GD199" s="30"/>
      <c r="GE199" s="30"/>
      <c r="GF199" s="30"/>
      <c r="GG199" s="30"/>
      <c r="GH199" s="30"/>
      <c r="GI199" s="30"/>
      <c r="GJ199" s="30"/>
      <c r="GK199" s="30"/>
      <c r="GL199" s="30"/>
      <c r="GM199" s="30"/>
      <c r="GN199" s="30"/>
      <c r="GO199" s="30"/>
      <c r="GP199" s="30"/>
      <c r="GQ199" s="30"/>
      <c r="GR199" s="30"/>
      <c r="GS199" s="30"/>
      <c r="GT199" s="30"/>
      <c r="GU199" s="30"/>
      <c r="GV199" s="30"/>
      <c r="GW199" s="30"/>
      <c r="GX199" s="30"/>
      <c r="GY199" s="30"/>
      <c r="GZ199" s="30"/>
      <c r="HA199" s="30"/>
      <c r="HB199" s="30"/>
      <c r="HC199" s="30"/>
      <c r="HD199" s="30"/>
      <c r="HE199" s="30"/>
      <c r="HF199" s="30"/>
      <c r="HG199" s="30"/>
      <c r="HH199" s="30"/>
      <c r="HI199" s="30"/>
      <c r="HJ199" s="30"/>
      <c r="HK199" s="30"/>
      <c r="HL199" s="30"/>
      <c r="HM199" s="30"/>
      <c r="HN199" s="30"/>
      <c r="HO199" s="30"/>
      <c r="HP199" s="30"/>
      <c r="HQ199" s="30"/>
      <c r="HR199" s="30"/>
      <c r="HS199" s="30"/>
      <c r="HT199" s="30"/>
      <c r="HU199" s="30"/>
      <c r="HV199" s="30"/>
      <c r="HW199" s="30"/>
      <c r="HX199" s="30"/>
      <c r="HY199" s="30"/>
      <c r="HZ199" s="30"/>
      <c r="IA199" s="30"/>
      <c r="IB199" s="30"/>
      <c r="IC199" s="30"/>
      <c r="ID199" s="30"/>
      <c r="IE199" s="30"/>
      <c r="IF199" s="30"/>
      <c r="IG199" s="30"/>
      <c r="IH199" s="30"/>
      <c r="II199" s="30"/>
      <c r="IJ199" s="30"/>
      <c r="IK199" s="30"/>
      <c r="IL199" s="30"/>
      <c r="IM199" s="30"/>
      <c r="IN199" s="30"/>
      <c r="IO199" s="30"/>
      <c r="IP199" s="30"/>
      <c r="IQ199" s="30"/>
      <c r="IR199" s="30"/>
      <c r="IS199" s="30"/>
      <c r="IT199" s="30"/>
      <c r="IU199" s="30"/>
      <c r="IV199" s="30"/>
      <c r="IW199" s="30"/>
      <c r="IX199" s="30"/>
      <c r="IY199" s="30"/>
      <c r="IZ199" s="30"/>
      <c r="JA199" s="30"/>
      <c r="JB199" s="30"/>
      <c r="JC199" s="30"/>
      <c r="JD199" s="30"/>
      <c r="JE199" s="30"/>
      <c r="JF199" s="30"/>
      <c r="JG199" s="30"/>
      <c r="JH199" s="30"/>
      <c r="JI199" s="30"/>
      <c r="JJ199" s="30"/>
      <c r="JK199" s="30"/>
      <c r="JL199" s="30"/>
      <c r="JM199" s="30"/>
      <c r="JN199" s="30"/>
      <c r="JO199" s="30"/>
      <c r="JP199" s="30"/>
      <c r="JQ199" s="30"/>
      <c r="JR199" s="30"/>
      <c r="JS199" s="30"/>
      <c r="JT199" s="30"/>
      <c r="JU199" s="30"/>
      <c r="JV199" s="30"/>
      <c r="JW199" s="30"/>
      <c r="JX199" s="30"/>
      <c r="JY199" s="30"/>
      <c r="JZ199" s="30"/>
      <c r="KA199" s="30"/>
      <c r="KB199" s="30"/>
      <c r="KC199" s="30"/>
      <c r="KD199" s="30"/>
      <c r="KE199" s="30"/>
      <c r="KF199" s="30"/>
      <c r="KG199" s="30"/>
      <c r="KH199" s="30"/>
      <c r="KI199" s="30"/>
      <c r="KJ199" s="30"/>
      <c r="KK199" s="30"/>
      <c r="KL199" s="30"/>
      <c r="KM199" s="30"/>
      <c r="KN199" s="30"/>
      <c r="KO199" s="30"/>
      <c r="KP199" s="1630"/>
    </row>
    <row r="200" spans="1:302" s="97" customFormat="1" ht="19.25" customHeight="1" outlineLevel="1">
      <c r="A200" s="2587" t="s">
        <v>144</v>
      </c>
      <c r="B200" s="2605"/>
      <c r="C200" s="2587" t="s">
        <v>252</v>
      </c>
      <c r="D200" s="2587" t="s">
        <v>253</v>
      </c>
      <c r="E200" s="376"/>
      <c r="F200" s="347"/>
      <c r="G200" s="348"/>
      <c r="H200" s="349" t="s">
        <v>26</v>
      </c>
      <c r="I200" s="2940"/>
      <c r="J200" s="362" t="s">
        <v>26</v>
      </c>
      <c r="K200" s="1745"/>
      <c r="L200" s="383"/>
      <c r="M200" s="383"/>
      <c r="N200" s="383"/>
      <c r="O200" s="1510"/>
      <c r="P200" s="383"/>
      <c r="Q200" s="383"/>
      <c r="R200" s="383"/>
      <c r="S200" s="1510">
        <f t="shared" si="248"/>
        <v>0</v>
      </c>
      <c r="T200" s="1509"/>
      <c r="U200" s="1746"/>
      <c r="V200" s="1746"/>
      <c r="W200" s="1510">
        <f t="shared" si="235"/>
        <v>0</v>
      </c>
      <c r="X200" s="362" t="s">
        <v>26</v>
      </c>
      <c r="Y200" s="1509"/>
      <c r="Z200" s="1746"/>
      <c r="AA200" s="1746"/>
      <c r="AB200" s="1510">
        <f t="shared" si="236"/>
        <v>0</v>
      </c>
      <c r="AC200" s="1444"/>
      <c r="AD200" s="1457"/>
      <c r="AE200" s="352"/>
      <c r="AF200" s="353"/>
      <c r="AG200" s="353"/>
      <c r="AH200" s="354">
        <f t="shared" si="249"/>
        <v>0</v>
      </c>
      <c r="AI200" s="355">
        <f t="shared" ca="1" si="232"/>
        <v>0</v>
      </c>
      <c r="AJ200" s="356" t="str">
        <f t="shared" si="227"/>
        <v/>
      </c>
      <c r="AK200" s="2185"/>
      <c r="AL200" s="2063"/>
      <c r="AM200" s="2262"/>
      <c r="AN200" s="2262"/>
      <c r="AO200" s="1509"/>
      <c r="AP200" s="1509"/>
      <c r="AQ200" s="362"/>
      <c r="AR200" s="362"/>
      <c r="AS200" s="362"/>
      <c r="AT200" s="390"/>
      <c r="AU200" s="377"/>
      <c r="AV200" s="377"/>
      <c r="AW200" s="359"/>
      <c r="AX200" s="1505"/>
      <c r="AY200" s="390"/>
      <c r="AZ200" s="2333"/>
      <c r="BA200" s="497"/>
      <c r="BB200" s="362"/>
      <c r="BC200" s="362"/>
      <c r="BD200" s="362"/>
      <c r="BE200" s="362"/>
      <c r="BF200" s="362"/>
      <c r="BG200" s="362"/>
      <c r="BH200" s="362"/>
      <c r="BI200" s="362"/>
      <c r="BJ200" s="362"/>
      <c r="BK200" s="2125"/>
      <c r="BL200" s="2106"/>
      <c r="BM200" s="2106"/>
      <c r="BN200" s="2106"/>
      <c r="BO200" s="2106"/>
      <c r="BP200" s="2106"/>
      <c r="BQ200" s="2397"/>
      <c r="BR200" s="362"/>
      <c r="BS200" s="362"/>
      <c r="BT200" s="362"/>
      <c r="BU200" s="364"/>
      <c r="BV200" s="364"/>
      <c r="BW200" s="2366"/>
      <c r="BX200" s="2463"/>
      <c r="BY200" s="2543"/>
      <c r="BZ200" s="2543"/>
      <c r="CA200" s="2432">
        <f t="shared" si="243"/>
        <v>0</v>
      </c>
      <c r="CB200" s="2377" t="str">
        <f t="shared" si="244"/>
        <v/>
      </c>
      <c r="CC200" s="365" t="str">
        <f t="shared" si="245"/>
        <v/>
      </c>
      <c r="CD200" s="366"/>
      <c r="CE200" s="343"/>
      <c r="CF200" s="343"/>
      <c r="CG200" s="340"/>
      <c r="CH200" s="367"/>
      <c r="CI200" s="368"/>
      <c r="CJ200" s="368"/>
      <c r="CK200" s="369"/>
      <c r="CL200" s="329">
        <f t="shared" si="182"/>
        <v>0</v>
      </c>
      <c r="CM200" s="330">
        <f t="shared" ca="1" si="183"/>
        <v>0</v>
      </c>
      <c r="CN200" s="331">
        <f t="shared" ca="1" si="223"/>
        <v>0</v>
      </c>
      <c r="CO200" s="86"/>
      <c r="CP200" s="86"/>
      <c r="CQ200" s="1641"/>
      <c r="CR200" s="86"/>
      <c r="CS200" s="86"/>
      <c r="CT200" s="86"/>
      <c r="CU200" s="86"/>
      <c r="CV200" s="86"/>
      <c r="CW200" s="86"/>
      <c r="CX200" s="86"/>
      <c r="CY200" s="86"/>
      <c r="CZ200" s="86"/>
      <c r="DA200" s="86"/>
      <c r="DB200" s="1642"/>
      <c r="DC200" s="1642"/>
      <c r="DD200" s="30"/>
      <c r="DE200" s="30"/>
      <c r="DF200" s="30"/>
      <c r="DG200" s="1642"/>
      <c r="DH200" s="1642"/>
      <c r="DI200" s="1642"/>
      <c r="DJ200" s="1642"/>
      <c r="DK200" s="1642"/>
      <c r="DL200" s="1642"/>
      <c r="DM200" s="1642"/>
      <c r="DN200" s="1642"/>
      <c r="DO200" s="1642"/>
      <c r="DP200" s="1642"/>
      <c r="DQ200" s="1642"/>
      <c r="DR200" s="1642"/>
      <c r="DS200" s="1642"/>
      <c r="DT200" s="1642"/>
      <c r="DU200" s="1642"/>
      <c r="DV200" s="1642"/>
      <c r="DW200" s="1642"/>
      <c r="DX200" s="1642"/>
      <c r="DY200" s="1642"/>
      <c r="DZ200" s="1642"/>
      <c r="EA200" s="1642"/>
      <c r="EB200" s="1642"/>
      <c r="EC200" s="1642"/>
      <c r="ED200" s="1642"/>
      <c r="EE200" s="1642"/>
      <c r="EF200" s="1642"/>
      <c r="EG200" s="1642"/>
      <c r="EH200" s="1643"/>
      <c r="EI200" s="1658"/>
      <c r="EJ200" s="1642"/>
      <c r="EK200" s="30"/>
      <c r="EL200" s="30"/>
      <c r="EM200" s="30"/>
      <c r="EN200" s="30"/>
      <c r="EO200" s="30"/>
      <c r="EP200" s="30"/>
      <c r="EQ200" s="30"/>
      <c r="ER200" s="30"/>
      <c r="ES200" s="30"/>
      <c r="ET200" s="30"/>
      <c r="EU200" s="30"/>
      <c r="EV200" s="30"/>
      <c r="EW200" s="30"/>
      <c r="EX200" s="30"/>
      <c r="EY200" s="30"/>
      <c r="EZ200" s="30"/>
      <c r="FA200" s="30"/>
      <c r="FB200" s="30"/>
      <c r="FC200" s="30"/>
      <c r="FD200" s="30"/>
      <c r="FE200" s="30"/>
      <c r="FF200" s="30"/>
      <c r="FG200" s="30"/>
      <c r="FH200" s="30"/>
      <c r="FI200" s="30"/>
      <c r="FJ200" s="30"/>
      <c r="FK200" s="30"/>
      <c r="FL200" s="30"/>
      <c r="FM200" s="30"/>
      <c r="FN200" s="30"/>
      <c r="FO200" s="30"/>
      <c r="FP200" s="30"/>
      <c r="FQ200" s="30"/>
      <c r="FR200" s="30"/>
      <c r="FS200" s="30"/>
      <c r="FT200" s="30"/>
      <c r="FU200" s="30"/>
      <c r="FV200" s="30"/>
      <c r="FW200" s="30"/>
      <c r="FX200" s="30"/>
      <c r="FY200" s="30"/>
      <c r="FZ200" s="30"/>
      <c r="GA200" s="30"/>
      <c r="GB200" s="30"/>
      <c r="GC200" s="30"/>
      <c r="GD200" s="30"/>
      <c r="GE200" s="30"/>
      <c r="GF200" s="30"/>
      <c r="GG200" s="30"/>
      <c r="GH200" s="30"/>
      <c r="GI200" s="30"/>
      <c r="GJ200" s="30"/>
      <c r="GK200" s="30"/>
      <c r="GL200" s="30"/>
      <c r="GM200" s="30"/>
      <c r="GN200" s="30"/>
      <c r="GO200" s="30"/>
      <c r="GP200" s="30"/>
      <c r="GQ200" s="30"/>
      <c r="GR200" s="30"/>
      <c r="GS200" s="30"/>
      <c r="GT200" s="30"/>
      <c r="GU200" s="30"/>
      <c r="GV200" s="30"/>
      <c r="GW200" s="30"/>
      <c r="GX200" s="30"/>
      <c r="GY200" s="30"/>
      <c r="GZ200" s="30"/>
      <c r="HA200" s="30"/>
      <c r="HB200" s="30"/>
      <c r="HC200" s="30"/>
      <c r="HD200" s="30"/>
      <c r="HE200" s="30"/>
      <c r="HF200" s="30"/>
      <c r="HG200" s="30"/>
      <c r="HH200" s="30"/>
      <c r="HI200" s="30"/>
      <c r="HJ200" s="30"/>
      <c r="HK200" s="30"/>
      <c r="HL200" s="30"/>
      <c r="HM200" s="30"/>
      <c r="HN200" s="30"/>
      <c r="HO200" s="30"/>
      <c r="HP200" s="30"/>
      <c r="HQ200" s="30"/>
      <c r="HR200" s="30"/>
      <c r="HS200" s="30"/>
      <c r="HT200" s="30"/>
      <c r="HU200" s="30"/>
      <c r="HV200" s="30"/>
      <c r="HW200" s="30"/>
      <c r="HX200" s="30"/>
      <c r="HY200" s="30"/>
      <c r="HZ200" s="30"/>
      <c r="IA200" s="30"/>
      <c r="IB200" s="30"/>
      <c r="IC200" s="30"/>
      <c r="ID200" s="30"/>
      <c r="IE200" s="30"/>
      <c r="IF200" s="30"/>
      <c r="IG200" s="30"/>
      <c r="IH200" s="30"/>
      <c r="II200" s="30"/>
      <c r="IJ200" s="30"/>
      <c r="IK200" s="30"/>
      <c r="IL200" s="30"/>
      <c r="IM200" s="30"/>
      <c r="IN200" s="30"/>
      <c r="IO200" s="30"/>
      <c r="IP200" s="30"/>
      <c r="IQ200" s="30"/>
      <c r="IR200" s="30"/>
      <c r="IS200" s="30"/>
      <c r="IT200" s="30"/>
      <c r="IU200" s="30"/>
      <c r="IV200" s="30"/>
      <c r="IW200" s="30"/>
      <c r="IX200" s="30"/>
      <c r="IY200" s="30"/>
      <c r="IZ200" s="30"/>
      <c r="JA200" s="30"/>
      <c r="JB200" s="30"/>
      <c r="JC200" s="30"/>
      <c r="JD200" s="30"/>
      <c r="JE200" s="30"/>
      <c r="JF200" s="30"/>
      <c r="JG200" s="30"/>
      <c r="JH200" s="30"/>
      <c r="JI200" s="30"/>
      <c r="JJ200" s="30"/>
      <c r="JK200" s="30"/>
      <c r="JL200" s="30"/>
      <c r="JM200" s="30"/>
      <c r="JN200" s="30"/>
      <c r="JO200" s="30"/>
      <c r="JP200" s="30"/>
      <c r="JQ200" s="30"/>
      <c r="JR200" s="30"/>
      <c r="JS200" s="30"/>
      <c r="JT200" s="30"/>
      <c r="JU200" s="30"/>
      <c r="JV200" s="30"/>
      <c r="JW200" s="30"/>
      <c r="JX200" s="30"/>
      <c r="JY200" s="30"/>
      <c r="JZ200" s="30"/>
      <c r="KA200" s="30"/>
      <c r="KB200" s="30"/>
      <c r="KC200" s="30"/>
      <c r="KD200" s="30"/>
      <c r="KE200" s="30"/>
      <c r="KF200" s="30"/>
      <c r="KG200" s="30"/>
      <c r="KH200" s="30"/>
      <c r="KI200" s="30"/>
      <c r="KJ200" s="30"/>
      <c r="KK200" s="30"/>
      <c r="KL200" s="30"/>
      <c r="KM200" s="30"/>
      <c r="KN200" s="30"/>
      <c r="KO200" s="30"/>
      <c r="KP200" s="1630"/>
    </row>
    <row r="201" spans="1:302" s="97" customFormat="1" ht="18.75" customHeight="1" outlineLevel="1">
      <c r="A201" s="2661" t="s">
        <v>930</v>
      </c>
      <c r="B201" s="2609"/>
      <c r="C201" s="2582" t="s">
        <v>941</v>
      </c>
      <c r="D201" s="2582" t="s">
        <v>954</v>
      </c>
      <c r="E201" s="376"/>
      <c r="F201" s="347"/>
      <c r="G201" s="348"/>
      <c r="H201" s="349" t="s">
        <v>26</v>
      </c>
      <c r="I201" s="2940"/>
      <c r="J201" s="362" t="s">
        <v>26</v>
      </c>
      <c r="K201" s="1745"/>
      <c r="L201" s="383"/>
      <c r="M201" s="383"/>
      <c r="N201" s="383"/>
      <c r="O201" s="1510">
        <v>54332011</v>
      </c>
      <c r="P201" s="383"/>
      <c r="Q201" s="383"/>
      <c r="R201" s="383"/>
      <c r="S201" s="1510">
        <f t="shared" si="241"/>
        <v>0</v>
      </c>
      <c r="T201" s="1509"/>
      <c r="U201" s="1746"/>
      <c r="V201" s="1746"/>
      <c r="W201" s="1510">
        <f t="shared" si="235"/>
        <v>54332011</v>
      </c>
      <c r="X201" s="362" t="s">
        <v>26</v>
      </c>
      <c r="Y201" s="1509"/>
      <c r="Z201" s="1746"/>
      <c r="AA201" s="1746"/>
      <c r="AB201" s="2722">
        <f t="shared" si="236"/>
        <v>8342011</v>
      </c>
      <c r="AC201" s="1444"/>
      <c r="AD201" s="1457"/>
      <c r="AE201" s="352"/>
      <c r="AF201" s="353"/>
      <c r="AG201" s="353"/>
      <c r="AH201" s="354">
        <f t="shared" ref="AH201:AH203" si="250">AF201*AG201</f>
        <v>0</v>
      </c>
      <c r="AI201" s="355">
        <f t="shared" ca="1" si="232"/>
        <v>0</v>
      </c>
      <c r="AJ201" s="356">
        <f t="shared" ca="1" si="227"/>
        <v>0</v>
      </c>
      <c r="AK201" s="2185"/>
      <c r="AL201" s="2063"/>
      <c r="AM201" s="2262"/>
      <c r="AN201" s="2262"/>
      <c r="AO201" s="1509"/>
      <c r="AP201" s="384"/>
      <c r="AQ201" s="1509"/>
      <c r="AR201" s="362"/>
      <c r="AS201" s="362"/>
      <c r="AT201" s="385"/>
      <c r="AU201" s="359"/>
      <c r="AV201" s="359"/>
      <c r="AW201" s="377"/>
      <c r="AX201" s="362"/>
      <c r="AY201" s="385"/>
      <c r="AZ201" s="2256"/>
      <c r="BA201" s="359"/>
      <c r="BB201" s="359"/>
      <c r="BC201" s="359"/>
      <c r="BD201" s="359"/>
      <c r="BE201" s="362"/>
      <c r="BF201" s="362"/>
      <c r="BG201" s="362"/>
      <c r="BH201" s="362"/>
      <c r="BI201" s="362"/>
      <c r="BJ201" s="362"/>
      <c r="BK201" s="2123"/>
      <c r="BL201" s="414"/>
      <c r="BM201" s="414"/>
      <c r="BN201" s="414"/>
      <c r="BO201" s="414"/>
      <c r="BP201" s="414"/>
      <c r="BQ201" s="2399"/>
      <c r="BR201" s="362"/>
      <c r="BS201" s="362"/>
      <c r="BT201" s="362"/>
      <c r="BU201" s="364"/>
      <c r="BV201" s="364"/>
      <c r="BW201" s="2366">
        <v>8342011</v>
      </c>
      <c r="BX201" s="2463"/>
      <c r="BY201" s="2543"/>
      <c r="BZ201" s="2543"/>
      <c r="CA201" s="2432">
        <f t="shared" si="243"/>
        <v>8342011</v>
      </c>
      <c r="CB201" s="2377">
        <f t="shared" si="244"/>
        <v>1</v>
      </c>
      <c r="CC201" s="365">
        <f t="shared" si="245"/>
        <v>1.1987517158632374E-7</v>
      </c>
      <c r="CD201" s="366"/>
      <c r="CE201" s="343"/>
      <c r="CF201" s="343"/>
      <c r="CG201" s="340"/>
      <c r="CH201" s="367"/>
      <c r="CI201" s="368"/>
      <c r="CJ201" s="368"/>
      <c r="CK201" s="369"/>
      <c r="CL201" s="329">
        <f t="shared" si="182"/>
        <v>45990000</v>
      </c>
      <c r="CM201" s="330">
        <f t="shared" ca="1" si="183"/>
        <v>0</v>
      </c>
      <c r="CN201" s="331">
        <f t="shared" ca="1" si="223"/>
        <v>-8342011</v>
      </c>
      <c r="CO201" s="86"/>
      <c r="CP201" s="86"/>
      <c r="CQ201" s="1641"/>
      <c r="CR201" s="86"/>
      <c r="CS201" s="86"/>
      <c r="CT201" s="86"/>
      <c r="CU201" s="86"/>
      <c r="CV201" s="86"/>
      <c r="CW201" s="86"/>
      <c r="CX201" s="86"/>
      <c r="CY201" s="86"/>
      <c r="CZ201" s="86"/>
      <c r="DA201" s="86"/>
      <c r="DB201" s="1642"/>
      <c r="DC201" s="1642"/>
      <c r="DD201" s="30"/>
      <c r="DE201" s="30"/>
      <c r="DF201" s="30"/>
      <c r="DG201" s="1642"/>
      <c r="DH201" s="1642"/>
      <c r="DI201" s="1642"/>
      <c r="DJ201" s="1642"/>
      <c r="DK201" s="1642"/>
      <c r="DL201" s="1642"/>
      <c r="DM201" s="1642"/>
      <c r="DN201" s="1642"/>
      <c r="DO201" s="1642"/>
      <c r="DP201" s="1642"/>
      <c r="DQ201" s="1642"/>
      <c r="DR201" s="1642"/>
      <c r="DS201" s="1642"/>
      <c r="DT201" s="1642"/>
      <c r="DU201" s="1642"/>
      <c r="DV201" s="1642"/>
      <c r="DW201" s="1642"/>
      <c r="DX201" s="1642"/>
      <c r="DY201" s="1642"/>
      <c r="DZ201" s="1642"/>
      <c r="EA201" s="1642"/>
      <c r="EB201" s="1642"/>
      <c r="EC201" s="1642"/>
      <c r="ED201" s="1642"/>
      <c r="EE201" s="1642"/>
      <c r="EF201" s="1642"/>
      <c r="EG201" s="1642"/>
      <c r="EH201" s="1643"/>
      <c r="EI201" s="1658"/>
      <c r="EJ201" s="1642"/>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0"/>
      <c r="HP201" s="30"/>
      <c r="HQ201" s="30"/>
      <c r="HR201" s="30"/>
      <c r="HS201" s="30"/>
      <c r="HT201" s="30"/>
      <c r="HU201" s="30"/>
      <c r="HV201" s="30"/>
      <c r="HW201" s="30"/>
      <c r="HX201" s="30"/>
      <c r="HY201" s="30"/>
      <c r="HZ201" s="30"/>
      <c r="IA201" s="30"/>
      <c r="IB201" s="30"/>
      <c r="IC201" s="30"/>
      <c r="ID201" s="30"/>
      <c r="IE201" s="30"/>
      <c r="IF201" s="30"/>
      <c r="IG201" s="30"/>
      <c r="IH201" s="30"/>
      <c r="II201" s="30"/>
      <c r="IJ201" s="30"/>
      <c r="IK201" s="30"/>
      <c r="IL201" s="30"/>
      <c r="IM201" s="30"/>
      <c r="IN201" s="30"/>
      <c r="IO201" s="30"/>
      <c r="IP201" s="30"/>
      <c r="IQ201" s="30"/>
      <c r="IR201" s="30"/>
      <c r="IS201" s="30"/>
      <c r="IT201" s="30"/>
      <c r="IU201" s="30"/>
      <c r="IV201" s="30"/>
      <c r="IW201" s="30"/>
      <c r="IX201" s="30"/>
      <c r="IY201" s="30"/>
      <c r="IZ201" s="30"/>
      <c r="JA201" s="30"/>
      <c r="JB201" s="30"/>
      <c r="JC201" s="30"/>
      <c r="JD201" s="30"/>
      <c r="JE201" s="30"/>
      <c r="JF201" s="30"/>
      <c r="JG201" s="30"/>
      <c r="JH201" s="30"/>
      <c r="JI201" s="30"/>
      <c r="JJ201" s="30"/>
      <c r="JK201" s="30"/>
      <c r="JL201" s="30"/>
      <c r="JM201" s="30"/>
      <c r="JN201" s="30"/>
      <c r="JO201" s="30"/>
      <c r="JP201" s="30"/>
      <c r="JQ201" s="30"/>
      <c r="JR201" s="30"/>
      <c r="JS201" s="30"/>
      <c r="JT201" s="30"/>
      <c r="JU201" s="30"/>
      <c r="JV201" s="30"/>
      <c r="JW201" s="30"/>
      <c r="JX201" s="30"/>
      <c r="JY201" s="30"/>
      <c r="JZ201" s="30"/>
      <c r="KA201" s="30"/>
      <c r="KB201" s="30"/>
      <c r="KC201" s="30"/>
      <c r="KD201" s="30"/>
      <c r="KE201" s="30"/>
      <c r="KF201" s="30"/>
      <c r="KG201" s="30"/>
      <c r="KH201" s="30"/>
      <c r="KI201" s="30"/>
      <c r="KJ201" s="30"/>
      <c r="KK201" s="30"/>
      <c r="KL201" s="30"/>
      <c r="KM201" s="30"/>
      <c r="KN201" s="30"/>
      <c r="KO201" s="30"/>
      <c r="KP201" s="1630"/>
    </row>
    <row r="202" spans="1:302" s="97" customFormat="1" ht="18.75" customHeight="1" outlineLevel="1">
      <c r="A202" s="2661" t="s">
        <v>1438</v>
      </c>
      <c r="B202" s="2609"/>
      <c r="C202" s="2582" t="s">
        <v>1440</v>
      </c>
      <c r="D202" s="2582"/>
      <c r="E202" s="376"/>
      <c r="F202" s="347"/>
      <c r="G202" s="348"/>
      <c r="H202" s="349" t="s">
        <v>26</v>
      </c>
      <c r="I202" s="2940"/>
      <c r="J202" s="362" t="s">
        <v>26</v>
      </c>
      <c r="K202" s="1745"/>
      <c r="L202" s="383"/>
      <c r="M202" s="383"/>
      <c r="N202" s="383"/>
      <c r="O202" s="1510"/>
      <c r="P202" s="383"/>
      <c r="Q202" s="383"/>
      <c r="R202" s="383"/>
      <c r="S202" s="1510">
        <f t="shared" si="241"/>
        <v>0</v>
      </c>
      <c r="T202" s="1509"/>
      <c r="U202" s="1746"/>
      <c r="V202" s="1746"/>
      <c r="W202" s="1510"/>
      <c r="X202" s="362" t="s">
        <v>26</v>
      </c>
      <c r="Y202" s="1509"/>
      <c r="Z202" s="1746"/>
      <c r="AA202" s="1746"/>
      <c r="AB202" s="1510">
        <f t="shared" si="236"/>
        <v>45990000</v>
      </c>
      <c r="AC202" s="1444" t="s">
        <v>1439</v>
      </c>
      <c r="AD202" s="1680">
        <v>4503036513</v>
      </c>
      <c r="AE202" s="1688" t="s">
        <v>564</v>
      </c>
      <c r="AF202" s="1686">
        <v>45990000</v>
      </c>
      <c r="AG202" s="2899">
        <v>1</v>
      </c>
      <c r="AH202" s="354">
        <f t="shared" si="250"/>
        <v>45990000</v>
      </c>
      <c r="AI202" s="355">
        <f t="shared" ref="AI202" ca="1" si="251">SUMIF($AM$10:$BZ$10,$AI$9,AM202:BT202)</f>
        <v>0</v>
      </c>
      <c r="AJ202" s="356">
        <f t="shared" ref="AJ202" ca="1" si="252">IF($AB202&lt;&gt;0,AI202/$AB202,"")</f>
        <v>0</v>
      </c>
      <c r="AK202" s="2185"/>
      <c r="AL202" s="2063"/>
      <c r="AM202" s="2262"/>
      <c r="AN202" s="2262"/>
      <c r="AO202" s="1509"/>
      <c r="AP202" s="384"/>
      <c r="AQ202" s="1509"/>
      <c r="AR202" s="362"/>
      <c r="AS202" s="362"/>
      <c r="AT202" s="385">
        <v>1000000</v>
      </c>
      <c r="AU202" s="359"/>
      <c r="AV202" s="359">
        <v>2036890.11</v>
      </c>
      <c r="AW202" s="377">
        <v>6036890.1100000003</v>
      </c>
      <c r="AX202" s="362">
        <v>6036890.1100000003</v>
      </c>
      <c r="AY202" s="385">
        <v>4036890.11</v>
      </c>
      <c r="AZ202" s="2256">
        <v>6036890.1100000003</v>
      </c>
      <c r="BA202" s="359">
        <v>4036890.11</v>
      </c>
      <c r="BB202" s="359">
        <v>4036890.11</v>
      </c>
      <c r="BC202" s="359">
        <v>4036890.11</v>
      </c>
      <c r="BD202" s="359">
        <f>7036890.12-342011</f>
        <v>6694879.1200000001</v>
      </c>
      <c r="BE202" s="362"/>
      <c r="BF202" s="362"/>
      <c r="BG202" s="362"/>
      <c r="BH202" s="362"/>
      <c r="BI202" s="362"/>
      <c r="BJ202" s="362"/>
      <c r="BK202" s="2123">
        <v>2000000</v>
      </c>
      <c r="BL202" s="414"/>
      <c r="BM202" s="414"/>
      <c r="BN202" s="414"/>
      <c r="BO202" s="414"/>
      <c r="BP202" s="414"/>
      <c r="BQ202" s="2399"/>
      <c r="BR202" s="362"/>
      <c r="BS202" s="362"/>
      <c r="BT202" s="362"/>
      <c r="BU202" s="364"/>
      <c r="BV202" s="364"/>
      <c r="BW202" s="2366"/>
      <c r="BX202" s="2463"/>
      <c r="BY202" s="2543"/>
      <c r="BZ202" s="2543"/>
      <c r="CA202" s="2432">
        <f t="shared" ref="CA202:CA203" si="253">SUMIF($AM$10:$BZ$10,$CA$9,AM202:BZ202)</f>
        <v>45990000</v>
      </c>
      <c r="CB202" s="2377">
        <f t="shared" ref="CB202:CB203" si="254">IF($AB202&lt;&gt;0,CA202/$AB202,"")</f>
        <v>1</v>
      </c>
      <c r="CC202" s="365">
        <f t="shared" ref="CC202:CC203" si="255">IF($AB202&lt;&gt;0,CB202/$AB202,"")</f>
        <v>2.1743857360295718E-8</v>
      </c>
      <c r="CD202" s="366"/>
      <c r="CE202" s="343"/>
      <c r="CF202" s="343"/>
      <c r="CG202" s="340"/>
      <c r="CH202" s="367"/>
      <c r="CI202" s="368"/>
      <c r="CJ202" s="368"/>
      <c r="CK202" s="369"/>
      <c r="CL202" s="329">
        <f t="shared" ref="CL202:CL203" si="256">O202-CA202</f>
        <v>-45990000</v>
      </c>
      <c r="CM202" s="330">
        <f t="shared" ref="CM202:CM203" ca="1" si="257">CA202+AI202-AB202</f>
        <v>0</v>
      </c>
      <c r="CN202" s="331"/>
      <c r="CO202" s="86"/>
      <c r="CP202" s="86"/>
      <c r="CQ202" s="1641"/>
      <c r="CR202" s="86"/>
      <c r="CS202" s="86"/>
      <c r="CT202" s="86"/>
      <c r="CU202" s="86"/>
      <c r="CV202" s="86"/>
      <c r="CW202" s="86"/>
      <c r="CX202" s="86"/>
      <c r="CY202" s="86"/>
      <c r="CZ202" s="86"/>
      <c r="DA202" s="86"/>
      <c r="DB202" s="1642"/>
      <c r="DC202" s="1642"/>
      <c r="DD202" s="30"/>
      <c r="DE202" s="30"/>
      <c r="DF202" s="30"/>
      <c r="DG202" s="1642"/>
      <c r="DH202" s="1642"/>
      <c r="DI202" s="1642"/>
      <c r="DJ202" s="1642"/>
      <c r="DK202" s="1642"/>
      <c r="DL202" s="1642"/>
      <c r="DM202" s="1642"/>
      <c r="DN202" s="1642"/>
      <c r="DO202" s="1642"/>
      <c r="DP202" s="1642"/>
      <c r="DQ202" s="1642"/>
      <c r="DR202" s="1642"/>
      <c r="DS202" s="1642"/>
      <c r="DT202" s="1642"/>
      <c r="DU202" s="1642"/>
      <c r="DV202" s="1642"/>
      <c r="DW202" s="1642"/>
      <c r="DX202" s="1642"/>
      <c r="DY202" s="1642"/>
      <c r="DZ202" s="1642"/>
      <c r="EA202" s="1642"/>
      <c r="EB202" s="1642"/>
      <c r="EC202" s="1642"/>
      <c r="ED202" s="1642"/>
      <c r="EE202" s="1642"/>
      <c r="EF202" s="1642"/>
      <c r="EG202" s="1642"/>
      <c r="EH202" s="1643"/>
      <c r="EI202" s="1658"/>
      <c r="EJ202" s="1642"/>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0"/>
      <c r="HP202" s="30"/>
      <c r="HQ202" s="30"/>
      <c r="HR202" s="30"/>
      <c r="HS202" s="30"/>
      <c r="HT202" s="30"/>
      <c r="HU202" s="30"/>
      <c r="HV202" s="30"/>
      <c r="HW202" s="30"/>
      <c r="HX202" s="30"/>
      <c r="HY202" s="30"/>
      <c r="HZ202" s="30"/>
      <c r="IA202" s="30"/>
      <c r="IB202" s="30"/>
      <c r="IC202" s="30"/>
      <c r="ID202" s="30"/>
      <c r="IE202" s="30"/>
      <c r="IF202" s="30"/>
      <c r="IG202" s="30"/>
      <c r="IH202" s="30"/>
      <c r="II202" s="30"/>
      <c r="IJ202" s="30"/>
      <c r="IK202" s="30"/>
      <c r="IL202" s="30"/>
      <c r="IM202" s="30"/>
      <c r="IN202" s="30"/>
      <c r="IO202" s="30"/>
      <c r="IP202" s="30"/>
      <c r="IQ202" s="30"/>
      <c r="IR202" s="30"/>
      <c r="IS202" s="30"/>
      <c r="IT202" s="30"/>
      <c r="IU202" s="30"/>
      <c r="IV202" s="30"/>
      <c r="IW202" s="30"/>
      <c r="IX202" s="30"/>
      <c r="IY202" s="30"/>
      <c r="IZ202" s="30"/>
      <c r="JA202" s="30"/>
      <c r="JB202" s="30"/>
      <c r="JC202" s="30"/>
      <c r="JD202" s="30"/>
      <c r="JE202" s="30"/>
      <c r="JF202" s="30"/>
      <c r="JG202" s="30"/>
      <c r="JH202" s="30"/>
      <c r="JI202" s="30"/>
      <c r="JJ202" s="30"/>
      <c r="JK202" s="30"/>
      <c r="JL202" s="30"/>
      <c r="JM202" s="30"/>
      <c r="JN202" s="30"/>
      <c r="JO202" s="30"/>
      <c r="JP202" s="30"/>
      <c r="JQ202" s="30"/>
      <c r="JR202" s="30"/>
      <c r="JS202" s="30"/>
      <c r="JT202" s="30"/>
      <c r="JU202" s="30"/>
      <c r="JV202" s="30"/>
      <c r="JW202" s="30"/>
      <c r="JX202" s="30"/>
      <c r="JY202" s="30"/>
      <c r="JZ202" s="30"/>
      <c r="KA202" s="30"/>
      <c r="KB202" s="30"/>
      <c r="KC202" s="30"/>
      <c r="KD202" s="30"/>
      <c r="KE202" s="30"/>
      <c r="KF202" s="30"/>
      <c r="KG202" s="30"/>
      <c r="KH202" s="30"/>
      <c r="KI202" s="30"/>
      <c r="KJ202" s="30"/>
      <c r="KK202" s="30"/>
      <c r="KL202" s="30"/>
      <c r="KM202" s="30"/>
      <c r="KN202" s="30"/>
      <c r="KO202" s="30"/>
      <c r="KP202" s="1630"/>
    </row>
    <row r="203" spans="1:302" s="97" customFormat="1" ht="21" customHeight="1" outlineLevel="1">
      <c r="A203" s="2661" t="s">
        <v>931</v>
      </c>
      <c r="B203" s="2609"/>
      <c r="C203" s="2582" t="s">
        <v>942</v>
      </c>
      <c r="D203" s="2582" t="s">
        <v>955</v>
      </c>
      <c r="E203" s="376"/>
      <c r="F203" s="347"/>
      <c r="G203" s="348"/>
      <c r="H203" s="349" t="s">
        <v>26</v>
      </c>
      <c r="I203" s="2940"/>
      <c r="J203" s="362" t="s">
        <v>26</v>
      </c>
      <c r="K203" s="1745"/>
      <c r="L203" s="383"/>
      <c r="M203" s="383"/>
      <c r="N203" s="383"/>
      <c r="O203" s="1510">
        <v>6374147</v>
      </c>
      <c r="P203" s="383"/>
      <c r="Q203" s="383"/>
      <c r="R203" s="383"/>
      <c r="S203" s="1510">
        <f t="shared" si="241"/>
        <v>0</v>
      </c>
      <c r="T203" s="1509"/>
      <c r="U203" s="1746"/>
      <c r="V203" s="1746"/>
      <c r="W203" s="1510">
        <f t="shared" si="235"/>
        <v>6374147</v>
      </c>
      <c r="X203" s="362" t="s">
        <v>26</v>
      </c>
      <c r="Y203" s="1509"/>
      <c r="Z203" s="1746"/>
      <c r="AA203" s="1746"/>
      <c r="AB203" s="1510">
        <f t="shared" si="236"/>
        <v>6374147</v>
      </c>
      <c r="AC203" s="1442"/>
      <c r="AD203" s="1457"/>
      <c r="AE203" s="352"/>
      <c r="AF203" s="353"/>
      <c r="AG203" s="353"/>
      <c r="AH203" s="354">
        <f t="shared" si="250"/>
        <v>0</v>
      </c>
      <c r="AI203" s="355">
        <f t="shared" ca="1" si="232"/>
        <v>0</v>
      </c>
      <c r="AJ203" s="356">
        <f t="shared" ca="1" si="227"/>
        <v>0</v>
      </c>
      <c r="AK203" s="2185"/>
      <c r="AL203" s="2063"/>
      <c r="AM203" s="2262"/>
      <c r="AN203" s="2262"/>
      <c r="AO203" s="1509"/>
      <c r="AP203" s="1509"/>
      <c r="AQ203" s="362"/>
      <c r="AR203" s="362"/>
      <c r="AS203" s="362"/>
      <c r="AT203" s="390"/>
      <c r="AU203" s="377"/>
      <c r="AV203" s="377"/>
      <c r="AW203" s="359">
        <v>1274829.3999999999</v>
      </c>
      <c r="AX203" s="362">
        <v>1274829.3999999999</v>
      </c>
      <c r="AY203" s="390">
        <v>1274829.3999999999</v>
      </c>
      <c r="AZ203" s="2273">
        <v>1274829.3999999999</v>
      </c>
      <c r="BA203" s="497"/>
      <c r="BB203" s="1509"/>
      <c r="BC203" s="362"/>
      <c r="BD203" s="362">
        <v>1274829.3999999999</v>
      </c>
      <c r="BE203" s="362"/>
      <c r="BF203" s="362"/>
      <c r="BG203" s="362"/>
      <c r="BH203" s="362"/>
      <c r="BI203" s="1515"/>
      <c r="BJ203" s="362"/>
      <c r="BK203" s="2123"/>
      <c r="BL203" s="414"/>
      <c r="BM203" s="414"/>
      <c r="BN203" s="414"/>
      <c r="BO203" s="414"/>
      <c r="BP203" s="414"/>
      <c r="BQ203" s="2399"/>
      <c r="BR203" s="362"/>
      <c r="BS203" s="362"/>
      <c r="BT203" s="362"/>
      <c r="BU203" s="364"/>
      <c r="BV203" s="364"/>
      <c r="BW203" s="2366"/>
      <c r="BX203" s="2463"/>
      <c r="BY203" s="2543"/>
      <c r="BZ203" s="2543"/>
      <c r="CA203" s="2432">
        <f t="shared" si="253"/>
        <v>6374147</v>
      </c>
      <c r="CB203" s="2377">
        <f t="shared" si="254"/>
        <v>1</v>
      </c>
      <c r="CC203" s="365">
        <f t="shared" si="255"/>
        <v>1.5688373675724768E-7</v>
      </c>
      <c r="CD203" s="366"/>
      <c r="CE203" s="343"/>
      <c r="CF203" s="343"/>
      <c r="CG203" s="340"/>
      <c r="CH203" s="367"/>
      <c r="CI203" s="368"/>
      <c r="CJ203" s="368"/>
      <c r="CK203" s="369"/>
      <c r="CL203" s="329">
        <f t="shared" si="256"/>
        <v>0</v>
      </c>
      <c r="CM203" s="330">
        <f t="shared" ca="1" si="257"/>
        <v>0</v>
      </c>
      <c r="CN203" s="331">
        <f t="shared" ca="1" si="223"/>
        <v>-2549658.8000000003</v>
      </c>
      <c r="CO203" s="86"/>
      <c r="CP203" s="86"/>
      <c r="CQ203" s="1641"/>
      <c r="CR203" s="86"/>
      <c r="CS203" s="86"/>
      <c r="CT203" s="86"/>
      <c r="CU203" s="86"/>
      <c r="CV203" s="86"/>
      <c r="CW203" s="86"/>
      <c r="CX203" s="86"/>
      <c r="CY203" s="86"/>
      <c r="CZ203" s="86"/>
      <c r="DA203" s="86"/>
      <c r="DB203" s="1642"/>
      <c r="DC203" s="1642"/>
      <c r="DD203" s="30"/>
      <c r="DE203" s="30"/>
      <c r="DF203" s="30"/>
      <c r="DG203" s="1642"/>
      <c r="DH203" s="1642"/>
      <c r="DI203" s="1642"/>
      <c r="DJ203" s="1642"/>
      <c r="DK203" s="1642"/>
      <c r="DL203" s="1642"/>
      <c r="DM203" s="1642"/>
      <c r="DN203" s="1642"/>
      <c r="DO203" s="1642"/>
      <c r="DP203" s="1642"/>
      <c r="DQ203" s="1642"/>
      <c r="DR203" s="1642"/>
      <c r="DS203" s="1642"/>
      <c r="DT203" s="1642"/>
      <c r="DU203" s="1642"/>
      <c r="DV203" s="1642"/>
      <c r="DW203" s="1642"/>
      <c r="DX203" s="1642"/>
      <c r="DY203" s="1642"/>
      <c r="DZ203" s="1642"/>
      <c r="EA203" s="1642"/>
      <c r="EB203" s="1642"/>
      <c r="EC203" s="1642"/>
      <c r="ED203" s="1642"/>
      <c r="EE203" s="1642"/>
      <c r="EF203" s="1642"/>
      <c r="EG203" s="1642"/>
      <c r="EH203" s="1643"/>
      <c r="EI203" s="1658"/>
      <c r="EJ203" s="1642"/>
      <c r="EK203" s="30"/>
      <c r="EL203" s="30"/>
      <c r="EM203" s="30"/>
      <c r="EN203" s="30"/>
      <c r="EO203" s="30"/>
      <c r="EP203" s="30"/>
      <c r="EQ203" s="30"/>
      <c r="ER203" s="30"/>
      <c r="ES203" s="30"/>
      <c r="ET203" s="30"/>
      <c r="EU203" s="30"/>
      <c r="EV203" s="30"/>
      <c r="EW203" s="30"/>
      <c r="EX203" s="30"/>
      <c r="EY203" s="30"/>
      <c r="EZ203" s="30"/>
      <c r="FA203" s="30"/>
      <c r="FB203" s="30"/>
      <c r="FC203" s="30"/>
      <c r="FD203" s="30"/>
      <c r="FE203" s="30"/>
      <c r="FF203" s="30"/>
      <c r="FG203" s="30"/>
      <c r="FH203" s="30"/>
      <c r="FI203" s="30"/>
      <c r="FJ203" s="30"/>
      <c r="FK203" s="30"/>
      <c r="FL203" s="30"/>
      <c r="FM203" s="30"/>
      <c r="FN203" s="30"/>
      <c r="FO203" s="30"/>
      <c r="FP203" s="30"/>
      <c r="FQ203" s="30"/>
      <c r="FR203" s="30"/>
      <c r="FS203" s="30"/>
      <c r="FT203" s="30"/>
      <c r="FU203" s="30"/>
      <c r="FV203" s="30"/>
      <c r="FW203" s="30"/>
      <c r="FX203" s="30"/>
      <c r="FY203" s="30"/>
      <c r="FZ203" s="30"/>
      <c r="GA203" s="30"/>
      <c r="GB203" s="30"/>
      <c r="GC203" s="30"/>
      <c r="GD203" s="30"/>
      <c r="GE203" s="30"/>
      <c r="GF203" s="30"/>
      <c r="GG203" s="30"/>
      <c r="GH203" s="30"/>
      <c r="GI203" s="30"/>
      <c r="GJ203" s="30"/>
      <c r="GK203" s="30"/>
      <c r="GL203" s="30"/>
      <c r="GM203" s="30"/>
      <c r="GN203" s="30"/>
      <c r="GO203" s="30"/>
      <c r="GP203" s="30"/>
      <c r="GQ203" s="30"/>
      <c r="GR203" s="30"/>
      <c r="GS203" s="30"/>
      <c r="GT203" s="30"/>
      <c r="GU203" s="30"/>
      <c r="GV203" s="30"/>
      <c r="GW203" s="30"/>
      <c r="GX203" s="30"/>
      <c r="GY203" s="30"/>
      <c r="GZ203" s="30"/>
      <c r="HA203" s="30"/>
      <c r="HB203" s="30"/>
      <c r="HC203" s="30"/>
      <c r="HD203" s="30"/>
      <c r="HE203" s="30"/>
      <c r="HF203" s="30"/>
      <c r="HG203" s="30"/>
      <c r="HH203" s="30"/>
      <c r="HI203" s="30"/>
      <c r="HJ203" s="30"/>
      <c r="HK203" s="30"/>
      <c r="HL203" s="30"/>
      <c r="HM203" s="30"/>
      <c r="HN203" s="30"/>
      <c r="HO203" s="30"/>
      <c r="HP203" s="30"/>
      <c r="HQ203" s="30"/>
      <c r="HR203" s="30"/>
      <c r="HS203" s="30"/>
      <c r="HT203" s="30"/>
      <c r="HU203" s="30"/>
      <c r="HV203" s="30"/>
      <c r="HW203" s="30"/>
      <c r="HX203" s="30"/>
      <c r="HY203" s="30"/>
      <c r="HZ203" s="30"/>
      <c r="IA203" s="30"/>
      <c r="IB203" s="30"/>
      <c r="IC203" s="30"/>
      <c r="ID203" s="30"/>
      <c r="IE203" s="30"/>
      <c r="IF203" s="30"/>
      <c r="IG203" s="30"/>
      <c r="IH203" s="30"/>
      <c r="II203" s="30"/>
      <c r="IJ203" s="30"/>
      <c r="IK203" s="30"/>
      <c r="IL203" s="30"/>
      <c r="IM203" s="30"/>
      <c r="IN203" s="30"/>
      <c r="IO203" s="30"/>
      <c r="IP203" s="30"/>
      <c r="IQ203" s="30"/>
      <c r="IR203" s="30"/>
      <c r="IS203" s="30"/>
      <c r="IT203" s="30"/>
      <c r="IU203" s="30"/>
      <c r="IV203" s="30"/>
      <c r="IW203" s="30"/>
      <c r="IX203" s="30"/>
      <c r="IY203" s="30"/>
      <c r="IZ203" s="30"/>
      <c r="JA203" s="30"/>
      <c r="JB203" s="30"/>
      <c r="JC203" s="30"/>
      <c r="JD203" s="30"/>
      <c r="JE203" s="30"/>
      <c r="JF203" s="30"/>
      <c r="JG203" s="30"/>
      <c r="JH203" s="30"/>
      <c r="JI203" s="30"/>
      <c r="JJ203" s="30"/>
      <c r="JK203" s="30"/>
      <c r="JL203" s="30"/>
      <c r="JM203" s="30"/>
      <c r="JN203" s="30"/>
      <c r="JO203" s="30"/>
      <c r="JP203" s="30"/>
      <c r="JQ203" s="30"/>
      <c r="JR203" s="30"/>
      <c r="JS203" s="30"/>
      <c r="JT203" s="30"/>
      <c r="JU203" s="30"/>
      <c r="JV203" s="30"/>
      <c r="JW203" s="30"/>
      <c r="JX203" s="30"/>
      <c r="JY203" s="30"/>
      <c r="JZ203" s="30"/>
      <c r="KA203" s="30"/>
      <c r="KB203" s="30"/>
      <c r="KC203" s="30"/>
      <c r="KD203" s="30"/>
      <c r="KE203" s="30"/>
      <c r="KF203" s="30"/>
      <c r="KG203" s="30"/>
      <c r="KH203" s="30"/>
      <c r="KI203" s="30"/>
      <c r="KJ203" s="30"/>
      <c r="KK203" s="30"/>
      <c r="KL203" s="30"/>
      <c r="KM203" s="30"/>
      <c r="KN203" s="30"/>
      <c r="KO203" s="30"/>
      <c r="KP203" s="1630"/>
    </row>
    <row r="204" spans="1:302" s="97" customFormat="1" ht="31.5" customHeight="1" outlineLevel="1">
      <c r="A204" s="2661" t="s">
        <v>932</v>
      </c>
      <c r="B204" s="2609"/>
      <c r="C204" s="2582" t="s">
        <v>943</v>
      </c>
      <c r="D204" s="2582" t="s">
        <v>956</v>
      </c>
      <c r="E204" s="376"/>
      <c r="F204" s="347"/>
      <c r="G204" s="348"/>
      <c r="H204" s="349" t="s">
        <v>26</v>
      </c>
      <c r="I204" s="2940"/>
      <c r="J204" s="362" t="s">
        <v>26</v>
      </c>
      <c r="K204" s="1745"/>
      <c r="L204" s="383"/>
      <c r="M204" s="383"/>
      <c r="N204" s="383"/>
      <c r="O204" s="1510">
        <v>4260000</v>
      </c>
      <c r="P204" s="383"/>
      <c r="Q204" s="383"/>
      <c r="R204" s="383"/>
      <c r="S204" s="1510">
        <f t="shared" si="241"/>
        <v>0</v>
      </c>
      <c r="T204" s="1509"/>
      <c r="U204" s="1746"/>
      <c r="V204" s="1746"/>
      <c r="W204" s="1510">
        <f t="shared" si="235"/>
        <v>4260000</v>
      </c>
      <c r="X204" s="362" t="s">
        <v>26</v>
      </c>
      <c r="Y204" s="1509"/>
      <c r="Z204" s="1746"/>
      <c r="AA204" s="1746"/>
      <c r="AB204" s="1510">
        <f t="shared" si="236"/>
        <v>4260000</v>
      </c>
      <c r="AC204" s="1442"/>
      <c r="AD204" s="1457"/>
      <c r="AE204" s="352"/>
      <c r="AF204" s="353"/>
      <c r="AG204" s="353"/>
      <c r="AH204" s="354">
        <f t="shared" si="242"/>
        <v>0</v>
      </c>
      <c r="AI204" s="355">
        <f t="shared" ca="1" si="232"/>
        <v>0</v>
      </c>
      <c r="AJ204" s="356">
        <f t="shared" ca="1" si="227"/>
        <v>0</v>
      </c>
      <c r="AK204" s="2185"/>
      <c r="AL204" s="2063"/>
      <c r="AM204" s="2262"/>
      <c r="AN204" s="2262"/>
      <c r="AO204" s="1509"/>
      <c r="AP204" s="384"/>
      <c r="AQ204" s="1509"/>
      <c r="AR204" s="362"/>
      <c r="AS204" s="362"/>
      <c r="AT204" s="385"/>
      <c r="AU204" s="359"/>
      <c r="AV204" s="359"/>
      <c r="AW204" s="377"/>
      <c r="AX204" s="362"/>
      <c r="AY204" s="385"/>
      <c r="AZ204" s="2273"/>
      <c r="BA204" s="359">
        <v>710000</v>
      </c>
      <c r="BB204" s="359">
        <v>710000</v>
      </c>
      <c r="BC204" s="359">
        <v>710000</v>
      </c>
      <c r="BD204" s="359">
        <v>710000</v>
      </c>
      <c r="BE204" s="362">
        <v>710000</v>
      </c>
      <c r="BF204" s="362">
        <v>710000</v>
      </c>
      <c r="BG204" s="362"/>
      <c r="BH204" s="362"/>
      <c r="BI204" s="414"/>
      <c r="BJ204" s="362"/>
      <c r="BK204" s="2123"/>
      <c r="BL204" s="414"/>
      <c r="BM204" s="414"/>
      <c r="BN204" s="414"/>
      <c r="BO204" s="414"/>
      <c r="BP204" s="414"/>
      <c r="BQ204" s="2399"/>
      <c r="BR204" s="362"/>
      <c r="BS204" s="362"/>
      <c r="BT204" s="362"/>
      <c r="BU204" s="364"/>
      <c r="BV204" s="364"/>
      <c r="BW204" s="2366"/>
      <c r="BX204" s="2463"/>
      <c r="BY204" s="2543"/>
      <c r="BZ204" s="2543"/>
      <c r="CA204" s="2432">
        <f t="shared" si="243"/>
        <v>4260000</v>
      </c>
      <c r="CB204" s="2377">
        <f t="shared" si="244"/>
        <v>1</v>
      </c>
      <c r="CC204" s="365">
        <f t="shared" si="245"/>
        <v>2.3474178403755869E-7</v>
      </c>
      <c r="CD204" s="365">
        <f t="shared" ref="CD204:CD235" si="258">IF($AB204&lt;&gt;0,CC204/$AB204,"")</f>
        <v>5.5103705173135842E-14</v>
      </c>
      <c r="CE204" s="365">
        <f t="shared" ref="CE204:CE235" si="259">IF($AB204&lt;&gt;0,CD204/$AB204,"")</f>
        <v>1.2935142059421559E-20</v>
      </c>
      <c r="CF204" s="365">
        <f t="shared" ref="CF204:CF235" si="260">IF($AB204&lt;&gt;0,CE204/$AB204,"")</f>
        <v>3.0364183238078775E-27</v>
      </c>
      <c r="CG204" s="340"/>
      <c r="CH204" s="367"/>
      <c r="CI204" s="368"/>
      <c r="CJ204" s="368"/>
      <c r="CK204" s="369"/>
      <c r="CL204" s="329">
        <f t="shared" si="182"/>
        <v>0</v>
      </c>
      <c r="CM204" s="330">
        <f t="shared" ca="1" si="183"/>
        <v>0</v>
      </c>
      <c r="CN204" s="331">
        <f t="shared" ca="1" si="223"/>
        <v>-4260000</v>
      </c>
      <c r="CO204" s="86"/>
      <c r="CP204" s="86"/>
      <c r="CQ204" s="1641"/>
      <c r="CR204" s="86"/>
      <c r="CS204" s="86"/>
      <c r="CT204" s="86"/>
      <c r="CU204" s="86"/>
      <c r="CV204" s="86"/>
      <c r="CW204" s="86"/>
      <c r="CX204" s="86"/>
      <c r="CY204" s="86"/>
      <c r="CZ204" s="86"/>
      <c r="DA204" s="86"/>
      <c r="DB204" s="1642"/>
      <c r="DC204" s="1642"/>
      <c r="DD204" s="30"/>
      <c r="DE204" s="30"/>
      <c r="DF204" s="30"/>
      <c r="DG204" s="1642"/>
      <c r="DH204" s="1642"/>
      <c r="DI204" s="1642"/>
      <c r="DJ204" s="1642"/>
      <c r="DK204" s="1642"/>
      <c r="DL204" s="1642"/>
      <c r="DM204" s="1642"/>
      <c r="DN204" s="1642"/>
      <c r="DO204" s="1642"/>
      <c r="DP204" s="1642"/>
      <c r="DQ204" s="1642"/>
      <c r="DR204" s="1642"/>
      <c r="DS204" s="1642"/>
      <c r="DT204" s="1642"/>
      <c r="DU204" s="1642"/>
      <c r="DV204" s="1642"/>
      <c r="DW204" s="1642"/>
      <c r="DX204" s="1642"/>
      <c r="DY204" s="1642"/>
      <c r="DZ204" s="1642"/>
      <c r="EA204" s="1642"/>
      <c r="EB204" s="1642"/>
      <c r="EC204" s="1642"/>
      <c r="ED204" s="1642"/>
      <c r="EE204" s="1642"/>
      <c r="EF204" s="1642"/>
      <c r="EG204" s="1642"/>
      <c r="EH204" s="1643"/>
      <c r="EI204" s="1658"/>
      <c r="EJ204" s="1642"/>
      <c r="EK204" s="30"/>
      <c r="EL204" s="30"/>
      <c r="EM204" s="30"/>
      <c r="EN204" s="30"/>
      <c r="EO204" s="30"/>
      <c r="EP204" s="30"/>
      <c r="EQ204" s="30"/>
      <c r="ER204" s="30"/>
      <c r="ES204" s="30"/>
      <c r="ET204" s="30"/>
      <c r="EU204" s="30"/>
      <c r="EV204" s="30"/>
      <c r="EW204" s="30"/>
      <c r="EX204" s="30"/>
      <c r="EY204" s="30"/>
      <c r="EZ204" s="30"/>
      <c r="FA204" s="30"/>
      <c r="FB204" s="30"/>
      <c r="FC204" s="30"/>
      <c r="FD204" s="30"/>
      <c r="FE204" s="30"/>
      <c r="FF204" s="30"/>
      <c r="FG204" s="30"/>
      <c r="FH204" s="30"/>
      <c r="FI204" s="30"/>
      <c r="FJ204" s="30"/>
      <c r="FK204" s="30"/>
      <c r="FL204" s="30"/>
      <c r="FM204" s="30"/>
      <c r="FN204" s="30"/>
      <c r="FO204" s="30"/>
      <c r="FP204" s="30"/>
      <c r="FQ204" s="30"/>
      <c r="FR204" s="30"/>
      <c r="FS204" s="30"/>
      <c r="FT204" s="30"/>
      <c r="FU204" s="30"/>
      <c r="FV204" s="30"/>
      <c r="FW204" s="30"/>
      <c r="FX204" s="30"/>
      <c r="FY204" s="30"/>
      <c r="FZ204" s="30"/>
      <c r="GA204" s="30"/>
      <c r="GB204" s="30"/>
      <c r="GC204" s="30"/>
      <c r="GD204" s="30"/>
      <c r="GE204" s="30"/>
      <c r="GF204" s="30"/>
      <c r="GG204" s="30"/>
      <c r="GH204" s="30"/>
      <c r="GI204" s="30"/>
      <c r="GJ204" s="30"/>
      <c r="GK204" s="30"/>
      <c r="GL204" s="30"/>
      <c r="GM204" s="30"/>
      <c r="GN204" s="30"/>
      <c r="GO204" s="30"/>
      <c r="GP204" s="30"/>
      <c r="GQ204" s="30"/>
      <c r="GR204" s="30"/>
      <c r="GS204" s="30"/>
      <c r="GT204" s="30"/>
      <c r="GU204" s="30"/>
      <c r="GV204" s="30"/>
      <c r="GW204" s="30"/>
      <c r="GX204" s="30"/>
      <c r="GY204" s="30"/>
      <c r="GZ204" s="30"/>
      <c r="HA204" s="30"/>
      <c r="HB204" s="30"/>
      <c r="HC204" s="30"/>
      <c r="HD204" s="30"/>
      <c r="HE204" s="30"/>
      <c r="HF204" s="30"/>
      <c r="HG204" s="30"/>
      <c r="HH204" s="30"/>
      <c r="HI204" s="30"/>
      <c r="HJ204" s="30"/>
      <c r="HK204" s="30"/>
      <c r="HL204" s="30"/>
      <c r="HM204" s="30"/>
      <c r="HN204" s="30"/>
      <c r="HO204" s="30"/>
      <c r="HP204" s="30"/>
      <c r="HQ204" s="30"/>
      <c r="HR204" s="30"/>
      <c r="HS204" s="30"/>
      <c r="HT204" s="30"/>
      <c r="HU204" s="30"/>
      <c r="HV204" s="30"/>
      <c r="HW204" s="30"/>
      <c r="HX204" s="30"/>
      <c r="HY204" s="30"/>
      <c r="HZ204" s="30"/>
      <c r="IA204" s="30"/>
      <c r="IB204" s="30"/>
      <c r="IC204" s="30"/>
      <c r="ID204" s="30"/>
      <c r="IE204" s="30"/>
      <c r="IF204" s="30"/>
      <c r="IG204" s="30"/>
      <c r="IH204" s="30"/>
      <c r="II204" s="30"/>
      <c r="IJ204" s="30"/>
      <c r="IK204" s="30"/>
      <c r="IL204" s="30"/>
      <c r="IM204" s="30"/>
      <c r="IN204" s="30"/>
      <c r="IO204" s="30"/>
      <c r="IP204" s="30"/>
      <c r="IQ204" s="30"/>
      <c r="IR204" s="30"/>
      <c r="IS204" s="30"/>
      <c r="IT204" s="30"/>
      <c r="IU204" s="30"/>
      <c r="IV204" s="30"/>
      <c r="IW204" s="30"/>
      <c r="IX204" s="30"/>
      <c r="IY204" s="30"/>
      <c r="IZ204" s="30"/>
      <c r="JA204" s="30"/>
      <c r="JB204" s="30"/>
      <c r="JC204" s="30"/>
      <c r="JD204" s="30"/>
      <c r="JE204" s="30"/>
      <c r="JF204" s="30"/>
      <c r="JG204" s="30"/>
      <c r="JH204" s="30"/>
      <c r="JI204" s="30"/>
      <c r="JJ204" s="30"/>
      <c r="JK204" s="30"/>
      <c r="JL204" s="30"/>
      <c r="JM204" s="30"/>
      <c r="JN204" s="30"/>
      <c r="JO204" s="30"/>
      <c r="JP204" s="30"/>
      <c r="JQ204" s="30"/>
      <c r="JR204" s="30"/>
      <c r="JS204" s="30"/>
      <c r="JT204" s="30"/>
      <c r="JU204" s="30"/>
      <c r="JV204" s="30"/>
      <c r="JW204" s="30"/>
      <c r="JX204" s="30"/>
      <c r="JY204" s="30"/>
      <c r="JZ204" s="30"/>
      <c r="KA204" s="30"/>
      <c r="KB204" s="30"/>
      <c r="KC204" s="30"/>
      <c r="KD204" s="30"/>
      <c r="KE204" s="30"/>
      <c r="KF204" s="30"/>
      <c r="KG204" s="30"/>
      <c r="KH204" s="30"/>
      <c r="KI204" s="30"/>
      <c r="KJ204" s="30"/>
      <c r="KK204" s="30"/>
      <c r="KL204" s="30"/>
      <c r="KM204" s="30"/>
      <c r="KN204" s="30"/>
      <c r="KO204" s="30"/>
      <c r="KP204" s="1630"/>
    </row>
    <row r="205" spans="1:302" s="97" customFormat="1" ht="28.5" customHeight="1" outlineLevel="1">
      <c r="A205" s="2661" t="s">
        <v>933</v>
      </c>
      <c r="B205" s="2609"/>
      <c r="C205" s="2582" t="s">
        <v>944</v>
      </c>
      <c r="D205" s="2582" t="s">
        <v>957</v>
      </c>
      <c r="E205" s="376"/>
      <c r="F205" s="347"/>
      <c r="G205" s="348"/>
      <c r="H205" s="349" t="s">
        <v>26</v>
      </c>
      <c r="I205" s="2940"/>
      <c r="J205" s="362" t="s">
        <v>26</v>
      </c>
      <c r="K205" s="1745"/>
      <c r="L205" s="383"/>
      <c r="M205" s="383"/>
      <c r="N205" s="383"/>
      <c r="O205" s="1510">
        <v>1010500</v>
      </c>
      <c r="P205" s="383"/>
      <c r="Q205" s="383"/>
      <c r="R205" s="383"/>
      <c r="S205" s="1510">
        <f t="shared" si="241"/>
        <v>0</v>
      </c>
      <c r="T205" s="1509"/>
      <c r="U205" s="1746"/>
      <c r="V205" s="1746"/>
      <c r="W205" s="1510">
        <f t="shared" si="235"/>
        <v>1010500</v>
      </c>
      <c r="X205" s="362" t="s">
        <v>26</v>
      </c>
      <c r="Y205" s="1509"/>
      <c r="Z205" s="1746"/>
      <c r="AA205" s="1746"/>
      <c r="AB205" s="1510">
        <f t="shared" si="236"/>
        <v>1010500</v>
      </c>
      <c r="AC205" s="1442"/>
      <c r="AD205" s="1457"/>
      <c r="AE205" s="352"/>
      <c r="AF205" s="353"/>
      <c r="AG205" s="353"/>
      <c r="AH205" s="354">
        <f t="shared" si="242"/>
        <v>0</v>
      </c>
      <c r="AI205" s="355">
        <f t="shared" ca="1" si="232"/>
        <v>0</v>
      </c>
      <c r="AJ205" s="356">
        <f t="shared" ca="1" si="227"/>
        <v>0</v>
      </c>
      <c r="AK205" s="2185"/>
      <c r="AL205" s="2063"/>
      <c r="AM205" s="2261"/>
      <c r="AN205" s="2261"/>
      <c r="AO205" s="362"/>
      <c r="AP205" s="384"/>
      <c r="AQ205" s="362"/>
      <c r="AR205" s="362"/>
      <c r="AS205" s="362"/>
      <c r="AT205" s="385"/>
      <c r="AU205" s="359"/>
      <c r="AV205" s="359"/>
      <c r="AW205" s="377"/>
      <c r="AX205" s="362"/>
      <c r="AY205" s="385"/>
      <c r="AZ205" s="2273"/>
      <c r="BA205" s="497"/>
      <c r="BB205" s="359"/>
      <c r="BC205" s="359">
        <v>252625</v>
      </c>
      <c r="BD205" s="359">
        <v>252625</v>
      </c>
      <c r="BE205" s="362">
        <v>252625</v>
      </c>
      <c r="BF205" s="362">
        <v>252625</v>
      </c>
      <c r="BG205" s="362"/>
      <c r="BH205" s="362"/>
      <c r="BI205" s="414"/>
      <c r="BJ205" s="362"/>
      <c r="BK205" s="2123"/>
      <c r="BL205" s="414"/>
      <c r="BM205" s="414"/>
      <c r="BN205" s="414"/>
      <c r="BO205" s="414"/>
      <c r="BP205" s="414"/>
      <c r="BQ205" s="2399"/>
      <c r="BR205" s="362"/>
      <c r="BS205" s="362"/>
      <c r="BT205" s="362"/>
      <c r="BU205" s="364"/>
      <c r="BV205" s="364"/>
      <c r="BW205" s="2366"/>
      <c r="BX205" s="2463"/>
      <c r="BY205" s="2543"/>
      <c r="BZ205" s="2543"/>
      <c r="CA205" s="2432">
        <f t="shared" si="243"/>
        <v>1010500</v>
      </c>
      <c r="CB205" s="2377">
        <f t="shared" si="244"/>
        <v>1</v>
      </c>
      <c r="CC205" s="365">
        <f t="shared" si="245"/>
        <v>9.896091044037605E-7</v>
      </c>
      <c r="CD205" s="365">
        <f t="shared" si="258"/>
        <v>9.7932617951881301E-13</v>
      </c>
      <c r="CE205" s="365">
        <f t="shared" si="259"/>
        <v>9.6915010343276886E-19</v>
      </c>
      <c r="CF205" s="365">
        <f t="shared" si="260"/>
        <v>9.5907976589091434E-25</v>
      </c>
      <c r="CG205" s="340"/>
      <c r="CH205" s="367"/>
      <c r="CI205" s="368"/>
      <c r="CJ205" s="368"/>
      <c r="CK205" s="369"/>
      <c r="CL205" s="329">
        <f t="shared" si="182"/>
        <v>0</v>
      </c>
      <c r="CM205" s="330">
        <f t="shared" ca="1" si="183"/>
        <v>0</v>
      </c>
      <c r="CN205" s="331">
        <f t="shared" ca="1" si="223"/>
        <v>-1010500</v>
      </c>
      <c r="CO205" s="86"/>
      <c r="CP205" s="86"/>
      <c r="CQ205" s="1641"/>
      <c r="CR205" s="86"/>
      <c r="CS205" s="86"/>
      <c r="CT205" s="86"/>
      <c r="CU205" s="86"/>
      <c r="CV205" s="86"/>
      <c r="CW205" s="86"/>
      <c r="CX205" s="86"/>
      <c r="CY205" s="86"/>
      <c r="CZ205" s="86"/>
      <c r="DA205" s="86"/>
      <c r="DB205" s="1642"/>
      <c r="DC205" s="1642"/>
      <c r="DD205" s="30"/>
      <c r="DE205" s="30"/>
      <c r="DF205" s="30"/>
      <c r="DG205" s="1642"/>
      <c r="DH205" s="1642"/>
      <c r="DI205" s="1642"/>
      <c r="DJ205" s="1642"/>
      <c r="DK205" s="1642"/>
      <c r="DL205" s="1642"/>
      <c r="DM205" s="1642"/>
      <c r="DN205" s="1642"/>
      <c r="DO205" s="1642"/>
      <c r="DP205" s="1642"/>
      <c r="DQ205" s="1642"/>
      <c r="DR205" s="1642"/>
      <c r="DS205" s="1642"/>
      <c r="DT205" s="1642"/>
      <c r="DU205" s="1642"/>
      <c r="DV205" s="1642"/>
      <c r="DW205" s="1642"/>
      <c r="DX205" s="1642"/>
      <c r="DY205" s="1642"/>
      <c r="DZ205" s="1642"/>
      <c r="EA205" s="1642"/>
      <c r="EB205" s="1642"/>
      <c r="EC205" s="1642"/>
      <c r="ED205" s="1642"/>
      <c r="EE205" s="1642"/>
      <c r="EF205" s="1642"/>
      <c r="EG205" s="1642"/>
      <c r="EH205" s="1643"/>
      <c r="EI205" s="1658"/>
      <c r="EJ205" s="1642"/>
      <c r="EK205" s="30"/>
      <c r="EL205" s="30"/>
      <c r="EM205" s="30"/>
      <c r="EN205" s="30"/>
      <c r="EO205" s="30"/>
      <c r="EP205" s="30"/>
      <c r="EQ205" s="30"/>
      <c r="ER205" s="30"/>
      <c r="ES205" s="30"/>
      <c r="ET205" s="30"/>
      <c r="EU205" s="30"/>
      <c r="EV205" s="30"/>
      <c r="EW205" s="30"/>
      <c r="EX205" s="30"/>
      <c r="EY205" s="30"/>
      <c r="EZ205" s="30"/>
      <c r="FA205" s="30"/>
      <c r="FB205" s="30"/>
      <c r="FC205" s="30"/>
      <c r="FD205" s="30"/>
      <c r="FE205" s="30"/>
      <c r="FF205" s="30"/>
      <c r="FG205" s="30"/>
      <c r="FH205" s="30"/>
      <c r="FI205" s="30"/>
      <c r="FJ205" s="30"/>
      <c r="FK205" s="30"/>
      <c r="FL205" s="30"/>
      <c r="FM205" s="30"/>
      <c r="FN205" s="30"/>
      <c r="FO205" s="30"/>
      <c r="FP205" s="30"/>
      <c r="FQ205" s="30"/>
      <c r="FR205" s="30"/>
      <c r="FS205" s="30"/>
      <c r="FT205" s="30"/>
      <c r="FU205" s="30"/>
      <c r="FV205" s="30"/>
      <c r="FW205" s="30"/>
      <c r="FX205" s="30"/>
      <c r="FY205" s="30"/>
      <c r="FZ205" s="30"/>
      <c r="GA205" s="30"/>
      <c r="GB205" s="30"/>
      <c r="GC205" s="30"/>
      <c r="GD205" s="30"/>
      <c r="GE205" s="30"/>
      <c r="GF205" s="30"/>
      <c r="GG205" s="30"/>
      <c r="GH205" s="30"/>
      <c r="GI205" s="30"/>
      <c r="GJ205" s="30"/>
      <c r="GK205" s="30"/>
      <c r="GL205" s="30"/>
      <c r="GM205" s="30"/>
      <c r="GN205" s="30"/>
      <c r="GO205" s="30"/>
      <c r="GP205" s="30"/>
      <c r="GQ205" s="30"/>
      <c r="GR205" s="30"/>
      <c r="GS205" s="30"/>
      <c r="GT205" s="30"/>
      <c r="GU205" s="30"/>
      <c r="GV205" s="30"/>
      <c r="GW205" s="30"/>
      <c r="GX205" s="30"/>
      <c r="GY205" s="30"/>
      <c r="GZ205" s="30"/>
      <c r="HA205" s="30"/>
      <c r="HB205" s="30"/>
      <c r="HC205" s="30"/>
      <c r="HD205" s="30"/>
      <c r="HE205" s="30"/>
      <c r="HF205" s="30"/>
      <c r="HG205" s="30"/>
      <c r="HH205" s="30"/>
      <c r="HI205" s="30"/>
      <c r="HJ205" s="30"/>
      <c r="HK205" s="30"/>
      <c r="HL205" s="30"/>
      <c r="HM205" s="30"/>
      <c r="HN205" s="30"/>
      <c r="HO205" s="30"/>
      <c r="HP205" s="30"/>
      <c r="HQ205" s="30"/>
      <c r="HR205" s="30"/>
      <c r="HS205" s="30"/>
      <c r="HT205" s="30"/>
      <c r="HU205" s="30"/>
      <c r="HV205" s="30"/>
      <c r="HW205" s="30"/>
      <c r="HX205" s="30"/>
      <c r="HY205" s="30"/>
      <c r="HZ205" s="30"/>
      <c r="IA205" s="30"/>
      <c r="IB205" s="30"/>
      <c r="IC205" s="30"/>
      <c r="ID205" s="30"/>
      <c r="IE205" s="30"/>
      <c r="IF205" s="30"/>
      <c r="IG205" s="30"/>
      <c r="IH205" s="30"/>
      <c r="II205" s="30"/>
      <c r="IJ205" s="30"/>
      <c r="IK205" s="30"/>
      <c r="IL205" s="30"/>
      <c r="IM205" s="30"/>
      <c r="IN205" s="30"/>
      <c r="IO205" s="30"/>
      <c r="IP205" s="30"/>
      <c r="IQ205" s="30"/>
      <c r="IR205" s="30"/>
      <c r="IS205" s="30"/>
      <c r="IT205" s="30"/>
      <c r="IU205" s="30"/>
      <c r="IV205" s="30"/>
      <c r="IW205" s="30"/>
      <c r="IX205" s="30"/>
      <c r="IY205" s="30"/>
      <c r="IZ205" s="30"/>
      <c r="JA205" s="30"/>
      <c r="JB205" s="30"/>
      <c r="JC205" s="30"/>
      <c r="JD205" s="30"/>
      <c r="JE205" s="30"/>
      <c r="JF205" s="30"/>
      <c r="JG205" s="30"/>
      <c r="JH205" s="30"/>
      <c r="JI205" s="30"/>
      <c r="JJ205" s="30"/>
      <c r="JK205" s="30"/>
      <c r="JL205" s="30"/>
      <c r="JM205" s="30"/>
      <c r="JN205" s="30"/>
      <c r="JO205" s="30"/>
      <c r="JP205" s="30"/>
      <c r="JQ205" s="30"/>
      <c r="JR205" s="30"/>
      <c r="JS205" s="30"/>
      <c r="JT205" s="30"/>
      <c r="JU205" s="30"/>
      <c r="JV205" s="30"/>
      <c r="JW205" s="30"/>
      <c r="JX205" s="30"/>
      <c r="JY205" s="30"/>
      <c r="JZ205" s="30"/>
      <c r="KA205" s="30"/>
      <c r="KB205" s="30"/>
      <c r="KC205" s="30"/>
      <c r="KD205" s="30"/>
      <c r="KE205" s="30"/>
      <c r="KF205" s="30"/>
      <c r="KG205" s="30"/>
      <c r="KH205" s="30"/>
      <c r="KI205" s="30"/>
      <c r="KJ205" s="30"/>
      <c r="KK205" s="30"/>
      <c r="KL205" s="30"/>
      <c r="KM205" s="30"/>
      <c r="KN205" s="30"/>
      <c r="KO205" s="30"/>
      <c r="KP205" s="1630"/>
    </row>
    <row r="206" spans="1:302" s="97" customFormat="1" ht="27.75" customHeight="1" outlineLevel="1">
      <c r="A206" s="2661" t="s">
        <v>934</v>
      </c>
      <c r="B206" s="2609"/>
      <c r="C206" s="2582" t="s">
        <v>945</v>
      </c>
      <c r="D206" s="2582" t="s">
        <v>958</v>
      </c>
      <c r="E206" s="376"/>
      <c r="F206" s="347"/>
      <c r="G206" s="348"/>
      <c r="H206" s="349" t="s">
        <v>26</v>
      </c>
      <c r="I206" s="2940"/>
      <c r="J206" s="362" t="s">
        <v>26</v>
      </c>
      <c r="K206" s="1745"/>
      <c r="L206" s="383"/>
      <c r="M206" s="383"/>
      <c r="N206" s="383"/>
      <c r="O206" s="1510">
        <v>223600</v>
      </c>
      <c r="P206" s="383"/>
      <c r="Q206" s="383"/>
      <c r="R206" s="383"/>
      <c r="S206" s="1510">
        <f t="shared" si="241"/>
        <v>0</v>
      </c>
      <c r="T206" s="1509"/>
      <c r="U206" s="1746"/>
      <c r="V206" s="1746"/>
      <c r="W206" s="1510">
        <f t="shared" si="235"/>
        <v>223600</v>
      </c>
      <c r="X206" s="362" t="s">
        <v>26</v>
      </c>
      <c r="Y206" s="1509"/>
      <c r="Z206" s="1746"/>
      <c r="AA206" s="1746"/>
      <c r="AB206" s="1510">
        <f t="shared" si="236"/>
        <v>223600</v>
      </c>
      <c r="AC206" s="1442"/>
      <c r="AD206" s="1457"/>
      <c r="AE206" s="352"/>
      <c r="AF206" s="353"/>
      <c r="AG206" s="353"/>
      <c r="AH206" s="354">
        <f t="shared" si="242"/>
        <v>0</v>
      </c>
      <c r="AI206" s="355">
        <f t="shared" ca="1" si="232"/>
        <v>0</v>
      </c>
      <c r="AJ206" s="356">
        <f t="shared" ca="1" si="227"/>
        <v>0</v>
      </c>
      <c r="AK206" s="2185"/>
      <c r="AL206" s="2063"/>
      <c r="AM206" s="2261"/>
      <c r="AN206" s="2261"/>
      <c r="AO206" s="362"/>
      <c r="AP206" s="384"/>
      <c r="AQ206" s="362"/>
      <c r="AR206" s="362"/>
      <c r="AS206" s="377"/>
      <c r="AT206" s="385"/>
      <c r="AU206" s="359"/>
      <c r="AV206" s="359"/>
      <c r="AW206" s="377"/>
      <c r="AX206" s="362"/>
      <c r="AY206" s="385"/>
      <c r="AZ206" s="2273"/>
      <c r="BA206" s="497"/>
      <c r="BB206" s="359"/>
      <c r="BC206" s="359">
        <v>55900</v>
      </c>
      <c r="BD206" s="359">
        <v>55900</v>
      </c>
      <c r="BE206" s="359">
        <v>55900</v>
      </c>
      <c r="BF206" s="359">
        <v>55900</v>
      </c>
      <c r="BG206" s="359"/>
      <c r="BH206" s="362"/>
      <c r="BI206" s="414"/>
      <c r="BJ206" s="362"/>
      <c r="BK206" s="2123"/>
      <c r="BL206" s="414"/>
      <c r="BM206" s="414"/>
      <c r="BN206" s="414"/>
      <c r="BO206" s="414"/>
      <c r="BP206" s="414"/>
      <c r="BQ206" s="2399"/>
      <c r="BR206" s="362"/>
      <c r="BS206" s="362"/>
      <c r="BT206" s="362"/>
      <c r="BU206" s="364"/>
      <c r="BV206" s="364"/>
      <c r="BW206" s="2366"/>
      <c r="BX206" s="2463"/>
      <c r="BY206" s="2543"/>
      <c r="BZ206" s="2543"/>
      <c r="CA206" s="2432">
        <f t="shared" si="243"/>
        <v>223600</v>
      </c>
      <c r="CB206" s="2377">
        <f t="shared" si="244"/>
        <v>1</v>
      </c>
      <c r="CC206" s="365">
        <f t="shared" si="245"/>
        <v>4.4722719141323793E-6</v>
      </c>
      <c r="CD206" s="365">
        <f t="shared" si="258"/>
        <v>2.0001216073937296E-11</v>
      </c>
      <c r="CE206" s="365">
        <f t="shared" si="259"/>
        <v>8.9450876895962863E-17</v>
      </c>
      <c r="CF206" s="365">
        <f t="shared" si="260"/>
        <v>4.0004864443632766E-22</v>
      </c>
      <c r="CG206" s="340"/>
      <c r="CH206" s="367"/>
      <c r="CI206" s="368"/>
      <c r="CJ206" s="368"/>
      <c r="CK206" s="369"/>
      <c r="CL206" s="329">
        <f t="shared" ref="CL206:CL269" si="261">O206-CA206</f>
        <v>0</v>
      </c>
      <c r="CM206" s="330">
        <f t="shared" ref="CM206:CM269" ca="1" si="262">CA206+AI206-AB206</f>
        <v>0</v>
      </c>
      <c r="CN206" s="331">
        <f t="shared" ca="1" si="223"/>
        <v>-223600</v>
      </c>
      <c r="CO206" s="86"/>
      <c r="CP206" s="86"/>
      <c r="CQ206" s="1641"/>
      <c r="CR206" s="86"/>
      <c r="CS206" s="86"/>
      <c r="CT206" s="86"/>
      <c r="CU206" s="86"/>
      <c r="CV206" s="86"/>
      <c r="CW206" s="86"/>
      <c r="CX206" s="86"/>
      <c r="CY206" s="86"/>
      <c r="CZ206" s="86"/>
      <c r="DA206" s="86"/>
      <c r="DB206" s="1642"/>
      <c r="DC206" s="1642"/>
      <c r="DD206" s="30"/>
      <c r="DE206" s="30"/>
      <c r="DF206" s="30"/>
      <c r="DG206" s="1642"/>
      <c r="DH206" s="1642"/>
      <c r="DI206" s="1642"/>
      <c r="DJ206" s="1642"/>
      <c r="DK206" s="1642"/>
      <c r="DL206" s="1642"/>
      <c r="DM206" s="1642"/>
      <c r="DN206" s="1642"/>
      <c r="DO206" s="1642"/>
      <c r="DP206" s="1642"/>
      <c r="DQ206" s="1642"/>
      <c r="DR206" s="1642"/>
      <c r="DS206" s="1642"/>
      <c r="DT206" s="1642"/>
      <c r="DU206" s="1642"/>
      <c r="DV206" s="1642"/>
      <c r="DW206" s="1642"/>
      <c r="DX206" s="1642"/>
      <c r="DY206" s="1642"/>
      <c r="DZ206" s="1642"/>
      <c r="EA206" s="1642"/>
      <c r="EB206" s="1642"/>
      <c r="EC206" s="1642"/>
      <c r="ED206" s="1642"/>
      <c r="EE206" s="1642"/>
      <c r="EF206" s="1642"/>
      <c r="EG206" s="1642"/>
      <c r="EH206" s="1643"/>
      <c r="EI206" s="1658"/>
      <c r="EJ206" s="1642"/>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0"/>
      <c r="HP206" s="30"/>
      <c r="HQ206" s="30"/>
      <c r="HR206" s="30"/>
      <c r="HS206" s="30"/>
      <c r="HT206" s="30"/>
      <c r="HU206" s="30"/>
      <c r="HV206" s="30"/>
      <c r="HW206" s="30"/>
      <c r="HX206" s="30"/>
      <c r="HY206" s="30"/>
      <c r="HZ206" s="30"/>
      <c r="IA206" s="30"/>
      <c r="IB206" s="30"/>
      <c r="IC206" s="30"/>
      <c r="ID206" s="30"/>
      <c r="IE206" s="30"/>
      <c r="IF206" s="30"/>
      <c r="IG206" s="30"/>
      <c r="IH206" s="30"/>
      <c r="II206" s="30"/>
      <c r="IJ206" s="30"/>
      <c r="IK206" s="30"/>
      <c r="IL206" s="30"/>
      <c r="IM206" s="30"/>
      <c r="IN206" s="30"/>
      <c r="IO206" s="30"/>
      <c r="IP206" s="30"/>
      <c r="IQ206" s="30"/>
      <c r="IR206" s="30"/>
      <c r="IS206" s="30"/>
      <c r="IT206" s="30"/>
      <c r="IU206" s="30"/>
      <c r="IV206" s="30"/>
      <c r="IW206" s="30"/>
      <c r="IX206" s="30"/>
      <c r="IY206" s="30"/>
      <c r="IZ206" s="30"/>
      <c r="JA206" s="30"/>
      <c r="JB206" s="30"/>
      <c r="JC206" s="30"/>
      <c r="JD206" s="30"/>
      <c r="JE206" s="30"/>
      <c r="JF206" s="30"/>
      <c r="JG206" s="30"/>
      <c r="JH206" s="30"/>
      <c r="JI206" s="30"/>
      <c r="JJ206" s="30"/>
      <c r="JK206" s="30"/>
      <c r="JL206" s="30"/>
      <c r="JM206" s="30"/>
      <c r="JN206" s="30"/>
      <c r="JO206" s="30"/>
      <c r="JP206" s="30"/>
      <c r="JQ206" s="30"/>
      <c r="JR206" s="30"/>
      <c r="JS206" s="30"/>
      <c r="JT206" s="30"/>
      <c r="JU206" s="30"/>
      <c r="JV206" s="30"/>
      <c r="JW206" s="30"/>
      <c r="JX206" s="30"/>
      <c r="JY206" s="30"/>
      <c r="JZ206" s="30"/>
      <c r="KA206" s="30"/>
      <c r="KB206" s="30"/>
      <c r="KC206" s="30"/>
      <c r="KD206" s="30"/>
      <c r="KE206" s="30"/>
      <c r="KF206" s="30"/>
      <c r="KG206" s="30"/>
      <c r="KH206" s="30"/>
      <c r="KI206" s="30"/>
      <c r="KJ206" s="30"/>
      <c r="KK206" s="30"/>
      <c r="KL206" s="30"/>
      <c r="KM206" s="30"/>
      <c r="KN206" s="30"/>
      <c r="KO206" s="30"/>
      <c r="KP206" s="1630"/>
    </row>
    <row r="207" spans="1:302" s="97" customFormat="1" ht="22.5" customHeight="1" outlineLevel="1">
      <c r="A207" s="2661" t="s">
        <v>935</v>
      </c>
      <c r="B207" s="2609"/>
      <c r="C207" s="2582" t="s">
        <v>946</v>
      </c>
      <c r="D207" s="2582" t="s">
        <v>959</v>
      </c>
      <c r="E207" s="376"/>
      <c r="F207" s="347"/>
      <c r="G207" s="348"/>
      <c r="H207" s="349" t="s">
        <v>26</v>
      </c>
      <c r="I207" s="2940"/>
      <c r="J207" s="362" t="s">
        <v>26</v>
      </c>
      <c r="K207" s="1745"/>
      <c r="L207" s="383"/>
      <c r="M207" s="383"/>
      <c r="N207" s="383"/>
      <c r="O207" s="1510">
        <v>129000</v>
      </c>
      <c r="P207" s="383"/>
      <c r="Q207" s="383"/>
      <c r="R207" s="383"/>
      <c r="S207" s="1510">
        <f t="shared" si="241"/>
        <v>0</v>
      </c>
      <c r="T207" s="1509"/>
      <c r="U207" s="1746"/>
      <c r="V207" s="1746"/>
      <c r="W207" s="1510">
        <f t="shared" si="235"/>
        <v>129000</v>
      </c>
      <c r="X207" s="362" t="s">
        <v>26</v>
      </c>
      <c r="Y207" s="1509"/>
      <c r="Z207" s="1746"/>
      <c r="AA207" s="1746"/>
      <c r="AB207" s="1510">
        <f t="shared" si="236"/>
        <v>129000</v>
      </c>
      <c r="AC207" s="1442"/>
      <c r="AD207" s="1457"/>
      <c r="AE207" s="352"/>
      <c r="AF207" s="1685"/>
      <c r="AG207" s="1685"/>
      <c r="AH207" s="354">
        <f t="shared" si="242"/>
        <v>0</v>
      </c>
      <c r="AI207" s="355">
        <f t="shared" ca="1" si="232"/>
        <v>0</v>
      </c>
      <c r="AJ207" s="356">
        <f t="shared" ca="1" si="227"/>
        <v>0</v>
      </c>
      <c r="AK207" s="2185"/>
      <c r="AL207" s="2063"/>
      <c r="AM207" s="2261"/>
      <c r="AN207" s="2261"/>
      <c r="AO207" s="362"/>
      <c r="AP207" s="384"/>
      <c r="AQ207" s="362"/>
      <c r="AR207" s="362"/>
      <c r="AS207" s="362"/>
      <c r="AT207" s="385"/>
      <c r="AU207" s="359"/>
      <c r="AV207" s="359"/>
      <c r="AW207" s="377"/>
      <c r="AX207" s="359"/>
      <c r="AY207" s="360"/>
      <c r="AZ207" s="2273"/>
      <c r="BA207" s="497"/>
      <c r="BB207" s="359">
        <v>43000</v>
      </c>
      <c r="BC207" s="359">
        <v>43000</v>
      </c>
      <c r="BD207" s="359">
        <v>43000</v>
      </c>
      <c r="BE207" s="359"/>
      <c r="BF207" s="359"/>
      <c r="BG207" s="359"/>
      <c r="BH207" s="362"/>
      <c r="BI207" s="414"/>
      <c r="BJ207" s="362"/>
      <c r="BK207" s="2123"/>
      <c r="BL207" s="414"/>
      <c r="BM207" s="414"/>
      <c r="BN207" s="414"/>
      <c r="BO207" s="414"/>
      <c r="BP207" s="414"/>
      <c r="BQ207" s="2399"/>
      <c r="BR207" s="362"/>
      <c r="BS207" s="362"/>
      <c r="BT207" s="362"/>
      <c r="BU207" s="364"/>
      <c r="BV207" s="364"/>
      <c r="BW207" s="2366"/>
      <c r="BX207" s="2463"/>
      <c r="BY207" s="2543"/>
      <c r="BZ207" s="2543"/>
      <c r="CA207" s="2432">
        <f t="shared" si="243"/>
        <v>129000</v>
      </c>
      <c r="CB207" s="2377">
        <f t="shared" si="244"/>
        <v>1</v>
      </c>
      <c r="CC207" s="365">
        <f t="shared" si="245"/>
        <v>7.7519379844961241E-6</v>
      </c>
      <c r="CD207" s="365">
        <f t="shared" si="258"/>
        <v>6.0092542515473835E-11</v>
      </c>
      <c r="CE207" s="365">
        <f t="shared" si="259"/>
        <v>4.6583366291064988E-16</v>
      </c>
      <c r="CF207" s="365">
        <f t="shared" si="260"/>
        <v>3.61111366597403E-21</v>
      </c>
      <c r="CG207" s="340"/>
      <c r="CH207" s="367"/>
      <c r="CI207" s="368"/>
      <c r="CJ207" s="368"/>
      <c r="CK207" s="369"/>
      <c r="CL207" s="329">
        <f t="shared" si="261"/>
        <v>0</v>
      </c>
      <c r="CM207" s="330">
        <f t="shared" ca="1" si="262"/>
        <v>0</v>
      </c>
      <c r="CN207" s="331">
        <f t="shared" ca="1" si="223"/>
        <v>-129000</v>
      </c>
      <c r="CO207" s="86"/>
      <c r="CP207" s="86"/>
      <c r="CQ207" s="1641"/>
      <c r="CR207" s="86"/>
      <c r="CS207" s="86"/>
      <c r="CT207" s="86"/>
      <c r="CU207" s="86"/>
      <c r="CV207" s="86"/>
      <c r="CW207" s="86"/>
      <c r="CX207" s="86"/>
      <c r="CY207" s="86"/>
      <c r="CZ207" s="86"/>
      <c r="DA207" s="86"/>
      <c r="DB207" s="1642"/>
      <c r="DC207" s="1642"/>
      <c r="DD207" s="30"/>
      <c r="DE207" s="30"/>
      <c r="DF207" s="30"/>
      <c r="DG207" s="1642"/>
      <c r="DH207" s="1642"/>
      <c r="DI207" s="1642"/>
      <c r="DJ207" s="1642"/>
      <c r="DK207" s="1642"/>
      <c r="DL207" s="1642"/>
      <c r="DM207" s="1642"/>
      <c r="DN207" s="1642"/>
      <c r="DO207" s="1642"/>
      <c r="DP207" s="1642"/>
      <c r="DQ207" s="1642"/>
      <c r="DR207" s="1642"/>
      <c r="DS207" s="1642"/>
      <c r="DT207" s="1642"/>
      <c r="DU207" s="1642"/>
      <c r="DV207" s="1642"/>
      <c r="DW207" s="1642"/>
      <c r="DX207" s="1642"/>
      <c r="DY207" s="1642"/>
      <c r="DZ207" s="1642"/>
      <c r="EA207" s="1642"/>
      <c r="EB207" s="1642"/>
      <c r="EC207" s="1642"/>
      <c r="ED207" s="1642"/>
      <c r="EE207" s="1642"/>
      <c r="EF207" s="1642"/>
      <c r="EG207" s="1642"/>
      <c r="EH207" s="1643"/>
      <c r="EI207" s="1658"/>
      <c r="EJ207" s="1642"/>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0"/>
      <c r="HP207" s="30"/>
      <c r="HQ207" s="30"/>
      <c r="HR207" s="30"/>
      <c r="HS207" s="30"/>
      <c r="HT207" s="30"/>
      <c r="HU207" s="30"/>
      <c r="HV207" s="30"/>
      <c r="HW207" s="30"/>
      <c r="HX207" s="30"/>
      <c r="HY207" s="30"/>
      <c r="HZ207" s="30"/>
      <c r="IA207" s="30"/>
      <c r="IB207" s="30"/>
      <c r="IC207" s="30"/>
      <c r="ID207" s="30"/>
      <c r="IE207" s="30"/>
      <c r="IF207" s="30"/>
      <c r="IG207" s="30"/>
      <c r="IH207" s="30"/>
      <c r="II207" s="30"/>
      <c r="IJ207" s="30"/>
      <c r="IK207" s="30"/>
      <c r="IL207" s="30"/>
      <c r="IM207" s="30"/>
      <c r="IN207" s="30"/>
      <c r="IO207" s="30"/>
      <c r="IP207" s="30"/>
      <c r="IQ207" s="30"/>
      <c r="IR207" s="30"/>
      <c r="IS207" s="30"/>
      <c r="IT207" s="30"/>
      <c r="IU207" s="30"/>
      <c r="IV207" s="30"/>
      <c r="IW207" s="30"/>
      <c r="IX207" s="30"/>
      <c r="IY207" s="30"/>
      <c r="IZ207" s="30"/>
      <c r="JA207" s="30"/>
      <c r="JB207" s="30"/>
      <c r="JC207" s="30"/>
      <c r="JD207" s="30"/>
      <c r="JE207" s="30"/>
      <c r="JF207" s="30"/>
      <c r="JG207" s="30"/>
      <c r="JH207" s="30"/>
      <c r="JI207" s="30"/>
      <c r="JJ207" s="30"/>
      <c r="JK207" s="30"/>
      <c r="JL207" s="30"/>
      <c r="JM207" s="30"/>
      <c r="JN207" s="30"/>
      <c r="JO207" s="30"/>
      <c r="JP207" s="30"/>
      <c r="JQ207" s="30"/>
      <c r="JR207" s="30"/>
      <c r="JS207" s="30"/>
      <c r="JT207" s="30"/>
      <c r="JU207" s="30"/>
      <c r="JV207" s="30"/>
      <c r="JW207" s="30"/>
      <c r="JX207" s="30"/>
      <c r="JY207" s="30"/>
      <c r="JZ207" s="30"/>
      <c r="KA207" s="30"/>
      <c r="KB207" s="30"/>
      <c r="KC207" s="30"/>
      <c r="KD207" s="30"/>
      <c r="KE207" s="30"/>
      <c r="KF207" s="30"/>
      <c r="KG207" s="30"/>
      <c r="KH207" s="30"/>
      <c r="KI207" s="30"/>
      <c r="KJ207" s="30"/>
      <c r="KK207" s="30"/>
      <c r="KL207" s="30"/>
      <c r="KM207" s="30"/>
      <c r="KN207" s="30"/>
      <c r="KO207" s="30"/>
      <c r="KP207" s="1630"/>
    </row>
    <row r="208" spans="1:302" s="97" customFormat="1" ht="21" customHeight="1" outlineLevel="1">
      <c r="A208" s="2587" t="s">
        <v>122</v>
      </c>
      <c r="B208" s="2605"/>
      <c r="C208" s="2587" t="s">
        <v>947</v>
      </c>
      <c r="D208" s="2587" t="s">
        <v>960</v>
      </c>
      <c r="E208" s="376"/>
      <c r="F208" s="347"/>
      <c r="G208" s="348"/>
      <c r="H208" s="349" t="s">
        <v>26</v>
      </c>
      <c r="I208" s="2940"/>
      <c r="J208" s="362" t="s">
        <v>26</v>
      </c>
      <c r="K208" s="1745"/>
      <c r="L208" s="383"/>
      <c r="M208" s="383"/>
      <c r="N208" s="383"/>
      <c r="O208" s="1510">
        <v>3993000</v>
      </c>
      <c r="P208" s="383"/>
      <c r="Q208" s="383"/>
      <c r="R208" s="383"/>
      <c r="S208" s="1510">
        <f t="shared" si="241"/>
        <v>0</v>
      </c>
      <c r="T208" s="1509"/>
      <c r="U208" s="1746"/>
      <c r="V208" s="1746"/>
      <c r="W208" s="1510">
        <f t="shared" si="235"/>
        <v>3993000</v>
      </c>
      <c r="X208" s="362" t="s">
        <v>26</v>
      </c>
      <c r="Y208" s="1509"/>
      <c r="Z208" s="1746"/>
      <c r="AA208" s="1746"/>
      <c r="AB208" s="1510">
        <f t="shared" si="236"/>
        <v>3993000</v>
      </c>
      <c r="AC208" s="1442"/>
      <c r="AD208" s="1457"/>
      <c r="AE208" s="352"/>
      <c r="AF208" s="1685"/>
      <c r="AG208" s="1685"/>
      <c r="AH208" s="354">
        <f t="shared" si="242"/>
        <v>0</v>
      </c>
      <c r="AI208" s="355">
        <f t="shared" ca="1" si="232"/>
        <v>0</v>
      </c>
      <c r="AJ208" s="356">
        <f t="shared" ca="1" si="227"/>
        <v>0</v>
      </c>
      <c r="AK208" s="2185"/>
      <c r="AL208" s="2063"/>
      <c r="AM208" s="2261"/>
      <c r="AN208" s="2261"/>
      <c r="AO208" s="362"/>
      <c r="AP208" s="384"/>
      <c r="AQ208" s="362"/>
      <c r="AR208" s="362"/>
      <c r="AS208" s="362"/>
      <c r="AT208" s="385"/>
      <c r="AU208" s="359"/>
      <c r="AV208" s="359"/>
      <c r="AW208" s="377"/>
      <c r="AX208" s="359"/>
      <c r="AY208" s="360"/>
      <c r="AZ208" s="2273"/>
      <c r="BA208" s="497"/>
      <c r="BB208" s="359">
        <v>998250</v>
      </c>
      <c r="BC208" s="359">
        <v>998250</v>
      </c>
      <c r="BD208" s="359">
        <v>998250</v>
      </c>
      <c r="BE208" s="359">
        <v>998250</v>
      </c>
      <c r="BF208" s="1505"/>
      <c r="BG208" s="359"/>
      <c r="BH208" s="362"/>
      <c r="BI208" s="414"/>
      <c r="BJ208" s="362"/>
      <c r="BK208" s="2123"/>
      <c r="BL208" s="414"/>
      <c r="BM208" s="414"/>
      <c r="BN208" s="414"/>
      <c r="BO208" s="414"/>
      <c r="BP208" s="414"/>
      <c r="BQ208" s="2399"/>
      <c r="BR208" s="362"/>
      <c r="BS208" s="362"/>
      <c r="BT208" s="362"/>
      <c r="BU208" s="364"/>
      <c r="BV208" s="364"/>
      <c r="BW208" s="2366"/>
      <c r="BX208" s="2463"/>
      <c r="BY208" s="2543"/>
      <c r="BZ208" s="2543"/>
      <c r="CA208" s="2432">
        <f t="shared" ref="CA208:CA256" si="263">SUMIF($AM$10:$BZ$10,$CA$9,AM208:BZ208)</f>
        <v>3993000</v>
      </c>
      <c r="CB208" s="2377">
        <f t="shared" ref="CB208:CB256" si="264">IF($AB208&lt;&gt;0,CA208/$AB208,"")</f>
        <v>1</v>
      </c>
      <c r="CC208" s="365">
        <f t="shared" ref="CC208:CC256" si="265">IF($AB208&lt;&gt;0,CB208/$AB208,"")</f>
        <v>2.5043826696719259E-7</v>
      </c>
      <c r="CD208" s="365">
        <f t="shared" si="258"/>
        <v>6.271932556153083E-14</v>
      </c>
      <c r="CE208" s="365">
        <f t="shared" si="259"/>
        <v>1.5707319198980924E-20</v>
      </c>
      <c r="CF208" s="365">
        <f t="shared" si="260"/>
        <v>3.9337137988932946E-27</v>
      </c>
      <c r="CG208" s="340"/>
      <c r="CH208" s="367"/>
      <c r="CI208" s="368"/>
      <c r="CJ208" s="368"/>
      <c r="CK208" s="369"/>
      <c r="CL208" s="329">
        <f t="shared" si="261"/>
        <v>0</v>
      </c>
      <c r="CM208" s="330">
        <f t="shared" ca="1" si="262"/>
        <v>0</v>
      </c>
      <c r="CN208" s="331">
        <f t="shared" ca="1" si="223"/>
        <v>-3993000</v>
      </c>
      <c r="CO208" s="86"/>
      <c r="CP208" s="86"/>
      <c r="CQ208" s="1641"/>
      <c r="CR208" s="86"/>
      <c r="CS208" s="86"/>
      <c r="CT208" s="86"/>
      <c r="CU208" s="86"/>
      <c r="CV208" s="86"/>
      <c r="CW208" s="86"/>
      <c r="CX208" s="86"/>
      <c r="CY208" s="86"/>
      <c r="CZ208" s="86"/>
      <c r="DA208" s="86"/>
      <c r="DB208" s="1642"/>
      <c r="DC208" s="1642"/>
      <c r="DD208" s="30"/>
      <c r="DE208" s="30"/>
      <c r="DF208" s="30"/>
      <c r="DG208" s="1642"/>
      <c r="DH208" s="1642"/>
      <c r="DI208" s="1642"/>
      <c r="DJ208" s="1642"/>
      <c r="DK208" s="1642"/>
      <c r="DL208" s="1642"/>
      <c r="DM208" s="1642"/>
      <c r="DN208" s="1642"/>
      <c r="DO208" s="1642"/>
      <c r="DP208" s="1642"/>
      <c r="DQ208" s="1642"/>
      <c r="DR208" s="1642"/>
      <c r="DS208" s="1642"/>
      <c r="DT208" s="1642"/>
      <c r="DU208" s="1642"/>
      <c r="DV208" s="1642"/>
      <c r="DW208" s="1642"/>
      <c r="DX208" s="1642"/>
      <c r="DY208" s="1642"/>
      <c r="DZ208" s="1642"/>
      <c r="EA208" s="1642"/>
      <c r="EB208" s="1642"/>
      <c r="EC208" s="1642"/>
      <c r="ED208" s="1642"/>
      <c r="EE208" s="1642"/>
      <c r="EF208" s="1642"/>
      <c r="EG208" s="1642"/>
      <c r="EH208" s="1643"/>
      <c r="EI208" s="1658"/>
      <c r="EJ208" s="1642"/>
      <c r="EK208" s="30"/>
      <c r="EL208" s="30"/>
      <c r="EM208" s="30"/>
      <c r="EN208" s="30"/>
      <c r="EO208" s="30"/>
      <c r="EP208" s="30"/>
      <c r="EQ208" s="30"/>
      <c r="ER208" s="30"/>
      <c r="ES208" s="30"/>
      <c r="ET208" s="30"/>
      <c r="EU208" s="30"/>
      <c r="EV208" s="30"/>
      <c r="EW208" s="30"/>
      <c r="EX208" s="30"/>
      <c r="EY208" s="30"/>
      <c r="EZ208" s="30"/>
      <c r="FA208" s="30"/>
      <c r="FB208" s="30"/>
      <c r="FC208" s="30"/>
      <c r="FD208" s="30"/>
      <c r="FE208" s="30"/>
      <c r="FF208" s="30"/>
      <c r="FG208" s="30"/>
      <c r="FH208" s="30"/>
      <c r="FI208" s="30"/>
      <c r="FJ208" s="30"/>
      <c r="FK208" s="30"/>
      <c r="FL208" s="30"/>
      <c r="FM208" s="30"/>
      <c r="FN208" s="30"/>
      <c r="FO208" s="30"/>
      <c r="FP208" s="30"/>
      <c r="FQ208" s="30"/>
      <c r="FR208" s="30"/>
      <c r="FS208" s="30"/>
      <c r="FT208" s="30"/>
      <c r="FU208" s="30"/>
      <c r="FV208" s="30"/>
      <c r="FW208" s="30"/>
      <c r="FX208" s="30"/>
      <c r="FY208" s="30"/>
      <c r="FZ208" s="30"/>
      <c r="GA208" s="30"/>
      <c r="GB208" s="30"/>
      <c r="GC208" s="30"/>
      <c r="GD208" s="30"/>
      <c r="GE208" s="30"/>
      <c r="GF208" s="30"/>
      <c r="GG208" s="30"/>
      <c r="GH208" s="30"/>
      <c r="GI208" s="30"/>
      <c r="GJ208" s="30"/>
      <c r="GK208" s="30"/>
      <c r="GL208" s="30"/>
      <c r="GM208" s="30"/>
      <c r="GN208" s="30"/>
      <c r="GO208" s="30"/>
      <c r="GP208" s="30"/>
      <c r="GQ208" s="30"/>
      <c r="GR208" s="30"/>
      <c r="GS208" s="30"/>
      <c r="GT208" s="30"/>
      <c r="GU208" s="30"/>
      <c r="GV208" s="30"/>
      <c r="GW208" s="30"/>
      <c r="GX208" s="30"/>
      <c r="GY208" s="30"/>
      <c r="GZ208" s="30"/>
      <c r="HA208" s="30"/>
      <c r="HB208" s="30"/>
      <c r="HC208" s="30"/>
      <c r="HD208" s="30"/>
      <c r="HE208" s="30"/>
      <c r="HF208" s="30"/>
      <c r="HG208" s="30"/>
      <c r="HH208" s="30"/>
      <c r="HI208" s="30"/>
      <c r="HJ208" s="30"/>
      <c r="HK208" s="30"/>
      <c r="HL208" s="30"/>
      <c r="HM208" s="30"/>
      <c r="HN208" s="30"/>
      <c r="HO208" s="30"/>
      <c r="HP208" s="30"/>
      <c r="HQ208" s="30"/>
      <c r="HR208" s="30"/>
      <c r="HS208" s="30"/>
      <c r="HT208" s="30"/>
      <c r="HU208" s="30"/>
      <c r="HV208" s="30"/>
      <c r="HW208" s="30"/>
      <c r="HX208" s="30"/>
      <c r="HY208" s="30"/>
      <c r="HZ208" s="30"/>
      <c r="IA208" s="30"/>
      <c r="IB208" s="30"/>
      <c r="IC208" s="30"/>
      <c r="ID208" s="30"/>
      <c r="IE208" s="30"/>
      <c r="IF208" s="30"/>
      <c r="IG208" s="30"/>
      <c r="IH208" s="30"/>
      <c r="II208" s="30"/>
      <c r="IJ208" s="30"/>
      <c r="IK208" s="30"/>
      <c r="IL208" s="30"/>
      <c r="IM208" s="30"/>
      <c r="IN208" s="30"/>
      <c r="IO208" s="30"/>
      <c r="IP208" s="30"/>
      <c r="IQ208" s="30"/>
      <c r="IR208" s="30"/>
      <c r="IS208" s="30"/>
      <c r="IT208" s="30"/>
      <c r="IU208" s="30"/>
      <c r="IV208" s="30"/>
      <c r="IW208" s="30"/>
      <c r="IX208" s="30"/>
      <c r="IY208" s="30"/>
      <c r="IZ208" s="30"/>
      <c r="JA208" s="30"/>
      <c r="JB208" s="30"/>
      <c r="JC208" s="30"/>
      <c r="JD208" s="30"/>
      <c r="JE208" s="30"/>
      <c r="JF208" s="30"/>
      <c r="JG208" s="30"/>
      <c r="JH208" s="30"/>
      <c r="JI208" s="30"/>
      <c r="JJ208" s="30"/>
      <c r="JK208" s="30"/>
      <c r="JL208" s="30"/>
      <c r="JM208" s="30"/>
      <c r="JN208" s="30"/>
      <c r="JO208" s="30"/>
      <c r="JP208" s="30"/>
      <c r="JQ208" s="30"/>
      <c r="JR208" s="30"/>
      <c r="JS208" s="30"/>
      <c r="JT208" s="30"/>
      <c r="JU208" s="30"/>
      <c r="JV208" s="30"/>
      <c r="JW208" s="30"/>
      <c r="JX208" s="30"/>
      <c r="JY208" s="30"/>
      <c r="JZ208" s="30"/>
      <c r="KA208" s="30"/>
      <c r="KB208" s="30"/>
      <c r="KC208" s="30"/>
      <c r="KD208" s="30"/>
      <c r="KE208" s="30"/>
      <c r="KF208" s="30"/>
      <c r="KG208" s="30"/>
      <c r="KH208" s="30"/>
      <c r="KI208" s="30"/>
      <c r="KJ208" s="30"/>
      <c r="KK208" s="30"/>
      <c r="KL208" s="30"/>
      <c r="KM208" s="30"/>
      <c r="KN208" s="30"/>
      <c r="KO208" s="30"/>
      <c r="KP208" s="1630"/>
    </row>
    <row r="209" spans="1:302" s="97" customFormat="1" ht="18" customHeight="1" outlineLevel="1">
      <c r="A209" s="2587" t="s">
        <v>145</v>
      </c>
      <c r="B209" s="2605"/>
      <c r="C209" s="2587" t="s">
        <v>948</v>
      </c>
      <c r="D209" s="2587" t="s">
        <v>961</v>
      </c>
      <c r="E209" s="376"/>
      <c r="F209" s="347"/>
      <c r="G209" s="348"/>
      <c r="H209" s="349" t="s">
        <v>26</v>
      </c>
      <c r="I209" s="2940"/>
      <c r="J209" s="362" t="s">
        <v>26</v>
      </c>
      <c r="K209" s="1745"/>
      <c r="L209" s="383"/>
      <c r="M209" s="383"/>
      <c r="N209" s="383"/>
      <c r="O209" s="1510">
        <v>1062800</v>
      </c>
      <c r="P209" s="383"/>
      <c r="Q209" s="383"/>
      <c r="R209" s="383"/>
      <c r="S209" s="1510">
        <f t="shared" si="241"/>
        <v>0</v>
      </c>
      <c r="T209" s="1509"/>
      <c r="U209" s="1746"/>
      <c r="V209" s="1746"/>
      <c r="W209" s="1510">
        <f t="shared" si="235"/>
        <v>1062800</v>
      </c>
      <c r="X209" s="362" t="s">
        <v>26</v>
      </c>
      <c r="Y209" s="1509"/>
      <c r="Z209" s="1746"/>
      <c r="AA209" s="1746"/>
      <c r="AB209" s="1510">
        <f t="shared" si="236"/>
        <v>1062800</v>
      </c>
      <c r="AC209" s="1442"/>
      <c r="AD209" s="1457"/>
      <c r="AE209" s="352"/>
      <c r="AF209" s="1685"/>
      <c r="AG209" s="1685"/>
      <c r="AH209" s="354">
        <f t="shared" si="242"/>
        <v>0</v>
      </c>
      <c r="AI209" s="355">
        <f t="shared" ca="1" si="232"/>
        <v>0</v>
      </c>
      <c r="AJ209" s="356">
        <f t="shared" ca="1" si="227"/>
        <v>0</v>
      </c>
      <c r="AK209" s="2185"/>
      <c r="AL209" s="2063"/>
      <c r="AM209" s="2261"/>
      <c r="AN209" s="2261"/>
      <c r="AO209" s="362"/>
      <c r="AP209" s="384"/>
      <c r="AQ209" s="362"/>
      <c r="AR209" s="362"/>
      <c r="AS209" s="362"/>
      <c r="AT209" s="385"/>
      <c r="AU209" s="359"/>
      <c r="AV209" s="359"/>
      <c r="AW209" s="377"/>
      <c r="AX209" s="359"/>
      <c r="AY209" s="360"/>
      <c r="AZ209" s="2273"/>
      <c r="BA209" s="359"/>
      <c r="BB209" s="359">
        <v>106280</v>
      </c>
      <c r="BC209" s="359">
        <v>106280</v>
      </c>
      <c r="BD209" s="359">
        <v>106280</v>
      </c>
      <c r="BE209" s="359">
        <v>106280</v>
      </c>
      <c r="BF209" s="359">
        <v>106280</v>
      </c>
      <c r="BG209" s="359">
        <v>106280</v>
      </c>
      <c r="BH209" s="362">
        <v>106280</v>
      </c>
      <c r="BI209" s="414">
        <v>106280</v>
      </c>
      <c r="BJ209" s="362">
        <v>106280</v>
      </c>
      <c r="BK209" s="2123">
        <v>106280</v>
      </c>
      <c r="BL209" s="414"/>
      <c r="BM209" s="414"/>
      <c r="BN209" s="414"/>
      <c r="BO209" s="414"/>
      <c r="BP209" s="414"/>
      <c r="BQ209" s="2399"/>
      <c r="BR209" s="362"/>
      <c r="BS209" s="362"/>
      <c r="BT209" s="362"/>
      <c r="BU209" s="364"/>
      <c r="BV209" s="364"/>
      <c r="BW209" s="2366"/>
      <c r="BX209" s="2463"/>
      <c r="BY209" s="2543"/>
      <c r="BZ209" s="2543"/>
      <c r="CA209" s="2432">
        <f t="shared" si="263"/>
        <v>1062800</v>
      </c>
      <c r="CB209" s="2377">
        <f t="shared" si="264"/>
        <v>1</v>
      </c>
      <c r="CC209" s="365">
        <f t="shared" si="265"/>
        <v>9.4091080165600306E-7</v>
      </c>
      <c r="CD209" s="365">
        <f t="shared" si="258"/>
        <v>8.8531313667294226E-13</v>
      </c>
      <c r="CE209" s="365">
        <f t="shared" si="259"/>
        <v>8.330006931435287E-19</v>
      </c>
      <c r="CF209" s="365">
        <f t="shared" si="260"/>
        <v>7.8377934996568376E-25</v>
      </c>
      <c r="CG209" s="340"/>
      <c r="CH209" s="367"/>
      <c r="CI209" s="368"/>
      <c r="CJ209" s="368"/>
      <c r="CK209" s="369"/>
      <c r="CL209" s="329">
        <f t="shared" si="261"/>
        <v>0</v>
      </c>
      <c r="CM209" s="330">
        <f t="shared" ca="1" si="262"/>
        <v>0</v>
      </c>
      <c r="CN209" s="331">
        <f t="shared" ca="1" si="223"/>
        <v>-1062800</v>
      </c>
      <c r="CO209" s="86"/>
      <c r="CP209" s="86"/>
      <c r="CQ209" s="1641"/>
      <c r="CR209" s="86"/>
      <c r="CS209" s="86"/>
      <c r="CT209" s="86"/>
      <c r="CU209" s="86"/>
      <c r="CV209" s="86"/>
      <c r="CW209" s="86"/>
      <c r="CX209" s="86"/>
      <c r="CY209" s="86"/>
      <c r="CZ209" s="86"/>
      <c r="DA209" s="86"/>
      <c r="DB209" s="1642"/>
      <c r="DC209" s="1642"/>
      <c r="DD209" s="30"/>
      <c r="DE209" s="30"/>
      <c r="DF209" s="30"/>
      <c r="DG209" s="1642"/>
      <c r="DH209" s="1642"/>
      <c r="DI209" s="1642"/>
      <c r="DJ209" s="1642"/>
      <c r="DK209" s="1642"/>
      <c r="DL209" s="1642"/>
      <c r="DM209" s="1642"/>
      <c r="DN209" s="1642"/>
      <c r="DO209" s="1642"/>
      <c r="DP209" s="1642"/>
      <c r="DQ209" s="1642"/>
      <c r="DR209" s="1642"/>
      <c r="DS209" s="1642"/>
      <c r="DT209" s="1642"/>
      <c r="DU209" s="1642"/>
      <c r="DV209" s="1642"/>
      <c r="DW209" s="1642"/>
      <c r="DX209" s="1642"/>
      <c r="DY209" s="1642"/>
      <c r="DZ209" s="1642"/>
      <c r="EA209" s="1642"/>
      <c r="EB209" s="1642"/>
      <c r="EC209" s="1642"/>
      <c r="ED209" s="1642"/>
      <c r="EE209" s="1642"/>
      <c r="EF209" s="1642"/>
      <c r="EG209" s="1642"/>
      <c r="EH209" s="1643"/>
      <c r="EI209" s="1658"/>
      <c r="EJ209" s="1642"/>
      <c r="EK209" s="30"/>
      <c r="EL209" s="30"/>
      <c r="EM209" s="30"/>
      <c r="EN209" s="30"/>
      <c r="EO209" s="30"/>
      <c r="EP209" s="30"/>
      <c r="EQ209" s="30"/>
      <c r="ER209" s="30"/>
      <c r="ES209" s="30"/>
      <c r="ET209" s="30"/>
      <c r="EU209" s="30"/>
      <c r="EV209" s="30"/>
      <c r="EW209" s="30"/>
      <c r="EX209" s="30"/>
      <c r="EY209" s="30"/>
      <c r="EZ209" s="30"/>
      <c r="FA209" s="30"/>
      <c r="FB209" s="30"/>
      <c r="FC209" s="30"/>
      <c r="FD209" s="30"/>
      <c r="FE209" s="30"/>
      <c r="FF209" s="30"/>
      <c r="FG209" s="30"/>
      <c r="FH209" s="30"/>
      <c r="FI209" s="30"/>
      <c r="FJ209" s="30"/>
      <c r="FK209" s="30"/>
      <c r="FL209" s="30"/>
      <c r="FM209" s="30"/>
      <c r="FN209" s="30"/>
      <c r="FO209" s="30"/>
      <c r="FP209" s="30"/>
      <c r="FQ209" s="30"/>
      <c r="FR209" s="30"/>
      <c r="FS209" s="30"/>
      <c r="FT209" s="30"/>
      <c r="FU209" s="30"/>
      <c r="FV209" s="30"/>
      <c r="FW209" s="30"/>
      <c r="FX209" s="30"/>
      <c r="FY209" s="30"/>
      <c r="FZ209" s="30"/>
      <c r="GA209" s="30"/>
      <c r="GB209" s="30"/>
      <c r="GC209" s="30"/>
      <c r="GD209" s="30"/>
      <c r="GE209" s="30"/>
      <c r="GF209" s="30"/>
      <c r="GG209" s="30"/>
      <c r="GH209" s="30"/>
      <c r="GI209" s="30"/>
      <c r="GJ209" s="30"/>
      <c r="GK209" s="30"/>
      <c r="GL209" s="30"/>
      <c r="GM209" s="30"/>
      <c r="GN209" s="30"/>
      <c r="GO209" s="30"/>
      <c r="GP209" s="30"/>
      <c r="GQ209" s="30"/>
      <c r="GR209" s="30"/>
      <c r="GS209" s="30"/>
      <c r="GT209" s="30"/>
      <c r="GU209" s="30"/>
      <c r="GV209" s="30"/>
      <c r="GW209" s="30"/>
      <c r="GX209" s="30"/>
      <c r="GY209" s="30"/>
      <c r="GZ209" s="30"/>
      <c r="HA209" s="30"/>
      <c r="HB209" s="30"/>
      <c r="HC209" s="30"/>
      <c r="HD209" s="30"/>
      <c r="HE209" s="30"/>
      <c r="HF209" s="30"/>
      <c r="HG209" s="30"/>
      <c r="HH209" s="30"/>
      <c r="HI209" s="30"/>
      <c r="HJ209" s="30"/>
      <c r="HK209" s="30"/>
      <c r="HL209" s="30"/>
      <c r="HM209" s="30"/>
      <c r="HN209" s="30"/>
      <c r="HO209" s="30"/>
      <c r="HP209" s="30"/>
      <c r="HQ209" s="30"/>
      <c r="HR209" s="30"/>
      <c r="HS209" s="30"/>
      <c r="HT209" s="30"/>
      <c r="HU209" s="30"/>
      <c r="HV209" s="30"/>
      <c r="HW209" s="30"/>
      <c r="HX209" s="30"/>
      <c r="HY209" s="30"/>
      <c r="HZ209" s="30"/>
      <c r="IA209" s="30"/>
      <c r="IB209" s="30"/>
      <c r="IC209" s="30"/>
      <c r="ID209" s="30"/>
      <c r="IE209" s="30"/>
      <c r="IF209" s="30"/>
      <c r="IG209" s="30"/>
      <c r="IH209" s="30"/>
      <c r="II209" s="30"/>
      <c r="IJ209" s="30"/>
      <c r="IK209" s="30"/>
      <c r="IL209" s="30"/>
      <c r="IM209" s="30"/>
      <c r="IN209" s="30"/>
      <c r="IO209" s="30"/>
      <c r="IP209" s="30"/>
      <c r="IQ209" s="30"/>
      <c r="IR209" s="30"/>
      <c r="IS209" s="30"/>
      <c r="IT209" s="30"/>
      <c r="IU209" s="30"/>
      <c r="IV209" s="30"/>
      <c r="IW209" s="30"/>
      <c r="IX209" s="30"/>
      <c r="IY209" s="30"/>
      <c r="IZ209" s="30"/>
      <c r="JA209" s="30"/>
      <c r="JB209" s="30"/>
      <c r="JC209" s="30"/>
      <c r="JD209" s="30"/>
      <c r="JE209" s="30"/>
      <c r="JF209" s="30"/>
      <c r="JG209" s="30"/>
      <c r="JH209" s="30"/>
      <c r="JI209" s="30"/>
      <c r="JJ209" s="30"/>
      <c r="JK209" s="30"/>
      <c r="JL209" s="30"/>
      <c r="JM209" s="30"/>
      <c r="JN209" s="30"/>
      <c r="JO209" s="30"/>
      <c r="JP209" s="30"/>
      <c r="JQ209" s="30"/>
      <c r="JR209" s="30"/>
      <c r="JS209" s="30"/>
      <c r="JT209" s="30"/>
      <c r="JU209" s="30"/>
      <c r="JV209" s="30"/>
      <c r="JW209" s="30"/>
      <c r="JX209" s="30"/>
      <c r="JY209" s="30"/>
      <c r="JZ209" s="30"/>
      <c r="KA209" s="30"/>
      <c r="KB209" s="30"/>
      <c r="KC209" s="30"/>
      <c r="KD209" s="30"/>
      <c r="KE209" s="30"/>
      <c r="KF209" s="30"/>
      <c r="KG209" s="30"/>
      <c r="KH209" s="30"/>
      <c r="KI209" s="30"/>
      <c r="KJ209" s="30"/>
      <c r="KK209" s="30"/>
      <c r="KL209" s="30"/>
      <c r="KM209" s="30"/>
      <c r="KN209" s="30"/>
      <c r="KO209" s="30"/>
      <c r="KP209" s="1630"/>
    </row>
    <row r="210" spans="1:302" s="97" customFormat="1" ht="27" customHeight="1" outlineLevel="1">
      <c r="A210" s="2587" t="s">
        <v>936</v>
      </c>
      <c r="B210" s="2605"/>
      <c r="C210" s="2587" t="s">
        <v>949</v>
      </c>
      <c r="D210" s="2587" t="s">
        <v>962</v>
      </c>
      <c r="E210" s="376"/>
      <c r="F210" s="347"/>
      <c r="G210" s="348"/>
      <c r="H210" s="349" t="s">
        <v>26</v>
      </c>
      <c r="I210" s="2940"/>
      <c r="J210" s="362" t="s">
        <v>26</v>
      </c>
      <c r="K210" s="1745"/>
      <c r="L210" s="383"/>
      <c r="M210" s="383"/>
      <c r="N210" s="383"/>
      <c r="O210" s="1510"/>
      <c r="P210" s="383"/>
      <c r="Q210" s="383"/>
      <c r="R210" s="383"/>
      <c r="S210" s="1510">
        <f t="shared" si="241"/>
        <v>0</v>
      </c>
      <c r="T210" s="389"/>
      <c r="U210" s="1746"/>
      <c r="V210" s="1746"/>
      <c r="W210" s="1510">
        <f t="shared" si="235"/>
        <v>0</v>
      </c>
      <c r="X210" s="359" t="s">
        <v>26</v>
      </c>
      <c r="Y210" s="389"/>
      <c r="Z210" s="1746"/>
      <c r="AA210" s="1746"/>
      <c r="AB210" s="1510">
        <f t="shared" si="236"/>
        <v>0</v>
      </c>
      <c r="AC210" s="1442"/>
      <c r="AD210" s="1457"/>
      <c r="AE210" s="352"/>
      <c r="AF210" s="1685"/>
      <c r="AG210" s="1685"/>
      <c r="AH210" s="354">
        <f t="shared" si="242"/>
        <v>0</v>
      </c>
      <c r="AI210" s="355">
        <f t="shared" ca="1" si="232"/>
        <v>0</v>
      </c>
      <c r="AJ210" s="356" t="str">
        <f t="shared" si="227"/>
        <v/>
      </c>
      <c r="AK210" s="2185"/>
      <c r="AL210" s="2063"/>
      <c r="AM210" s="2261"/>
      <c r="AN210" s="2261"/>
      <c r="AO210" s="362"/>
      <c r="AP210" s="384"/>
      <c r="AQ210" s="362"/>
      <c r="AR210" s="362"/>
      <c r="AS210" s="362"/>
      <c r="AT210" s="385"/>
      <c r="AU210" s="359"/>
      <c r="AV210" s="359"/>
      <c r="AW210" s="377"/>
      <c r="AX210" s="359"/>
      <c r="AY210" s="360"/>
      <c r="AZ210" s="2273"/>
      <c r="BA210" s="1505"/>
      <c r="BB210" s="1505"/>
      <c r="BC210" s="1505"/>
      <c r="BD210" s="1505"/>
      <c r="BE210" s="359"/>
      <c r="BF210" s="359"/>
      <c r="BG210" s="359"/>
      <c r="BH210" s="359"/>
      <c r="BI210" s="1505"/>
      <c r="BJ210" s="1505"/>
      <c r="BK210" s="2126"/>
      <c r="BL210" s="2106"/>
      <c r="BM210" s="2106"/>
      <c r="BN210" s="2106"/>
      <c r="BO210" s="2106"/>
      <c r="BP210" s="2106"/>
      <c r="BQ210" s="2397"/>
      <c r="BR210" s="362"/>
      <c r="BS210" s="362"/>
      <c r="BT210" s="362"/>
      <c r="BU210" s="364"/>
      <c r="BV210" s="364"/>
      <c r="BW210" s="2366"/>
      <c r="BX210" s="2463"/>
      <c r="BY210" s="2543"/>
      <c r="BZ210" s="2543"/>
      <c r="CA210" s="2432">
        <f t="shared" si="263"/>
        <v>0</v>
      </c>
      <c r="CB210" s="2377" t="str">
        <f t="shared" si="264"/>
        <v/>
      </c>
      <c r="CC210" s="365" t="str">
        <f t="shared" si="265"/>
        <v/>
      </c>
      <c r="CD210" s="365" t="str">
        <f t="shared" si="258"/>
        <v/>
      </c>
      <c r="CE210" s="365" t="str">
        <f t="shared" si="259"/>
        <v/>
      </c>
      <c r="CF210" s="365" t="str">
        <f t="shared" si="260"/>
        <v/>
      </c>
      <c r="CG210" s="340"/>
      <c r="CH210" s="367"/>
      <c r="CI210" s="368"/>
      <c r="CJ210" s="368"/>
      <c r="CK210" s="369"/>
      <c r="CL210" s="329">
        <f t="shared" si="261"/>
        <v>0</v>
      </c>
      <c r="CM210" s="330">
        <f t="shared" ca="1" si="262"/>
        <v>0</v>
      </c>
      <c r="CN210" s="331">
        <f t="shared" ca="1" si="223"/>
        <v>0</v>
      </c>
      <c r="CO210" s="86"/>
      <c r="CP210" s="86"/>
      <c r="CQ210" s="1641"/>
      <c r="CR210" s="86"/>
      <c r="CS210" s="86"/>
      <c r="CT210" s="86"/>
      <c r="CU210" s="86"/>
      <c r="CV210" s="86"/>
      <c r="CW210" s="86"/>
      <c r="CX210" s="86"/>
      <c r="CY210" s="86"/>
      <c r="CZ210" s="86"/>
      <c r="DA210" s="86"/>
      <c r="DB210" s="1642"/>
      <c r="DC210" s="1642"/>
      <c r="DD210" s="30"/>
      <c r="DE210" s="30"/>
      <c r="DF210" s="30"/>
      <c r="DG210" s="1642"/>
      <c r="DH210" s="1642"/>
      <c r="DI210" s="1642"/>
      <c r="DJ210" s="1642"/>
      <c r="DK210" s="1642"/>
      <c r="DL210" s="1642"/>
      <c r="DM210" s="1642"/>
      <c r="DN210" s="1642"/>
      <c r="DO210" s="1642"/>
      <c r="DP210" s="1642"/>
      <c r="DQ210" s="1642"/>
      <c r="DR210" s="1642"/>
      <c r="DS210" s="1642"/>
      <c r="DT210" s="1642"/>
      <c r="DU210" s="1642"/>
      <c r="DV210" s="1642"/>
      <c r="DW210" s="1642"/>
      <c r="DX210" s="1642"/>
      <c r="DY210" s="1642"/>
      <c r="DZ210" s="1642"/>
      <c r="EA210" s="1642"/>
      <c r="EB210" s="1642"/>
      <c r="EC210" s="1642"/>
      <c r="ED210" s="1642"/>
      <c r="EE210" s="1642"/>
      <c r="EF210" s="1642"/>
      <c r="EG210" s="1642"/>
      <c r="EH210" s="1643"/>
      <c r="EI210" s="1658"/>
      <c r="EJ210" s="1642"/>
      <c r="EK210" s="30"/>
      <c r="EL210" s="30"/>
      <c r="EM210" s="30"/>
      <c r="EN210" s="30"/>
      <c r="EO210" s="30"/>
      <c r="EP210" s="30"/>
      <c r="EQ210" s="30"/>
      <c r="ER210" s="30"/>
      <c r="ES210" s="30"/>
      <c r="ET210" s="30"/>
      <c r="EU210" s="30"/>
      <c r="EV210" s="30"/>
      <c r="EW210" s="30"/>
      <c r="EX210" s="30"/>
      <c r="EY210" s="30"/>
      <c r="EZ210" s="30"/>
      <c r="FA210" s="30"/>
      <c r="FB210" s="30"/>
      <c r="FC210" s="30"/>
      <c r="FD210" s="30"/>
      <c r="FE210" s="30"/>
      <c r="FF210" s="30"/>
      <c r="FG210" s="30"/>
      <c r="FH210" s="30"/>
      <c r="FI210" s="30"/>
      <c r="FJ210" s="30"/>
      <c r="FK210" s="30"/>
      <c r="FL210" s="30"/>
      <c r="FM210" s="30"/>
      <c r="FN210" s="30"/>
      <c r="FO210" s="30"/>
      <c r="FP210" s="30"/>
      <c r="FQ210" s="30"/>
      <c r="FR210" s="30"/>
      <c r="FS210" s="30"/>
      <c r="FT210" s="30"/>
      <c r="FU210" s="30"/>
      <c r="FV210" s="30"/>
      <c r="FW210" s="30"/>
      <c r="FX210" s="30"/>
      <c r="FY210" s="30"/>
      <c r="FZ210" s="30"/>
      <c r="GA210" s="30"/>
      <c r="GB210" s="30"/>
      <c r="GC210" s="30"/>
      <c r="GD210" s="30"/>
      <c r="GE210" s="30"/>
      <c r="GF210" s="30"/>
      <c r="GG210" s="30"/>
      <c r="GH210" s="30"/>
      <c r="GI210" s="30"/>
      <c r="GJ210" s="30"/>
      <c r="GK210" s="30"/>
      <c r="GL210" s="30"/>
      <c r="GM210" s="30"/>
      <c r="GN210" s="30"/>
      <c r="GO210" s="30"/>
      <c r="GP210" s="30"/>
      <c r="GQ210" s="30"/>
      <c r="GR210" s="30"/>
      <c r="GS210" s="30"/>
      <c r="GT210" s="30"/>
      <c r="GU210" s="30"/>
      <c r="GV210" s="30"/>
      <c r="GW210" s="30"/>
      <c r="GX210" s="30"/>
      <c r="GY210" s="30"/>
      <c r="GZ210" s="30"/>
      <c r="HA210" s="30"/>
      <c r="HB210" s="30"/>
      <c r="HC210" s="30"/>
      <c r="HD210" s="30"/>
      <c r="HE210" s="30"/>
      <c r="HF210" s="30"/>
      <c r="HG210" s="30"/>
      <c r="HH210" s="30"/>
      <c r="HI210" s="30"/>
      <c r="HJ210" s="30"/>
      <c r="HK210" s="30"/>
      <c r="HL210" s="30"/>
      <c r="HM210" s="30"/>
      <c r="HN210" s="30"/>
      <c r="HO210" s="30"/>
      <c r="HP210" s="30"/>
      <c r="HQ210" s="30"/>
      <c r="HR210" s="30"/>
      <c r="HS210" s="30"/>
      <c r="HT210" s="30"/>
      <c r="HU210" s="30"/>
      <c r="HV210" s="30"/>
      <c r="HW210" s="30"/>
      <c r="HX210" s="30"/>
      <c r="HY210" s="30"/>
      <c r="HZ210" s="30"/>
      <c r="IA210" s="30"/>
      <c r="IB210" s="30"/>
      <c r="IC210" s="30"/>
      <c r="ID210" s="30"/>
      <c r="IE210" s="30"/>
      <c r="IF210" s="30"/>
      <c r="IG210" s="30"/>
      <c r="IH210" s="30"/>
      <c r="II210" s="30"/>
      <c r="IJ210" s="30"/>
      <c r="IK210" s="30"/>
      <c r="IL210" s="30"/>
      <c r="IM210" s="30"/>
      <c r="IN210" s="30"/>
      <c r="IO210" s="30"/>
      <c r="IP210" s="30"/>
      <c r="IQ210" s="30"/>
      <c r="IR210" s="30"/>
      <c r="IS210" s="30"/>
      <c r="IT210" s="30"/>
      <c r="IU210" s="30"/>
      <c r="IV210" s="30"/>
      <c r="IW210" s="30"/>
      <c r="IX210" s="30"/>
      <c r="IY210" s="30"/>
      <c r="IZ210" s="30"/>
      <c r="JA210" s="30"/>
      <c r="JB210" s="30"/>
      <c r="JC210" s="30"/>
      <c r="JD210" s="30"/>
      <c r="JE210" s="30"/>
      <c r="JF210" s="30"/>
      <c r="JG210" s="30"/>
      <c r="JH210" s="30"/>
      <c r="JI210" s="30"/>
      <c r="JJ210" s="30"/>
      <c r="JK210" s="30"/>
      <c r="JL210" s="30"/>
      <c r="JM210" s="30"/>
      <c r="JN210" s="30"/>
      <c r="JO210" s="30"/>
      <c r="JP210" s="30"/>
      <c r="JQ210" s="30"/>
      <c r="JR210" s="30"/>
      <c r="JS210" s="30"/>
      <c r="JT210" s="30"/>
      <c r="JU210" s="30"/>
      <c r="JV210" s="30"/>
      <c r="JW210" s="30"/>
      <c r="JX210" s="30"/>
      <c r="JY210" s="30"/>
      <c r="JZ210" s="30"/>
      <c r="KA210" s="30"/>
      <c r="KB210" s="30"/>
      <c r="KC210" s="30"/>
      <c r="KD210" s="30"/>
      <c r="KE210" s="30"/>
      <c r="KF210" s="30"/>
      <c r="KG210" s="30"/>
      <c r="KH210" s="30"/>
      <c r="KI210" s="30"/>
      <c r="KJ210" s="30"/>
      <c r="KK210" s="30"/>
      <c r="KL210" s="30"/>
      <c r="KM210" s="30"/>
      <c r="KN210" s="30"/>
      <c r="KO210" s="30"/>
      <c r="KP210" s="1630"/>
    </row>
    <row r="211" spans="1:302" s="97" customFormat="1" ht="22.5" customHeight="1" outlineLevel="1">
      <c r="A211" s="2661" t="s">
        <v>937</v>
      </c>
      <c r="B211" s="2609"/>
      <c r="C211" s="2582" t="s">
        <v>950</v>
      </c>
      <c r="D211" s="2582" t="s">
        <v>963</v>
      </c>
      <c r="E211" s="1415"/>
      <c r="F211" s="370"/>
      <c r="G211" s="371"/>
      <c r="H211" s="350" t="s">
        <v>26</v>
      </c>
      <c r="I211" s="2940"/>
      <c r="J211" s="359" t="s">
        <v>26</v>
      </c>
      <c r="K211" s="355"/>
      <c r="L211" s="358"/>
      <c r="M211" s="358"/>
      <c r="N211" s="358"/>
      <c r="O211" s="1510">
        <v>1090000</v>
      </c>
      <c r="P211" s="358"/>
      <c r="Q211" s="358"/>
      <c r="R211" s="358"/>
      <c r="S211" s="1510">
        <f t="shared" ref="S211" si="266">R211*Q211</f>
        <v>0</v>
      </c>
      <c r="T211" s="389"/>
      <c r="U211" s="1746"/>
      <c r="V211" s="1746"/>
      <c r="W211" s="1510">
        <f t="shared" ref="W211" si="267">O211+S211</f>
        <v>1090000</v>
      </c>
      <c r="X211" s="359" t="s">
        <v>26</v>
      </c>
      <c r="Y211" s="389"/>
      <c r="Z211" s="1746"/>
      <c r="AA211" s="1746"/>
      <c r="AB211" s="1510">
        <f t="shared" si="236"/>
        <v>1089999.9990000001</v>
      </c>
      <c r="AC211" s="1443"/>
      <c r="AD211" s="1458"/>
      <c r="AE211" s="381"/>
      <c r="AF211" s="2088"/>
      <c r="AG211" s="2088"/>
      <c r="AH211" s="354">
        <f t="shared" si="242"/>
        <v>0</v>
      </c>
      <c r="AI211" s="355">
        <f t="shared" ca="1" si="232"/>
        <v>0</v>
      </c>
      <c r="AJ211" s="356">
        <f t="shared" ca="1" si="227"/>
        <v>0</v>
      </c>
      <c r="AK211" s="2185"/>
      <c r="AL211" s="2063"/>
      <c r="AM211" s="2258"/>
      <c r="AN211" s="2258"/>
      <c r="AO211" s="359"/>
      <c r="AP211" s="379"/>
      <c r="AQ211" s="359"/>
      <c r="AR211" s="359"/>
      <c r="AS211" s="359"/>
      <c r="AT211" s="360"/>
      <c r="AU211" s="359"/>
      <c r="AV211" s="359"/>
      <c r="AW211" s="377"/>
      <c r="AX211" s="359"/>
      <c r="AY211" s="360"/>
      <c r="AZ211" s="2273"/>
      <c r="BA211" s="497"/>
      <c r="BB211" s="359"/>
      <c r="BC211" s="359">
        <v>121111.111</v>
      </c>
      <c r="BD211" s="359">
        <v>121111.111</v>
      </c>
      <c r="BE211" s="359">
        <v>121111.111</v>
      </c>
      <c r="BF211" s="359">
        <v>121111.111</v>
      </c>
      <c r="BG211" s="359">
        <v>121111.111</v>
      </c>
      <c r="BH211" s="359">
        <v>121111.111</v>
      </c>
      <c r="BI211" s="380">
        <v>121111.111</v>
      </c>
      <c r="BJ211" s="359">
        <v>121111.111</v>
      </c>
      <c r="BK211" s="2122">
        <v>121111.111</v>
      </c>
      <c r="BL211" s="380"/>
      <c r="BM211" s="380"/>
      <c r="BN211" s="380"/>
      <c r="BO211" s="380"/>
      <c r="BP211" s="380"/>
      <c r="BQ211" s="2087"/>
      <c r="BR211" s="359"/>
      <c r="BS211" s="359"/>
      <c r="BT211" s="359"/>
      <c r="BU211" s="364"/>
      <c r="BV211" s="364"/>
      <c r="BW211" s="2366"/>
      <c r="BX211" s="2463"/>
      <c r="BY211" s="2543"/>
      <c r="BZ211" s="2543"/>
      <c r="CA211" s="2432">
        <f t="shared" si="263"/>
        <v>1089999.9990000001</v>
      </c>
      <c r="CB211" s="2377">
        <f t="shared" si="264"/>
        <v>1</v>
      </c>
      <c r="CC211" s="365">
        <f t="shared" si="265"/>
        <v>9.1743119350223036E-7</v>
      </c>
      <c r="CD211" s="365">
        <f t="shared" si="258"/>
        <v>8.4167999481092689E-13</v>
      </c>
      <c r="CE211" s="365">
        <f t="shared" si="259"/>
        <v>7.7218348218633977E-19</v>
      </c>
      <c r="CF211" s="365">
        <f t="shared" si="260"/>
        <v>7.0842521366492191E-25</v>
      </c>
      <c r="CG211" s="340"/>
      <c r="CH211" s="367"/>
      <c r="CI211" s="368"/>
      <c r="CJ211" s="368"/>
      <c r="CK211" s="369"/>
      <c r="CL211" s="329">
        <f t="shared" si="261"/>
        <v>9.9999993108212948E-4</v>
      </c>
      <c r="CM211" s="330">
        <f t="shared" ca="1" si="262"/>
        <v>0</v>
      </c>
      <c r="CN211" s="331">
        <f t="shared" ca="1" si="223"/>
        <v>-1089999.9990000001</v>
      </c>
      <c r="CO211" s="86"/>
      <c r="CP211" s="86"/>
      <c r="CQ211" s="1641"/>
      <c r="CR211" s="86"/>
      <c r="CS211" s="86"/>
      <c r="CT211" s="86"/>
      <c r="CU211" s="86"/>
      <c r="CV211" s="86"/>
      <c r="CW211" s="86"/>
      <c r="CX211" s="86"/>
      <c r="CY211" s="86"/>
      <c r="CZ211" s="86"/>
      <c r="DA211" s="86"/>
      <c r="DB211" s="1642"/>
      <c r="DC211" s="1642"/>
      <c r="DD211" s="30"/>
      <c r="DE211" s="30"/>
      <c r="DF211" s="30"/>
      <c r="DG211" s="1642"/>
      <c r="DH211" s="1642"/>
      <c r="DI211" s="1642"/>
      <c r="DJ211" s="1642"/>
      <c r="DK211" s="1642"/>
      <c r="DL211" s="1642"/>
      <c r="DM211" s="1642"/>
      <c r="DN211" s="1642"/>
      <c r="DO211" s="1642"/>
      <c r="DP211" s="1642"/>
      <c r="DQ211" s="1642"/>
      <c r="DR211" s="1642"/>
      <c r="DS211" s="1642"/>
      <c r="DT211" s="1642"/>
      <c r="DU211" s="1642"/>
      <c r="DV211" s="1642"/>
      <c r="DW211" s="1642"/>
      <c r="DX211" s="1642"/>
      <c r="DY211" s="1642"/>
      <c r="DZ211" s="1642"/>
      <c r="EA211" s="1642"/>
      <c r="EB211" s="1642"/>
      <c r="EC211" s="1642"/>
      <c r="ED211" s="1642"/>
      <c r="EE211" s="1642"/>
      <c r="EF211" s="1642"/>
      <c r="EG211" s="1642"/>
      <c r="EH211" s="1643"/>
      <c r="EI211" s="1658"/>
      <c r="EJ211" s="1642"/>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0"/>
      <c r="HP211" s="30"/>
      <c r="HQ211" s="30"/>
      <c r="HR211" s="30"/>
      <c r="HS211" s="30"/>
      <c r="HT211" s="30"/>
      <c r="HU211" s="30"/>
      <c r="HV211" s="30"/>
      <c r="HW211" s="30"/>
      <c r="HX211" s="30"/>
      <c r="HY211" s="30"/>
      <c r="HZ211" s="30"/>
      <c r="IA211" s="30"/>
      <c r="IB211" s="30"/>
      <c r="IC211" s="30"/>
      <c r="ID211" s="30"/>
      <c r="IE211" s="30"/>
      <c r="IF211" s="30"/>
      <c r="IG211" s="30"/>
      <c r="IH211" s="30"/>
      <c r="II211" s="30"/>
      <c r="IJ211" s="30"/>
      <c r="IK211" s="30"/>
      <c r="IL211" s="30"/>
      <c r="IM211" s="30"/>
      <c r="IN211" s="30"/>
      <c r="IO211" s="30"/>
      <c r="IP211" s="30"/>
      <c r="IQ211" s="30"/>
      <c r="IR211" s="30"/>
      <c r="IS211" s="30"/>
      <c r="IT211" s="30"/>
      <c r="IU211" s="30"/>
      <c r="IV211" s="30"/>
      <c r="IW211" s="30"/>
      <c r="IX211" s="30"/>
      <c r="IY211" s="30"/>
      <c r="IZ211" s="30"/>
      <c r="JA211" s="30"/>
      <c r="JB211" s="30"/>
      <c r="JC211" s="30"/>
      <c r="JD211" s="30"/>
      <c r="JE211" s="30"/>
      <c r="JF211" s="30"/>
      <c r="JG211" s="30"/>
      <c r="JH211" s="30"/>
      <c r="JI211" s="30"/>
      <c r="JJ211" s="30"/>
      <c r="JK211" s="30"/>
      <c r="JL211" s="30"/>
      <c r="JM211" s="30"/>
      <c r="JN211" s="30"/>
      <c r="JO211" s="30"/>
      <c r="JP211" s="30"/>
      <c r="JQ211" s="30"/>
      <c r="JR211" s="30"/>
      <c r="JS211" s="30"/>
      <c r="JT211" s="30"/>
      <c r="JU211" s="30"/>
      <c r="JV211" s="30"/>
      <c r="JW211" s="30"/>
      <c r="JX211" s="30"/>
      <c r="JY211" s="30"/>
      <c r="JZ211" s="30"/>
      <c r="KA211" s="30"/>
      <c r="KB211" s="30"/>
      <c r="KC211" s="30"/>
      <c r="KD211" s="30"/>
      <c r="KE211" s="30"/>
      <c r="KF211" s="30"/>
      <c r="KG211" s="30"/>
      <c r="KH211" s="30"/>
      <c r="KI211" s="30"/>
      <c r="KJ211" s="30"/>
      <c r="KK211" s="30"/>
      <c r="KL211" s="30"/>
      <c r="KM211" s="30"/>
      <c r="KN211" s="30"/>
      <c r="KO211" s="30"/>
      <c r="KP211" s="1630"/>
    </row>
    <row r="212" spans="1:302" s="97" customFormat="1" ht="41.65" outlineLevel="1">
      <c r="A212" s="2661" t="s">
        <v>938</v>
      </c>
      <c r="B212" s="2609"/>
      <c r="C212" s="2582" t="s">
        <v>951</v>
      </c>
      <c r="D212" s="2582" t="s">
        <v>964</v>
      </c>
      <c r="E212" s="1415"/>
      <c r="F212" s="370"/>
      <c r="G212" s="371"/>
      <c r="H212" s="350" t="s">
        <v>26</v>
      </c>
      <c r="I212" s="2940"/>
      <c r="J212" s="359" t="s">
        <v>26</v>
      </c>
      <c r="K212" s="355"/>
      <c r="L212" s="358"/>
      <c r="M212" s="358"/>
      <c r="N212" s="358"/>
      <c r="O212" s="1510">
        <v>33755000</v>
      </c>
      <c r="P212" s="358"/>
      <c r="Q212" s="358"/>
      <c r="R212" s="358"/>
      <c r="S212" s="1510">
        <f t="shared" si="241"/>
        <v>0</v>
      </c>
      <c r="T212" s="389"/>
      <c r="U212" s="1746"/>
      <c r="V212" s="1746"/>
      <c r="W212" s="1510">
        <f t="shared" si="235"/>
        <v>33755000</v>
      </c>
      <c r="X212" s="359" t="s">
        <v>26</v>
      </c>
      <c r="Y212" s="389"/>
      <c r="Z212" s="1746"/>
      <c r="AA212" s="1746"/>
      <c r="AB212" s="1510">
        <f t="shared" si="236"/>
        <v>33755000.000006996</v>
      </c>
      <c r="AC212" s="2022" t="s">
        <v>1147</v>
      </c>
      <c r="AD212" s="1458"/>
      <c r="AE212" s="2612" t="s">
        <v>564</v>
      </c>
      <c r="AF212" s="2613">
        <v>33750000</v>
      </c>
      <c r="AG212" s="2613">
        <v>1</v>
      </c>
      <c r="AH212" s="354">
        <f t="shared" si="242"/>
        <v>33750000</v>
      </c>
      <c r="AI212" s="355">
        <f t="shared" ca="1" si="232"/>
        <v>0</v>
      </c>
      <c r="AJ212" s="356">
        <f t="shared" ca="1" si="227"/>
        <v>0</v>
      </c>
      <c r="AK212" s="2185"/>
      <c r="AL212" s="2063"/>
      <c r="AM212" s="2258"/>
      <c r="AN212" s="2258"/>
      <c r="AO212" s="359"/>
      <c r="AP212" s="2893">
        <v>2010840.3</v>
      </c>
      <c r="AQ212" s="359">
        <v>207142.86</v>
      </c>
      <c r="AR212" s="359">
        <f>1007142.86-700000</f>
        <v>307142.86</v>
      </c>
      <c r="AS212" s="359">
        <v>1007142.8600000001</v>
      </c>
      <c r="AT212" s="360">
        <v>1007142.8600000001</v>
      </c>
      <c r="AU212" s="359">
        <f>1307142.86-240756.33333</f>
        <v>1066386.5266700001</v>
      </c>
      <c r="AV212" s="359">
        <f>1307142.86-240756.333333</f>
        <v>1066386.526667</v>
      </c>
      <c r="AW212" s="377">
        <f>1307142.86-240756.33333</f>
        <v>1066386.5266700001</v>
      </c>
      <c r="AX212" s="359">
        <v>307142.86</v>
      </c>
      <c r="AY212" s="360">
        <v>307142.86</v>
      </c>
      <c r="AZ212" s="2258">
        <v>1907142.86</v>
      </c>
      <c r="BA212" s="377">
        <v>2107142.8600000003</v>
      </c>
      <c r="BB212" s="377">
        <v>1907142.86</v>
      </c>
      <c r="BC212" s="377">
        <v>1907142.86</v>
      </c>
      <c r="BD212" s="377">
        <v>1907142.86</v>
      </c>
      <c r="BE212" s="377">
        <v>1907142.86</v>
      </c>
      <c r="BF212" s="377">
        <v>1907142.86</v>
      </c>
      <c r="BG212" s="377">
        <f>1907142.86-500000+1000000</f>
        <v>2407142.8600000003</v>
      </c>
      <c r="BH212" s="377">
        <v>1607142.86</v>
      </c>
      <c r="BI212" s="377">
        <f>2007142.86-500000</f>
        <v>1507142.86</v>
      </c>
      <c r="BJ212" s="377">
        <f>1616428.64-500000</f>
        <v>1116428.6399999999</v>
      </c>
      <c r="BK212" s="377">
        <f>1607142.86-500000+2000000</f>
        <v>3107142.8600000003</v>
      </c>
      <c r="BL212" s="2258">
        <v>1407142.86</v>
      </c>
      <c r="BM212" s="377">
        <v>700000</v>
      </c>
      <c r="BN212" s="2106"/>
      <c r="BO212" s="2106"/>
      <c r="BP212" s="2106"/>
      <c r="BQ212" s="2397"/>
      <c r="BR212" s="359"/>
      <c r="BS212" s="359"/>
      <c r="BT212" s="359"/>
      <c r="BU212" s="364"/>
      <c r="BV212" s="364"/>
      <c r="BW212" s="2366"/>
      <c r="BX212" s="2463"/>
      <c r="BY212" s="2543"/>
      <c r="BZ212" s="2543"/>
      <c r="CA212" s="2432">
        <f t="shared" si="263"/>
        <v>33755000.000006996</v>
      </c>
      <c r="CB212" s="2377">
        <f t="shared" si="264"/>
        <v>1</v>
      </c>
      <c r="CC212" s="365">
        <f t="shared" si="265"/>
        <v>2.9625240705074589E-8</v>
      </c>
      <c r="CD212" s="365">
        <f t="shared" si="258"/>
        <v>8.7765488683360835E-16</v>
      </c>
      <c r="CE212" s="365">
        <f t="shared" si="259"/>
        <v>2.6000737278430646E-23</v>
      </c>
      <c r="CF212" s="365">
        <f t="shared" si="260"/>
        <v>7.7027810038291382E-31</v>
      </c>
      <c r="CG212" s="340"/>
      <c r="CH212" s="367"/>
      <c r="CI212" s="368"/>
      <c r="CJ212" s="368"/>
      <c r="CK212" s="369"/>
      <c r="CL212" s="329">
        <f t="shared" si="261"/>
        <v>-6.9960951805114746E-6</v>
      </c>
      <c r="CM212" s="330">
        <f t="shared" ca="1" si="262"/>
        <v>0</v>
      </c>
      <c r="CN212" s="331">
        <f t="shared" ca="1" si="223"/>
        <v>-25402142.959999993</v>
      </c>
      <c r="CO212" s="86"/>
      <c r="CP212" s="86"/>
      <c r="CQ212" s="1641"/>
      <c r="CR212" s="86"/>
      <c r="CS212" s="86"/>
      <c r="CT212" s="86"/>
      <c r="CU212" s="86"/>
      <c r="CV212" s="86"/>
      <c r="CW212" s="86"/>
      <c r="CX212" s="86"/>
      <c r="CY212" s="86"/>
      <c r="CZ212" s="86"/>
      <c r="DA212" s="86"/>
      <c r="DB212" s="1642"/>
      <c r="DC212" s="1642"/>
      <c r="DD212" s="30"/>
      <c r="DE212" s="30"/>
      <c r="DF212" s="30"/>
      <c r="DG212" s="1642"/>
      <c r="DH212" s="1642"/>
      <c r="DI212" s="1642"/>
      <c r="DJ212" s="1642"/>
      <c r="DK212" s="1642"/>
      <c r="DL212" s="1642"/>
      <c r="DM212" s="1642"/>
      <c r="DN212" s="1642"/>
      <c r="DO212" s="1642"/>
      <c r="DP212" s="1642"/>
      <c r="DQ212" s="1642"/>
      <c r="DR212" s="1642"/>
      <c r="DS212" s="1642"/>
      <c r="DT212" s="1642"/>
      <c r="DU212" s="1642"/>
      <c r="DV212" s="1642"/>
      <c r="DW212" s="1642"/>
      <c r="DX212" s="1642"/>
      <c r="DY212" s="1642"/>
      <c r="DZ212" s="1642"/>
      <c r="EA212" s="1642"/>
      <c r="EB212" s="1642"/>
      <c r="EC212" s="1642"/>
      <c r="ED212" s="1642"/>
      <c r="EE212" s="1642"/>
      <c r="EF212" s="1642"/>
      <c r="EG212" s="1642"/>
      <c r="EH212" s="1643"/>
      <c r="EI212" s="1658"/>
      <c r="EJ212" s="1642"/>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0"/>
      <c r="HP212" s="30"/>
      <c r="HQ212" s="30"/>
      <c r="HR212" s="30"/>
      <c r="HS212" s="30"/>
      <c r="HT212" s="30"/>
      <c r="HU212" s="30"/>
      <c r="HV212" s="30"/>
      <c r="HW212" s="30"/>
      <c r="HX212" s="30"/>
      <c r="HY212" s="30"/>
      <c r="HZ212" s="30"/>
      <c r="IA212" s="30"/>
      <c r="IB212" s="30"/>
      <c r="IC212" s="30"/>
      <c r="ID212" s="30"/>
      <c r="IE212" s="30"/>
      <c r="IF212" s="30"/>
      <c r="IG212" s="30"/>
      <c r="IH212" s="30"/>
      <c r="II212" s="30"/>
      <c r="IJ212" s="30"/>
      <c r="IK212" s="30"/>
      <c r="IL212" s="30"/>
      <c r="IM212" s="30"/>
      <c r="IN212" s="30"/>
      <c r="IO212" s="30"/>
      <c r="IP212" s="30"/>
      <c r="IQ212" s="30"/>
      <c r="IR212" s="30"/>
      <c r="IS212" s="30"/>
      <c r="IT212" s="30"/>
      <c r="IU212" s="30"/>
      <c r="IV212" s="30"/>
      <c r="IW212" s="30"/>
      <c r="IX212" s="30"/>
      <c r="IY212" s="30"/>
      <c r="IZ212" s="30"/>
      <c r="JA212" s="30"/>
      <c r="JB212" s="30"/>
      <c r="JC212" s="30"/>
      <c r="JD212" s="30"/>
      <c r="JE212" s="30"/>
      <c r="JF212" s="30"/>
      <c r="JG212" s="30"/>
      <c r="JH212" s="30"/>
      <c r="JI212" s="30"/>
      <c r="JJ212" s="30"/>
      <c r="JK212" s="30"/>
      <c r="JL212" s="30"/>
      <c r="JM212" s="30"/>
      <c r="JN212" s="30"/>
      <c r="JO212" s="30"/>
      <c r="JP212" s="30"/>
      <c r="JQ212" s="30"/>
      <c r="JR212" s="30"/>
      <c r="JS212" s="30"/>
      <c r="JT212" s="30"/>
      <c r="JU212" s="30"/>
      <c r="JV212" s="30"/>
      <c r="JW212" s="30"/>
      <c r="JX212" s="30"/>
      <c r="JY212" s="30"/>
      <c r="JZ212" s="30"/>
      <c r="KA212" s="30"/>
      <c r="KB212" s="30"/>
      <c r="KC212" s="30"/>
      <c r="KD212" s="30"/>
      <c r="KE212" s="30"/>
      <c r="KF212" s="30"/>
      <c r="KG212" s="30"/>
      <c r="KH212" s="30"/>
      <c r="KI212" s="30"/>
      <c r="KJ212" s="30"/>
      <c r="KK212" s="30"/>
      <c r="KL212" s="30"/>
      <c r="KM212" s="30"/>
      <c r="KN212" s="30"/>
      <c r="KO212" s="30"/>
      <c r="KP212" s="1630"/>
    </row>
    <row r="213" spans="1:302" s="97" customFormat="1" ht="22.5" customHeight="1" outlineLevel="1">
      <c r="A213" s="2661" t="s">
        <v>939</v>
      </c>
      <c r="B213" s="2609"/>
      <c r="C213" s="2582" t="s">
        <v>952</v>
      </c>
      <c r="D213" s="2582" t="s">
        <v>965</v>
      </c>
      <c r="E213" s="376"/>
      <c r="F213" s="347"/>
      <c r="G213" s="348"/>
      <c r="H213" s="349" t="s">
        <v>26</v>
      </c>
      <c r="I213" s="2940"/>
      <c r="J213" s="362" t="s">
        <v>26</v>
      </c>
      <c r="K213" s="1745"/>
      <c r="L213" s="383"/>
      <c r="M213" s="383"/>
      <c r="N213" s="383"/>
      <c r="O213" s="1510">
        <v>400000</v>
      </c>
      <c r="P213" s="383"/>
      <c r="Q213" s="383"/>
      <c r="R213" s="383"/>
      <c r="S213" s="1510">
        <f t="shared" si="241"/>
        <v>0</v>
      </c>
      <c r="T213" s="1509"/>
      <c r="U213" s="1746"/>
      <c r="V213" s="1746"/>
      <c r="W213" s="1510">
        <f t="shared" si="235"/>
        <v>400000</v>
      </c>
      <c r="X213" s="359" t="s">
        <v>26</v>
      </c>
      <c r="Y213" s="389"/>
      <c r="Z213" s="1746"/>
      <c r="AB213" s="1510">
        <f t="shared" si="236"/>
        <v>400000</v>
      </c>
      <c r="AC213" s="1442"/>
      <c r="AD213" s="1457"/>
      <c r="AE213" s="352"/>
      <c r="AF213" s="1685"/>
      <c r="AG213" s="1685"/>
      <c r="AH213" s="354">
        <f t="shared" si="242"/>
        <v>0</v>
      </c>
      <c r="AI213" s="355">
        <f t="shared" ca="1" si="232"/>
        <v>0</v>
      </c>
      <c r="AJ213" s="356">
        <f t="shared" ca="1" si="227"/>
        <v>0</v>
      </c>
      <c r="AK213" s="2185"/>
      <c r="AL213" s="2063"/>
      <c r="AM213" s="2261"/>
      <c r="AN213" s="2261"/>
      <c r="AO213" s="362"/>
      <c r="AP213" s="384"/>
      <c r="AQ213" s="362"/>
      <c r="AR213" s="362"/>
      <c r="AS213" s="362"/>
      <c r="AT213" s="385"/>
      <c r="AU213" s="359"/>
      <c r="AV213" s="359"/>
      <c r="AW213" s="377"/>
      <c r="AX213" s="359"/>
      <c r="AY213" s="360"/>
      <c r="AZ213" s="2273"/>
      <c r="BA213" s="497"/>
      <c r="BB213" s="359"/>
      <c r="BC213" s="359"/>
      <c r="BD213" s="359"/>
      <c r="BE213" s="359"/>
      <c r="BF213" s="359"/>
      <c r="BG213" s="359"/>
      <c r="BH213" s="362">
        <v>200000</v>
      </c>
      <c r="BI213" s="359">
        <v>200000</v>
      </c>
      <c r="BJ213" s="362"/>
      <c r="BK213" s="2123"/>
      <c r="BL213" s="414"/>
      <c r="BM213" s="414"/>
      <c r="BN213" s="414"/>
      <c r="BO213" s="414"/>
      <c r="BP213" s="414"/>
      <c r="BQ213" s="2399"/>
      <c r="BR213" s="362"/>
      <c r="BS213" s="362"/>
      <c r="BT213" s="362"/>
      <c r="BU213" s="364"/>
      <c r="BV213" s="364"/>
      <c r="BW213" s="2366"/>
      <c r="BX213" s="2463"/>
      <c r="BY213" s="2543"/>
      <c r="BZ213" s="2543"/>
      <c r="CA213" s="2432">
        <f t="shared" si="263"/>
        <v>400000</v>
      </c>
      <c r="CB213" s="2377">
        <f t="shared" si="264"/>
        <v>1</v>
      </c>
      <c r="CC213" s="365">
        <f t="shared" si="265"/>
        <v>2.5000000000000002E-6</v>
      </c>
      <c r="CD213" s="365">
        <f t="shared" si="258"/>
        <v>6.2500000000000002E-12</v>
      </c>
      <c r="CE213" s="365">
        <f t="shared" si="259"/>
        <v>1.5625000000000001E-17</v>
      </c>
      <c r="CF213" s="365">
        <f t="shared" si="260"/>
        <v>3.9062500000000004E-23</v>
      </c>
      <c r="CG213" s="340"/>
      <c r="CH213" s="367"/>
      <c r="CI213" s="368"/>
      <c r="CJ213" s="368"/>
      <c r="CK213" s="369"/>
      <c r="CL213" s="329">
        <f t="shared" si="261"/>
        <v>0</v>
      </c>
      <c r="CM213" s="330">
        <f t="shared" ca="1" si="262"/>
        <v>0</v>
      </c>
      <c r="CN213" s="331">
        <f t="shared" ca="1" si="223"/>
        <v>-400000</v>
      </c>
      <c r="CO213" s="86"/>
      <c r="CP213" s="86"/>
      <c r="CQ213" s="1641"/>
      <c r="CR213" s="86"/>
      <c r="CS213" s="86"/>
      <c r="CT213" s="86"/>
      <c r="CU213" s="86"/>
      <c r="CV213" s="86"/>
      <c r="CW213" s="86"/>
      <c r="CX213" s="86"/>
      <c r="CY213" s="86"/>
      <c r="CZ213" s="86"/>
      <c r="DA213" s="86"/>
      <c r="DB213" s="1642"/>
      <c r="DC213" s="1642"/>
      <c r="DD213" s="30"/>
      <c r="DE213" s="30"/>
      <c r="DF213" s="30"/>
      <c r="DG213" s="1642"/>
      <c r="DH213" s="1642"/>
      <c r="DI213" s="1642"/>
      <c r="DJ213" s="1642"/>
      <c r="DK213" s="1642"/>
      <c r="DL213" s="1642"/>
      <c r="DM213" s="1642"/>
      <c r="DN213" s="1642"/>
      <c r="DO213" s="1642"/>
      <c r="DP213" s="1642"/>
      <c r="DQ213" s="1642"/>
      <c r="DR213" s="1642"/>
      <c r="DS213" s="1642"/>
      <c r="DT213" s="1642"/>
      <c r="DU213" s="1642"/>
      <c r="DV213" s="1642"/>
      <c r="DW213" s="1642"/>
      <c r="DX213" s="1642"/>
      <c r="DY213" s="1642"/>
      <c r="DZ213" s="1642"/>
      <c r="EA213" s="1642"/>
      <c r="EB213" s="1642"/>
      <c r="EC213" s="1642"/>
      <c r="ED213" s="1642"/>
      <c r="EE213" s="1642"/>
      <c r="EF213" s="1642"/>
      <c r="EG213" s="1642"/>
      <c r="EH213" s="1643"/>
      <c r="EI213" s="1658"/>
      <c r="EJ213" s="1642"/>
      <c r="EK213" s="30"/>
      <c r="EL213" s="30"/>
      <c r="EM213" s="30"/>
      <c r="EN213" s="30"/>
      <c r="EO213" s="30"/>
      <c r="EP213" s="30"/>
      <c r="EQ213" s="30"/>
      <c r="ER213" s="30"/>
      <c r="ES213" s="30"/>
      <c r="ET213" s="30"/>
      <c r="EU213" s="30"/>
      <c r="EV213" s="30"/>
      <c r="EW213" s="30"/>
      <c r="EX213" s="30"/>
      <c r="EY213" s="30"/>
      <c r="EZ213" s="30"/>
      <c r="FA213" s="30"/>
      <c r="FB213" s="30"/>
      <c r="FC213" s="30"/>
      <c r="FD213" s="30"/>
      <c r="FE213" s="30"/>
      <c r="FF213" s="30"/>
      <c r="FG213" s="30"/>
      <c r="FH213" s="30"/>
      <c r="FI213" s="30"/>
      <c r="FJ213" s="30"/>
      <c r="FK213" s="30"/>
      <c r="FL213" s="30"/>
      <c r="FM213" s="30"/>
      <c r="FN213" s="30"/>
      <c r="FO213" s="30"/>
      <c r="FP213" s="30"/>
      <c r="FQ213" s="30"/>
      <c r="FR213" s="30"/>
      <c r="FS213" s="30"/>
      <c r="FT213" s="30"/>
      <c r="FU213" s="30"/>
      <c r="FV213" s="30"/>
      <c r="FW213" s="30"/>
      <c r="FX213" s="30"/>
      <c r="FY213" s="30"/>
      <c r="FZ213" s="30"/>
      <c r="GA213" s="30"/>
      <c r="GB213" s="30"/>
      <c r="GC213" s="30"/>
      <c r="GD213" s="30"/>
      <c r="GE213" s="30"/>
      <c r="GF213" s="30"/>
      <c r="GG213" s="30"/>
      <c r="GH213" s="30"/>
      <c r="GI213" s="30"/>
      <c r="GJ213" s="30"/>
      <c r="GK213" s="30"/>
      <c r="GL213" s="30"/>
      <c r="GM213" s="30"/>
      <c r="GN213" s="30"/>
      <c r="GO213" s="30"/>
      <c r="GP213" s="30"/>
      <c r="GQ213" s="30"/>
      <c r="GR213" s="30"/>
      <c r="GS213" s="30"/>
      <c r="GT213" s="30"/>
      <c r="GU213" s="30"/>
      <c r="GV213" s="30"/>
      <c r="GW213" s="30"/>
      <c r="GX213" s="30"/>
      <c r="GY213" s="30"/>
      <c r="GZ213" s="30"/>
      <c r="HA213" s="30"/>
      <c r="HB213" s="30"/>
      <c r="HC213" s="30"/>
      <c r="HD213" s="30"/>
      <c r="HE213" s="30"/>
      <c r="HF213" s="30"/>
      <c r="HG213" s="30"/>
      <c r="HH213" s="30"/>
      <c r="HI213" s="30"/>
      <c r="HJ213" s="30"/>
      <c r="HK213" s="30"/>
      <c r="HL213" s="30"/>
      <c r="HM213" s="30"/>
      <c r="HN213" s="30"/>
      <c r="HO213" s="30"/>
      <c r="HP213" s="30"/>
      <c r="HQ213" s="30"/>
      <c r="HR213" s="30"/>
      <c r="HS213" s="30"/>
      <c r="HT213" s="30"/>
      <c r="HU213" s="30"/>
      <c r="HV213" s="30"/>
      <c r="HW213" s="30"/>
      <c r="HX213" s="30"/>
      <c r="HY213" s="30"/>
      <c r="HZ213" s="30"/>
      <c r="IA213" s="30"/>
      <c r="IB213" s="30"/>
      <c r="IC213" s="30"/>
      <c r="ID213" s="30"/>
      <c r="IE213" s="30"/>
      <c r="IF213" s="30"/>
      <c r="IG213" s="30"/>
      <c r="IH213" s="30"/>
      <c r="II213" s="30"/>
      <c r="IJ213" s="30"/>
      <c r="IK213" s="30"/>
      <c r="IL213" s="30"/>
      <c r="IM213" s="30"/>
      <c r="IN213" s="30"/>
      <c r="IO213" s="30"/>
      <c r="IP213" s="30"/>
      <c r="IQ213" s="30"/>
      <c r="IR213" s="30"/>
      <c r="IS213" s="30"/>
      <c r="IT213" s="30"/>
      <c r="IU213" s="30"/>
      <c r="IV213" s="30"/>
      <c r="IW213" s="30"/>
      <c r="IX213" s="30"/>
      <c r="IY213" s="30"/>
      <c r="IZ213" s="30"/>
      <c r="JA213" s="30"/>
      <c r="JB213" s="30"/>
      <c r="JC213" s="30"/>
      <c r="JD213" s="30"/>
      <c r="JE213" s="30"/>
      <c r="JF213" s="30"/>
      <c r="JG213" s="30"/>
      <c r="JH213" s="30"/>
      <c r="JI213" s="30"/>
      <c r="JJ213" s="30"/>
      <c r="JK213" s="30"/>
      <c r="JL213" s="30"/>
      <c r="JM213" s="30"/>
      <c r="JN213" s="30"/>
      <c r="JO213" s="30"/>
      <c r="JP213" s="30"/>
      <c r="JQ213" s="30"/>
      <c r="JR213" s="30"/>
      <c r="JS213" s="30"/>
      <c r="JT213" s="30"/>
      <c r="JU213" s="30"/>
      <c r="JV213" s="30"/>
      <c r="JW213" s="30"/>
      <c r="JX213" s="30"/>
      <c r="JY213" s="30"/>
      <c r="JZ213" s="30"/>
      <c r="KA213" s="30"/>
      <c r="KB213" s="30"/>
      <c r="KC213" s="30"/>
      <c r="KD213" s="30"/>
      <c r="KE213" s="30"/>
      <c r="KF213" s="30"/>
      <c r="KG213" s="30"/>
      <c r="KH213" s="30"/>
      <c r="KI213" s="30"/>
      <c r="KJ213" s="30"/>
      <c r="KK213" s="30"/>
      <c r="KL213" s="30"/>
      <c r="KM213" s="30"/>
      <c r="KN213" s="30"/>
      <c r="KO213" s="30"/>
      <c r="KP213" s="1630"/>
    </row>
    <row r="214" spans="1:302" s="97" customFormat="1" ht="21.75" customHeight="1" outlineLevel="1">
      <c r="A214" s="2661" t="s">
        <v>940</v>
      </c>
      <c r="B214" s="2609"/>
      <c r="C214" s="2582" t="s">
        <v>953</v>
      </c>
      <c r="D214" s="2582" t="s">
        <v>966</v>
      </c>
      <c r="E214" s="376"/>
      <c r="F214" s="347"/>
      <c r="G214" s="348"/>
      <c r="H214" s="349" t="s">
        <v>26</v>
      </c>
      <c r="I214" s="2940"/>
      <c r="J214" s="362" t="s">
        <v>26</v>
      </c>
      <c r="K214" s="1745"/>
      <c r="L214" s="383"/>
      <c r="M214" s="383"/>
      <c r="N214" s="383"/>
      <c r="O214" s="1510">
        <v>2000000</v>
      </c>
      <c r="P214" s="383"/>
      <c r="Q214" s="383"/>
      <c r="R214" s="383"/>
      <c r="S214" s="1510">
        <f t="shared" si="241"/>
        <v>0</v>
      </c>
      <c r="T214" s="1509"/>
      <c r="U214" s="1746"/>
      <c r="V214" s="1746"/>
      <c r="W214" s="1510">
        <f t="shared" si="235"/>
        <v>2000000</v>
      </c>
      <c r="X214" s="362" t="s">
        <v>26</v>
      </c>
      <c r="Y214" s="1509"/>
      <c r="Z214" s="1746"/>
      <c r="AB214" s="1510">
        <f t="shared" si="236"/>
        <v>2000000</v>
      </c>
      <c r="AC214" s="1442"/>
      <c r="AD214" s="1457"/>
      <c r="AE214" s="352"/>
      <c r="AF214" s="1685"/>
      <c r="AG214" s="1685"/>
      <c r="AH214" s="354">
        <f t="shared" si="242"/>
        <v>0</v>
      </c>
      <c r="AI214" s="355">
        <f t="shared" ca="1" si="232"/>
        <v>0</v>
      </c>
      <c r="AJ214" s="356">
        <f t="shared" ca="1" si="227"/>
        <v>0</v>
      </c>
      <c r="AK214" s="2185"/>
      <c r="AL214" s="2063"/>
      <c r="AM214" s="2261"/>
      <c r="AN214" s="2261"/>
      <c r="AO214" s="362"/>
      <c r="AP214" s="384"/>
      <c r="AQ214" s="362"/>
      <c r="AR214" s="362"/>
      <c r="AS214" s="362"/>
      <c r="AT214" s="385"/>
      <c r="AU214" s="359"/>
      <c r="AV214" s="359"/>
      <c r="AW214" s="377"/>
      <c r="AX214" s="1505"/>
      <c r="AY214" s="2317"/>
      <c r="AZ214" s="2273"/>
      <c r="BA214" s="497"/>
      <c r="BB214" s="359">
        <v>400000</v>
      </c>
      <c r="BC214" s="359">
        <v>400000</v>
      </c>
      <c r="BD214" s="359">
        <v>400000</v>
      </c>
      <c r="BE214" s="380">
        <v>400000</v>
      </c>
      <c r="BF214" s="359">
        <v>400000</v>
      </c>
      <c r="BG214" s="359"/>
      <c r="BH214" s="362"/>
      <c r="BI214" s="414"/>
      <c r="BJ214" s="362"/>
      <c r="BK214" s="2123"/>
      <c r="BL214" s="414"/>
      <c r="BM214" s="414"/>
      <c r="BN214" s="414"/>
      <c r="BO214" s="414"/>
      <c r="BP214" s="414"/>
      <c r="BQ214" s="2399"/>
      <c r="BR214" s="362"/>
      <c r="BS214" s="362"/>
      <c r="BT214" s="362"/>
      <c r="BU214" s="364"/>
      <c r="BV214" s="364"/>
      <c r="BW214" s="2366"/>
      <c r="BX214" s="2463"/>
      <c r="BY214" s="2543"/>
      <c r="BZ214" s="2543"/>
      <c r="CA214" s="2432">
        <f t="shared" si="263"/>
        <v>2000000</v>
      </c>
      <c r="CB214" s="2377">
        <f t="shared" si="264"/>
        <v>1</v>
      </c>
      <c r="CC214" s="365">
        <f t="shared" si="265"/>
        <v>4.9999999999999998E-7</v>
      </c>
      <c r="CD214" s="365">
        <f t="shared" si="258"/>
        <v>2.4999999999999999E-13</v>
      </c>
      <c r="CE214" s="365">
        <f t="shared" si="259"/>
        <v>1.2500000000000001E-19</v>
      </c>
      <c r="CF214" s="365">
        <f t="shared" si="260"/>
        <v>6.2500000000000007E-26</v>
      </c>
      <c r="CG214" s="340"/>
      <c r="CH214" s="367"/>
      <c r="CI214" s="368"/>
      <c r="CJ214" s="368"/>
      <c r="CK214" s="369"/>
      <c r="CL214" s="329">
        <f t="shared" si="261"/>
        <v>0</v>
      </c>
      <c r="CM214" s="330">
        <f t="shared" ca="1" si="262"/>
        <v>0</v>
      </c>
      <c r="CN214" s="331">
        <f t="shared" ca="1" si="223"/>
        <v>-2000000</v>
      </c>
      <c r="CO214" s="86"/>
      <c r="CP214" s="86"/>
      <c r="CQ214" s="1641"/>
      <c r="CR214" s="86"/>
      <c r="CS214" s="86"/>
      <c r="CT214" s="86"/>
      <c r="CU214" s="86"/>
      <c r="CV214" s="86"/>
      <c r="CW214" s="86"/>
      <c r="CX214" s="86"/>
      <c r="CY214" s="86"/>
      <c r="CZ214" s="86"/>
      <c r="DA214" s="86"/>
      <c r="DB214" s="1642"/>
      <c r="DC214" s="1642"/>
      <c r="DD214" s="30"/>
      <c r="DE214" s="30"/>
      <c r="DF214" s="30"/>
      <c r="DG214" s="1642"/>
      <c r="DH214" s="1642"/>
      <c r="DI214" s="1642"/>
      <c r="DJ214" s="1642"/>
      <c r="DK214" s="1642"/>
      <c r="DL214" s="1642"/>
      <c r="DM214" s="1642"/>
      <c r="DN214" s="1642"/>
      <c r="DO214" s="1642"/>
      <c r="DP214" s="1642"/>
      <c r="DQ214" s="1642"/>
      <c r="DR214" s="1642"/>
      <c r="DS214" s="1642"/>
      <c r="DT214" s="1642"/>
      <c r="DU214" s="1642"/>
      <c r="DV214" s="1642"/>
      <c r="DW214" s="1642"/>
      <c r="DX214" s="1642"/>
      <c r="DY214" s="1642"/>
      <c r="DZ214" s="1642"/>
      <c r="EA214" s="1642"/>
      <c r="EB214" s="1642"/>
      <c r="EC214" s="1642"/>
      <c r="ED214" s="1642"/>
      <c r="EE214" s="1642"/>
      <c r="EF214" s="1642"/>
      <c r="EG214" s="1642"/>
      <c r="EH214" s="1643"/>
      <c r="EI214" s="1658"/>
      <c r="EJ214" s="1642"/>
      <c r="EK214" s="30"/>
      <c r="EL214" s="30"/>
      <c r="EM214" s="30"/>
      <c r="EN214" s="30"/>
      <c r="EO214" s="30"/>
      <c r="EP214" s="30"/>
      <c r="EQ214" s="30"/>
      <c r="ER214" s="30"/>
      <c r="ES214" s="30"/>
      <c r="ET214" s="30"/>
      <c r="EU214" s="30"/>
      <c r="EV214" s="30"/>
      <c r="EW214" s="30"/>
      <c r="EX214" s="30"/>
      <c r="EY214" s="30"/>
      <c r="EZ214" s="30"/>
      <c r="FA214" s="30"/>
      <c r="FB214" s="30"/>
      <c r="FC214" s="30"/>
      <c r="FD214" s="30"/>
      <c r="FE214" s="30"/>
      <c r="FF214" s="30"/>
      <c r="FG214" s="30"/>
      <c r="FH214" s="30"/>
      <c r="FI214" s="30"/>
      <c r="FJ214" s="30"/>
      <c r="FK214" s="30"/>
      <c r="FL214" s="30"/>
      <c r="FM214" s="30"/>
      <c r="FN214" s="30"/>
      <c r="FO214" s="30"/>
      <c r="FP214" s="30"/>
      <c r="FQ214" s="30"/>
      <c r="FR214" s="30"/>
      <c r="FS214" s="30"/>
      <c r="FT214" s="30"/>
      <c r="FU214" s="30"/>
      <c r="FV214" s="30"/>
      <c r="FW214" s="30"/>
      <c r="FX214" s="30"/>
      <c r="FY214" s="30"/>
      <c r="FZ214" s="30"/>
      <c r="GA214" s="30"/>
      <c r="GB214" s="30"/>
      <c r="GC214" s="30"/>
      <c r="GD214" s="30"/>
      <c r="GE214" s="30"/>
      <c r="GF214" s="30"/>
      <c r="GG214" s="30"/>
      <c r="GH214" s="30"/>
      <c r="GI214" s="30"/>
      <c r="GJ214" s="30"/>
      <c r="GK214" s="30"/>
      <c r="GL214" s="30"/>
      <c r="GM214" s="30"/>
      <c r="GN214" s="30"/>
      <c r="GO214" s="30"/>
      <c r="GP214" s="30"/>
      <c r="GQ214" s="30"/>
      <c r="GR214" s="30"/>
      <c r="GS214" s="30"/>
      <c r="GT214" s="30"/>
      <c r="GU214" s="30"/>
      <c r="GV214" s="30"/>
      <c r="GW214" s="30"/>
      <c r="GX214" s="30"/>
      <c r="GY214" s="30"/>
      <c r="GZ214" s="30"/>
      <c r="HA214" s="30"/>
      <c r="HB214" s="30"/>
      <c r="HC214" s="30"/>
      <c r="HD214" s="30"/>
      <c r="HE214" s="30"/>
      <c r="HF214" s="30"/>
      <c r="HG214" s="30"/>
      <c r="HH214" s="30"/>
      <c r="HI214" s="30"/>
      <c r="HJ214" s="30"/>
      <c r="HK214" s="30"/>
      <c r="HL214" s="30"/>
      <c r="HM214" s="30"/>
      <c r="HN214" s="30"/>
      <c r="HO214" s="30"/>
      <c r="HP214" s="30"/>
      <c r="HQ214" s="30"/>
      <c r="HR214" s="30"/>
      <c r="HS214" s="30"/>
      <c r="HT214" s="30"/>
      <c r="HU214" s="30"/>
      <c r="HV214" s="30"/>
      <c r="HW214" s="30"/>
      <c r="HX214" s="30"/>
      <c r="HY214" s="30"/>
      <c r="HZ214" s="30"/>
      <c r="IA214" s="30"/>
      <c r="IB214" s="30"/>
      <c r="IC214" s="30"/>
      <c r="ID214" s="30"/>
      <c r="IE214" s="30"/>
      <c r="IF214" s="30"/>
      <c r="IG214" s="30"/>
      <c r="IH214" s="30"/>
      <c r="II214" s="30"/>
      <c r="IJ214" s="30"/>
      <c r="IK214" s="30"/>
      <c r="IL214" s="30"/>
      <c r="IM214" s="30"/>
      <c r="IN214" s="30"/>
      <c r="IO214" s="30"/>
      <c r="IP214" s="30"/>
      <c r="IQ214" s="30"/>
      <c r="IR214" s="30"/>
      <c r="IS214" s="30"/>
      <c r="IT214" s="30"/>
      <c r="IU214" s="30"/>
      <c r="IV214" s="30"/>
      <c r="IW214" s="30"/>
      <c r="IX214" s="30"/>
      <c r="IY214" s="30"/>
      <c r="IZ214" s="30"/>
      <c r="JA214" s="30"/>
      <c r="JB214" s="30"/>
      <c r="JC214" s="30"/>
      <c r="JD214" s="30"/>
      <c r="JE214" s="30"/>
      <c r="JF214" s="30"/>
      <c r="JG214" s="30"/>
      <c r="JH214" s="30"/>
      <c r="JI214" s="30"/>
      <c r="JJ214" s="30"/>
      <c r="JK214" s="30"/>
      <c r="JL214" s="30"/>
      <c r="JM214" s="30"/>
      <c r="JN214" s="30"/>
      <c r="JO214" s="30"/>
      <c r="JP214" s="30"/>
      <c r="JQ214" s="30"/>
      <c r="JR214" s="30"/>
      <c r="JS214" s="30"/>
      <c r="JT214" s="30"/>
      <c r="JU214" s="30"/>
      <c r="JV214" s="30"/>
      <c r="JW214" s="30"/>
      <c r="JX214" s="30"/>
      <c r="JY214" s="30"/>
      <c r="JZ214" s="30"/>
      <c r="KA214" s="30"/>
      <c r="KB214" s="30"/>
      <c r="KC214" s="30"/>
      <c r="KD214" s="30"/>
      <c r="KE214" s="30"/>
      <c r="KF214" s="30"/>
      <c r="KG214" s="30"/>
      <c r="KH214" s="30"/>
      <c r="KI214" s="30"/>
      <c r="KJ214" s="30"/>
      <c r="KK214" s="30"/>
      <c r="KL214" s="30"/>
      <c r="KM214" s="30"/>
      <c r="KN214" s="30"/>
      <c r="KO214" s="30"/>
      <c r="KP214" s="1630"/>
    </row>
    <row r="215" spans="1:302" s="97" customFormat="1" ht="19.5" customHeight="1" outlineLevel="1">
      <c r="A215" s="2587" t="s">
        <v>490</v>
      </c>
      <c r="B215" s="2605"/>
      <c r="C215" s="2587" t="s">
        <v>969</v>
      </c>
      <c r="D215" s="2587" t="s">
        <v>972</v>
      </c>
      <c r="E215" s="376"/>
      <c r="F215" s="347"/>
      <c r="G215" s="348"/>
      <c r="H215" s="349" t="s">
        <v>26</v>
      </c>
      <c r="I215" s="2940"/>
      <c r="J215" s="362" t="s">
        <v>26</v>
      </c>
      <c r="K215" s="1745"/>
      <c r="L215" s="383"/>
      <c r="M215" s="383"/>
      <c r="N215" s="383"/>
      <c r="O215" s="1510"/>
      <c r="P215" s="383"/>
      <c r="Q215" s="383"/>
      <c r="R215" s="383"/>
      <c r="S215" s="1510">
        <f t="shared" si="241"/>
        <v>0</v>
      </c>
      <c r="T215" s="1509"/>
      <c r="U215" s="1746"/>
      <c r="V215" s="1746"/>
      <c r="W215" s="1510">
        <f t="shared" si="235"/>
        <v>0</v>
      </c>
      <c r="X215" s="362" t="s">
        <v>26</v>
      </c>
      <c r="Y215" s="1509"/>
      <c r="Z215" s="1746"/>
      <c r="AB215" s="1510">
        <f t="shared" si="236"/>
        <v>0</v>
      </c>
      <c r="AC215" s="1442"/>
      <c r="AD215" s="1457"/>
      <c r="AE215" s="352"/>
      <c r="AF215" s="1685"/>
      <c r="AG215" s="1685"/>
      <c r="AH215" s="354">
        <f t="shared" si="242"/>
        <v>0</v>
      </c>
      <c r="AI215" s="355">
        <f t="shared" ca="1" si="232"/>
        <v>0</v>
      </c>
      <c r="AJ215" s="356" t="str">
        <f t="shared" si="227"/>
        <v/>
      </c>
      <c r="AK215" s="2185"/>
      <c r="AL215" s="2063"/>
      <c r="AM215" s="2261"/>
      <c r="AN215" s="2261"/>
      <c r="AO215" s="362"/>
      <c r="AP215" s="384"/>
      <c r="AQ215" s="362"/>
      <c r="AR215" s="362"/>
      <c r="AS215" s="362"/>
      <c r="AT215" s="385"/>
      <c r="AU215" s="359"/>
      <c r="AV215" s="359"/>
      <c r="AW215" s="377"/>
      <c r="AX215" s="359"/>
      <c r="AY215" s="360"/>
      <c r="AZ215" s="2258"/>
      <c r="BA215" s="359"/>
      <c r="BB215" s="359"/>
      <c r="BC215" s="359"/>
      <c r="BD215" s="359"/>
      <c r="BE215" s="362"/>
      <c r="BF215" s="362"/>
      <c r="BG215" s="362"/>
      <c r="BH215" s="362"/>
      <c r="BI215" s="414"/>
      <c r="BJ215" s="362"/>
      <c r="BK215" s="2123"/>
      <c r="BL215" s="414"/>
      <c r="BM215" s="414"/>
      <c r="BN215" s="414"/>
      <c r="BO215" s="414"/>
      <c r="BP215" s="414"/>
      <c r="BQ215" s="2399"/>
      <c r="BR215" s="362"/>
      <c r="BS215" s="362"/>
      <c r="BT215" s="362"/>
      <c r="BU215" s="364"/>
      <c r="BV215" s="364"/>
      <c r="BW215" s="2366"/>
      <c r="BX215" s="2463"/>
      <c r="BY215" s="2543"/>
      <c r="BZ215" s="2543"/>
      <c r="CA215" s="2432">
        <f t="shared" si="263"/>
        <v>0</v>
      </c>
      <c r="CB215" s="2377" t="str">
        <f t="shared" si="264"/>
        <v/>
      </c>
      <c r="CC215" s="365" t="str">
        <f t="shared" si="265"/>
        <v/>
      </c>
      <c r="CD215" s="365" t="str">
        <f t="shared" si="258"/>
        <v/>
      </c>
      <c r="CE215" s="365" t="str">
        <f t="shared" si="259"/>
        <v/>
      </c>
      <c r="CF215" s="365" t="str">
        <f t="shared" si="260"/>
        <v/>
      </c>
      <c r="CG215" s="340"/>
      <c r="CH215" s="367"/>
      <c r="CI215" s="368"/>
      <c r="CJ215" s="368"/>
      <c r="CK215" s="369"/>
      <c r="CL215" s="329">
        <f t="shared" si="261"/>
        <v>0</v>
      </c>
      <c r="CM215" s="330">
        <f t="shared" ca="1" si="262"/>
        <v>0</v>
      </c>
      <c r="CN215" s="331">
        <f t="shared" ca="1" si="223"/>
        <v>0</v>
      </c>
      <c r="CO215" s="86"/>
      <c r="CP215" s="86"/>
      <c r="CQ215" s="1641"/>
      <c r="CR215" s="86"/>
      <c r="CS215" s="86"/>
      <c r="CT215" s="86"/>
      <c r="CU215" s="86"/>
      <c r="CV215" s="86"/>
      <c r="CW215" s="86"/>
      <c r="CX215" s="86"/>
      <c r="CY215" s="86"/>
      <c r="CZ215" s="86"/>
      <c r="DA215" s="86"/>
      <c r="DB215" s="1642"/>
      <c r="DC215" s="1642"/>
      <c r="DD215" s="30"/>
      <c r="DE215" s="30"/>
      <c r="DF215" s="30"/>
      <c r="DG215" s="1642"/>
      <c r="DH215" s="1642"/>
      <c r="DI215" s="1642"/>
      <c r="DJ215" s="1642"/>
      <c r="DK215" s="1642"/>
      <c r="DL215" s="1642"/>
      <c r="DM215" s="1642"/>
      <c r="DN215" s="1642"/>
      <c r="DO215" s="1642"/>
      <c r="DP215" s="1642"/>
      <c r="DQ215" s="1642"/>
      <c r="DR215" s="1642"/>
      <c r="DS215" s="1642"/>
      <c r="DT215" s="1642"/>
      <c r="DU215" s="1642"/>
      <c r="DV215" s="1642"/>
      <c r="DW215" s="1642"/>
      <c r="DX215" s="1642"/>
      <c r="DY215" s="1642"/>
      <c r="DZ215" s="1642"/>
      <c r="EA215" s="1642"/>
      <c r="EB215" s="1642"/>
      <c r="EC215" s="1642"/>
      <c r="ED215" s="1642"/>
      <c r="EE215" s="1642"/>
      <c r="EF215" s="1642"/>
      <c r="EG215" s="1642"/>
      <c r="EH215" s="1643"/>
      <c r="EI215" s="1658"/>
      <c r="EJ215" s="1642"/>
      <c r="EK215" s="30"/>
      <c r="EL215" s="30"/>
      <c r="EM215" s="30"/>
      <c r="EN215" s="30"/>
      <c r="EO215" s="30"/>
      <c r="EP215" s="30"/>
      <c r="EQ215" s="30"/>
      <c r="ER215" s="30"/>
      <c r="ES215" s="30"/>
      <c r="ET215" s="30"/>
      <c r="EU215" s="30"/>
      <c r="EV215" s="30"/>
      <c r="EW215" s="30"/>
      <c r="EX215" s="30"/>
      <c r="EY215" s="30"/>
      <c r="EZ215" s="30"/>
      <c r="FA215" s="30"/>
      <c r="FB215" s="30"/>
      <c r="FC215" s="30"/>
      <c r="FD215" s="30"/>
      <c r="FE215" s="30"/>
      <c r="FF215" s="30"/>
      <c r="FG215" s="30"/>
      <c r="FH215" s="30"/>
      <c r="FI215" s="30"/>
      <c r="FJ215" s="30"/>
      <c r="FK215" s="30"/>
      <c r="FL215" s="30"/>
      <c r="FM215" s="30"/>
      <c r="FN215" s="30"/>
      <c r="FO215" s="30"/>
      <c r="FP215" s="30"/>
      <c r="FQ215" s="30"/>
      <c r="FR215" s="30"/>
      <c r="FS215" s="30"/>
      <c r="FT215" s="30"/>
      <c r="FU215" s="30"/>
      <c r="FV215" s="30"/>
      <c r="FW215" s="30"/>
      <c r="FX215" s="30"/>
      <c r="FY215" s="30"/>
      <c r="FZ215" s="30"/>
      <c r="GA215" s="30"/>
      <c r="GB215" s="30"/>
      <c r="GC215" s="30"/>
      <c r="GD215" s="30"/>
      <c r="GE215" s="30"/>
      <c r="GF215" s="30"/>
      <c r="GG215" s="30"/>
      <c r="GH215" s="30"/>
      <c r="GI215" s="30"/>
      <c r="GJ215" s="30"/>
      <c r="GK215" s="30"/>
      <c r="GL215" s="30"/>
      <c r="GM215" s="30"/>
      <c r="GN215" s="30"/>
      <c r="GO215" s="30"/>
      <c r="GP215" s="30"/>
      <c r="GQ215" s="30"/>
      <c r="GR215" s="30"/>
      <c r="GS215" s="30"/>
      <c r="GT215" s="30"/>
      <c r="GU215" s="30"/>
      <c r="GV215" s="30"/>
      <c r="GW215" s="30"/>
      <c r="GX215" s="30"/>
      <c r="GY215" s="30"/>
      <c r="GZ215" s="30"/>
      <c r="HA215" s="30"/>
      <c r="HB215" s="30"/>
      <c r="HC215" s="30"/>
      <c r="HD215" s="30"/>
      <c r="HE215" s="30"/>
      <c r="HF215" s="30"/>
      <c r="HG215" s="30"/>
      <c r="HH215" s="30"/>
      <c r="HI215" s="30"/>
      <c r="HJ215" s="30"/>
      <c r="HK215" s="30"/>
      <c r="HL215" s="30"/>
      <c r="HM215" s="30"/>
      <c r="HN215" s="30"/>
      <c r="HO215" s="30"/>
      <c r="HP215" s="30"/>
      <c r="HQ215" s="30"/>
      <c r="HR215" s="30"/>
      <c r="HS215" s="30"/>
      <c r="HT215" s="30"/>
      <c r="HU215" s="30"/>
      <c r="HV215" s="30"/>
      <c r="HW215" s="30"/>
      <c r="HX215" s="30"/>
      <c r="HY215" s="30"/>
      <c r="HZ215" s="30"/>
      <c r="IA215" s="30"/>
      <c r="IB215" s="30"/>
      <c r="IC215" s="30"/>
      <c r="ID215" s="30"/>
      <c r="IE215" s="30"/>
      <c r="IF215" s="30"/>
      <c r="IG215" s="30"/>
      <c r="IH215" s="30"/>
      <c r="II215" s="30"/>
      <c r="IJ215" s="30"/>
      <c r="IK215" s="30"/>
      <c r="IL215" s="30"/>
      <c r="IM215" s="30"/>
      <c r="IN215" s="30"/>
      <c r="IO215" s="30"/>
      <c r="IP215" s="30"/>
      <c r="IQ215" s="30"/>
      <c r="IR215" s="30"/>
      <c r="IS215" s="30"/>
      <c r="IT215" s="30"/>
      <c r="IU215" s="30"/>
      <c r="IV215" s="30"/>
      <c r="IW215" s="30"/>
      <c r="IX215" s="30"/>
      <c r="IY215" s="30"/>
      <c r="IZ215" s="30"/>
      <c r="JA215" s="30"/>
      <c r="JB215" s="30"/>
      <c r="JC215" s="30"/>
      <c r="JD215" s="30"/>
      <c r="JE215" s="30"/>
      <c r="JF215" s="30"/>
      <c r="JG215" s="30"/>
      <c r="JH215" s="30"/>
      <c r="JI215" s="30"/>
      <c r="JJ215" s="30"/>
      <c r="JK215" s="30"/>
      <c r="JL215" s="30"/>
      <c r="JM215" s="30"/>
      <c r="JN215" s="30"/>
      <c r="JO215" s="30"/>
      <c r="JP215" s="30"/>
      <c r="JQ215" s="30"/>
      <c r="JR215" s="30"/>
      <c r="JS215" s="30"/>
      <c r="JT215" s="30"/>
      <c r="JU215" s="30"/>
      <c r="JV215" s="30"/>
      <c r="JW215" s="30"/>
      <c r="JX215" s="30"/>
      <c r="JY215" s="30"/>
      <c r="JZ215" s="30"/>
      <c r="KA215" s="30"/>
      <c r="KB215" s="30"/>
      <c r="KC215" s="30"/>
      <c r="KD215" s="30"/>
      <c r="KE215" s="30"/>
      <c r="KF215" s="30"/>
      <c r="KG215" s="30"/>
      <c r="KH215" s="30"/>
      <c r="KI215" s="30"/>
      <c r="KJ215" s="30"/>
      <c r="KK215" s="30"/>
      <c r="KL215" s="30"/>
      <c r="KM215" s="30"/>
      <c r="KN215" s="30"/>
      <c r="KO215" s="30"/>
      <c r="KP215" s="1630"/>
    </row>
    <row r="216" spans="1:302" s="97" customFormat="1" ht="27.75" outlineLevel="1">
      <c r="A216" s="2582" t="s">
        <v>967</v>
      </c>
      <c r="B216" s="2608"/>
      <c r="C216" s="2582" t="s">
        <v>970</v>
      </c>
      <c r="D216" s="2582" t="s">
        <v>973</v>
      </c>
      <c r="E216" s="376"/>
      <c r="F216" s="347"/>
      <c r="G216" s="348"/>
      <c r="H216" s="349" t="s">
        <v>26</v>
      </c>
      <c r="I216" s="2940"/>
      <c r="J216" s="362" t="s">
        <v>26</v>
      </c>
      <c r="K216" s="1745"/>
      <c r="L216" s="383"/>
      <c r="M216" s="383"/>
      <c r="N216" s="383"/>
      <c r="O216" s="1510">
        <v>1567228</v>
      </c>
      <c r="P216" s="383"/>
      <c r="Q216" s="383"/>
      <c r="R216" s="383"/>
      <c r="S216" s="1510">
        <f t="shared" si="241"/>
        <v>0</v>
      </c>
      <c r="T216" s="1509"/>
      <c r="U216" s="1746"/>
      <c r="V216" s="1746"/>
      <c r="W216" s="1510">
        <f t="shared" si="235"/>
        <v>1567228</v>
      </c>
      <c r="X216" s="362" t="s">
        <v>26</v>
      </c>
      <c r="Y216" s="1509"/>
      <c r="Z216" s="1746"/>
      <c r="AB216" s="1510">
        <f t="shared" si="236"/>
        <v>1567227.9998999999</v>
      </c>
      <c r="AC216" s="1442"/>
      <c r="AD216" s="1457"/>
      <c r="AE216" s="352"/>
      <c r="AF216" s="1685"/>
      <c r="AG216" s="1685"/>
      <c r="AH216" s="354">
        <f t="shared" si="242"/>
        <v>0</v>
      </c>
      <c r="AI216" s="355">
        <f t="shared" ca="1" si="232"/>
        <v>0</v>
      </c>
      <c r="AJ216" s="356">
        <f t="shared" ca="1" si="227"/>
        <v>0</v>
      </c>
      <c r="AK216" s="2185"/>
      <c r="AL216" s="2063"/>
      <c r="AM216" s="2261"/>
      <c r="AN216" s="2261"/>
      <c r="AO216" s="362"/>
      <c r="AP216" s="384"/>
      <c r="AQ216" s="362"/>
      <c r="AR216" s="362"/>
      <c r="AS216" s="362"/>
      <c r="AT216" s="385"/>
      <c r="AU216" s="359"/>
      <c r="AV216" s="359"/>
      <c r="AW216" s="377"/>
      <c r="AX216" s="359"/>
      <c r="AY216" s="360"/>
      <c r="AZ216" s="2273"/>
      <c r="BA216" s="497"/>
      <c r="BB216" s="359">
        <v>522409.3333</v>
      </c>
      <c r="BC216" s="359">
        <v>522409.3333</v>
      </c>
      <c r="BD216" s="359">
        <v>522409.3333</v>
      </c>
      <c r="BE216" s="362"/>
      <c r="BF216" s="362"/>
      <c r="BG216" s="362"/>
      <c r="BH216" s="362"/>
      <c r="BI216" s="1516"/>
      <c r="BJ216" s="362"/>
      <c r="BK216" s="2123"/>
      <c r="BL216" s="414"/>
      <c r="BM216" s="414"/>
      <c r="BN216" s="414"/>
      <c r="BO216" s="414"/>
      <c r="BP216" s="414"/>
      <c r="BQ216" s="2399"/>
      <c r="BR216" s="362"/>
      <c r="BS216" s="362"/>
      <c r="BT216" s="362"/>
      <c r="BU216" s="364"/>
      <c r="BV216" s="364"/>
      <c r="BW216" s="2366"/>
      <c r="BX216" s="2463"/>
      <c r="BY216" s="2543"/>
      <c r="BZ216" s="2543"/>
      <c r="CA216" s="2432">
        <f t="shared" si="263"/>
        <v>1567227.9998999999</v>
      </c>
      <c r="CB216" s="2377">
        <f t="shared" si="264"/>
        <v>1</v>
      </c>
      <c r="CC216" s="365">
        <f t="shared" si="265"/>
        <v>6.3806925352520949E-7</v>
      </c>
      <c r="CD216" s="365">
        <f t="shared" si="258"/>
        <v>4.0713237229421806E-13</v>
      </c>
      <c r="CE216" s="365">
        <f t="shared" si="259"/>
        <v>2.5977864887571938E-19</v>
      </c>
      <c r="CF216" s="365">
        <f t="shared" si="260"/>
        <v>1.6575676856991776E-25</v>
      </c>
      <c r="CG216" s="340"/>
      <c r="CH216" s="367"/>
      <c r="CI216" s="368"/>
      <c r="CJ216" s="368"/>
      <c r="CK216" s="369"/>
      <c r="CL216" s="329">
        <f t="shared" si="261"/>
        <v>1.0000006295740604E-4</v>
      </c>
      <c r="CM216" s="330">
        <f t="shared" ca="1" si="262"/>
        <v>0</v>
      </c>
      <c r="CN216" s="331">
        <f t="shared" ca="1" si="223"/>
        <v>-1567227.9998999999</v>
      </c>
      <c r="CO216" s="86"/>
      <c r="CP216" s="86"/>
      <c r="CQ216" s="1641"/>
      <c r="CR216" s="86"/>
      <c r="CS216" s="86"/>
      <c r="CT216" s="86"/>
      <c r="CU216" s="86"/>
      <c r="CV216" s="86"/>
      <c r="CW216" s="86"/>
      <c r="CX216" s="86"/>
      <c r="CY216" s="86"/>
      <c r="CZ216" s="86"/>
      <c r="DA216" s="86"/>
      <c r="DB216" s="1642"/>
      <c r="DC216" s="1642"/>
      <c r="DD216" s="30"/>
      <c r="DE216" s="30"/>
      <c r="DF216" s="30"/>
      <c r="DG216" s="1642"/>
      <c r="DH216" s="1642"/>
      <c r="DI216" s="1642"/>
      <c r="DJ216" s="1642"/>
      <c r="DK216" s="1642"/>
      <c r="DL216" s="1642"/>
      <c r="DM216" s="1642"/>
      <c r="DN216" s="1642"/>
      <c r="DO216" s="1642"/>
      <c r="DP216" s="1642"/>
      <c r="DQ216" s="1642"/>
      <c r="DR216" s="1642"/>
      <c r="DS216" s="1642"/>
      <c r="DT216" s="1642"/>
      <c r="DU216" s="1642"/>
      <c r="DV216" s="1642"/>
      <c r="DW216" s="1642"/>
      <c r="DX216" s="1642"/>
      <c r="DY216" s="1642"/>
      <c r="DZ216" s="1642"/>
      <c r="EA216" s="1642"/>
      <c r="EB216" s="1642"/>
      <c r="EC216" s="1642"/>
      <c r="ED216" s="1642"/>
      <c r="EE216" s="1642"/>
      <c r="EF216" s="1642"/>
      <c r="EG216" s="1642"/>
      <c r="EH216" s="1643"/>
      <c r="EI216" s="1658"/>
      <c r="EJ216" s="1642"/>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0"/>
      <c r="HP216" s="30"/>
      <c r="HQ216" s="30"/>
      <c r="HR216" s="30"/>
      <c r="HS216" s="30"/>
      <c r="HT216" s="30"/>
      <c r="HU216" s="30"/>
      <c r="HV216" s="30"/>
      <c r="HW216" s="30"/>
      <c r="HX216" s="30"/>
      <c r="HY216" s="30"/>
      <c r="HZ216" s="30"/>
      <c r="IA216" s="30"/>
      <c r="IB216" s="30"/>
      <c r="IC216" s="30"/>
      <c r="ID216" s="30"/>
      <c r="IE216" s="30"/>
      <c r="IF216" s="30"/>
      <c r="IG216" s="30"/>
      <c r="IH216" s="30"/>
      <c r="II216" s="30"/>
      <c r="IJ216" s="30"/>
      <c r="IK216" s="30"/>
      <c r="IL216" s="30"/>
      <c r="IM216" s="30"/>
      <c r="IN216" s="30"/>
      <c r="IO216" s="30"/>
      <c r="IP216" s="30"/>
      <c r="IQ216" s="30"/>
      <c r="IR216" s="30"/>
      <c r="IS216" s="30"/>
      <c r="IT216" s="30"/>
      <c r="IU216" s="30"/>
      <c r="IV216" s="30"/>
      <c r="IW216" s="30"/>
      <c r="IX216" s="30"/>
      <c r="IY216" s="30"/>
      <c r="IZ216" s="30"/>
      <c r="JA216" s="30"/>
      <c r="JB216" s="30"/>
      <c r="JC216" s="30"/>
      <c r="JD216" s="30"/>
      <c r="JE216" s="30"/>
      <c r="JF216" s="30"/>
      <c r="JG216" s="30"/>
      <c r="JH216" s="30"/>
      <c r="JI216" s="30"/>
      <c r="JJ216" s="30"/>
      <c r="JK216" s="30"/>
      <c r="JL216" s="30"/>
      <c r="JM216" s="30"/>
      <c r="JN216" s="30"/>
      <c r="JO216" s="30"/>
      <c r="JP216" s="30"/>
      <c r="JQ216" s="30"/>
      <c r="JR216" s="30"/>
      <c r="JS216" s="30"/>
      <c r="JT216" s="30"/>
      <c r="JU216" s="30"/>
      <c r="JV216" s="30"/>
      <c r="JW216" s="30"/>
      <c r="JX216" s="30"/>
      <c r="JY216" s="30"/>
      <c r="JZ216" s="30"/>
      <c r="KA216" s="30"/>
      <c r="KB216" s="30"/>
      <c r="KC216" s="30"/>
      <c r="KD216" s="30"/>
      <c r="KE216" s="30"/>
      <c r="KF216" s="30"/>
      <c r="KG216" s="30"/>
      <c r="KH216" s="30"/>
      <c r="KI216" s="30"/>
      <c r="KJ216" s="30"/>
      <c r="KK216" s="30"/>
      <c r="KL216" s="30"/>
      <c r="KM216" s="30"/>
      <c r="KN216" s="30"/>
      <c r="KO216" s="30"/>
      <c r="KP216" s="1630"/>
    </row>
    <row r="217" spans="1:302" s="97" customFormat="1" ht="18.75" customHeight="1" outlineLevel="1">
      <c r="A217" s="2661" t="s">
        <v>968</v>
      </c>
      <c r="B217" s="2609"/>
      <c r="C217" s="2582" t="s">
        <v>971</v>
      </c>
      <c r="D217" s="2582" t="s">
        <v>974</v>
      </c>
      <c r="E217" s="376"/>
      <c r="F217" s="347"/>
      <c r="G217" s="348"/>
      <c r="H217" s="349" t="s">
        <v>26</v>
      </c>
      <c r="I217" s="2940"/>
      <c r="J217" s="362" t="s">
        <v>26</v>
      </c>
      <c r="K217" s="1745"/>
      <c r="L217" s="383"/>
      <c r="M217" s="383"/>
      <c r="N217" s="383"/>
      <c r="O217" s="1510">
        <v>2347800</v>
      </c>
      <c r="P217" s="383"/>
      <c r="Q217" s="383"/>
      <c r="R217" s="383"/>
      <c r="S217" s="1510">
        <f t="shared" si="241"/>
        <v>0</v>
      </c>
      <c r="T217" s="1509"/>
      <c r="U217" s="1746"/>
      <c r="V217" s="1746"/>
      <c r="W217" s="1510">
        <f t="shared" si="235"/>
        <v>2347800</v>
      </c>
      <c r="X217" s="362" t="s">
        <v>26</v>
      </c>
      <c r="Y217" s="1509"/>
      <c r="Z217" s="1746"/>
      <c r="AB217" s="1510">
        <f t="shared" si="236"/>
        <v>2347800</v>
      </c>
      <c r="AC217" s="1442"/>
      <c r="AD217" s="1457"/>
      <c r="AE217" s="352"/>
      <c r="AF217" s="1685"/>
      <c r="AG217" s="1685"/>
      <c r="AH217" s="354">
        <f>AF217*AG217</f>
        <v>0</v>
      </c>
      <c r="AI217" s="355">
        <f t="shared" ca="1" si="232"/>
        <v>0</v>
      </c>
      <c r="AJ217" s="356">
        <f t="shared" ca="1" si="227"/>
        <v>0</v>
      </c>
      <c r="AK217" s="2185"/>
      <c r="AL217" s="2063"/>
      <c r="AM217" s="2261"/>
      <c r="AN217" s="2261"/>
      <c r="AO217" s="362"/>
      <c r="AP217" s="384"/>
      <c r="AQ217" s="362"/>
      <c r="AR217" s="362"/>
      <c r="AS217" s="362"/>
      <c r="AT217" s="385"/>
      <c r="AU217" s="359"/>
      <c r="AV217" s="359"/>
      <c r="AW217" s="377"/>
      <c r="AX217" s="359"/>
      <c r="AY217" s="360"/>
      <c r="AZ217" s="2273"/>
      <c r="BA217" s="497"/>
      <c r="BB217" s="359">
        <v>782600</v>
      </c>
      <c r="BC217" s="359">
        <v>782600</v>
      </c>
      <c r="BD217" s="359">
        <v>782600</v>
      </c>
      <c r="BE217" s="362"/>
      <c r="BF217" s="1509"/>
      <c r="BG217" s="362"/>
      <c r="BH217" s="362"/>
      <c r="BI217" s="1509"/>
      <c r="BJ217" s="362"/>
      <c r="BK217" s="2123"/>
      <c r="BL217" s="414"/>
      <c r="BM217" s="414"/>
      <c r="BN217" s="414"/>
      <c r="BO217" s="414"/>
      <c r="BP217" s="414"/>
      <c r="BQ217" s="2399"/>
      <c r="BR217" s="362"/>
      <c r="BS217" s="362"/>
      <c r="BT217" s="362"/>
      <c r="BU217" s="364"/>
      <c r="BV217" s="364"/>
      <c r="BW217" s="2366"/>
      <c r="BX217" s="2463"/>
      <c r="BY217" s="2543"/>
      <c r="BZ217" s="2543"/>
      <c r="CA217" s="2432">
        <f t="shared" si="263"/>
        <v>2347800</v>
      </c>
      <c r="CB217" s="2377">
        <f t="shared" si="264"/>
        <v>1</v>
      </c>
      <c r="CC217" s="365">
        <f t="shared" si="265"/>
        <v>4.25930658488798E-7</v>
      </c>
      <c r="CD217" s="365">
        <f t="shared" si="258"/>
        <v>1.8141692584070107E-13</v>
      </c>
      <c r="CE217" s="365">
        <f t="shared" si="259"/>
        <v>7.7271030684343242E-20</v>
      </c>
      <c r="CF217" s="365">
        <f t="shared" si="260"/>
        <v>3.2912100981490437E-26</v>
      </c>
      <c r="CG217" s="340"/>
      <c r="CH217" s="367"/>
      <c r="CI217" s="368"/>
      <c r="CJ217" s="368"/>
      <c r="CK217" s="369"/>
      <c r="CL217" s="329">
        <f t="shared" si="261"/>
        <v>0</v>
      </c>
      <c r="CM217" s="330">
        <f t="shared" ca="1" si="262"/>
        <v>0</v>
      </c>
      <c r="CN217" s="331">
        <f t="shared" ca="1" si="223"/>
        <v>-2347800</v>
      </c>
      <c r="CO217" s="86"/>
      <c r="CP217" s="86"/>
      <c r="CQ217" s="1641"/>
      <c r="CR217" s="86"/>
      <c r="CS217" s="86"/>
      <c r="CT217" s="86"/>
      <c r="CU217" s="86"/>
      <c r="CV217" s="86"/>
      <c r="CW217" s="86"/>
      <c r="CX217" s="86"/>
      <c r="CY217" s="86"/>
      <c r="CZ217" s="86"/>
      <c r="DA217" s="86"/>
      <c r="DB217" s="1642"/>
      <c r="DC217" s="1642"/>
      <c r="DD217" s="30"/>
      <c r="DE217" s="30"/>
      <c r="DF217" s="30"/>
      <c r="DG217" s="1642"/>
      <c r="DH217" s="1642"/>
      <c r="DI217" s="1642"/>
      <c r="DJ217" s="1642"/>
      <c r="DK217" s="1642"/>
      <c r="DL217" s="1642"/>
      <c r="DM217" s="1642"/>
      <c r="DN217" s="1642"/>
      <c r="DO217" s="1642"/>
      <c r="DP217" s="1642"/>
      <c r="DQ217" s="1642"/>
      <c r="DR217" s="1642"/>
      <c r="DS217" s="1642"/>
      <c r="DT217" s="1642"/>
      <c r="DU217" s="1642"/>
      <c r="DV217" s="1642"/>
      <c r="DW217" s="1642"/>
      <c r="DX217" s="1642"/>
      <c r="DY217" s="1642"/>
      <c r="DZ217" s="1642"/>
      <c r="EA217" s="1642"/>
      <c r="EB217" s="1642"/>
      <c r="EC217" s="1642"/>
      <c r="ED217" s="1642"/>
      <c r="EE217" s="1642"/>
      <c r="EF217" s="1642"/>
      <c r="EG217" s="1642"/>
      <c r="EH217" s="1643"/>
      <c r="EI217" s="1658"/>
      <c r="EJ217" s="1642"/>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0"/>
      <c r="HP217" s="30"/>
      <c r="HQ217" s="30"/>
      <c r="HR217" s="30"/>
      <c r="HS217" s="30"/>
      <c r="HT217" s="30"/>
      <c r="HU217" s="30"/>
      <c r="HV217" s="30"/>
      <c r="HW217" s="30"/>
      <c r="HX217" s="30"/>
      <c r="HY217" s="30"/>
      <c r="HZ217" s="30"/>
      <c r="IA217" s="30"/>
      <c r="IB217" s="30"/>
      <c r="IC217" s="30"/>
      <c r="ID217" s="30"/>
      <c r="IE217" s="30"/>
      <c r="IF217" s="30"/>
      <c r="IG217" s="30"/>
      <c r="IH217" s="30"/>
      <c r="II217" s="30"/>
      <c r="IJ217" s="30"/>
      <c r="IK217" s="30"/>
      <c r="IL217" s="30"/>
      <c r="IM217" s="30"/>
      <c r="IN217" s="30"/>
      <c r="IO217" s="30"/>
      <c r="IP217" s="30"/>
      <c r="IQ217" s="30"/>
      <c r="IR217" s="30"/>
      <c r="IS217" s="30"/>
      <c r="IT217" s="30"/>
      <c r="IU217" s="30"/>
      <c r="IV217" s="30"/>
      <c r="IW217" s="30"/>
      <c r="IX217" s="30"/>
      <c r="IY217" s="30"/>
      <c r="IZ217" s="30"/>
      <c r="JA217" s="30"/>
      <c r="JB217" s="30"/>
      <c r="JC217" s="30"/>
      <c r="JD217" s="30"/>
      <c r="JE217" s="30"/>
      <c r="JF217" s="30"/>
      <c r="JG217" s="30"/>
      <c r="JH217" s="30"/>
      <c r="JI217" s="30"/>
      <c r="JJ217" s="30"/>
      <c r="JK217" s="30"/>
      <c r="JL217" s="30"/>
      <c r="JM217" s="30"/>
      <c r="JN217" s="30"/>
      <c r="JO217" s="30"/>
      <c r="JP217" s="30"/>
      <c r="JQ217" s="30"/>
      <c r="JR217" s="30"/>
      <c r="JS217" s="30"/>
      <c r="JT217" s="30"/>
      <c r="JU217" s="30"/>
      <c r="JV217" s="30"/>
      <c r="JW217" s="30"/>
      <c r="JX217" s="30"/>
      <c r="JY217" s="30"/>
      <c r="JZ217" s="30"/>
      <c r="KA217" s="30"/>
      <c r="KB217" s="30"/>
      <c r="KC217" s="30"/>
      <c r="KD217" s="30"/>
      <c r="KE217" s="30"/>
      <c r="KF217" s="30"/>
      <c r="KG217" s="30"/>
      <c r="KH217" s="30"/>
      <c r="KI217" s="30"/>
      <c r="KJ217" s="30"/>
      <c r="KK217" s="30"/>
      <c r="KL217" s="30"/>
      <c r="KM217" s="30"/>
      <c r="KN217" s="30"/>
      <c r="KO217" s="30"/>
      <c r="KP217" s="1630"/>
    </row>
    <row r="218" spans="1:302" s="97" customFormat="1" ht="18.75" customHeight="1" outlineLevel="1">
      <c r="A218" s="2587" t="s">
        <v>975</v>
      </c>
      <c r="B218" s="2605"/>
      <c r="C218" s="2587" t="s">
        <v>989</v>
      </c>
      <c r="D218" s="2587" t="s">
        <v>1003</v>
      </c>
      <c r="E218" s="376"/>
      <c r="F218" s="347"/>
      <c r="G218" s="348"/>
      <c r="H218" s="349" t="s">
        <v>26</v>
      </c>
      <c r="I218" s="2940"/>
      <c r="J218" s="362" t="s">
        <v>26</v>
      </c>
      <c r="K218" s="1745"/>
      <c r="L218" s="383"/>
      <c r="M218" s="383"/>
      <c r="N218" s="383"/>
      <c r="O218" s="1510">
        <v>8271000</v>
      </c>
      <c r="P218" s="383"/>
      <c r="Q218" s="383"/>
      <c r="R218" s="383"/>
      <c r="S218" s="1510">
        <f t="shared" si="241"/>
        <v>0</v>
      </c>
      <c r="T218" s="1509"/>
      <c r="U218" s="1746"/>
      <c r="V218" s="1746"/>
      <c r="W218" s="1510">
        <f t="shared" si="235"/>
        <v>8271000</v>
      </c>
      <c r="X218" s="362" t="s">
        <v>26</v>
      </c>
      <c r="Y218" s="1509"/>
      <c r="Z218" s="1746"/>
      <c r="AB218" s="1510">
        <f t="shared" si="236"/>
        <v>8271000</v>
      </c>
      <c r="AC218" s="2054"/>
      <c r="AD218" s="1457"/>
      <c r="AE218" s="352"/>
      <c r="AF218" s="1685"/>
      <c r="AG218" s="1685"/>
      <c r="AH218" s="354">
        <f t="shared" si="242"/>
        <v>0</v>
      </c>
      <c r="AI218" s="355">
        <f t="shared" ca="1" si="232"/>
        <v>0</v>
      </c>
      <c r="AJ218" s="356">
        <f t="shared" ca="1" si="227"/>
        <v>0</v>
      </c>
      <c r="AK218" s="2185"/>
      <c r="AL218" s="2063"/>
      <c r="AM218" s="2261"/>
      <c r="AN218" s="2261"/>
      <c r="AO218" s="362"/>
      <c r="AP218" s="384"/>
      <c r="AQ218" s="362"/>
      <c r="AR218" s="362"/>
      <c r="AS218" s="362"/>
      <c r="AT218" s="385"/>
      <c r="AU218" s="359"/>
      <c r="AV218" s="359"/>
      <c r="AW218" s="377"/>
      <c r="AX218" s="362"/>
      <c r="AY218" s="385"/>
      <c r="AZ218" s="2273"/>
      <c r="BA218" s="497"/>
      <c r="BB218" s="359">
        <v>1378500</v>
      </c>
      <c r="BC218" s="359">
        <v>1378500</v>
      </c>
      <c r="BD218" s="359">
        <v>378500</v>
      </c>
      <c r="BE218" s="362">
        <v>1378500</v>
      </c>
      <c r="BF218" s="362">
        <v>1378500</v>
      </c>
      <c r="BG218" s="362">
        <v>1378500</v>
      </c>
      <c r="BH218" s="362"/>
      <c r="BI218" s="414"/>
      <c r="BJ218" s="362"/>
      <c r="BK218" s="2123">
        <v>1000000</v>
      </c>
      <c r="BL218" s="414"/>
      <c r="BM218" s="414"/>
      <c r="BN218" s="414"/>
      <c r="BO218" s="414"/>
      <c r="BP218" s="414"/>
      <c r="BQ218" s="2399"/>
      <c r="BR218" s="362"/>
      <c r="BS218" s="362"/>
      <c r="BT218" s="362"/>
      <c r="BU218" s="364"/>
      <c r="BV218" s="364"/>
      <c r="BW218" s="2366"/>
      <c r="BX218" s="2463"/>
      <c r="BY218" s="2543"/>
      <c r="BZ218" s="2543"/>
      <c r="CA218" s="2432">
        <f t="shared" si="263"/>
        <v>8271000</v>
      </c>
      <c r="CB218" s="2377">
        <f t="shared" si="264"/>
        <v>1</v>
      </c>
      <c r="CC218" s="365">
        <f t="shared" si="265"/>
        <v>1.2090436464756379E-7</v>
      </c>
      <c r="CD218" s="365">
        <f t="shared" ref="CD218:CD222" si="268">IF($AB218&lt;&gt;0,CC218/$AB218,"")</f>
        <v>1.4617865390831071E-14</v>
      </c>
      <c r="CE218" s="365">
        <f t="shared" ref="CE218:CE222" si="269">IF($AB218&lt;&gt;0,CD218/$AB218,"")</f>
        <v>1.7673637275820422E-21</v>
      </c>
      <c r="CF218" s="365">
        <f t="shared" ref="CF218:CF222" si="270">IF($AB218&lt;&gt;0,CE218/$AB218,"")</f>
        <v>2.1368198858445678E-28</v>
      </c>
      <c r="CG218" s="340"/>
      <c r="CH218" s="367"/>
      <c r="CI218" s="368"/>
      <c r="CJ218" s="368"/>
      <c r="CK218" s="369"/>
      <c r="CL218" s="329">
        <f t="shared" si="261"/>
        <v>0</v>
      </c>
      <c r="CM218" s="330">
        <f t="shared" ca="1" si="262"/>
        <v>0</v>
      </c>
      <c r="CN218" s="331">
        <f t="shared" ca="1" si="223"/>
        <v>-8271000</v>
      </c>
      <c r="CO218" s="86"/>
      <c r="CP218" s="86"/>
      <c r="CQ218" s="1641"/>
      <c r="CR218" s="86"/>
      <c r="CS218" s="86"/>
      <c r="CT218" s="86"/>
      <c r="CU218" s="86"/>
      <c r="CV218" s="86"/>
      <c r="CW218" s="86"/>
      <c r="CX218" s="86"/>
      <c r="CY218" s="86"/>
      <c r="CZ218" s="86"/>
      <c r="DA218" s="86"/>
      <c r="DB218" s="1642"/>
      <c r="DC218" s="1642"/>
      <c r="DD218" s="30"/>
      <c r="DE218" s="30"/>
      <c r="DF218" s="30"/>
      <c r="DG218" s="1642"/>
      <c r="DH218" s="1642"/>
      <c r="DI218" s="1642"/>
      <c r="DJ218" s="1642"/>
      <c r="DK218" s="1642"/>
      <c r="DL218" s="1642"/>
      <c r="DM218" s="1642"/>
      <c r="DN218" s="1642"/>
      <c r="DO218" s="1642"/>
      <c r="DP218" s="1642"/>
      <c r="DQ218" s="1642"/>
      <c r="DR218" s="1642"/>
      <c r="DS218" s="1642"/>
      <c r="DT218" s="1642"/>
      <c r="DU218" s="1642"/>
      <c r="DV218" s="1642"/>
      <c r="DW218" s="1642"/>
      <c r="DX218" s="1642"/>
      <c r="DY218" s="1642"/>
      <c r="DZ218" s="1642"/>
      <c r="EA218" s="1642"/>
      <c r="EB218" s="1642"/>
      <c r="EC218" s="1642"/>
      <c r="ED218" s="1642"/>
      <c r="EE218" s="1642"/>
      <c r="EF218" s="1642"/>
      <c r="EG218" s="1642"/>
      <c r="EH218" s="1643"/>
      <c r="EI218" s="1658"/>
      <c r="EJ218" s="1642"/>
      <c r="EK218" s="30"/>
      <c r="EL218" s="30"/>
      <c r="EM218" s="30"/>
      <c r="EN218" s="30"/>
      <c r="EO218" s="30"/>
      <c r="EP218" s="30"/>
      <c r="EQ218" s="30"/>
      <c r="ER218" s="30"/>
      <c r="ES218" s="30"/>
      <c r="ET218" s="30"/>
      <c r="EU218" s="30"/>
      <c r="EV218" s="30"/>
      <c r="EW218" s="30"/>
      <c r="EX218" s="30"/>
      <c r="EY218" s="30"/>
      <c r="EZ218" s="30"/>
      <c r="FA218" s="30"/>
      <c r="FB218" s="30"/>
      <c r="FC218" s="30"/>
      <c r="FD218" s="30"/>
      <c r="FE218" s="30"/>
      <c r="FF218" s="30"/>
      <c r="FG218" s="30"/>
      <c r="FH218" s="30"/>
      <c r="FI218" s="30"/>
      <c r="FJ218" s="30"/>
      <c r="FK218" s="30"/>
      <c r="FL218" s="30"/>
      <c r="FM218" s="30"/>
      <c r="FN218" s="30"/>
      <c r="FO218" s="30"/>
      <c r="FP218" s="30"/>
      <c r="FQ218" s="30"/>
      <c r="FR218" s="30"/>
      <c r="FS218" s="30"/>
      <c r="FT218" s="30"/>
      <c r="FU218" s="30"/>
      <c r="FV218" s="30"/>
      <c r="FW218" s="30"/>
      <c r="FX218" s="30"/>
      <c r="FY218" s="30"/>
      <c r="FZ218" s="30"/>
      <c r="GA218" s="30"/>
      <c r="GB218" s="30"/>
      <c r="GC218" s="30"/>
      <c r="GD218" s="30"/>
      <c r="GE218" s="30"/>
      <c r="GF218" s="30"/>
      <c r="GG218" s="30"/>
      <c r="GH218" s="30"/>
      <c r="GI218" s="30"/>
      <c r="GJ218" s="30"/>
      <c r="GK218" s="30"/>
      <c r="GL218" s="30"/>
      <c r="GM218" s="30"/>
      <c r="GN218" s="30"/>
      <c r="GO218" s="30"/>
      <c r="GP218" s="30"/>
      <c r="GQ218" s="30"/>
      <c r="GR218" s="30"/>
      <c r="GS218" s="30"/>
      <c r="GT218" s="30"/>
      <c r="GU218" s="30"/>
      <c r="GV218" s="30"/>
      <c r="GW218" s="30"/>
      <c r="GX218" s="30"/>
      <c r="GY218" s="30"/>
      <c r="GZ218" s="30"/>
      <c r="HA218" s="30"/>
      <c r="HB218" s="30"/>
      <c r="HC218" s="30"/>
      <c r="HD218" s="30"/>
      <c r="HE218" s="30"/>
      <c r="HF218" s="30"/>
      <c r="HG218" s="30"/>
      <c r="HH218" s="30"/>
      <c r="HI218" s="30"/>
      <c r="HJ218" s="30"/>
      <c r="HK218" s="30"/>
      <c r="HL218" s="30"/>
      <c r="HM218" s="30"/>
      <c r="HN218" s="30"/>
      <c r="HO218" s="30"/>
      <c r="HP218" s="30"/>
      <c r="HQ218" s="30"/>
      <c r="HR218" s="30"/>
      <c r="HS218" s="30"/>
      <c r="HT218" s="30"/>
      <c r="HU218" s="30"/>
      <c r="HV218" s="30"/>
      <c r="HW218" s="30"/>
      <c r="HX218" s="30"/>
      <c r="HY218" s="30"/>
      <c r="HZ218" s="30"/>
      <c r="IA218" s="30"/>
      <c r="IB218" s="30"/>
      <c r="IC218" s="30"/>
      <c r="ID218" s="30"/>
      <c r="IE218" s="30"/>
      <c r="IF218" s="30"/>
      <c r="IG218" s="30"/>
      <c r="IH218" s="30"/>
      <c r="II218" s="30"/>
      <c r="IJ218" s="30"/>
      <c r="IK218" s="30"/>
      <c r="IL218" s="30"/>
      <c r="IM218" s="30"/>
      <c r="IN218" s="30"/>
      <c r="IO218" s="30"/>
      <c r="IP218" s="30"/>
      <c r="IQ218" s="30"/>
      <c r="IR218" s="30"/>
      <c r="IS218" s="30"/>
      <c r="IT218" s="30"/>
      <c r="IU218" s="30"/>
      <c r="IV218" s="30"/>
      <c r="IW218" s="30"/>
      <c r="IX218" s="30"/>
      <c r="IY218" s="30"/>
      <c r="IZ218" s="30"/>
      <c r="JA218" s="30"/>
      <c r="JB218" s="30"/>
      <c r="JC218" s="30"/>
      <c r="JD218" s="30"/>
      <c r="JE218" s="30"/>
      <c r="JF218" s="30"/>
      <c r="JG218" s="30"/>
      <c r="JH218" s="30"/>
      <c r="JI218" s="30"/>
      <c r="JJ218" s="30"/>
      <c r="JK218" s="30"/>
      <c r="JL218" s="30"/>
      <c r="JM218" s="30"/>
      <c r="JN218" s="30"/>
      <c r="JO218" s="30"/>
      <c r="JP218" s="30"/>
      <c r="JQ218" s="30"/>
      <c r="JR218" s="30"/>
      <c r="JS218" s="30"/>
      <c r="JT218" s="30"/>
      <c r="JU218" s="30"/>
      <c r="JV218" s="30"/>
      <c r="JW218" s="30"/>
      <c r="JX218" s="30"/>
      <c r="JY218" s="30"/>
      <c r="JZ218" s="30"/>
      <c r="KA218" s="30"/>
      <c r="KB218" s="30"/>
      <c r="KC218" s="30"/>
      <c r="KD218" s="30"/>
      <c r="KE218" s="30"/>
      <c r="KF218" s="30"/>
      <c r="KG218" s="30"/>
      <c r="KH218" s="30"/>
      <c r="KI218" s="30"/>
      <c r="KJ218" s="30"/>
      <c r="KK218" s="30"/>
      <c r="KL218" s="30"/>
      <c r="KM218" s="30"/>
      <c r="KN218" s="30"/>
      <c r="KO218" s="30"/>
      <c r="KP218" s="1630"/>
    </row>
    <row r="219" spans="1:302" s="97" customFormat="1" ht="19.5" customHeight="1" outlineLevel="1">
      <c r="A219" s="2587" t="s">
        <v>976</v>
      </c>
      <c r="B219" s="2605"/>
      <c r="C219" s="2587" t="s">
        <v>990</v>
      </c>
      <c r="D219" s="2587" t="s">
        <v>1004</v>
      </c>
      <c r="E219" s="376"/>
      <c r="F219" s="347"/>
      <c r="G219" s="348"/>
      <c r="H219" s="349" t="s">
        <v>26</v>
      </c>
      <c r="I219" s="2940"/>
      <c r="J219" s="362" t="s">
        <v>26</v>
      </c>
      <c r="K219" s="1745"/>
      <c r="L219" s="383"/>
      <c r="M219" s="383"/>
      <c r="N219" s="383"/>
      <c r="O219" s="1510"/>
      <c r="P219" s="383"/>
      <c r="Q219" s="383"/>
      <c r="R219" s="383"/>
      <c r="S219" s="1510">
        <f t="shared" si="241"/>
        <v>0</v>
      </c>
      <c r="T219" s="1509"/>
      <c r="U219" s="1746"/>
      <c r="V219" s="1746"/>
      <c r="W219" s="1510">
        <f t="shared" si="235"/>
        <v>0</v>
      </c>
      <c r="X219" s="362" t="s">
        <v>26</v>
      </c>
      <c r="Y219" s="1509"/>
      <c r="Z219" s="1746"/>
      <c r="AB219" s="1510">
        <f t="shared" si="236"/>
        <v>0</v>
      </c>
      <c r="AC219" s="2022"/>
      <c r="AD219" s="1457"/>
      <c r="AE219" s="352"/>
      <c r="AF219" s="353"/>
      <c r="AG219" s="353"/>
      <c r="AH219" s="354">
        <f t="shared" si="242"/>
        <v>0</v>
      </c>
      <c r="AI219" s="355">
        <f t="shared" ca="1" si="232"/>
        <v>0</v>
      </c>
      <c r="AJ219" s="356" t="str">
        <f t="shared" si="227"/>
        <v/>
      </c>
      <c r="AK219" s="2185"/>
      <c r="AL219" s="2063"/>
      <c r="AM219" s="2261"/>
      <c r="AN219" s="2261"/>
      <c r="AO219" s="362"/>
      <c r="AP219" s="384"/>
      <c r="AQ219" s="362"/>
      <c r="AR219" s="362"/>
      <c r="AS219" s="362"/>
      <c r="AT219" s="385"/>
      <c r="AU219" s="359"/>
      <c r="AV219" s="359"/>
      <c r="AW219" s="377"/>
      <c r="AX219" s="362"/>
      <c r="AY219" s="385"/>
      <c r="AZ219" s="2273"/>
      <c r="BA219" s="497"/>
      <c r="BB219" s="359"/>
      <c r="BC219" s="359"/>
      <c r="BD219" s="359"/>
      <c r="BE219" s="362"/>
      <c r="BF219" s="362"/>
      <c r="BG219" s="362"/>
      <c r="BH219" s="362"/>
      <c r="BI219" s="414"/>
      <c r="BJ219" s="362"/>
      <c r="BK219" s="2123"/>
      <c r="BL219" s="414"/>
      <c r="BM219" s="414"/>
      <c r="BN219" s="414"/>
      <c r="BO219" s="414"/>
      <c r="BP219" s="414"/>
      <c r="BQ219" s="2399"/>
      <c r="BR219" s="362"/>
      <c r="BS219" s="362"/>
      <c r="BT219" s="362"/>
      <c r="BU219" s="364"/>
      <c r="BV219" s="364"/>
      <c r="BW219" s="2366"/>
      <c r="BX219" s="2463"/>
      <c r="BY219" s="2543"/>
      <c r="BZ219" s="2543"/>
      <c r="CA219" s="2432">
        <f t="shared" si="263"/>
        <v>0</v>
      </c>
      <c r="CB219" s="2377" t="str">
        <f t="shared" si="264"/>
        <v/>
      </c>
      <c r="CC219" s="365" t="str">
        <f t="shared" si="265"/>
        <v/>
      </c>
      <c r="CD219" s="365" t="str">
        <f t="shared" si="268"/>
        <v/>
      </c>
      <c r="CE219" s="365" t="str">
        <f t="shared" si="269"/>
        <v/>
      </c>
      <c r="CF219" s="365" t="str">
        <f t="shared" si="270"/>
        <v/>
      </c>
      <c r="CG219" s="340"/>
      <c r="CH219" s="367"/>
      <c r="CI219" s="368"/>
      <c r="CJ219" s="368"/>
      <c r="CK219" s="369"/>
      <c r="CL219" s="329">
        <f t="shared" si="261"/>
        <v>0</v>
      </c>
      <c r="CM219" s="330">
        <f t="shared" ca="1" si="262"/>
        <v>0</v>
      </c>
      <c r="CN219" s="331">
        <f t="shared" ca="1" si="223"/>
        <v>0</v>
      </c>
      <c r="CO219" s="86"/>
      <c r="CP219" s="86"/>
      <c r="CQ219" s="1641"/>
      <c r="CR219" s="86"/>
      <c r="CS219" s="86"/>
      <c r="CT219" s="86"/>
      <c r="CU219" s="86"/>
      <c r="CV219" s="86"/>
      <c r="CW219" s="86"/>
      <c r="CX219" s="86"/>
      <c r="CY219" s="86"/>
      <c r="CZ219" s="86"/>
      <c r="DA219" s="86"/>
      <c r="DB219" s="1642"/>
      <c r="DC219" s="1642"/>
      <c r="DD219" s="30"/>
      <c r="DE219" s="30"/>
      <c r="DF219" s="30"/>
      <c r="DG219" s="1642"/>
      <c r="DH219" s="1642"/>
      <c r="DI219" s="1642"/>
      <c r="DJ219" s="1642"/>
      <c r="DK219" s="1642"/>
      <c r="DL219" s="1642"/>
      <c r="DM219" s="1642"/>
      <c r="DN219" s="1642"/>
      <c r="DO219" s="1642"/>
      <c r="DP219" s="1642"/>
      <c r="DQ219" s="1642"/>
      <c r="DR219" s="1642"/>
      <c r="DS219" s="1642"/>
      <c r="DT219" s="1642"/>
      <c r="DU219" s="1642"/>
      <c r="DV219" s="1642"/>
      <c r="DW219" s="1642"/>
      <c r="DX219" s="1642"/>
      <c r="DY219" s="1642"/>
      <c r="DZ219" s="1642"/>
      <c r="EA219" s="1642"/>
      <c r="EB219" s="1642"/>
      <c r="EC219" s="1642"/>
      <c r="ED219" s="1642"/>
      <c r="EE219" s="1642"/>
      <c r="EF219" s="1642"/>
      <c r="EG219" s="1642"/>
      <c r="EH219" s="1643"/>
      <c r="EI219" s="1658"/>
      <c r="EJ219" s="1642"/>
      <c r="EK219" s="30"/>
      <c r="EL219" s="30"/>
      <c r="EM219" s="30"/>
      <c r="EN219" s="30"/>
      <c r="EO219" s="30"/>
      <c r="EP219" s="30"/>
      <c r="EQ219" s="30"/>
      <c r="ER219" s="30"/>
      <c r="ES219" s="30"/>
      <c r="ET219" s="30"/>
      <c r="EU219" s="30"/>
      <c r="EV219" s="30"/>
      <c r="EW219" s="30"/>
      <c r="EX219" s="30"/>
      <c r="EY219" s="30"/>
      <c r="EZ219" s="30"/>
      <c r="FA219" s="30"/>
      <c r="FB219" s="30"/>
      <c r="FC219" s="30"/>
      <c r="FD219" s="30"/>
      <c r="FE219" s="30"/>
      <c r="FF219" s="30"/>
      <c r="FG219" s="30"/>
      <c r="FH219" s="30"/>
      <c r="FI219" s="30"/>
      <c r="FJ219" s="30"/>
      <c r="FK219" s="30"/>
      <c r="FL219" s="30"/>
      <c r="FM219" s="30"/>
      <c r="FN219" s="30"/>
      <c r="FO219" s="30"/>
      <c r="FP219" s="30"/>
      <c r="FQ219" s="30"/>
      <c r="FR219" s="30"/>
      <c r="FS219" s="30"/>
      <c r="FT219" s="30"/>
      <c r="FU219" s="30"/>
      <c r="FV219" s="30"/>
      <c r="FW219" s="30"/>
      <c r="FX219" s="30"/>
      <c r="FY219" s="30"/>
      <c r="FZ219" s="30"/>
      <c r="GA219" s="30"/>
      <c r="GB219" s="30"/>
      <c r="GC219" s="30"/>
      <c r="GD219" s="30"/>
      <c r="GE219" s="30"/>
      <c r="GF219" s="30"/>
      <c r="GG219" s="30"/>
      <c r="GH219" s="30"/>
      <c r="GI219" s="30"/>
      <c r="GJ219" s="30"/>
      <c r="GK219" s="30"/>
      <c r="GL219" s="30"/>
      <c r="GM219" s="30"/>
      <c r="GN219" s="30"/>
      <c r="GO219" s="30"/>
      <c r="GP219" s="30"/>
      <c r="GQ219" s="30"/>
      <c r="GR219" s="30"/>
      <c r="GS219" s="30"/>
      <c r="GT219" s="30"/>
      <c r="GU219" s="30"/>
      <c r="GV219" s="30"/>
      <c r="GW219" s="30"/>
      <c r="GX219" s="30"/>
      <c r="GY219" s="30"/>
      <c r="GZ219" s="30"/>
      <c r="HA219" s="30"/>
      <c r="HB219" s="30"/>
      <c r="HC219" s="30"/>
      <c r="HD219" s="30"/>
      <c r="HE219" s="30"/>
      <c r="HF219" s="30"/>
      <c r="HG219" s="30"/>
      <c r="HH219" s="30"/>
      <c r="HI219" s="30"/>
      <c r="HJ219" s="30"/>
      <c r="HK219" s="30"/>
      <c r="HL219" s="30"/>
      <c r="HM219" s="30"/>
      <c r="HN219" s="30"/>
      <c r="HO219" s="30"/>
      <c r="HP219" s="30"/>
      <c r="HQ219" s="30"/>
      <c r="HR219" s="30"/>
      <c r="HS219" s="30"/>
      <c r="HT219" s="30"/>
      <c r="HU219" s="30"/>
      <c r="HV219" s="30"/>
      <c r="HW219" s="30"/>
      <c r="HX219" s="30"/>
      <c r="HY219" s="30"/>
      <c r="HZ219" s="30"/>
      <c r="IA219" s="30"/>
      <c r="IB219" s="30"/>
      <c r="IC219" s="30"/>
      <c r="ID219" s="30"/>
      <c r="IE219" s="30"/>
      <c r="IF219" s="30"/>
      <c r="IG219" s="30"/>
      <c r="IH219" s="30"/>
      <c r="II219" s="30"/>
      <c r="IJ219" s="30"/>
      <c r="IK219" s="30"/>
      <c r="IL219" s="30"/>
      <c r="IM219" s="30"/>
      <c r="IN219" s="30"/>
      <c r="IO219" s="30"/>
      <c r="IP219" s="30"/>
      <c r="IQ219" s="30"/>
      <c r="IR219" s="30"/>
      <c r="IS219" s="30"/>
      <c r="IT219" s="30"/>
      <c r="IU219" s="30"/>
      <c r="IV219" s="30"/>
      <c r="IW219" s="30"/>
      <c r="IX219" s="30"/>
      <c r="IY219" s="30"/>
      <c r="IZ219" s="30"/>
      <c r="JA219" s="30"/>
      <c r="JB219" s="30"/>
      <c r="JC219" s="30"/>
      <c r="JD219" s="30"/>
      <c r="JE219" s="30"/>
      <c r="JF219" s="30"/>
      <c r="JG219" s="30"/>
      <c r="JH219" s="30"/>
      <c r="JI219" s="30"/>
      <c r="JJ219" s="30"/>
      <c r="JK219" s="30"/>
      <c r="JL219" s="30"/>
      <c r="JM219" s="30"/>
      <c r="JN219" s="30"/>
      <c r="JO219" s="30"/>
      <c r="JP219" s="30"/>
      <c r="JQ219" s="30"/>
      <c r="JR219" s="30"/>
      <c r="JS219" s="30"/>
      <c r="JT219" s="30"/>
      <c r="JU219" s="30"/>
      <c r="JV219" s="30"/>
      <c r="JW219" s="30"/>
      <c r="JX219" s="30"/>
      <c r="JY219" s="30"/>
      <c r="JZ219" s="30"/>
      <c r="KA219" s="30"/>
      <c r="KB219" s="30"/>
      <c r="KC219" s="30"/>
      <c r="KD219" s="30"/>
      <c r="KE219" s="30"/>
      <c r="KF219" s="30"/>
      <c r="KG219" s="30"/>
      <c r="KH219" s="30"/>
      <c r="KI219" s="30"/>
      <c r="KJ219" s="30"/>
      <c r="KK219" s="30"/>
      <c r="KL219" s="30"/>
      <c r="KM219" s="30"/>
      <c r="KN219" s="30"/>
      <c r="KO219" s="30"/>
      <c r="KP219" s="1630"/>
    </row>
    <row r="220" spans="1:302" s="97" customFormat="1" ht="74.45" customHeight="1" outlineLevel="1">
      <c r="A220" s="2661" t="s">
        <v>977</v>
      </c>
      <c r="B220" s="2609"/>
      <c r="C220" s="2582" t="s">
        <v>991</v>
      </c>
      <c r="D220" s="2582" t="s">
        <v>1005</v>
      </c>
      <c r="E220" s="376"/>
      <c r="F220" s="347"/>
      <c r="G220" s="348"/>
      <c r="H220" s="349" t="s">
        <v>26</v>
      </c>
      <c r="I220" s="2940"/>
      <c r="J220" s="362" t="s">
        <v>26</v>
      </c>
      <c r="K220" s="1745"/>
      <c r="L220" s="383"/>
      <c r="M220" s="383"/>
      <c r="N220" s="383"/>
      <c r="O220" s="1510">
        <v>13374290</v>
      </c>
      <c r="P220" s="383"/>
      <c r="Q220" s="383"/>
      <c r="R220" s="383"/>
      <c r="S220" s="1510">
        <f t="shared" si="241"/>
        <v>0</v>
      </c>
      <c r="T220" s="1509"/>
      <c r="U220" s="1746"/>
      <c r="V220" s="1746"/>
      <c r="W220" s="1510">
        <f t="shared" si="235"/>
        <v>13374290</v>
      </c>
      <c r="X220" s="362" t="s">
        <v>26</v>
      </c>
      <c r="Y220" s="1509"/>
      <c r="Z220" s="1746"/>
      <c r="AB220" s="1510">
        <f t="shared" si="236"/>
        <v>13374290</v>
      </c>
      <c r="AC220" s="2022"/>
      <c r="AD220" s="2009"/>
      <c r="AE220" s="352"/>
      <c r="AF220" s="353"/>
      <c r="AG220" s="353"/>
      <c r="AH220" s="354">
        <f t="shared" ref="AH220" si="271">AF220*AG220</f>
        <v>0</v>
      </c>
      <c r="AI220" s="355">
        <f t="shared" ca="1" si="232"/>
        <v>0</v>
      </c>
      <c r="AJ220" s="356">
        <f t="shared" ca="1" si="227"/>
        <v>0</v>
      </c>
      <c r="AK220" s="2185"/>
      <c r="AL220" s="2063"/>
      <c r="AM220" s="2261"/>
      <c r="AN220" s="2261"/>
      <c r="AO220" s="362"/>
      <c r="AP220" s="384"/>
      <c r="AQ220" s="362"/>
      <c r="AR220" s="362"/>
      <c r="AS220" s="362"/>
      <c r="AT220" s="385">
        <f>503910-200000</f>
        <v>303910</v>
      </c>
      <c r="AU220" s="359">
        <f>503910-200000</f>
        <v>303910</v>
      </c>
      <c r="AV220" s="359"/>
      <c r="AW220" s="377">
        <f>703910-300000</f>
        <v>403910</v>
      </c>
      <c r="AX220" s="362"/>
      <c r="AY220" s="2634">
        <f>1007820-400000</f>
        <v>607820</v>
      </c>
      <c r="AZ220" s="2258">
        <v>1103910</v>
      </c>
      <c r="BA220" s="359">
        <f>903910+400000</f>
        <v>1303910</v>
      </c>
      <c r="BB220" s="359">
        <f>903910+400000</f>
        <v>1303910</v>
      </c>
      <c r="BC220" s="359">
        <f>703910+100000</f>
        <v>803910</v>
      </c>
      <c r="BD220" s="359">
        <v>803910</v>
      </c>
      <c r="BE220" s="362">
        <v>803910</v>
      </c>
      <c r="BF220" s="362">
        <v>803910</v>
      </c>
      <c r="BG220" s="362">
        <v>803910</v>
      </c>
      <c r="BH220" s="362">
        <v>803910</v>
      </c>
      <c r="BI220" s="414">
        <v>803910</v>
      </c>
      <c r="BJ220" s="362">
        <v>803910</v>
      </c>
      <c r="BK220" s="2123">
        <f>703910+503910</f>
        <v>1207820</v>
      </c>
      <c r="BL220" s="414">
        <v>403910</v>
      </c>
      <c r="BM220" s="414"/>
      <c r="BN220" s="414"/>
      <c r="BO220" s="414"/>
      <c r="BP220" s="414"/>
      <c r="BQ220" s="2399"/>
      <c r="BR220" s="362"/>
      <c r="BS220" s="362"/>
      <c r="BT220" s="362"/>
      <c r="BU220" s="364"/>
      <c r="BV220" s="364"/>
      <c r="BW220" s="2366"/>
      <c r="BX220" s="2463"/>
      <c r="BY220" s="2543"/>
      <c r="BZ220" s="2543"/>
      <c r="CA220" s="2432">
        <f t="shared" si="263"/>
        <v>13374290</v>
      </c>
      <c r="CB220" s="2377">
        <f t="shared" si="264"/>
        <v>1</v>
      </c>
      <c r="CC220" s="365">
        <f t="shared" si="265"/>
        <v>7.4770324256465203E-8</v>
      </c>
      <c r="CD220" s="365">
        <f t="shared" si="268"/>
        <v>5.5906013894169485E-15</v>
      </c>
      <c r="CE220" s="365">
        <f t="shared" si="269"/>
        <v>4.1801107867535013E-22</v>
      </c>
      <c r="CF220" s="365">
        <f t="shared" si="270"/>
        <v>3.1254823895350714E-29</v>
      </c>
      <c r="CG220" s="340"/>
      <c r="CH220" s="367"/>
      <c r="CI220" s="368"/>
      <c r="CJ220" s="368"/>
      <c r="CK220" s="369"/>
      <c r="CL220" s="329">
        <f t="shared" si="261"/>
        <v>0</v>
      </c>
      <c r="CM220" s="330">
        <f t="shared" ca="1" si="262"/>
        <v>0</v>
      </c>
      <c r="CN220" s="331">
        <f t="shared" ca="1" si="223"/>
        <v>-11754740</v>
      </c>
      <c r="CO220" s="86"/>
      <c r="CP220" s="86"/>
      <c r="CQ220" s="1641"/>
      <c r="CR220" s="86"/>
      <c r="CS220" s="86"/>
      <c r="CT220" s="86"/>
      <c r="CU220" s="86"/>
      <c r="CV220" s="86"/>
      <c r="CW220" s="86"/>
      <c r="CX220" s="86"/>
      <c r="CY220" s="86"/>
      <c r="CZ220" s="86"/>
      <c r="DA220" s="86"/>
      <c r="DB220" s="1642"/>
      <c r="DC220" s="1642"/>
      <c r="DD220" s="30"/>
      <c r="DE220" s="30"/>
      <c r="DF220" s="30"/>
      <c r="DG220" s="1642"/>
      <c r="DH220" s="1642"/>
      <c r="DI220" s="1642"/>
      <c r="DJ220" s="1642"/>
      <c r="DK220" s="1642"/>
      <c r="DL220" s="1642"/>
      <c r="DM220" s="1642"/>
      <c r="DN220" s="1642"/>
      <c r="DO220" s="1642"/>
      <c r="DP220" s="1642"/>
      <c r="DQ220" s="1642"/>
      <c r="DR220" s="1642"/>
      <c r="DS220" s="1642"/>
      <c r="DT220" s="1642"/>
      <c r="DU220" s="1642"/>
      <c r="DV220" s="1642"/>
      <c r="DW220" s="1642"/>
      <c r="DX220" s="1642"/>
      <c r="DY220" s="1642"/>
      <c r="DZ220" s="1642"/>
      <c r="EA220" s="1642"/>
      <c r="EB220" s="1642"/>
      <c r="EC220" s="1642"/>
      <c r="ED220" s="1642"/>
      <c r="EE220" s="1642"/>
      <c r="EF220" s="1642"/>
      <c r="EG220" s="1642"/>
      <c r="EH220" s="1643"/>
      <c r="EI220" s="1658"/>
      <c r="EJ220" s="1642"/>
      <c r="EK220" s="30"/>
      <c r="EL220" s="30"/>
      <c r="EM220" s="30"/>
      <c r="EN220" s="30"/>
      <c r="EO220" s="30"/>
      <c r="EP220" s="30"/>
      <c r="EQ220" s="30"/>
      <c r="ER220" s="30"/>
      <c r="ES220" s="30"/>
      <c r="ET220" s="30"/>
      <c r="EU220" s="30"/>
      <c r="EV220" s="30"/>
      <c r="EW220" s="30"/>
      <c r="EX220" s="30"/>
      <c r="EY220" s="30"/>
      <c r="EZ220" s="30"/>
      <c r="FA220" s="30"/>
      <c r="FB220" s="30"/>
      <c r="FC220" s="30"/>
      <c r="FD220" s="30"/>
      <c r="FE220" s="30"/>
      <c r="FF220" s="30"/>
      <c r="FG220" s="30"/>
      <c r="FH220" s="30"/>
      <c r="FI220" s="30"/>
      <c r="FJ220" s="30"/>
      <c r="FK220" s="30"/>
      <c r="FL220" s="30"/>
      <c r="FM220" s="30"/>
      <c r="FN220" s="30"/>
      <c r="FO220" s="30"/>
      <c r="FP220" s="30"/>
      <c r="FQ220" s="30"/>
      <c r="FR220" s="30"/>
      <c r="FS220" s="30"/>
      <c r="FT220" s="30"/>
      <c r="FU220" s="30"/>
      <c r="FV220" s="30"/>
      <c r="FW220" s="30"/>
      <c r="FX220" s="30"/>
      <c r="FY220" s="30"/>
      <c r="FZ220" s="30"/>
      <c r="GA220" s="30"/>
      <c r="GB220" s="30"/>
      <c r="GC220" s="30"/>
      <c r="GD220" s="30"/>
      <c r="GE220" s="30"/>
      <c r="GF220" s="30"/>
      <c r="GG220" s="30"/>
      <c r="GH220" s="30"/>
      <c r="GI220" s="30"/>
      <c r="GJ220" s="30"/>
      <c r="GK220" s="30"/>
      <c r="GL220" s="30"/>
      <c r="GM220" s="30"/>
      <c r="GN220" s="30"/>
      <c r="GO220" s="30"/>
      <c r="GP220" s="30"/>
      <c r="GQ220" s="30"/>
      <c r="GR220" s="30"/>
      <c r="GS220" s="30"/>
      <c r="GT220" s="30"/>
      <c r="GU220" s="30"/>
      <c r="GV220" s="30"/>
      <c r="GW220" s="30"/>
      <c r="GX220" s="30"/>
      <c r="GY220" s="30"/>
      <c r="GZ220" s="30"/>
      <c r="HA220" s="30"/>
      <c r="HB220" s="30"/>
      <c r="HC220" s="30"/>
      <c r="HD220" s="30"/>
      <c r="HE220" s="30"/>
      <c r="HF220" s="30"/>
      <c r="HG220" s="30"/>
      <c r="HH220" s="30"/>
      <c r="HI220" s="30"/>
      <c r="HJ220" s="30"/>
      <c r="HK220" s="30"/>
      <c r="HL220" s="30"/>
      <c r="HM220" s="30"/>
      <c r="HN220" s="30"/>
      <c r="HO220" s="30"/>
      <c r="HP220" s="30"/>
      <c r="HQ220" s="30"/>
      <c r="HR220" s="30"/>
      <c r="HS220" s="30"/>
      <c r="HT220" s="30"/>
      <c r="HU220" s="30"/>
      <c r="HV220" s="30"/>
      <c r="HW220" s="30"/>
      <c r="HX220" s="30"/>
      <c r="HY220" s="30"/>
      <c r="HZ220" s="30"/>
      <c r="IA220" s="30"/>
      <c r="IB220" s="30"/>
      <c r="IC220" s="30"/>
      <c r="ID220" s="30"/>
      <c r="IE220" s="30"/>
      <c r="IF220" s="30"/>
      <c r="IG220" s="30"/>
      <c r="IH220" s="30"/>
      <c r="II220" s="30"/>
      <c r="IJ220" s="30"/>
      <c r="IK220" s="30"/>
      <c r="IL220" s="30"/>
      <c r="IM220" s="30"/>
      <c r="IN220" s="30"/>
      <c r="IO220" s="30"/>
      <c r="IP220" s="30"/>
      <c r="IQ220" s="30"/>
      <c r="IR220" s="30"/>
      <c r="IS220" s="30"/>
      <c r="IT220" s="30"/>
      <c r="IU220" s="30"/>
      <c r="IV220" s="30"/>
      <c r="IW220" s="30"/>
      <c r="IX220" s="30"/>
      <c r="IY220" s="30"/>
      <c r="IZ220" s="30"/>
      <c r="JA220" s="30"/>
      <c r="JB220" s="30"/>
      <c r="JC220" s="30"/>
      <c r="JD220" s="30"/>
      <c r="JE220" s="30"/>
      <c r="JF220" s="30"/>
      <c r="JG220" s="30"/>
      <c r="JH220" s="30"/>
      <c r="JI220" s="30"/>
      <c r="JJ220" s="30"/>
      <c r="JK220" s="30"/>
      <c r="JL220" s="30"/>
      <c r="JM220" s="30"/>
      <c r="JN220" s="30"/>
      <c r="JO220" s="30"/>
      <c r="JP220" s="30"/>
      <c r="JQ220" s="30"/>
      <c r="JR220" s="30"/>
      <c r="JS220" s="30"/>
      <c r="JT220" s="30"/>
      <c r="JU220" s="30"/>
      <c r="JV220" s="30"/>
      <c r="JW220" s="30"/>
      <c r="JX220" s="30"/>
      <c r="JY220" s="30"/>
      <c r="JZ220" s="30"/>
      <c r="KA220" s="30"/>
      <c r="KB220" s="30"/>
      <c r="KC220" s="30"/>
      <c r="KD220" s="30"/>
      <c r="KE220" s="30"/>
      <c r="KF220" s="30"/>
      <c r="KG220" s="30"/>
      <c r="KH220" s="30"/>
      <c r="KI220" s="30"/>
      <c r="KJ220" s="30"/>
      <c r="KK220" s="30"/>
      <c r="KL220" s="30"/>
      <c r="KM220" s="30"/>
      <c r="KN220" s="30"/>
      <c r="KO220" s="30"/>
      <c r="KP220" s="1630"/>
    </row>
    <row r="221" spans="1:302" s="97" customFormat="1" ht="30.75" customHeight="1" outlineLevel="1">
      <c r="A221" s="2582" t="s">
        <v>978</v>
      </c>
      <c r="B221" s="2608"/>
      <c r="C221" s="2582" t="s">
        <v>992</v>
      </c>
      <c r="D221" s="2582" t="s">
        <v>1006</v>
      </c>
      <c r="E221" s="376"/>
      <c r="F221" s="347"/>
      <c r="G221" s="348"/>
      <c r="H221" s="349" t="s">
        <v>26</v>
      </c>
      <c r="I221" s="2940"/>
      <c r="J221" s="362" t="s">
        <v>26</v>
      </c>
      <c r="K221" s="1745"/>
      <c r="L221" s="383"/>
      <c r="M221" s="383"/>
      <c r="N221" s="383"/>
      <c r="O221" s="1510">
        <v>300000</v>
      </c>
      <c r="P221" s="383"/>
      <c r="Q221" s="383"/>
      <c r="R221" s="383"/>
      <c r="S221" s="1510">
        <f t="shared" si="241"/>
        <v>0</v>
      </c>
      <c r="T221" s="1509"/>
      <c r="U221" s="1746"/>
      <c r="V221" s="1746"/>
      <c r="W221" s="1510">
        <f t="shared" si="235"/>
        <v>300000</v>
      </c>
      <c r="X221" s="362" t="s">
        <v>26</v>
      </c>
      <c r="Y221" s="1509"/>
      <c r="Z221" s="1746"/>
      <c r="AA221" s="1746"/>
      <c r="AB221" s="1510">
        <f t="shared" si="236"/>
        <v>300000</v>
      </c>
      <c r="AC221" s="2054"/>
      <c r="AD221" s="1457"/>
      <c r="AE221" s="352"/>
      <c r="AF221" s="353"/>
      <c r="AG221" s="353"/>
      <c r="AH221" s="354">
        <f t="shared" si="242"/>
        <v>0</v>
      </c>
      <c r="AI221" s="355">
        <f t="shared" ca="1" si="232"/>
        <v>0</v>
      </c>
      <c r="AJ221" s="356">
        <f t="shared" ca="1" si="227"/>
        <v>0</v>
      </c>
      <c r="AK221" s="2185"/>
      <c r="AL221" s="2063"/>
      <c r="AM221" s="2261"/>
      <c r="AN221" s="2261"/>
      <c r="AO221" s="362"/>
      <c r="AP221" s="384"/>
      <c r="AQ221" s="362"/>
      <c r="AR221" s="362"/>
      <c r="AS221" s="362"/>
      <c r="AT221" s="385"/>
      <c r="AU221" s="359"/>
      <c r="AV221" s="359"/>
      <c r="AW221" s="377"/>
      <c r="AX221" s="362"/>
      <c r="AY221" s="1987"/>
      <c r="AZ221" s="2258"/>
      <c r="BA221" s="359"/>
      <c r="BB221" s="359"/>
      <c r="BC221" s="359"/>
      <c r="BD221" s="359"/>
      <c r="BE221" s="362"/>
      <c r="BF221" s="362"/>
      <c r="BG221" s="362"/>
      <c r="BH221" s="362"/>
      <c r="BI221" s="414">
        <v>60000</v>
      </c>
      <c r="BJ221" s="362">
        <v>60000</v>
      </c>
      <c r="BK221" s="2123">
        <v>60000</v>
      </c>
      <c r="BL221" s="414">
        <v>60000</v>
      </c>
      <c r="BM221" s="414">
        <v>60000</v>
      </c>
      <c r="BN221" s="414"/>
      <c r="BO221" s="414"/>
      <c r="BP221" s="414"/>
      <c r="BQ221" s="2399"/>
      <c r="BR221" s="362"/>
      <c r="BS221" s="362"/>
      <c r="BT221" s="362"/>
      <c r="BU221" s="364"/>
      <c r="BV221" s="364"/>
      <c r="BW221" s="2366"/>
      <c r="BX221" s="2463"/>
      <c r="BY221" s="2543"/>
      <c r="BZ221" s="2543"/>
      <c r="CA221" s="2432">
        <f t="shared" si="263"/>
        <v>300000</v>
      </c>
      <c r="CB221" s="2377">
        <f t="shared" si="264"/>
        <v>1</v>
      </c>
      <c r="CC221" s="365">
        <f t="shared" si="265"/>
        <v>3.3333333333333333E-6</v>
      </c>
      <c r="CD221" s="365">
        <f t="shared" si="268"/>
        <v>1.1111111111111111E-11</v>
      </c>
      <c r="CE221" s="365">
        <f t="shared" si="269"/>
        <v>3.7037037037037038E-17</v>
      </c>
      <c r="CF221" s="365">
        <f t="shared" si="270"/>
        <v>1.2345679012345679E-22</v>
      </c>
      <c r="CG221" s="340"/>
      <c r="CH221" s="367"/>
      <c r="CI221" s="368"/>
      <c r="CJ221" s="368"/>
      <c r="CK221" s="369"/>
      <c r="CL221" s="329">
        <f t="shared" si="261"/>
        <v>0</v>
      </c>
      <c r="CM221" s="330">
        <f t="shared" ca="1" si="262"/>
        <v>0</v>
      </c>
      <c r="CN221" s="331">
        <f t="shared" ca="1" si="223"/>
        <v>-300000</v>
      </c>
      <c r="CO221" s="86"/>
      <c r="CP221" s="86"/>
      <c r="CQ221" s="1641"/>
      <c r="CR221" s="86"/>
      <c r="CS221" s="86"/>
      <c r="CT221" s="86"/>
      <c r="CU221" s="86"/>
      <c r="CV221" s="86"/>
      <c r="CW221" s="86"/>
      <c r="CX221" s="86"/>
      <c r="CY221" s="86"/>
      <c r="CZ221" s="86"/>
      <c r="DA221" s="86"/>
      <c r="DB221" s="1642"/>
      <c r="DC221" s="1642"/>
      <c r="DD221" s="30"/>
      <c r="DE221" s="30"/>
      <c r="DF221" s="30"/>
      <c r="DG221" s="1642"/>
      <c r="DH221" s="1642"/>
      <c r="DI221" s="1642"/>
      <c r="DJ221" s="1642"/>
      <c r="DK221" s="1642"/>
      <c r="DL221" s="1642"/>
      <c r="DM221" s="1642"/>
      <c r="DN221" s="1642"/>
      <c r="DO221" s="1642"/>
      <c r="DP221" s="1642"/>
      <c r="DQ221" s="1642"/>
      <c r="DR221" s="1642"/>
      <c r="DS221" s="1642"/>
      <c r="DT221" s="1642"/>
      <c r="DU221" s="1642"/>
      <c r="DV221" s="1642"/>
      <c r="DW221" s="1642"/>
      <c r="DX221" s="1642"/>
      <c r="DY221" s="1642"/>
      <c r="DZ221" s="1642"/>
      <c r="EA221" s="1642"/>
      <c r="EB221" s="1642"/>
      <c r="EC221" s="1642"/>
      <c r="ED221" s="1642"/>
      <c r="EE221" s="1642"/>
      <c r="EF221" s="1642"/>
      <c r="EG221" s="1642"/>
      <c r="EH221" s="1643"/>
      <c r="EI221" s="1658"/>
      <c r="EJ221" s="1642"/>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0"/>
      <c r="HP221" s="30"/>
      <c r="HQ221" s="30"/>
      <c r="HR221" s="30"/>
      <c r="HS221" s="30"/>
      <c r="HT221" s="30"/>
      <c r="HU221" s="30"/>
      <c r="HV221" s="30"/>
      <c r="HW221" s="30"/>
      <c r="HX221" s="30"/>
      <c r="HY221" s="30"/>
      <c r="HZ221" s="30"/>
      <c r="IA221" s="30"/>
      <c r="IB221" s="30"/>
      <c r="IC221" s="30"/>
      <c r="ID221" s="30"/>
      <c r="IE221" s="30"/>
      <c r="IF221" s="30"/>
      <c r="IG221" s="30"/>
      <c r="IH221" s="30"/>
      <c r="II221" s="30"/>
      <c r="IJ221" s="30"/>
      <c r="IK221" s="30"/>
      <c r="IL221" s="30"/>
      <c r="IM221" s="30"/>
      <c r="IN221" s="30"/>
      <c r="IO221" s="30"/>
      <c r="IP221" s="30"/>
      <c r="IQ221" s="30"/>
      <c r="IR221" s="30"/>
      <c r="IS221" s="30"/>
      <c r="IT221" s="30"/>
      <c r="IU221" s="30"/>
      <c r="IV221" s="30"/>
      <c r="IW221" s="30"/>
      <c r="IX221" s="30"/>
      <c r="IY221" s="30"/>
      <c r="IZ221" s="30"/>
      <c r="JA221" s="30"/>
      <c r="JB221" s="30"/>
      <c r="JC221" s="30"/>
      <c r="JD221" s="30"/>
      <c r="JE221" s="30"/>
      <c r="JF221" s="30"/>
      <c r="JG221" s="30"/>
      <c r="JH221" s="30"/>
      <c r="JI221" s="30"/>
      <c r="JJ221" s="30"/>
      <c r="JK221" s="30"/>
      <c r="JL221" s="30"/>
      <c r="JM221" s="30"/>
      <c r="JN221" s="30"/>
      <c r="JO221" s="30"/>
      <c r="JP221" s="30"/>
      <c r="JQ221" s="30"/>
      <c r="JR221" s="30"/>
      <c r="JS221" s="30"/>
      <c r="JT221" s="30"/>
      <c r="JU221" s="30"/>
      <c r="JV221" s="30"/>
      <c r="JW221" s="30"/>
      <c r="JX221" s="30"/>
      <c r="JY221" s="30"/>
      <c r="JZ221" s="30"/>
      <c r="KA221" s="30"/>
      <c r="KB221" s="30"/>
      <c r="KC221" s="30"/>
      <c r="KD221" s="30"/>
      <c r="KE221" s="30"/>
      <c r="KF221" s="30"/>
      <c r="KG221" s="30"/>
      <c r="KH221" s="30"/>
      <c r="KI221" s="30"/>
      <c r="KJ221" s="30"/>
      <c r="KK221" s="30"/>
      <c r="KL221" s="30"/>
      <c r="KM221" s="30"/>
      <c r="KN221" s="30"/>
      <c r="KO221" s="30"/>
      <c r="KP221" s="1630"/>
    </row>
    <row r="222" spans="1:302" s="97" customFormat="1" ht="18.75" customHeight="1" outlineLevel="1">
      <c r="A222" s="2661" t="s">
        <v>979</v>
      </c>
      <c r="B222" s="2609"/>
      <c r="C222" s="2582" t="s">
        <v>993</v>
      </c>
      <c r="D222" s="2582" t="s">
        <v>1007</v>
      </c>
      <c r="E222" s="376"/>
      <c r="F222" s="347"/>
      <c r="G222" s="348"/>
      <c r="H222" s="349" t="s">
        <v>26</v>
      </c>
      <c r="I222" s="2940"/>
      <c r="J222" s="362" t="s">
        <v>26</v>
      </c>
      <c r="K222" s="1745"/>
      <c r="L222" s="383"/>
      <c r="M222" s="383"/>
      <c r="N222" s="383"/>
      <c r="O222" s="1510">
        <v>9000000</v>
      </c>
      <c r="P222" s="383"/>
      <c r="Q222" s="383"/>
      <c r="R222" s="383"/>
      <c r="S222" s="1510">
        <f t="shared" si="241"/>
        <v>0</v>
      </c>
      <c r="T222" s="1509"/>
      <c r="U222" s="1746"/>
      <c r="V222" s="1746"/>
      <c r="W222" s="1510">
        <f t="shared" si="235"/>
        <v>9000000</v>
      </c>
      <c r="X222" s="362" t="s">
        <v>26</v>
      </c>
      <c r="Y222" s="1509"/>
      <c r="Z222" s="1746"/>
      <c r="AA222" s="1746"/>
      <c r="AB222" s="1510">
        <f t="shared" si="236"/>
        <v>9000000.0020000003</v>
      </c>
      <c r="AC222" s="1442"/>
      <c r="AD222" s="1457"/>
      <c r="AE222" s="352"/>
      <c r="AF222" s="353"/>
      <c r="AG222" s="353"/>
      <c r="AH222" s="354">
        <f t="shared" si="242"/>
        <v>0</v>
      </c>
      <c r="AI222" s="355">
        <f t="shared" ca="1" si="232"/>
        <v>0</v>
      </c>
      <c r="AJ222" s="356">
        <f t="shared" ca="1" si="227"/>
        <v>0</v>
      </c>
      <c r="AK222" s="2185"/>
      <c r="AL222" s="2063"/>
      <c r="AM222" s="2261"/>
      <c r="AN222" s="2261"/>
      <c r="AO222" s="362"/>
      <c r="AP222" s="384"/>
      <c r="AQ222" s="362"/>
      <c r="AR222" s="362"/>
      <c r="AS222" s="362"/>
      <c r="AT222" s="385"/>
      <c r="AU222" s="359">
        <v>642857.14300000004</v>
      </c>
      <c r="AV222" s="359">
        <v>442857.14299999998</v>
      </c>
      <c r="AW222" s="377">
        <v>642857.14300000004</v>
      </c>
      <c r="AX222" s="362">
        <v>642857.14300000004</v>
      </c>
      <c r="AY222" s="2634"/>
      <c r="AZ222" s="2273">
        <v>642857.14300000004</v>
      </c>
      <c r="BA222" s="497">
        <v>642857.14300000004</v>
      </c>
      <c r="BB222" s="359">
        <v>642857.14300000004</v>
      </c>
      <c r="BC222" s="359">
        <v>642857.14300000004</v>
      </c>
      <c r="BD222" s="359">
        <v>642857.14300000004</v>
      </c>
      <c r="BE222" s="362">
        <v>642857.14300000004</v>
      </c>
      <c r="BF222" s="362">
        <v>642857.14300000004</v>
      </c>
      <c r="BG222" s="362">
        <v>642857.14300000004</v>
      </c>
      <c r="BH222" s="362">
        <v>642857.14300000004</v>
      </c>
      <c r="BI222" s="362">
        <v>200000</v>
      </c>
      <c r="BJ222" s="362"/>
      <c r="BK222" s="2634">
        <v>642857.14300000004</v>
      </c>
      <c r="BL222" s="414"/>
      <c r="BM222" s="414"/>
      <c r="BN222" s="414"/>
      <c r="BO222" s="414"/>
      <c r="BP222" s="414"/>
      <c r="BQ222" s="2399"/>
      <c r="BR222" s="362"/>
      <c r="BS222" s="362"/>
      <c r="BT222" s="362"/>
      <c r="BU222" s="364"/>
      <c r="BV222" s="364"/>
      <c r="BW222" s="2366"/>
      <c r="BX222" s="2463"/>
      <c r="BY222" s="2543"/>
      <c r="BZ222" s="2543"/>
      <c r="CA222" s="2432">
        <f t="shared" si="263"/>
        <v>9000000.0020000003</v>
      </c>
      <c r="CB222" s="2377">
        <f t="shared" si="264"/>
        <v>1</v>
      </c>
      <c r="CC222" s="365">
        <f t="shared" si="265"/>
        <v>1.1111111108641975E-7</v>
      </c>
      <c r="CD222" s="365">
        <f t="shared" si="268"/>
        <v>1.2345679006858711E-14</v>
      </c>
      <c r="CE222" s="365">
        <f t="shared" si="269"/>
        <v>1.3717421115683584E-21</v>
      </c>
      <c r="CF222" s="365">
        <f t="shared" si="270"/>
        <v>1.5241579014039187E-28</v>
      </c>
      <c r="CG222" s="340"/>
      <c r="CH222" s="367"/>
      <c r="CI222" s="368"/>
      <c r="CJ222" s="368"/>
      <c r="CK222" s="369"/>
      <c r="CL222" s="329">
        <f t="shared" si="261"/>
        <v>-2.0000003278255463E-3</v>
      </c>
      <c r="CM222" s="330">
        <f t="shared" ca="1" si="262"/>
        <v>0</v>
      </c>
      <c r="CN222" s="331">
        <f t="shared" ca="1" si="223"/>
        <v>-6628571.4299999997</v>
      </c>
      <c r="CO222" s="86"/>
      <c r="CP222" s="86"/>
      <c r="CQ222" s="1641"/>
      <c r="CR222" s="86"/>
      <c r="CS222" s="86"/>
      <c r="CT222" s="86"/>
      <c r="CU222" s="86"/>
      <c r="CV222" s="86"/>
      <c r="CW222" s="86"/>
      <c r="CX222" s="86"/>
      <c r="CY222" s="86"/>
      <c r="CZ222" s="86"/>
      <c r="DA222" s="86"/>
      <c r="DB222" s="1642"/>
      <c r="DC222" s="1642"/>
      <c r="DD222" s="30"/>
      <c r="DE222" s="30"/>
      <c r="DF222" s="30"/>
      <c r="DG222" s="1642"/>
      <c r="DH222" s="1642"/>
      <c r="DI222" s="1642"/>
      <c r="DJ222" s="1642"/>
      <c r="DK222" s="1642"/>
      <c r="DL222" s="1642"/>
      <c r="DM222" s="1642"/>
      <c r="DN222" s="1642"/>
      <c r="DO222" s="1642"/>
      <c r="DP222" s="1642"/>
      <c r="DQ222" s="1642"/>
      <c r="DR222" s="1642"/>
      <c r="DS222" s="1642"/>
      <c r="DT222" s="1642"/>
      <c r="DU222" s="1642"/>
      <c r="DV222" s="1642"/>
      <c r="DW222" s="1642"/>
      <c r="DX222" s="1642"/>
      <c r="DY222" s="1642"/>
      <c r="DZ222" s="1642"/>
      <c r="EA222" s="1642"/>
      <c r="EB222" s="1642"/>
      <c r="EC222" s="1642"/>
      <c r="ED222" s="1642"/>
      <c r="EE222" s="1642"/>
      <c r="EF222" s="1642"/>
      <c r="EG222" s="1642"/>
      <c r="EH222" s="1643"/>
      <c r="EI222" s="1658"/>
      <c r="EJ222" s="1642"/>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0"/>
      <c r="HP222" s="30"/>
      <c r="HQ222" s="30"/>
      <c r="HR222" s="30"/>
      <c r="HS222" s="30"/>
      <c r="HT222" s="30"/>
      <c r="HU222" s="30"/>
      <c r="HV222" s="30"/>
      <c r="HW222" s="30"/>
      <c r="HX222" s="30"/>
      <c r="HY222" s="30"/>
      <c r="HZ222" s="30"/>
      <c r="IA222" s="30"/>
      <c r="IB222" s="30"/>
      <c r="IC222" s="30"/>
      <c r="ID222" s="30"/>
      <c r="IE222" s="30"/>
      <c r="IF222" s="30"/>
      <c r="IG222" s="30"/>
      <c r="IH222" s="30"/>
      <c r="II222" s="30"/>
      <c r="IJ222" s="30"/>
      <c r="IK222" s="30"/>
      <c r="IL222" s="30"/>
      <c r="IM222" s="30"/>
      <c r="IN222" s="30"/>
      <c r="IO222" s="30"/>
      <c r="IP222" s="30"/>
      <c r="IQ222" s="30"/>
      <c r="IR222" s="30"/>
      <c r="IS222" s="30"/>
      <c r="IT222" s="30"/>
      <c r="IU222" s="30"/>
      <c r="IV222" s="30"/>
      <c r="IW222" s="30"/>
      <c r="IX222" s="30"/>
      <c r="IY222" s="30"/>
      <c r="IZ222" s="30"/>
      <c r="JA222" s="30"/>
      <c r="JB222" s="30"/>
      <c r="JC222" s="30"/>
      <c r="JD222" s="30"/>
      <c r="JE222" s="30"/>
      <c r="JF222" s="30"/>
      <c r="JG222" s="30"/>
      <c r="JH222" s="30"/>
      <c r="JI222" s="30"/>
      <c r="JJ222" s="30"/>
      <c r="JK222" s="30"/>
      <c r="JL222" s="30"/>
      <c r="JM222" s="30"/>
      <c r="JN222" s="30"/>
      <c r="JO222" s="30"/>
      <c r="JP222" s="30"/>
      <c r="JQ222" s="30"/>
      <c r="JR222" s="30"/>
      <c r="JS222" s="30"/>
      <c r="JT222" s="30"/>
      <c r="JU222" s="30"/>
      <c r="JV222" s="30"/>
      <c r="JW222" s="30"/>
      <c r="JX222" s="30"/>
      <c r="JY222" s="30"/>
      <c r="JZ222" s="30"/>
      <c r="KA222" s="30"/>
      <c r="KB222" s="30"/>
      <c r="KC222" s="30"/>
      <c r="KD222" s="30"/>
      <c r="KE222" s="30"/>
      <c r="KF222" s="30"/>
      <c r="KG222" s="30"/>
      <c r="KH222" s="30"/>
      <c r="KI222" s="30"/>
      <c r="KJ222" s="30"/>
      <c r="KK222" s="30"/>
      <c r="KL222" s="30"/>
      <c r="KM222" s="30"/>
      <c r="KN222" s="30"/>
      <c r="KO222" s="30"/>
      <c r="KP222" s="1630"/>
    </row>
    <row r="223" spans="1:302" s="97" customFormat="1" ht="18.75" customHeight="1" outlineLevel="1">
      <c r="A223" s="2582" t="s">
        <v>980</v>
      </c>
      <c r="B223" s="2608"/>
      <c r="C223" s="2582" t="s">
        <v>994</v>
      </c>
      <c r="D223" s="2582" t="s">
        <v>1008</v>
      </c>
      <c r="E223" s="376"/>
      <c r="F223" s="347"/>
      <c r="G223" s="348"/>
      <c r="H223" s="349" t="s">
        <v>26</v>
      </c>
      <c r="I223" s="2940"/>
      <c r="J223" s="362" t="s">
        <v>26</v>
      </c>
      <c r="K223" s="1745"/>
      <c r="L223" s="383"/>
      <c r="M223" s="383"/>
      <c r="N223" s="383"/>
      <c r="O223" s="1510">
        <v>1000000</v>
      </c>
      <c r="P223" s="383"/>
      <c r="Q223" s="383"/>
      <c r="R223" s="383"/>
      <c r="S223" s="1510">
        <f t="shared" si="241"/>
        <v>0</v>
      </c>
      <c r="T223" s="1509"/>
      <c r="U223" s="1746"/>
      <c r="V223" s="1746"/>
      <c r="W223" s="1510">
        <f t="shared" si="235"/>
        <v>1000000</v>
      </c>
      <c r="X223" s="362" t="s">
        <v>26</v>
      </c>
      <c r="Y223" s="1509"/>
      <c r="Z223" s="1746"/>
      <c r="AA223" s="1746"/>
      <c r="AB223" s="1510">
        <f t="shared" si="236"/>
        <v>999999.99900000019</v>
      </c>
      <c r="AC223" s="1442"/>
      <c r="AD223" s="1457"/>
      <c r="AE223" s="352"/>
      <c r="AF223" s="353"/>
      <c r="AG223" s="353"/>
      <c r="AH223" s="354">
        <f t="shared" si="242"/>
        <v>0</v>
      </c>
      <c r="AI223" s="355">
        <f t="shared" ca="1" si="232"/>
        <v>0</v>
      </c>
      <c r="AJ223" s="356">
        <f t="shared" ca="1" si="227"/>
        <v>0</v>
      </c>
      <c r="AK223" s="2185"/>
      <c r="AL223" s="2063"/>
      <c r="AM223" s="2261"/>
      <c r="AN223" s="2261"/>
      <c r="AO223" s="362"/>
      <c r="AP223" s="384"/>
      <c r="AQ223" s="362"/>
      <c r="AR223" s="362"/>
      <c r="AS223" s="362"/>
      <c r="AT223" s="385"/>
      <c r="AU223" s="359"/>
      <c r="AV223" s="359"/>
      <c r="AW223" s="377"/>
      <c r="AX223" s="362"/>
      <c r="AY223" s="2634">
        <v>111111.111</v>
      </c>
      <c r="AZ223" s="2273">
        <v>111111.111</v>
      </c>
      <c r="BA223" s="497">
        <v>111111.111</v>
      </c>
      <c r="BB223" s="359">
        <v>111111.111</v>
      </c>
      <c r="BC223" s="359">
        <v>111111.111</v>
      </c>
      <c r="BD223" s="359">
        <v>111111.111</v>
      </c>
      <c r="BE223" s="362">
        <v>111111.111</v>
      </c>
      <c r="BF223" s="362">
        <v>111111.111</v>
      </c>
      <c r="BG223" s="362">
        <v>111111.111</v>
      </c>
      <c r="BH223" s="362"/>
      <c r="BI223" s="414"/>
      <c r="BJ223" s="362"/>
      <c r="BK223" s="2123"/>
      <c r="BL223" s="414"/>
      <c r="BM223" s="414"/>
      <c r="BN223" s="414"/>
      <c r="BO223" s="414"/>
      <c r="BP223" s="414"/>
      <c r="BQ223" s="2399"/>
      <c r="BR223" s="362"/>
      <c r="BS223" s="362"/>
      <c r="BT223" s="362"/>
      <c r="BU223" s="364"/>
      <c r="BV223" s="364"/>
      <c r="BW223" s="2366"/>
      <c r="BX223" s="2463"/>
      <c r="BY223" s="2543"/>
      <c r="BZ223" s="2543"/>
      <c r="CA223" s="2432">
        <f t="shared" si="263"/>
        <v>999999.99900000019</v>
      </c>
      <c r="CB223" s="2377">
        <f t="shared" si="264"/>
        <v>1</v>
      </c>
      <c r="CC223" s="365">
        <f t="shared" si="265"/>
        <v>1.0000000009999999E-6</v>
      </c>
      <c r="CD223" s="365">
        <f t="shared" si="258"/>
        <v>1.0000000019999997E-12</v>
      </c>
      <c r="CE223" s="365">
        <f t="shared" si="259"/>
        <v>1.0000000029999996E-18</v>
      </c>
      <c r="CF223" s="365">
        <f t="shared" si="260"/>
        <v>1.0000000039999995E-24</v>
      </c>
      <c r="CG223" s="340"/>
      <c r="CH223" s="367"/>
      <c r="CI223" s="368"/>
      <c r="CJ223" s="368"/>
      <c r="CK223" s="369"/>
      <c r="CL223" s="329">
        <f t="shared" si="261"/>
        <v>9.9999981466680765E-4</v>
      </c>
      <c r="CM223" s="330">
        <f t="shared" ca="1" si="262"/>
        <v>0</v>
      </c>
      <c r="CN223" s="331">
        <f t="shared" ca="1" si="223"/>
        <v>-888888.88800000015</v>
      </c>
      <c r="CO223" s="86"/>
      <c r="CP223" s="86"/>
      <c r="CQ223" s="1641"/>
      <c r="CR223" s="86"/>
      <c r="CS223" s="86"/>
      <c r="CT223" s="86"/>
      <c r="CU223" s="86"/>
      <c r="CV223" s="86"/>
      <c r="CW223" s="86"/>
      <c r="CX223" s="86"/>
      <c r="CY223" s="86"/>
      <c r="CZ223" s="86"/>
      <c r="DA223" s="86"/>
      <c r="DB223" s="1642"/>
      <c r="DC223" s="1642"/>
      <c r="DD223" s="30"/>
      <c r="DE223" s="30"/>
      <c r="DF223" s="30"/>
      <c r="DG223" s="1642"/>
      <c r="DH223" s="1642"/>
      <c r="DI223" s="1642"/>
      <c r="DJ223" s="1642"/>
      <c r="DK223" s="1642"/>
      <c r="DL223" s="1642"/>
      <c r="DM223" s="1642"/>
      <c r="DN223" s="1642"/>
      <c r="DO223" s="1642"/>
      <c r="DP223" s="1642"/>
      <c r="DQ223" s="1642"/>
      <c r="DR223" s="1642"/>
      <c r="DS223" s="1642"/>
      <c r="DT223" s="1642"/>
      <c r="DU223" s="1642"/>
      <c r="DV223" s="1642"/>
      <c r="DW223" s="1642"/>
      <c r="DX223" s="1642"/>
      <c r="DY223" s="1642"/>
      <c r="DZ223" s="1642"/>
      <c r="EA223" s="1642"/>
      <c r="EB223" s="1642"/>
      <c r="EC223" s="1642"/>
      <c r="ED223" s="1642"/>
      <c r="EE223" s="1642"/>
      <c r="EF223" s="1642"/>
      <c r="EG223" s="1642"/>
      <c r="EH223" s="1643"/>
      <c r="EI223" s="1658"/>
      <c r="EJ223" s="1642"/>
      <c r="EK223" s="30"/>
      <c r="EL223" s="30"/>
      <c r="EM223" s="30"/>
      <c r="EN223" s="30"/>
      <c r="EO223" s="30"/>
      <c r="EP223" s="30"/>
      <c r="EQ223" s="30"/>
      <c r="ER223" s="30"/>
      <c r="ES223" s="30"/>
      <c r="ET223" s="30"/>
      <c r="EU223" s="30"/>
      <c r="EV223" s="30"/>
      <c r="EW223" s="30"/>
      <c r="EX223" s="30"/>
      <c r="EY223" s="30"/>
      <c r="EZ223" s="30"/>
      <c r="FA223" s="30"/>
      <c r="FB223" s="30"/>
      <c r="FC223" s="30"/>
      <c r="FD223" s="30"/>
      <c r="FE223" s="30"/>
      <c r="FF223" s="30"/>
      <c r="FG223" s="30"/>
      <c r="FH223" s="30"/>
      <c r="FI223" s="30"/>
      <c r="FJ223" s="30"/>
      <c r="FK223" s="30"/>
      <c r="FL223" s="30"/>
      <c r="FM223" s="30"/>
      <c r="FN223" s="30"/>
      <c r="FO223" s="30"/>
      <c r="FP223" s="30"/>
      <c r="FQ223" s="30"/>
      <c r="FR223" s="30"/>
      <c r="FS223" s="30"/>
      <c r="FT223" s="30"/>
      <c r="FU223" s="30"/>
      <c r="FV223" s="30"/>
      <c r="FW223" s="30"/>
      <c r="FX223" s="30"/>
      <c r="FY223" s="30"/>
      <c r="FZ223" s="30"/>
      <c r="GA223" s="30"/>
      <c r="GB223" s="30"/>
      <c r="GC223" s="30"/>
      <c r="GD223" s="30"/>
      <c r="GE223" s="30"/>
      <c r="GF223" s="30"/>
      <c r="GG223" s="30"/>
      <c r="GH223" s="30"/>
      <c r="GI223" s="30"/>
      <c r="GJ223" s="30"/>
      <c r="GK223" s="30"/>
      <c r="GL223" s="30"/>
      <c r="GM223" s="30"/>
      <c r="GN223" s="30"/>
      <c r="GO223" s="30"/>
      <c r="GP223" s="30"/>
      <c r="GQ223" s="30"/>
      <c r="GR223" s="30"/>
      <c r="GS223" s="30"/>
      <c r="GT223" s="30"/>
      <c r="GU223" s="30"/>
      <c r="GV223" s="30"/>
      <c r="GW223" s="30"/>
      <c r="GX223" s="30"/>
      <c r="GY223" s="30"/>
      <c r="GZ223" s="30"/>
      <c r="HA223" s="30"/>
      <c r="HB223" s="30"/>
      <c r="HC223" s="30"/>
      <c r="HD223" s="30"/>
      <c r="HE223" s="30"/>
      <c r="HF223" s="30"/>
      <c r="HG223" s="30"/>
      <c r="HH223" s="30"/>
      <c r="HI223" s="30"/>
      <c r="HJ223" s="30"/>
      <c r="HK223" s="30"/>
      <c r="HL223" s="30"/>
      <c r="HM223" s="30"/>
      <c r="HN223" s="30"/>
      <c r="HO223" s="30"/>
      <c r="HP223" s="30"/>
      <c r="HQ223" s="30"/>
      <c r="HR223" s="30"/>
      <c r="HS223" s="30"/>
      <c r="HT223" s="30"/>
      <c r="HU223" s="30"/>
      <c r="HV223" s="30"/>
      <c r="HW223" s="30"/>
      <c r="HX223" s="30"/>
      <c r="HY223" s="30"/>
      <c r="HZ223" s="30"/>
      <c r="IA223" s="30"/>
      <c r="IB223" s="30"/>
      <c r="IC223" s="30"/>
      <c r="ID223" s="30"/>
      <c r="IE223" s="30"/>
      <c r="IF223" s="30"/>
      <c r="IG223" s="30"/>
      <c r="IH223" s="30"/>
      <c r="II223" s="30"/>
      <c r="IJ223" s="30"/>
      <c r="IK223" s="30"/>
      <c r="IL223" s="30"/>
      <c r="IM223" s="30"/>
      <c r="IN223" s="30"/>
      <c r="IO223" s="30"/>
      <c r="IP223" s="30"/>
      <c r="IQ223" s="30"/>
      <c r="IR223" s="30"/>
      <c r="IS223" s="30"/>
      <c r="IT223" s="30"/>
      <c r="IU223" s="30"/>
      <c r="IV223" s="30"/>
      <c r="IW223" s="30"/>
      <c r="IX223" s="30"/>
      <c r="IY223" s="30"/>
      <c r="IZ223" s="30"/>
      <c r="JA223" s="30"/>
      <c r="JB223" s="30"/>
      <c r="JC223" s="30"/>
      <c r="JD223" s="30"/>
      <c r="JE223" s="30"/>
      <c r="JF223" s="30"/>
      <c r="JG223" s="30"/>
      <c r="JH223" s="30"/>
      <c r="JI223" s="30"/>
      <c r="JJ223" s="30"/>
      <c r="JK223" s="30"/>
      <c r="JL223" s="30"/>
      <c r="JM223" s="30"/>
      <c r="JN223" s="30"/>
      <c r="JO223" s="30"/>
      <c r="JP223" s="30"/>
      <c r="JQ223" s="30"/>
      <c r="JR223" s="30"/>
      <c r="JS223" s="30"/>
      <c r="JT223" s="30"/>
      <c r="JU223" s="30"/>
      <c r="JV223" s="30"/>
      <c r="JW223" s="30"/>
      <c r="JX223" s="30"/>
      <c r="JY223" s="30"/>
      <c r="JZ223" s="30"/>
      <c r="KA223" s="30"/>
      <c r="KB223" s="30"/>
      <c r="KC223" s="30"/>
      <c r="KD223" s="30"/>
      <c r="KE223" s="30"/>
      <c r="KF223" s="30"/>
      <c r="KG223" s="30"/>
      <c r="KH223" s="30"/>
      <c r="KI223" s="30"/>
      <c r="KJ223" s="30"/>
      <c r="KK223" s="30"/>
      <c r="KL223" s="30"/>
      <c r="KM223" s="30"/>
      <c r="KN223" s="30"/>
      <c r="KO223" s="30"/>
      <c r="KP223" s="1630"/>
    </row>
    <row r="224" spans="1:302" s="97" customFormat="1" ht="18.75" customHeight="1" outlineLevel="1">
      <c r="A224" s="2661" t="s">
        <v>981</v>
      </c>
      <c r="B224" s="2609"/>
      <c r="C224" s="2582" t="s">
        <v>995</v>
      </c>
      <c r="D224" s="2582" t="s">
        <v>1009</v>
      </c>
      <c r="E224" s="376"/>
      <c r="F224" s="347"/>
      <c r="G224" s="348"/>
      <c r="H224" s="349" t="s">
        <v>26</v>
      </c>
      <c r="I224" s="2940"/>
      <c r="J224" s="362" t="s">
        <v>26</v>
      </c>
      <c r="K224" s="1745"/>
      <c r="L224" s="383"/>
      <c r="M224" s="383"/>
      <c r="N224" s="383"/>
      <c r="O224" s="1510">
        <v>18664194</v>
      </c>
      <c r="P224" s="383"/>
      <c r="Q224" s="383"/>
      <c r="R224" s="383"/>
      <c r="S224" s="1510">
        <f t="shared" si="241"/>
        <v>0</v>
      </c>
      <c r="T224" s="1509"/>
      <c r="U224" s="1746"/>
      <c r="V224" s="1746"/>
      <c r="W224" s="1510">
        <f t="shared" si="235"/>
        <v>18664194</v>
      </c>
      <c r="X224" s="362" t="s">
        <v>26</v>
      </c>
      <c r="Y224" s="1509"/>
      <c r="Z224" s="1746"/>
      <c r="AA224" s="1746"/>
      <c r="AB224" s="1510">
        <f t="shared" si="236"/>
        <v>18664194</v>
      </c>
      <c r="AC224" s="1505"/>
      <c r="AD224" s="1505"/>
      <c r="AE224" s="1505"/>
      <c r="AF224" s="1505"/>
      <c r="AG224" s="1505"/>
      <c r="AH224" s="1505"/>
      <c r="AI224" s="355">
        <f t="shared" ca="1" si="232"/>
        <v>0</v>
      </c>
      <c r="AJ224" s="356">
        <f t="shared" ca="1" si="227"/>
        <v>0</v>
      </c>
      <c r="AK224" s="2185"/>
      <c r="AL224" s="2063"/>
      <c r="AM224" s="2261"/>
      <c r="AN224" s="2261"/>
      <c r="AO224" s="362"/>
      <c r="AP224" s="384"/>
      <c r="AQ224" s="362"/>
      <c r="AR224" s="362"/>
      <c r="AS224" s="362"/>
      <c r="AT224" s="385"/>
      <c r="AU224" s="359"/>
      <c r="AV224" s="359"/>
      <c r="AW224" s="377"/>
      <c r="AX224" s="362"/>
      <c r="AY224" s="360"/>
      <c r="AZ224" s="2258"/>
      <c r="BA224" s="359"/>
      <c r="BB224" s="359"/>
      <c r="BC224" s="359"/>
      <c r="BD224" s="359"/>
      <c r="BE224" s="362"/>
      <c r="BF224" s="362"/>
      <c r="BG224" s="362"/>
      <c r="BH224" s="362"/>
      <c r="BI224" s="414"/>
      <c r="BJ224" s="362"/>
      <c r="BK224" s="2123"/>
      <c r="BL224" s="414"/>
      <c r="BM224" s="414"/>
      <c r="BN224" s="414"/>
      <c r="BO224" s="414"/>
      <c r="BP224" s="414"/>
      <c r="BQ224" s="2399"/>
      <c r="BR224" s="362"/>
      <c r="BS224" s="362"/>
      <c r="BT224" s="362"/>
      <c r="BU224" s="364"/>
      <c r="BV224" s="364"/>
      <c r="BW224" s="2366">
        <v>18664194</v>
      </c>
      <c r="BX224" s="2463"/>
      <c r="BY224" s="2543"/>
      <c r="BZ224" s="2543"/>
      <c r="CA224" s="2432">
        <f t="shared" si="263"/>
        <v>18664194</v>
      </c>
      <c r="CB224" s="2377">
        <f t="shared" si="264"/>
        <v>1</v>
      </c>
      <c r="CC224" s="365">
        <f t="shared" si="265"/>
        <v>5.3578525812579959E-8</v>
      </c>
      <c r="CD224" s="365">
        <f t="shared" si="258"/>
        <v>2.870658428249297E-15</v>
      </c>
      <c r="CE224" s="365">
        <f t="shared" si="259"/>
        <v>1.5380564669705519E-22</v>
      </c>
      <c r="CF224" s="365">
        <f t="shared" si="260"/>
        <v>8.2406798116787248E-30</v>
      </c>
      <c r="CG224" s="340"/>
      <c r="CH224" s="367"/>
      <c r="CI224" s="368"/>
      <c r="CJ224" s="368"/>
      <c r="CK224" s="369"/>
      <c r="CL224" s="329">
        <f t="shared" si="261"/>
        <v>0</v>
      </c>
      <c r="CM224" s="330">
        <f t="shared" ca="1" si="262"/>
        <v>0</v>
      </c>
      <c r="CN224" s="331">
        <f t="shared" ca="1" si="223"/>
        <v>-18664194</v>
      </c>
      <c r="CO224" s="86"/>
      <c r="CP224" s="86"/>
      <c r="CQ224" s="1641"/>
      <c r="CR224" s="86"/>
      <c r="CS224" s="86"/>
      <c r="CT224" s="86"/>
      <c r="CU224" s="86"/>
      <c r="CV224" s="86"/>
      <c r="CW224" s="86"/>
      <c r="CX224" s="86"/>
      <c r="CY224" s="86"/>
      <c r="CZ224" s="86"/>
      <c r="DA224" s="86"/>
      <c r="DB224" s="1642"/>
      <c r="DC224" s="1642"/>
      <c r="DD224" s="30"/>
      <c r="DE224" s="30"/>
      <c r="DF224" s="30"/>
      <c r="DG224" s="1642"/>
      <c r="DH224" s="1642"/>
      <c r="DI224" s="1642"/>
      <c r="DJ224" s="1642"/>
      <c r="DK224" s="1642"/>
      <c r="DL224" s="1642"/>
      <c r="DM224" s="1642"/>
      <c r="DN224" s="1642"/>
      <c r="DO224" s="1642"/>
      <c r="DP224" s="1642"/>
      <c r="DQ224" s="1642"/>
      <c r="DR224" s="1642"/>
      <c r="DS224" s="1642"/>
      <c r="DT224" s="1642"/>
      <c r="DU224" s="1642"/>
      <c r="DV224" s="1642"/>
      <c r="DW224" s="1642"/>
      <c r="DX224" s="1642"/>
      <c r="DY224" s="1642"/>
      <c r="DZ224" s="1642"/>
      <c r="EA224" s="1642"/>
      <c r="EB224" s="1642"/>
      <c r="EC224" s="1642"/>
      <c r="ED224" s="1642"/>
      <c r="EE224" s="1642"/>
      <c r="EF224" s="1642"/>
      <c r="EG224" s="1642"/>
      <c r="EH224" s="1643"/>
      <c r="EI224" s="1658"/>
      <c r="EJ224" s="1642"/>
      <c r="EK224" s="30"/>
      <c r="EL224" s="30"/>
      <c r="EM224" s="30"/>
      <c r="EN224" s="30"/>
      <c r="EO224" s="30"/>
      <c r="EP224" s="30"/>
      <c r="EQ224" s="30"/>
      <c r="ER224" s="30"/>
      <c r="ES224" s="30"/>
      <c r="ET224" s="30"/>
      <c r="EU224" s="30"/>
      <c r="EV224" s="30"/>
      <c r="EW224" s="30"/>
      <c r="EX224" s="30"/>
      <c r="EY224" s="30"/>
      <c r="EZ224" s="30"/>
      <c r="FA224" s="30"/>
      <c r="FB224" s="30"/>
      <c r="FC224" s="30"/>
      <c r="FD224" s="30"/>
      <c r="FE224" s="30"/>
      <c r="FF224" s="30"/>
      <c r="FG224" s="30"/>
      <c r="FH224" s="30"/>
      <c r="FI224" s="30"/>
      <c r="FJ224" s="30"/>
      <c r="FK224" s="30"/>
      <c r="FL224" s="30"/>
      <c r="FM224" s="30"/>
      <c r="FN224" s="30"/>
      <c r="FO224" s="30"/>
      <c r="FP224" s="30"/>
      <c r="FQ224" s="30"/>
      <c r="FR224" s="30"/>
      <c r="FS224" s="30"/>
      <c r="FT224" s="30"/>
      <c r="FU224" s="30"/>
      <c r="FV224" s="30"/>
      <c r="FW224" s="30"/>
      <c r="FX224" s="30"/>
      <c r="FY224" s="30"/>
      <c r="FZ224" s="30"/>
      <c r="GA224" s="30"/>
      <c r="GB224" s="30"/>
      <c r="GC224" s="30"/>
      <c r="GD224" s="30"/>
      <c r="GE224" s="30"/>
      <c r="GF224" s="30"/>
      <c r="GG224" s="30"/>
      <c r="GH224" s="30"/>
      <c r="GI224" s="30"/>
      <c r="GJ224" s="30"/>
      <c r="GK224" s="30"/>
      <c r="GL224" s="30"/>
      <c r="GM224" s="30"/>
      <c r="GN224" s="30"/>
      <c r="GO224" s="30"/>
      <c r="GP224" s="30"/>
      <c r="GQ224" s="30"/>
      <c r="GR224" s="30"/>
      <c r="GS224" s="30"/>
      <c r="GT224" s="30"/>
      <c r="GU224" s="30"/>
      <c r="GV224" s="30"/>
      <c r="GW224" s="30"/>
      <c r="GX224" s="30"/>
      <c r="GY224" s="30"/>
      <c r="GZ224" s="30"/>
      <c r="HA224" s="30"/>
      <c r="HB224" s="30"/>
      <c r="HC224" s="30"/>
      <c r="HD224" s="30"/>
      <c r="HE224" s="30"/>
      <c r="HF224" s="30"/>
      <c r="HG224" s="30"/>
      <c r="HH224" s="30"/>
      <c r="HI224" s="30"/>
      <c r="HJ224" s="30"/>
      <c r="HK224" s="30"/>
      <c r="HL224" s="30"/>
      <c r="HM224" s="30"/>
      <c r="HN224" s="30"/>
      <c r="HO224" s="30"/>
      <c r="HP224" s="30"/>
      <c r="HQ224" s="30"/>
      <c r="HR224" s="30"/>
      <c r="HS224" s="30"/>
      <c r="HT224" s="30"/>
      <c r="HU224" s="30"/>
      <c r="HV224" s="30"/>
      <c r="HW224" s="30"/>
      <c r="HX224" s="30"/>
      <c r="HY224" s="30"/>
      <c r="HZ224" s="30"/>
      <c r="IA224" s="30"/>
      <c r="IB224" s="30"/>
      <c r="IC224" s="30"/>
      <c r="ID224" s="30"/>
      <c r="IE224" s="30"/>
      <c r="IF224" s="30"/>
      <c r="IG224" s="30"/>
      <c r="IH224" s="30"/>
      <c r="II224" s="30"/>
      <c r="IJ224" s="30"/>
      <c r="IK224" s="30"/>
      <c r="IL224" s="30"/>
      <c r="IM224" s="30"/>
      <c r="IN224" s="30"/>
      <c r="IO224" s="30"/>
      <c r="IP224" s="30"/>
      <c r="IQ224" s="30"/>
      <c r="IR224" s="30"/>
      <c r="IS224" s="30"/>
      <c r="IT224" s="30"/>
      <c r="IU224" s="30"/>
      <c r="IV224" s="30"/>
      <c r="IW224" s="30"/>
      <c r="IX224" s="30"/>
      <c r="IY224" s="30"/>
      <c r="IZ224" s="30"/>
      <c r="JA224" s="30"/>
      <c r="JB224" s="30"/>
      <c r="JC224" s="30"/>
      <c r="JD224" s="30"/>
      <c r="JE224" s="30"/>
      <c r="JF224" s="30"/>
      <c r="JG224" s="30"/>
      <c r="JH224" s="30"/>
      <c r="JI224" s="30"/>
      <c r="JJ224" s="30"/>
      <c r="JK224" s="30"/>
      <c r="JL224" s="30"/>
      <c r="JM224" s="30"/>
      <c r="JN224" s="30"/>
      <c r="JO224" s="30"/>
      <c r="JP224" s="30"/>
      <c r="JQ224" s="30"/>
      <c r="JR224" s="30"/>
      <c r="JS224" s="30"/>
      <c r="JT224" s="30"/>
      <c r="JU224" s="30"/>
      <c r="JV224" s="30"/>
      <c r="JW224" s="30"/>
      <c r="JX224" s="30"/>
      <c r="JY224" s="30"/>
      <c r="JZ224" s="30"/>
      <c r="KA224" s="30"/>
      <c r="KB224" s="30"/>
      <c r="KC224" s="30"/>
      <c r="KD224" s="30"/>
      <c r="KE224" s="30"/>
      <c r="KF224" s="30"/>
      <c r="KG224" s="30"/>
      <c r="KH224" s="30"/>
      <c r="KI224" s="30"/>
      <c r="KJ224" s="30"/>
      <c r="KK224" s="30"/>
      <c r="KL224" s="30"/>
      <c r="KM224" s="30"/>
      <c r="KN224" s="30"/>
      <c r="KO224" s="30"/>
      <c r="KP224" s="1630"/>
    </row>
    <row r="225" spans="1:302" s="97" customFormat="1" ht="21" customHeight="1" outlineLevel="1">
      <c r="A225" s="2582" t="s">
        <v>982</v>
      </c>
      <c r="B225" s="2608"/>
      <c r="C225" s="2582" t="s">
        <v>996</v>
      </c>
      <c r="D225" s="2582" t="s">
        <v>1010</v>
      </c>
      <c r="E225" s="376"/>
      <c r="F225" s="347"/>
      <c r="G225" s="348"/>
      <c r="H225" s="349" t="s">
        <v>26</v>
      </c>
      <c r="I225" s="2940"/>
      <c r="J225" s="362" t="s">
        <v>26</v>
      </c>
      <c r="K225" s="1745"/>
      <c r="L225" s="383"/>
      <c r="M225" s="383"/>
      <c r="N225" s="383"/>
      <c r="O225" s="1510">
        <v>550000</v>
      </c>
      <c r="P225" s="383"/>
      <c r="Q225" s="383"/>
      <c r="R225" s="383"/>
      <c r="S225" s="1510">
        <f t="shared" si="241"/>
        <v>0</v>
      </c>
      <c r="T225" s="1509"/>
      <c r="U225" s="1746"/>
      <c r="V225" s="1746"/>
      <c r="W225" s="1510">
        <f t="shared" si="235"/>
        <v>550000</v>
      </c>
      <c r="X225" s="362" t="s">
        <v>26</v>
      </c>
      <c r="Y225" s="1509"/>
      <c r="Z225" s="1746"/>
      <c r="AA225" s="1746"/>
      <c r="AB225" s="1510">
        <f t="shared" si="236"/>
        <v>550000</v>
      </c>
      <c r="AC225" s="1442"/>
      <c r="AD225" s="1457"/>
      <c r="AE225" s="352"/>
      <c r="AF225" s="353"/>
      <c r="AG225" s="353"/>
      <c r="AH225" s="354">
        <f t="shared" si="242"/>
        <v>0</v>
      </c>
      <c r="AI225" s="355">
        <f t="shared" ca="1" si="232"/>
        <v>0</v>
      </c>
      <c r="AJ225" s="356">
        <f t="shared" ca="1" si="227"/>
        <v>0</v>
      </c>
      <c r="AK225" s="2185"/>
      <c r="AL225" s="2063"/>
      <c r="AM225" s="2261"/>
      <c r="AN225" s="2261"/>
      <c r="AO225" s="362"/>
      <c r="AP225" s="384"/>
      <c r="AQ225" s="362"/>
      <c r="AR225" s="362"/>
      <c r="AS225" s="362"/>
      <c r="AT225" s="385"/>
      <c r="AU225" s="359"/>
      <c r="AV225" s="359"/>
      <c r="AW225" s="377"/>
      <c r="AX225" s="1505"/>
      <c r="AY225" s="385"/>
      <c r="AZ225" s="2273"/>
      <c r="BA225" s="497"/>
      <c r="BB225" s="359"/>
      <c r="BC225" s="359">
        <v>137500</v>
      </c>
      <c r="BD225" s="359">
        <v>137500</v>
      </c>
      <c r="BE225" s="362">
        <v>137500</v>
      </c>
      <c r="BF225" s="362">
        <v>137500</v>
      </c>
      <c r="BG225" s="362"/>
      <c r="BH225" s="362"/>
      <c r="BI225" s="414"/>
      <c r="BJ225" s="362"/>
      <c r="BK225" s="2123"/>
      <c r="BL225" s="414"/>
      <c r="BM225" s="414"/>
      <c r="BN225" s="414"/>
      <c r="BO225" s="414"/>
      <c r="BP225" s="414"/>
      <c r="BQ225" s="2399"/>
      <c r="BR225" s="362"/>
      <c r="BS225" s="362"/>
      <c r="BT225" s="362"/>
      <c r="BU225" s="364"/>
      <c r="BV225" s="364"/>
      <c r="BW225" s="2366"/>
      <c r="BX225" s="2463"/>
      <c r="BY225" s="2543"/>
      <c r="BZ225" s="2543"/>
      <c r="CA225" s="2432">
        <f t="shared" si="263"/>
        <v>550000</v>
      </c>
      <c r="CB225" s="2377">
        <f t="shared" si="264"/>
        <v>1</v>
      </c>
      <c r="CC225" s="365">
        <f t="shared" si="265"/>
        <v>1.8181818181818181E-6</v>
      </c>
      <c r="CD225" s="365">
        <f t="shared" si="258"/>
        <v>3.3057851239669421E-12</v>
      </c>
      <c r="CE225" s="365">
        <f t="shared" si="259"/>
        <v>6.0105184072126218E-18</v>
      </c>
      <c r="CF225" s="365">
        <f t="shared" si="260"/>
        <v>1.0928215285841131E-23</v>
      </c>
      <c r="CG225" s="340"/>
      <c r="CH225" s="367"/>
      <c r="CI225" s="368"/>
      <c r="CJ225" s="368"/>
      <c r="CK225" s="369"/>
      <c r="CL225" s="329">
        <f t="shared" si="261"/>
        <v>0</v>
      </c>
      <c r="CM225" s="330">
        <f t="shared" ca="1" si="262"/>
        <v>0</v>
      </c>
      <c r="CN225" s="331">
        <f t="shared" ca="1" si="223"/>
        <v>-550000</v>
      </c>
      <c r="CO225" s="86"/>
      <c r="CP225" s="86"/>
      <c r="CQ225" s="1641"/>
      <c r="CR225" s="86"/>
      <c r="CS225" s="86"/>
      <c r="CT225" s="86"/>
      <c r="CU225" s="86"/>
      <c r="CV225" s="86"/>
      <c r="CW225" s="86"/>
      <c r="CX225" s="86"/>
      <c r="CY225" s="86"/>
      <c r="CZ225" s="86"/>
      <c r="DA225" s="86"/>
      <c r="DB225" s="1642"/>
      <c r="DC225" s="1642"/>
      <c r="DD225" s="30"/>
      <c r="DE225" s="30"/>
      <c r="DF225" s="30"/>
      <c r="DG225" s="1642"/>
      <c r="DH225" s="1642"/>
      <c r="DI225" s="1642"/>
      <c r="DJ225" s="1642"/>
      <c r="DK225" s="1642"/>
      <c r="DL225" s="1642"/>
      <c r="DM225" s="1642"/>
      <c r="DN225" s="1642"/>
      <c r="DO225" s="1642"/>
      <c r="DP225" s="1642"/>
      <c r="DQ225" s="1642"/>
      <c r="DR225" s="1642"/>
      <c r="DS225" s="1642"/>
      <c r="DT225" s="1642"/>
      <c r="DU225" s="1642"/>
      <c r="DV225" s="1642"/>
      <c r="DW225" s="1642"/>
      <c r="DX225" s="1642"/>
      <c r="DY225" s="1642"/>
      <c r="DZ225" s="1642"/>
      <c r="EA225" s="1642"/>
      <c r="EB225" s="1642"/>
      <c r="EC225" s="1642"/>
      <c r="ED225" s="1642"/>
      <c r="EE225" s="1642"/>
      <c r="EF225" s="1642"/>
      <c r="EG225" s="1642"/>
      <c r="EH225" s="1643"/>
      <c r="EI225" s="1658"/>
      <c r="EJ225" s="1642"/>
      <c r="EK225" s="30"/>
      <c r="EL225" s="30"/>
      <c r="EM225" s="30"/>
      <c r="EN225" s="30"/>
      <c r="EO225" s="30"/>
      <c r="EP225" s="30"/>
      <c r="EQ225" s="30"/>
      <c r="ER225" s="30"/>
      <c r="ES225" s="30"/>
      <c r="ET225" s="30"/>
      <c r="EU225" s="30"/>
      <c r="EV225" s="30"/>
      <c r="EW225" s="30"/>
      <c r="EX225" s="30"/>
      <c r="EY225" s="30"/>
      <c r="EZ225" s="30"/>
      <c r="FA225" s="30"/>
      <c r="FB225" s="30"/>
      <c r="FC225" s="30"/>
      <c r="FD225" s="30"/>
      <c r="FE225" s="30"/>
      <c r="FF225" s="30"/>
      <c r="FG225" s="30"/>
      <c r="FH225" s="30"/>
      <c r="FI225" s="30"/>
      <c r="FJ225" s="30"/>
      <c r="FK225" s="30"/>
      <c r="FL225" s="30"/>
      <c r="FM225" s="30"/>
      <c r="FN225" s="30"/>
      <c r="FO225" s="30"/>
      <c r="FP225" s="30"/>
      <c r="FQ225" s="30"/>
      <c r="FR225" s="30"/>
      <c r="FS225" s="30"/>
      <c r="FT225" s="30"/>
      <c r="FU225" s="30"/>
      <c r="FV225" s="30"/>
      <c r="FW225" s="30"/>
      <c r="FX225" s="30"/>
      <c r="FY225" s="30"/>
      <c r="FZ225" s="30"/>
      <c r="GA225" s="30"/>
      <c r="GB225" s="30"/>
      <c r="GC225" s="30"/>
      <c r="GD225" s="30"/>
      <c r="GE225" s="30"/>
      <c r="GF225" s="30"/>
      <c r="GG225" s="30"/>
      <c r="GH225" s="30"/>
      <c r="GI225" s="30"/>
      <c r="GJ225" s="30"/>
      <c r="GK225" s="30"/>
      <c r="GL225" s="30"/>
      <c r="GM225" s="30"/>
      <c r="GN225" s="30"/>
      <c r="GO225" s="30"/>
      <c r="GP225" s="30"/>
      <c r="GQ225" s="30"/>
      <c r="GR225" s="30"/>
      <c r="GS225" s="30"/>
      <c r="GT225" s="30"/>
      <c r="GU225" s="30"/>
      <c r="GV225" s="30"/>
      <c r="GW225" s="30"/>
      <c r="GX225" s="30"/>
      <c r="GY225" s="30"/>
      <c r="GZ225" s="30"/>
      <c r="HA225" s="30"/>
      <c r="HB225" s="30"/>
      <c r="HC225" s="30"/>
      <c r="HD225" s="30"/>
      <c r="HE225" s="30"/>
      <c r="HF225" s="30"/>
      <c r="HG225" s="30"/>
      <c r="HH225" s="30"/>
      <c r="HI225" s="30"/>
      <c r="HJ225" s="30"/>
      <c r="HK225" s="30"/>
      <c r="HL225" s="30"/>
      <c r="HM225" s="30"/>
      <c r="HN225" s="30"/>
      <c r="HO225" s="30"/>
      <c r="HP225" s="30"/>
      <c r="HQ225" s="30"/>
      <c r="HR225" s="30"/>
      <c r="HS225" s="30"/>
      <c r="HT225" s="30"/>
      <c r="HU225" s="30"/>
      <c r="HV225" s="30"/>
      <c r="HW225" s="30"/>
      <c r="HX225" s="30"/>
      <c r="HY225" s="30"/>
      <c r="HZ225" s="30"/>
      <c r="IA225" s="30"/>
      <c r="IB225" s="30"/>
      <c r="IC225" s="30"/>
      <c r="ID225" s="30"/>
      <c r="IE225" s="30"/>
      <c r="IF225" s="30"/>
      <c r="IG225" s="30"/>
      <c r="IH225" s="30"/>
      <c r="II225" s="30"/>
      <c r="IJ225" s="30"/>
      <c r="IK225" s="30"/>
      <c r="IL225" s="30"/>
      <c r="IM225" s="30"/>
      <c r="IN225" s="30"/>
      <c r="IO225" s="30"/>
      <c r="IP225" s="30"/>
      <c r="IQ225" s="30"/>
      <c r="IR225" s="30"/>
      <c r="IS225" s="30"/>
      <c r="IT225" s="30"/>
      <c r="IU225" s="30"/>
      <c r="IV225" s="30"/>
      <c r="IW225" s="30"/>
      <c r="IX225" s="30"/>
      <c r="IY225" s="30"/>
      <c r="IZ225" s="30"/>
      <c r="JA225" s="30"/>
      <c r="JB225" s="30"/>
      <c r="JC225" s="30"/>
      <c r="JD225" s="30"/>
      <c r="JE225" s="30"/>
      <c r="JF225" s="30"/>
      <c r="JG225" s="30"/>
      <c r="JH225" s="30"/>
      <c r="JI225" s="30"/>
      <c r="JJ225" s="30"/>
      <c r="JK225" s="30"/>
      <c r="JL225" s="30"/>
      <c r="JM225" s="30"/>
      <c r="JN225" s="30"/>
      <c r="JO225" s="30"/>
      <c r="JP225" s="30"/>
      <c r="JQ225" s="30"/>
      <c r="JR225" s="30"/>
      <c r="JS225" s="30"/>
      <c r="JT225" s="30"/>
      <c r="JU225" s="30"/>
      <c r="JV225" s="30"/>
      <c r="JW225" s="30"/>
      <c r="JX225" s="30"/>
      <c r="JY225" s="30"/>
      <c r="JZ225" s="30"/>
      <c r="KA225" s="30"/>
      <c r="KB225" s="30"/>
      <c r="KC225" s="30"/>
      <c r="KD225" s="30"/>
      <c r="KE225" s="30"/>
      <c r="KF225" s="30"/>
      <c r="KG225" s="30"/>
      <c r="KH225" s="30"/>
      <c r="KI225" s="30"/>
      <c r="KJ225" s="30"/>
      <c r="KK225" s="30"/>
      <c r="KL225" s="30"/>
      <c r="KM225" s="30"/>
      <c r="KN225" s="30"/>
      <c r="KO225" s="30"/>
      <c r="KP225" s="1630"/>
    </row>
    <row r="226" spans="1:302" s="97" customFormat="1" ht="13.9" outlineLevel="1">
      <c r="A226" s="2661" t="s">
        <v>983</v>
      </c>
      <c r="B226" s="2609"/>
      <c r="C226" s="2582" t="s">
        <v>997</v>
      </c>
      <c r="D226" s="2582" t="s">
        <v>1011</v>
      </c>
      <c r="E226" s="376"/>
      <c r="F226" s="347"/>
      <c r="G226" s="348"/>
      <c r="H226" s="349" t="s">
        <v>26</v>
      </c>
      <c r="I226" s="2940"/>
      <c r="J226" s="362" t="s">
        <v>26</v>
      </c>
      <c r="K226" s="1745"/>
      <c r="L226" s="383"/>
      <c r="M226" s="383"/>
      <c r="N226" s="383"/>
      <c r="O226" s="1510">
        <v>2000000</v>
      </c>
      <c r="P226" s="383"/>
      <c r="Q226" s="383"/>
      <c r="R226" s="383"/>
      <c r="S226" s="1510">
        <f t="shared" si="241"/>
        <v>0</v>
      </c>
      <c r="T226" s="1509"/>
      <c r="U226" s="1746"/>
      <c r="V226" s="1746"/>
      <c r="W226" s="1510">
        <f t="shared" si="235"/>
        <v>2000000</v>
      </c>
      <c r="X226" s="362" t="s">
        <v>26</v>
      </c>
      <c r="Y226" s="1509"/>
      <c r="Z226" s="1746"/>
      <c r="AA226" s="1746"/>
      <c r="AB226" s="1510">
        <f t="shared" si="236"/>
        <v>2000000.0020000001</v>
      </c>
      <c r="AC226" s="1442"/>
      <c r="AD226" s="1457"/>
      <c r="AE226" s="352"/>
      <c r="AF226" s="353"/>
      <c r="AG226" s="353"/>
      <c r="AH226" s="354">
        <f t="shared" si="242"/>
        <v>0</v>
      </c>
      <c r="AI226" s="355">
        <f t="shared" ca="1" si="232"/>
        <v>0</v>
      </c>
      <c r="AJ226" s="356">
        <f t="shared" ca="1" si="227"/>
        <v>0</v>
      </c>
      <c r="AK226" s="2185"/>
      <c r="AL226" s="2063"/>
      <c r="AM226" s="2261"/>
      <c r="AN226" s="2261"/>
      <c r="AO226" s="362"/>
      <c r="AP226" s="384"/>
      <c r="AQ226" s="362"/>
      <c r="AR226" s="362"/>
      <c r="AS226" s="362"/>
      <c r="AT226" s="385"/>
      <c r="AU226" s="359">
        <v>181818.182</v>
      </c>
      <c r="AV226" s="359">
        <v>181818.182</v>
      </c>
      <c r="AW226" s="377">
        <v>181818.182</v>
      </c>
      <c r="AX226" s="362">
        <v>181818.182</v>
      </c>
      <c r="AY226" s="385">
        <v>181818.182</v>
      </c>
      <c r="AZ226" s="2258">
        <v>181818.182</v>
      </c>
      <c r="BA226" s="359">
        <v>181818.182</v>
      </c>
      <c r="BB226" s="359">
        <v>181818.182</v>
      </c>
      <c r="BC226" s="359">
        <v>181818.182</v>
      </c>
      <c r="BD226" s="359">
        <v>181818.182</v>
      </c>
      <c r="BE226" s="362">
        <v>181818.182</v>
      </c>
      <c r="BF226" s="362"/>
      <c r="BG226" s="362"/>
      <c r="BH226" s="362"/>
      <c r="BI226" s="414"/>
      <c r="BJ226" s="362"/>
      <c r="BK226" s="2123"/>
      <c r="BL226" s="414"/>
      <c r="BM226" s="414"/>
      <c r="BN226" s="414"/>
      <c r="BO226" s="414"/>
      <c r="BP226" s="414"/>
      <c r="BQ226" s="2399"/>
      <c r="BR226" s="362"/>
      <c r="BS226" s="362"/>
      <c r="BT226" s="362"/>
      <c r="BU226" s="364"/>
      <c r="BV226" s="364"/>
      <c r="BW226" s="2366"/>
      <c r="BX226" s="2463"/>
      <c r="BY226" s="2543"/>
      <c r="BZ226" s="2543"/>
      <c r="CA226" s="2432">
        <f t="shared" si="263"/>
        <v>2000000.0020000001</v>
      </c>
      <c r="CB226" s="2377">
        <f t="shared" si="264"/>
        <v>1</v>
      </c>
      <c r="CC226" s="365">
        <f t="shared" si="265"/>
        <v>4.9999999950000003E-7</v>
      </c>
      <c r="CD226" s="365">
        <f t="shared" si="258"/>
        <v>2.4999999950000001E-13</v>
      </c>
      <c r="CE226" s="365">
        <f t="shared" si="259"/>
        <v>1.24999999625E-19</v>
      </c>
      <c r="CF226" s="365">
        <f t="shared" si="260"/>
        <v>6.2499999750000001E-26</v>
      </c>
      <c r="CG226" s="340"/>
      <c r="CH226" s="367"/>
      <c r="CI226" s="368"/>
      <c r="CJ226" s="368"/>
      <c r="CK226" s="369"/>
      <c r="CL226" s="329">
        <f t="shared" si="261"/>
        <v>-2.0000000949949026E-3</v>
      </c>
      <c r="CM226" s="330">
        <f t="shared" ca="1" si="262"/>
        <v>0</v>
      </c>
      <c r="CN226" s="331">
        <f t="shared" ca="1" si="223"/>
        <v>-1090909.0920000002</v>
      </c>
      <c r="CO226" s="86"/>
      <c r="CP226" s="86"/>
      <c r="CQ226" s="1641"/>
      <c r="CR226" s="86"/>
      <c r="CS226" s="86"/>
      <c r="CT226" s="86"/>
      <c r="CU226" s="86"/>
      <c r="CV226" s="86"/>
      <c r="CW226" s="86"/>
      <c r="CX226" s="86"/>
      <c r="CY226" s="86"/>
      <c r="CZ226" s="86"/>
      <c r="DA226" s="86"/>
      <c r="DB226" s="1642"/>
      <c r="DC226" s="1642"/>
      <c r="DD226" s="30"/>
      <c r="DE226" s="30"/>
      <c r="DF226" s="30"/>
      <c r="DG226" s="1642"/>
      <c r="DH226" s="1642"/>
      <c r="DI226" s="1642"/>
      <c r="DJ226" s="1642"/>
      <c r="DK226" s="1642"/>
      <c r="DL226" s="1642"/>
      <c r="DM226" s="1642"/>
      <c r="DN226" s="1642"/>
      <c r="DO226" s="1642"/>
      <c r="DP226" s="1642"/>
      <c r="DQ226" s="1642"/>
      <c r="DR226" s="1642"/>
      <c r="DS226" s="1642"/>
      <c r="DT226" s="1642"/>
      <c r="DU226" s="1642"/>
      <c r="DV226" s="1642"/>
      <c r="DW226" s="1642"/>
      <c r="DX226" s="1642"/>
      <c r="DY226" s="1642"/>
      <c r="DZ226" s="1642"/>
      <c r="EA226" s="1642"/>
      <c r="EB226" s="1642"/>
      <c r="EC226" s="1642"/>
      <c r="ED226" s="1642"/>
      <c r="EE226" s="1642"/>
      <c r="EF226" s="1642"/>
      <c r="EG226" s="1642"/>
      <c r="EH226" s="1643"/>
      <c r="EI226" s="1658"/>
      <c r="EJ226" s="1642"/>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0"/>
      <c r="HP226" s="30"/>
      <c r="HQ226" s="30"/>
      <c r="HR226" s="30"/>
      <c r="HS226" s="30"/>
      <c r="HT226" s="30"/>
      <c r="HU226" s="30"/>
      <c r="HV226" s="30"/>
      <c r="HW226" s="30"/>
      <c r="HX226" s="30"/>
      <c r="HY226" s="30"/>
      <c r="HZ226" s="30"/>
      <c r="IA226" s="30"/>
      <c r="IB226" s="30"/>
      <c r="IC226" s="30"/>
      <c r="ID226" s="30"/>
      <c r="IE226" s="30"/>
      <c r="IF226" s="30"/>
      <c r="IG226" s="30"/>
      <c r="IH226" s="30"/>
      <c r="II226" s="30"/>
      <c r="IJ226" s="30"/>
      <c r="IK226" s="30"/>
      <c r="IL226" s="30"/>
      <c r="IM226" s="30"/>
      <c r="IN226" s="30"/>
      <c r="IO226" s="30"/>
      <c r="IP226" s="30"/>
      <c r="IQ226" s="30"/>
      <c r="IR226" s="30"/>
      <c r="IS226" s="30"/>
      <c r="IT226" s="30"/>
      <c r="IU226" s="30"/>
      <c r="IV226" s="30"/>
      <c r="IW226" s="30"/>
      <c r="IX226" s="30"/>
      <c r="IY226" s="30"/>
      <c r="IZ226" s="30"/>
      <c r="JA226" s="30"/>
      <c r="JB226" s="30"/>
      <c r="JC226" s="30"/>
      <c r="JD226" s="30"/>
      <c r="JE226" s="30"/>
      <c r="JF226" s="30"/>
      <c r="JG226" s="30"/>
      <c r="JH226" s="30"/>
      <c r="JI226" s="30"/>
      <c r="JJ226" s="30"/>
      <c r="JK226" s="30"/>
      <c r="JL226" s="30"/>
      <c r="JM226" s="30"/>
      <c r="JN226" s="30"/>
      <c r="JO226" s="30"/>
      <c r="JP226" s="30"/>
      <c r="JQ226" s="30"/>
      <c r="JR226" s="30"/>
      <c r="JS226" s="30"/>
      <c r="JT226" s="30"/>
      <c r="JU226" s="30"/>
      <c r="JV226" s="30"/>
      <c r="JW226" s="30"/>
      <c r="JX226" s="30"/>
      <c r="JY226" s="30"/>
      <c r="JZ226" s="30"/>
      <c r="KA226" s="30"/>
      <c r="KB226" s="30"/>
      <c r="KC226" s="30"/>
      <c r="KD226" s="30"/>
      <c r="KE226" s="30"/>
      <c r="KF226" s="30"/>
      <c r="KG226" s="30"/>
      <c r="KH226" s="30"/>
      <c r="KI226" s="30"/>
      <c r="KJ226" s="30"/>
      <c r="KK226" s="30"/>
      <c r="KL226" s="30"/>
      <c r="KM226" s="30"/>
      <c r="KN226" s="30"/>
      <c r="KO226" s="30"/>
      <c r="KP226" s="1630"/>
    </row>
    <row r="227" spans="1:302" s="97" customFormat="1" ht="27.6" customHeight="1" outlineLevel="1">
      <c r="A227" s="2582" t="s">
        <v>984</v>
      </c>
      <c r="B227" s="2608"/>
      <c r="C227" s="2582" t="s">
        <v>998</v>
      </c>
      <c r="D227" s="2582" t="s">
        <v>1012</v>
      </c>
      <c r="E227" s="376"/>
      <c r="F227" s="347"/>
      <c r="G227" s="348"/>
      <c r="H227" s="349" t="s">
        <v>26</v>
      </c>
      <c r="I227" s="2940"/>
      <c r="J227" s="362" t="s">
        <v>26</v>
      </c>
      <c r="K227" s="1745"/>
      <c r="L227" s="383"/>
      <c r="M227" s="383"/>
      <c r="N227" s="383"/>
      <c r="O227" s="1510">
        <v>1000000</v>
      </c>
      <c r="P227" s="383"/>
      <c r="Q227" s="383"/>
      <c r="R227" s="383"/>
      <c r="S227" s="1510">
        <f t="shared" si="241"/>
        <v>0</v>
      </c>
      <c r="T227" s="1509"/>
      <c r="U227" s="1746"/>
      <c r="V227" s="1746"/>
      <c r="W227" s="1510">
        <f t="shared" si="235"/>
        <v>1000000</v>
      </c>
      <c r="X227" s="362" t="s">
        <v>26</v>
      </c>
      <c r="Y227" s="1509"/>
      <c r="Z227" s="1746"/>
      <c r="AA227" s="1746"/>
      <c r="AB227" s="1510">
        <f t="shared" si="236"/>
        <v>999999.99900000019</v>
      </c>
      <c r="AC227" s="1442"/>
      <c r="AD227" s="1457"/>
      <c r="AE227" s="352"/>
      <c r="AF227" s="353"/>
      <c r="AG227" s="353"/>
      <c r="AH227" s="354">
        <f t="shared" si="242"/>
        <v>0</v>
      </c>
      <c r="AI227" s="355">
        <f t="shared" ca="1" si="232"/>
        <v>0</v>
      </c>
      <c r="AJ227" s="356">
        <f t="shared" ca="1" si="227"/>
        <v>0</v>
      </c>
      <c r="AK227" s="2185"/>
      <c r="AL227" s="2063"/>
      <c r="AM227" s="2261"/>
      <c r="AN227" s="2261"/>
      <c r="AO227" s="362"/>
      <c r="AP227" s="384"/>
      <c r="AQ227" s="362"/>
      <c r="AR227" s="362"/>
      <c r="AS227" s="362"/>
      <c r="AT227" s="385"/>
      <c r="AU227" s="359"/>
      <c r="AV227" s="359"/>
      <c r="AW227" s="377"/>
      <c r="AX227" s="362">
        <v>111111.111</v>
      </c>
      <c r="AY227" s="385">
        <v>111111.111</v>
      </c>
      <c r="AZ227" s="2258">
        <v>111111.111</v>
      </c>
      <c r="BA227" s="359">
        <v>111111.111</v>
      </c>
      <c r="BB227" s="359">
        <v>111111.111</v>
      </c>
      <c r="BC227" s="359">
        <v>111111.111</v>
      </c>
      <c r="BD227" s="359">
        <v>111111.111</v>
      </c>
      <c r="BE227" s="362">
        <v>111111.111</v>
      </c>
      <c r="BF227" s="362">
        <v>111111.111</v>
      </c>
      <c r="BG227" s="362"/>
      <c r="BH227" s="362"/>
      <c r="BI227" s="414"/>
      <c r="BJ227" s="362"/>
      <c r="BK227" s="2123"/>
      <c r="BL227" s="414"/>
      <c r="BM227" s="414"/>
      <c r="BN227" s="414"/>
      <c r="BO227" s="414"/>
      <c r="BP227" s="414"/>
      <c r="BQ227" s="2399"/>
      <c r="BR227" s="362"/>
      <c r="BS227" s="362"/>
      <c r="BT227" s="362"/>
      <c r="BU227" s="364"/>
      <c r="BV227" s="364"/>
      <c r="BW227" s="2366"/>
      <c r="BX227" s="2463"/>
      <c r="BY227" s="2543"/>
      <c r="BZ227" s="2543"/>
      <c r="CA227" s="2432">
        <f t="shared" si="263"/>
        <v>999999.99900000019</v>
      </c>
      <c r="CB227" s="2377">
        <f t="shared" si="264"/>
        <v>1</v>
      </c>
      <c r="CC227" s="365">
        <f t="shared" si="265"/>
        <v>1.0000000009999999E-6</v>
      </c>
      <c r="CD227" s="365">
        <f t="shared" si="258"/>
        <v>1.0000000019999997E-12</v>
      </c>
      <c r="CE227" s="365">
        <f t="shared" si="259"/>
        <v>1.0000000029999996E-18</v>
      </c>
      <c r="CF227" s="365">
        <f t="shared" si="260"/>
        <v>1.0000000039999995E-24</v>
      </c>
      <c r="CG227" s="340"/>
      <c r="CH227" s="367"/>
      <c r="CI227" s="368"/>
      <c r="CJ227" s="368"/>
      <c r="CK227" s="369"/>
      <c r="CL227" s="329">
        <f t="shared" si="261"/>
        <v>9.9999981466680765E-4</v>
      </c>
      <c r="CM227" s="330">
        <f t="shared" ca="1" si="262"/>
        <v>0</v>
      </c>
      <c r="CN227" s="331">
        <f t="shared" ca="1" si="223"/>
        <v>-777777.77700000023</v>
      </c>
      <c r="CO227" s="86"/>
      <c r="CP227" s="86"/>
      <c r="CQ227" s="1641"/>
      <c r="CR227" s="86"/>
      <c r="CS227" s="86"/>
      <c r="CT227" s="86"/>
      <c r="CU227" s="86"/>
      <c r="CV227" s="86"/>
      <c r="CW227" s="86"/>
      <c r="CX227" s="86"/>
      <c r="CY227" s="86"/>
      <c r="CZ227" s="86"/>
      <c r="DA227" s="86"/>
      <c r="DB227" s="1642"/>
      <c r="DC227" s="1642"/>
      <c r="DD227" s="30"/>
      <c r="DE227" s="30"/>
      <c r="DF227" s="30"/>
      <c r="DG227" s="1642"/>
      <c r="DH227" s="1642"/>
      <c r="DI227" s="1642"/>
      <c r="DJ227" s="1642"/>
      <c r="DK227" s="1642"/>
      <c r="DL227" s="1642"/>
      <c r="DM227" s="1642"/>
      <c r="DN227" s="1642"/>
      <c r="DO227" s="1642"/>
      <c r="DP227" s="1642"/>
      <c r="DQ227" s="1642"/>
      <c r="DR227" s="1642"/>
      <c r="DS227" s="1642"/>
      <c r="DT227" s="1642"/>
      <c r="DU227" s="1642"/>
      <c r="DV227" s="1642"/>
      <c r="DW227" s="1642"/>
      <c r="DX227" s="1642"/>
      <c r="DY227" s="1642"/>
      <c r="DZ227" s="1642"/>
      <c r="EA227" s="1642"/>
      <c r="EB227" s="1642"/>
      <c r="EC227" s="1642"/>
      <c r="ED227" s="1642"/>
      <c r="EE227" s="1642"/>
      <c r="EF227" s="1642"/>
      <c r="EG227" s="1642"/>
      <c r="EH227" s="1643"/>
      <c r="EI227" s="1658"/>
      <c r="EJ227" s="1642"/>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0"/>
      <c r="HP227" s="30"/>
      <c r="HQ227" s="30"/>
      <c r="HR227" s="30"/>
      <c r="HS227" s="30"/>
      <c r="HT227" s="30"/>
      <c r="HU227" s="30"/>
      <c r="HV227" s="30"/>
      <c r="HW227" s="30"/>
      <c r="HX227" s="30"/>
      <c r="HY227" s="30"/>
      <c r="HZ227" s="30"/>
      <c r="IA227" s="30"/>
      <c r="IB227" s="30"/>
      <c r="IC227" s="30"/>
      <c r="ID227" s="30"/>
      <c r="IE227" s="30"/>
      <c r="IF227" s="30"/>
      <c r="IG227" s="30"/>
      <c r="IH227" s="30"/>
      <c r="II227" s="30"/>
      <c r="IJ227" s="30"/>
      <c r="IK227" s="30"/>
      <c r="IL227" s="30"/>
      <c r="IM227" s="30"/>
      <c r="IN227" s="30"/>
      <c r="IO227" s="30"/>
      <c r="IP227" s="30"/>
      <c r="IQ227" s="30"/>
      <c r="IR227" s="30"/>
      <c r="IS227" s="30"/>
      <c r="IT227" s="30"/>
      <c r="IU227" s="30"/>
      <c r="IV227" s="30"/>
      <c r="IW227" s="30"/>
      <c r="IX227" s="30"/>
      <c r="IY227" s="30"/>
      <c r="IZ227" s="30"/>
      <c r="JA227" s="30"/>
      <c r="JB227" s="30"/>
      <c r="JC227" s="30"/>
      <c r="JD227" s="30"/>
      <c r="JE227" s="30"/>
      <c r="JF227" s="30"/>
      <c r="JG227" s="30"/>
      <c r="JH227" s="30"/>
      <c r="JI227" s="30"/>
      <c r="JJ227" s="30"/>
      <c r="JK227" s="30"/>
      <c r="JL227" s="30"/>
      <c r="JM227" s="30"/>
      <c r="JN227" s="30"/>
      <c r="JO227" s="30"/>
      <c r="JP227" s="30"/>
      <c r="JQ227" s="30"/>
      <c r="JR227" s="30"/>
      <c r="JS227" s="30"/>
      <c r="JT227" s="30"/>
      <c r="JU227" s="30"/>
      <c r="JV227" s="30"/>
      <c r="JW227" s="30"/>
      <c r="JX227" s="30"/>
      <c r="JY227" s="30"/>
      <c r="JZ227" s="30"/>
      <c r="KA227" s="30"/>
      <c r="KB227" s="30"/>
      <c r="KC227" s="30"/>
      <c r="KD227" s="30"/>
      <c r="KE227" s="30"/>
      <c r="KF227" s="30"/>
      <c r="KG227" s="30"/>
      <c r="KH227" s="30"/>
      <c r="KI227" s="30"/>
      <c r="KJ227" s="30"/>
      <c r="KK227" s="30"/>
      <c r="KL227" s="30"/>
      <c r="KM227" s="30"/>
      <c r="KN227" s="30"/>
      <c r="KO227" s="30"/>
      <c r="KP227" s="1630"/>
    </row>
    <row r="228" spans="1:302" s="97" customFormat="1" ht="21" customHeight="1" outlineLevel="1">
      <c r="A228" s="2661" t="s">
        <v>985</v>
      </c>
      <c r="B228" s="2609"/>
      <c r="C228" s="2582" t="s">
        <v>999</v>
      </c>
      <c r="D228" s="2582" t="s">
        <v>1013</v>
      </c>
      <c r="E228" s="376"/>
      <c r="F228" s="347"/>
      <c r="G228" s="348"/>
      <c r="H228" s="349" t="s">
        <v>26</v>
      </c>
      <c r="I228" s="2940"/>
      <c r="J228" s="362" t="s">
        <v>26</v>
      </c>
      <c r="K228" s="1745"/>
      <c r="L228" s="383"/>
      <c r="M228" s="383"/>
      <c r="N228" s="383"/>
      <c r="O228" s="1510">
        <v>350000</v>
      </c>
      <c r="P228" s="383"/>
      <c r="Q228" s="383"/>
      <c r="R228" s="383"/>
      <c r="S228" s="1510">
        <f t="shared" si="241"/>
        <v>0</v>
      </c>
      <c r="T228" s="1509"/>
      <c r="U228" s="1746"/>
      <c r="V228" s="1746"/>
      <c r="W228" s="1510">
        <f t="shared" si="235"/>
        <v>350000</v>
      </c>
      <c r="X228" s="362" t="s">
        <v>26</v>
      </c>
      <c r="Y228" s="1509"/>
      <c r="Z228" s="1746"/>
      <c r="AA228" s="1746"/>
      <c r="AB228" s="1510">
        <f t="shared" si="236"/>
        <v>350000.0001</v>
      </c>
      <c r="AC228" s="1442"/>
      <c r="AD228" s="1457"/>
      <c r="AE228" s="352"/>
      <c r="AF228" s="353"/>
      <c r="AG228" s="353"/>
      <c r="AH228" s="354">
        <f t="shared" si="242"/>
        <v>0</v>
      </c>
      <c r="AI228" s="355">
        <f t="shared" ca="1" si="232"/>
        <v>0</v>
      </c>
      <c r="AJ228" s="356">
        <f t="shared" ca="1" si="227"/>
        <v>0</v>
      </c>
      <c r="AK228" s="2185"/>
      <c r="AL228" s="2063"/>
      <c r="AM228" s="2261"/>
      <c r="AN228" s="2261"/>
      <c r="AO228" s="362"/>
      <c r="AP228" s="384"/>
      <c r="AQ228" s="362"/>
      <c r="AR228" s="362"/>
      <c r="AS228" s="362">
        <v>38888.888899999998</v>
      </c>
      <c r="AT228" s="385">
        <v>38888.888899999998</v>
      </c>
      <c r="AU228" s="359">
        <v>38888.888899999998</v>
      </c>
      <c r="AV228" s="359">
        <v>38888.888899999998</v>
      </c>
      <c r="AW228" s="377">
        <v>38888.888899999998</v>
      </c>
      <c r="AX228" s="359">
        <v>38888.888899999998</v>
      </c>
      <c r="AY228" s="360">
        <v>38888.888899999998</v>
      </c>
      <c r="AZ228" s="2258">
        <v>38888.888899999998</v>
      </c>
      <c r="BA228" s="359">
        <v>38888.888899999998</v>
      </c>
      <c r="BB228" s="359"/>
      <c r="BC228" s="359"/>
      <c r="BD228" s="359"/>
      <c r="BE228" s="362"/>
      <c r="BF228" s="362"/>
      <c r="BG228" s="362"/>
      <c r="BH228" s="362"/>
      <c r="BI228" s="414"/>
      <c r="BJ228" s="362"/>
      <c r="BK228" s="2123"/>
      <c r="BL228" s="414"/>
      <c r="BM228" s="414"/>
      <c r="BN228" s="414"/>
      <c r="BO228" s="414"/>
      <c r="BP228" s="414"/>
      <c r="BQ228" s="2399"/>
      <c r="BR228" s="362"/>
      <c r="BS228" s="362"/>
      <c r="BT228" s="362"/>
      <c r="BU228" s="364"/>
      <c r="BV228" s="364"/>
      <c r="BW228" s="2366"/>
      <c r="BX228" s="2463"/>
      <c r="BY228" s="2543"/>
      <c r="BZ228" s="2543"/>
      <c r="CA228" s="2432">
        <f t="shared" si="263"/>
        <v>350000.0001</v>
      </c>
      <c r="CB228" s="2377">
        <f t="shared" si="264"/>
        <v>1</v>
      </c>
      <c r="CC228" s="365">
        <f t="shared" si="265"/>
        <v>2.8571428563265305E-6</v>
      </c>
      <c r="CD228" s="365">
        <f t="shared" si="258"/>
        <v>8.1632653014577252E-12</v>
      </c>
      <c r="CE228" s="365">
        <f t="shared" si="259"/>
        <v>2.3323615140358183E-17</v>
      </c>
      <c r="CF228" s="365">
        <f t="shared" si="260"/>
        <v>6.6638900381983689E-23</v>
      </c>
      <c r="CG228" s="340"/>
      <c r="CH228" s="367"/>
      <c r="CI228" s="368"/>
      <c r="CJ228" s="368"/>
      <c r="CK228" s="369"/>
      <c r="CL228" s="329">
        <f t="shared" si="261"/>
        <v>-1.0000000474974513E-4</v>
      </c>
      <c r="CM228" s="330">
        <f t="shared" ca="1" si="262"/>
        <v>0</v>
      </c>
      <c r="CN228" s="331">
        <f t="shared" ca="1" si="223"/>
        <v>-77777.77780000004</v>
      </c>
      <c r="CO228" s="86"/>
      <c r="CP228" s="86"/>
      <c r="CQ228" s="1641"/>
      <c r="CR228" s="86"/>
      <c r="CS228" s="86"/>
      <c r="CT228" s="86"/>
      <c r="CU228" s="86"/>
      <c r="CV228" s="86"/>
      <c r="CW228" s="86"/>
      <c r="CX228" s="86"/>
      <c r="CY228" s="86"/>
      <c r="CZ228" s="86"/>
      <c r="DA228" s="86"/>
      <c r="DB228" s="1642"/>
      <c r="DC228" s="1642"/>
      <c r="DD228" s="30"/>
      <c r="DE228" s="30"/>
      <c r="DF228" s="30"/>
      <c r="DG228" s="1642"/>
      <c r="DH228" s="1642"/>
      <c r="DI228" s="1642"/>
      <c r="DJ228" s="1642"/>
      <c r="DK228" s="1642"/>
      <c r="DL228" s="1642"/>
      <c r="DM228" s="1642"/>
      <c r="DN228" s="1642"/>
      <c r="DO228" s="1642"/>
      <c r="DP228" s="1642"/>
      <c r="DQ228" s="1642"/>
      <c r="DR228" s="1642"/>
      <c r="DS228" s="1642"/>
      <c r="DT228" s="1642"/>
      <c r="DU228" s="1642"/>
      <c r="DV228" s="1642"/>
      <c r="DW228" s="1642"/>
      <c r="DX228" s="1642"/>
      <c r="DY228" s="1642"/>
      <c r="DZ228" s="1642"/>
      <c r="EA228" s="1642"/>
      <c r="EB228" s="1642"/>
      <c r="EC228" s="1642"/>
      <c r="ED228" s="1642"/>
      <c r="EE228" s="1642"/>
      <c r="EF228" s="1642"/>
      <c r="EG228" s="1642"/>
      <c r="EH228" s="1643"/>
      <c r="EI228" s="1658"/>
      <c r="EJ228" s="1642"/>
      <c r="EK228" s="30"/>
      <c r="EL228" s="30"/>
      <c r="EM228" s="30"/>
      <c r="EN228" s="30"/>
      <c r="EO228" s="30"/>
      <c r="EP228" s="30"/>
      <c r="EQ228" s="30"/>
      <c r="ER228" s="30"/>
      <c r="ES228" s="30"/>
      <c r="ET228" s="30"/>
      <c r="EU228" s="30"/>
      <c r="EV228" s="30"/>
      <c r="EW228" s="30"/>
      <c r="EX228" s="30"/>
      <c r="EY228" s="30"/>
      <c r="EZ228" s="30"/>
      <c r="FA228" s="30"/>
      <c r="FB228" s="30"/>
      <c r="FC228" s="30"/>
      <c r="FD228" s="30"/>
      <c r="FE228" s="30"/>
      <c r="FF228" s="30"/>
      <c r="FG228" s="30"/>
      <c r="FH228" s="30"/>
      <c r="FI228" s="30"/>
      <c r="FJ228" s="30"/>
      <c r="FK228" s="30"/>
      <c r="FL228" s="30"/>
      <c r="FM228" s="30"/>
      <c r="FN228" s="30"/>
      <c r="FO228" s="30"/>
      <c r="FP228" s="30"/>
      <c r="FQ228" s="30"/>
      <c r="FR228" s="30"/>
      <c r="FS228" s="30"/>
      <c r="FT228" s="30"/>
      <c r="FU228" s="30"/>
      <c r="FV228" s="30"/>
      <c r="FW228" s="30"/>
      <c r="FX228" s="30"/>
      <c r="FY228" s="30"/>
      <c r="FZ228" s="30"/>
      <c r="GA228" s="30"/>
      <c r="GB228" s="30"/>
      <c r="GC228" s="30"/>
      <c r="GD228" s="30"/>
      <c r="GE228" s="30"/>
      <c r="GF228" s="30"/>
      <c r="GG228" s="30"/>
      <c r="GH228" s="30"/>
      <c r="GI228" s="30"/>
      <c r="GJ228" s="30"/>
      <c r="GK228" s="30"/>
      <c r="GL228" s="30"/>
      <c r="GM228" s="30"/>
      <c r="GN228" s="30"/>
      <c r="GO228" s="30"/>
      <c r="GP228" s="30"/>
      <c r="GQ228" s="30"/>
      <c r="GR228" s="30"/>
      <c r="GS228" s="30"/>
      <c r="GT228" s="30"/>
      <c r="GU228" s="30"/>
      <c r="GV228" s="30"/>
      <c r="GW228" s="30"/>
      <c r="GX228" s="30"/>
      <c r="GY228" s="30"/>
      <c r="GZ228" s="30"/>
      <c r="HA228" s="30"/>
      <c r="HB228" s="30"/>
      <c r="HC228" s="30"/>
      <c r="HD228" s="30"/>
      <c r="HE228" s="30"/>
      <c r="HF228" s="30"/>
      <c r="HG228" s="30"/>
      <c r="HH228" s="30"/>
      <c r="HI228" s="30"/>
      <c r="HJ228" s="30"/>
      <c r="HK228" s="30"/>
      <c r="HL228" s="30"/>
      <c r="HM228" s="30"/>
      <c r="HN228" s="30"/>
      <c r="HO228" s="30"/>
      <c r="HP228" s="30"/>
      <c r="HQ228" s="30"/>
      <c r="HR228" s="30"/>
      <c r="HS228" s="30"/>
      <c r="HT228" s="30"/>
      <c r="HU228" s="30"/>
      <c r="HV228" s="30"/>
      <c r="HW228" s="30"/>
      <c r="HX228" s="30"/>
      <c r="HY228" s="30"/>
      <c r="HZ228" s="30"/>
      <c r="IA228" s="30"/>
      <c r="IB228" s="30"/>
      <c r="IC228" s="30"/>
      <c r="ID228" s="30"/>
      <c r="IE228" s="30"/>
      <c r="IF228" s="30"/>
      <c r="IG228" s="30"/>
      <c r="IH228" s="30"/>
      <c r="II228" s="30"/>
      <c r="IJ228" s="30"/>
      <c r="IK228" s="30"/>
      <c r="IL228" s="30"/>
      <c r="IM228" s="30"/>
      <c r="IN228" s="30"/>
      <c r="IO228" s="30"/>
      <c r="IP228" s="30"/>
      <c r="IQ228" s="30"/>
      <c r="IR228" s="30"/>
      <c r="IS228" s="30"/>
      <c r="IT228" s="30"/>
      <c r="IU228" s="30"/>
      <c r="IV228" s="30"/>
      <c r="IW228" s="30"/>
      <c r="IX228" s="30"/>
      <c r="IY228" s="30"/>
      <c r="IZ228" s="30"/>
      <c r="JA228" s="30"/>
      <c r="JB228" s="30"/>
      <c r="JC228" s="30"/>
      <c r="JD228" s="30"/>
      <c r="JE228" s="30"/>
      <c r="JF228" s="30"/>
      <c r="JG228" s="30"/>
      <c r="JH228" s="30"/>
      <c r="JI228" s="30"/>
      <c r="JJ228" s="30"/>
      <c r="JK228" s="30"/>
      <c r="JL228" s="30"/>
      <c r="JM228" s="30"/>
      <c r="JN228" s="30"/>
      <c r="JO228" s="30"/>
      <c r="JP228" s="30"/>
      <c r="JQ228" s="30"/>
      <c r="JR228" s="30"/>
      <c r="JS228" s="30"/>
      <c r="JT228" s="30"/>
      <c r="JU228" s="30"/>
      <c r="JV228" s="30"/>
      <c r="JW228" s="30"/>
      <c r="JX228" s="30"/>
      <c r="JY228" s="30"/>
      <c r="JZ228" s="30"/>
      <c r="KA228" s="30"/>
      <c r="KB228" s="30"/>
      <c r="KC228" s="30"/>
      <c r="KD228" s="30"/>
      <c r="KE228" s="30"/>
      <c r="KF228" s="30"/>
      <c r="KG228" s="30"/>
      <c r="KH228" s="30"/>
      <c r="KI228" s="30"/>
      <c r="KJ228" s="30"/>
      <c r="KK228" s="30"/>
      <c r="KL228" s="30"/>
      <c r="KM228" s="30"/>
      <c r="KN228" s="30"/>
      <c r="KO228" s="30"/>
      <c r="KP228" s="1630"/>
    </row>
    <row r="229" spans="1:302" s="97" customFormat="1" ht="21" customHeight="1" outlineLevel="1">
      <c r="A229" s="2582" t="s">
        <v>986</v>
      </c>
      <c r="B229" s="2608"/>
      <c r="C229" s="2582" t="s">
        <v>1000</v>
      </c>
      <c r="D229" s="2582" t="s">
        <v>1014</v>
      </c>
      <c r="E229" s="376"/>
      <c r="F229" s="347"/>
      <c r="G229" s="348"/>
      <c r="H229" s="349" t="s">
        <v>26</v>
      </c>
      <c r="I229" s="2940"/>
      <c r="J229" s="362" t="s">
        <v>26</v>
      </c>
      <c r="K229" s="1745"/>
      <c r="L229" s="383"/>
      <c r="M229" s="383"/>
      <c r="N229" s="383"/>
      <c r="O229" s="1510">
        <v>200000</v>
      </c>
      <c r="P229" s="383"/>
      <c r="Q229" s="383"/>
      <c r="R229" s="383"/>
      <c r="S229" s="1510">
        <f t="shared" si="241"/>
        <v>0</v>
      </c>
      <c r="T229" s="1509"/>
      <c r="U229" s="1746"/>
      <c r="V229" s="1746"/>
      <c r="W229" s="1510">
        <f t="shared" si="235"/>
        <v>200000</v>
      </c>
      <c r="X229" s="362" t="s">
        <v>26</v>
      </c>
      <c r="Y229" s="1509"/>
      <c r="Z229" s="1746"/>
      <c r="AA229" s="1746"/>
      <c r="AB229" s="1510">
        <f t="shared" si="236"/>
        <v>199999.99979999996</v>
      </c>
      <c r="AC229" s="1442"/>
      <c r="AD229" s="1457"/>
      <c r="AE229" s="352"/>
      <c r="AF229" s="353"/>
      <c r="AG229" s="353"/>
      <c r="AH229" s="354">
        <f t="shared" si="242"/>
        <v>0</v>
      </c>
      <c r="AI229" s="355">
        <f t="shared" ca="1" si="232"/>
        <v>0</v>
      </c>
      <c r="AJ229" s="356">
        <f t="shared" ca="1" si="227"/>
        <v>0</v>
      </c>
      <c r="AK229" s="2185"/>
      <c r="AL229" s="2063"/>
      <c r="AM229" s="2261"/>
      <c r="AN229" s="2261"/>
      <c r="AO229" s="362"/>
      <c r="AP229" s="384"/>
      <c r="AQ229" s="362"/>
      <c r="AR229" s="362"/>
      <c r="AS229" s="362">
        <v>22222.2222</v>
      </c>
      <c r="AT229" s="385">
        <v>22222.2222</v>
      </c>
      <c r="AU229" s="359">
        <v>22222.2222</v>
      </c>
      <c r="AV229" s="359">
        <v>22222.2222</v>
      </c>
      <c r="AW229" s="359">
        <v>22222.2222</v>
      </c>
      <c r="AX229" s="359">
        <v>22222.2222</v>
      </c>
      <c r="AY229" s="360">
        <v>22222.2222</v>
      </c>
      <c r="AZ229" s="2258">
        <v>22222.2222</v>
      </c>
      <c r="BA229" s="359">
        <v>22222.2222</v>
      </c>
      <c r="BB229" s="359"/>
      <c r="BC229" s="359"/>
      <c r="BD229" s="359"/>
      <c r="BE229" s="362"/>
      <c r="BF229" s="362"/>
      <c r="BG229" s="362"/>
      <c r="BH229" s="362"/>
      <c r="BI229" s="414"/>
      <c r="BJ229" s="362"/>
      <c r="BK229" s="2123"/>
      <c r="BL229" s="414"/>
      <c r="BM229" s="414"/>
      <c r="BN229" s="414"/>
      <c r="BO229" s="414"/>
      <c r="BP229" s="414"/>
      <c r="BQ229" s="2399"/>
      <c r="BR229" s="362"/>
      <c r="BS229" s="362"/>
      <c r="BT229" s="362"/>
      <c r="BU229" s="364"/>
      <c r="BV229" s="364"/>
      <c r="BW229" s="2366"/>
      <c r="BX229" s="2463"/>
      <c r="BY229" s="2543"/>
      <c r="BZ229" s="2543"/>
      <c r="CA229" s="2432">
        <f t="shared" si="263"/>
        <v>199999.99979999996</v>
      </c>
      <c r="CB229" s="2377">
        <f t="shared" si="264"/>
        <v>1</v>
      </c>
      <c r="CC229" s="365">
        <f t="shared" si="265"/>
        <v>5.0000000050000012E-6</v>
      </c>
      <c r="CD229" s="365">
        <f t="shared" si="258"/>
        <v>2.5000000050000012E-11</v>
      </c>
      <c r="CE229" s="365">
        <f t="shared" si="259"/>
        <v>1.2500000037500008E-16</v>
      </c>
      <c r="CF229" s="365">
        <f t="shared" si="260"/>
        <v>6.2500000250000054E-22</v>
      </c>
      <c r="CG229" s="340"/>
      <c r="CH229" s="367"/>
      <c r="CI229" s="368"/>
      <c r="CJ229" s="368"/>
      <c r="CK229" s="369"/>
      <c r="CL229" s="329">
        <f t="shared" si="261"/>
        <v>2.0000003860332072E-4</v>
      </c>
      <c r="CM229" s="330">
        <f t="shared" ca="1" si="262"/>
        <v>0</v>
      </c>
      <c r="CN229" s="331">
        <f t="shared" ref="CN229:CN294" ca="1" si="272">SUM(AN229:AY229)-CA229-AI229</f>
        <v>-44444.444399999978</v>
      </c>
      <c r="CO229" s="86"/>
      <c r="CP229" s="86"/>
      <c r="CQ229" s="1641"/>
      <c r="CR229" s="86"/>
      <c r="CS229" s="86"/>
      <c r="CT229" s="86"/>
      <c r="CU229" s="86"/>
      <c r="CV229" s="86"/>
      <c r="CW229" s="86"/>
      <c r="CX229" s="86"/>
      <c r="CY229" s="86"/>
      <c r="CZ229" s="86"/>
      <c r="DA229" s="86"/>
      <c r="DB229" s="1642"/>
      <c r="DC229" s="1642"/>
      <c r="DD229" s="30"/>
      <c r="DE229" s="30"/>
      <c r="DF229" s="30"/>
      <c r="DG229" s="1642"/>
      <c r="DH229" s="1642"/>
      <c r="DI229" s="1642"/>
      <c r="DJ229" s="1642"/>
      <c r="DK229" s="1642"/>
      <c r="DL229" s="1642"/>
      <c r="DM229" s="1642"/>
      <c r="DN229" s="1642"/>
      <c r="DO229" s="1642"/>
      <c r="DP229" s="1642"/>
      <c r="DQ229" s="1642"/>
      <c r="DR229" s="1642"/>
      <c r="DS229" s="1642"/>
      <c r="DT229" s="1642"/>
      <c r="DU229" s="1642"/>
      <c r="DV229" s="1642"/>
      <c r="DW229" s="1642"/>
      <c r="DX229" s="1642"/>
      <c r="DY229" s="1642"/>
      <c r="DZ229" s="1642"/>
      <c r="EA229" s="1642"/>
      <c r="EB229" s="1642"/>
      <c r="EC229" s="1642"/>
      <c r="ED229" s="1642"/>
      <c r="EE229" s="1642"/>
      <c r="EF229" s="1642"/>
      <c r="EG229" s="1642"/>
      <c r="EH229" s="1643"/>
      <c r="EI229" s="1658"/>
      <c r="EJ229" s="1642"/>
      <c r="EK229" s="30"/>
      <c r="EL229" s="30"/>
      <c r="EM229" s="30"/>
      <c r="EN229" s="30"/>
      <c r="EO229" s="30"/>
      <c r="EP229" s="30"/>
      <c r="EQ229" s="30"/>
      <c r="ER229" s="30"/>
      <c r="ES229" s="30"/>
      <c r="ET229" s="30"/>
      <c r="EU229" s="30"/>
      <c r="EV229" s="30"/>
      <c r="EW229" s="30"/>
      <c r="EX229" s="30"/>
      <c r="EY229" s="30"/>
      <c r="EZ229" s="30"/>
      <c r="FA229" s="30"/>
      <c r="FB229" s="30"/>
      <c r="FC229" s="30"/>
      <c r="FD229" s="30"/>
      <c r="FE229" s="30"/>
      <c r="FF229" s="30"/>
      <c r="FG229" s="30"/>
      <c r="FH229" s="30"/>
      <c r="FI229" s="30"/>
      <c r="FJ229" s="30"/>
      <c r="FK229" s="30"/>
      <c r="FL229" s="30"/>
      <c r="FM229" s="30"/>
      <c r="FN229" s="30"/>
      <c r="FO229" s="30"/>
      <c r="FP229" s="30"/>
      <c r="FQ229" s="30"/>
      <c r="FR229" s="30"/>
      <c r="FS229" s="30"/>
      <c r="FT229" s="30"/>
      <c r="FU229" s="30"/>
      <c r="FV229" s="30"/>
      <c r="FW229" s="30"/>
      <c r="FX229" s="30"/>
      <c r="FY229" s="30"/>
      <c r="FZ229" s="30"/>
      <c r="GA229" s="30"/>
      <c r="GB229" s="30"/>
      <c r="GC229" s="30"/>
      <c r="GD229" s="30"/>
      <c r="GE229" s="30"/>
      <c r="GF229" s="30"/>
      <c r="GG229" s="30"/>
      <c r="GH229" s="30"/>
      <c r="GI229" s="30"/>
      <c r="GJ229" s="30"/>
      <c r="GK229" s="30"/>
      <c r="GL229" s="30"/>
      <c r="GM229" s="30"/>
      <c r="GN229" s="30"/>
      <c r="GO229" s="30"/>
      <c r="GP229" s="30"/>
      <c r="GQ229" s="30"/>
      <c r="GR229" s="30"/>
      <c r="GS229" s="30"/>
      <c r="GT229" s="30"/>
      <c r="GU229" s="30"/>
      <c r="GV229" s="30"/>
      <c r="GW229" s="30"/>
      <c r="GX229" s="30"/>
      <c r="GY229" s="30"/>
      <c r="GZ229" s="30"/>
      <c r="HA229" s="30"/>
      <c r="HB229" s="30"/>
      <c r="HC229" s="30"/>
      <c r="HD229" s="30"/>
      <c r="HE229" s="30"/>
      <c r="HF229" s="30"/>
      <c r="HG229" s="30"/>
      <c r="HH229" s="30"/>
      <c r="HI229" s="30"/>
      <c r="HJ229" s="30"/>
      <c r="HK229" s="30"/>
      <c r="HL229" s="30"/>
      <c r="HM229" s="30"/>
      <c r="HN229" s="30"/>
      <c r="HO229" s="30"/>
      <c r="HP229" s="30"/>
      <c r="HQ229" s="30"/>
      <c r="HR229" s="30"/>
      <c r="HS229" s="30"/>
      <c r="HT229" s="30"/>
      <c r="HU229" s="30"/>
      <c r="HV229" s="30"/>
      <c r="HW229" s="30"/>
      <c r="HX229" s="30"/>
      <c r="HY229" s="30"/>
      <c r="HZ229" s="30"/>
      <c r="IA229" s="30"/>
      <c r="IB229" s="30"/>
      <c r="IC229" s="30"/>
      <c r="ID229" s="30"/>
      <c r="IE229" s="30"/>
      <c r="IF229" s="30"/>
      <c r="IG229" s="30"/>
      <c r="IH229" s="30"/>
      <c r="II229" s="30"/>
      <c r="IJ229" s="30"/>
      <c r="IK229" s="30"/>
      <c r="IL229" s="30"/>
      <c r="IM229" s="30"/>
      <c r="IN229" s="30"/>
      <c r="IO229" s="30"/>
      <c r="IP229" s="30"/>
      <c r="IQ229" s="30"/>
      <c r="IR229" s="30"/>
      <c r="IS229" s="30"/>
      <c r="IT229" s="30"/>
      <c r="IU229" s="30"/>
      <c r="IV229" s="30"/>
      <c r="IW229" s="30"/>
      <c r="IX229" s="30"/>
      <c r="IY229" s="30"/>
      <c r="IZ229" s="30"/>
      <c r="JA229" s="30"/>
      <c r="JB229" s="30"/>
      <c r="JC229" s="30"/>
      <c r="JD229" s="30"/>
      <c r="JE229" s="30"/>
      <c r="JF229" s="30"/>
      <c r="JG229" s="30"/>
      <c r="JH229" s="30"/>
      <c r="JI229" s="30"/>
      <c r="JJ229" s="30"/>
      <c r="JK229" s="30"/>
      <c r="JL229" s="30"/>
      <c r="JM229" s="30"/>
      <c r="JN229" s="30"/>
      <c r="JO229" s="30"/>
      <c r="JP229" s="30"/>
      <c r="JQ229" s="30"/>
      <c r="JR229" s="30"/>
      <c r="JS229" s="30"/>
      <c r="JT229" s="30"/>
      <c r="JU229" s="30"/>
      <c r="JV229" s="30"/>
      <c r="JW229" s="30"/>
      <c r="JX229" s="30"/>
      <c r="JY229" s="30"/>
      <c r="JZ229" s="30"/>
      <c r="KA229" s="30"/>
      <c r="KB229" s="30"/>
      <c r="KC229" s="30"/>
      <c r="KD229" s="30"/>
      <c r="KE229" s="30"/>
      <c r="KF229" s="30"/>
      <c r="KG229" s="30"/>
      <c r="KH229" s="30"/>
      <c r="KI229" s="30"/>
      <c r="KJ229" s="30"/>
      <c r="KK229" s="30"/>
      <c r="KL229" s="30"/>
      <c r="KM229" s="30"/>
      <c r="KN229" s="30"/>
      <c r="KO229" s="30"/>
      <c r="KP229" s="1630"/>
    </row>
    <row r="230" spans="1:302" s="97" customFormat="1" ht="42.6" customHeight="1" outlineLevel="1">
      <c r="A230" s="2661" t="s">
        <v>987</v>
      </c>
      <c r="B230" s="2609"/>
      <c r="C230" s="2582" t="s">
        <v>1001</v>
      </c>
      <c r="D230" s="2582" t="s">
        <v>1015</v>
      </c>
      <c r="E230" s="376"/>
      <c r="F230" s="347"/>
      <c r="G230" s="348"/>
      <c r="H230" s="349" t="s">
        <v>26</v>
      </c>
      <c r="I230" s="2940"/>
      <c r="J230" s="362" t="s">
        <v>26</v>
      </c>
      <c r="K230" s="1745"/>
      <c r="L230" s="383"/>
      <c r="M230" s="383"/>
      <c r="N230" s="383"/>
      <c r="O230" s="1510">
        <v>3242866</v>
      </c>
      <c r="P230" s="383"/>
      <c r="Q230" s="383"/>
      <c r="R230" s="383"/>
      <c r="S230" s="1510">
        <f t="shared" si="241"/>
        <v>0</v>
      </c>
      <c r="T230" s="1509"/>
      <c r="U230" s="1746"/>
      <c r="V230" s="1746"/>
      <c r="W230" s="1510">
        <f t="shared" si="235"/>
        <v>3242866</v>
      </c>
      <c r="X230" s="362" t="s">
        <v>26</v>
      </c>
      <c r="Y230" s="1509"/>
      <c r="Z230" s="1746"/>
      <c r="AA230" s="1746"/>
      <c r="AB230" s="1510">
        <f t="shared" si="236"/>
        <v>3242866.0000000005</v>
      </c>
      <c r="AC230" s="1442"/>
      <c r="AD230" s="1457"/>
      <c r="AE230" s="352"/>
      <c r="AF230" s="353"/>
      <c r="AG230" s="353"/>
      <c r="AH230" s="354">
        <f t="shared" si="242"/>
        <v>0</v>
      </c>
      <c r="AI230" s="355">
        <f t="shared" ca="1" si="232"/>
        <v>0</v>
      </c>
      <c r="AJ230" s="356">
        <f t="shared" ca="1" si="227"/>
        <v>0</v>
      </c>
      <c r="AK230" s="2185"/>
      <c r="AL230" s="2063"/>
      <c r="AM230" s="2261"/>
      <c r="AN230" s="2261"/>
      <c r="AO230" s="362"/>
      <c r="AP230" s="384"/>
      <c r="AQ230" s="362"/>
      <c r="AR230" s="362"/>
      <c r="AS230" s="362"/>
      <c r="AT230" s="385"/>
      <c r="AU230" s="359"/>
      <c r="AV230" s="359"/>
      <c r="AW230" s="377"/>
      <c r="AX230" s="359"/>
      <c r="AY230" s="360"/>
      <c r="AZ230" s="2258">
        <v>324286.59999999998</v>
      </c>
      <c r="BA230" s="359">
        <v>324286.59999999998</v>
      </c>
      <c r="BB230" s="359">
        <v>324286.59999999998</v>
      </c>
      <c r="BC230" s="359">
        <v>324286.59999999998</v>
      </c>
      <c r="BD230" s="359">
        <v>324286.59999999998</v>
      </c>
      <c r="BE230" s="362">
        <v>324286.59999999998</v>
      </c>
      <c r="BF230" s="362">
        <v>324286.59999999998</v>
      </c>
      <c r="BG230" s="362">
        <v>324286.59999999998</v>
      </c>
      <c r="BH230" s="362">
        <v>324286.59999999998</v>
      </c>
      <c r="BI230" s="414">
        <v>324286.59999999998</v>
      </c>
      <c r="BJ230" s="362"/>
      <c r="BK230" s="2123"/>
      <c r="BL230" s="414"/>
      <c r="BM230" s="414"/>
      <c r="BN230" s="414"/>
      <c r="BO230" s="414"/>
      <c r="BP230" s="414"/>
      <c r="BQ230" s="2399"/>
      <c r="BR230" s="362"/>
      <c r="BS230" s="362"/>
      <c r="BT230" s="362"/>
      <c r="BU230" s="364"/>
      <c r="BV230" s="364"/>
      <c r="BW230" s="2366"/>
      <c r="BX230" s="2463"/>
      <c r="BY230" s="2543"/>
      <c r="BZ230" s="2543"/>
      <c r="CA230" s="2432">
        <f t="shared" si="263"/>
        <v>3242866.0000000005</v>
      </c>
      <c r="CB230" s="2377">
        <f t="shared" si="264"/>
        <v>1</v>
      </c>
      <c r="CC230" s="365">
        <f t="shared" si="265"/>
        <v>3.083692018109906E-7</v>
      </c>
      <c r="CD230" s="365">
        <f t="shared" si="258"/>
        <v>9.5091564625547447E-14</v>
      </c>
      <c r="CE230" s="365">
        <f t="shared" si="259"/>
        <v>2.9323309882538299E-20</v>
      </c>
      <c r="CF230" s="365">
        <f t="shared" si="260"/>
        <v>9.0424056629346681E-27</v>
      </c>
      <c r="CG230" s="340"/>
      <c r="CH230" s="367"/>
      <c r="CI230" s="368"/>
      <c r="CJ230" s="368"/>
      <c r="CK230" s="369"/>
      <c r="CL230" s="329">
        <f t="shared" si="261"/>
        <v>0</v>
      </c>
      <c r="CM230" s="330">
        <f t="shared" ca="1" si="262"/>
        <v>0</v>
      </c>
      <c r="CN230" s="331">
        <f t="shared" ca="1" si="272"/>
        <v>-3242866.0000000005</v>
      </c>
      <c r="CO230" s="86"/>
      <c r="CP230" s="86"/>
      <c r="CQ230" s="1641"/>
      <c r="CR230" s="86"/>
      <c r="CS230" s="86"/>
      <c r="CT230" s="86"/>
      <c r="CU230" s="86"/>
      <c r="CV230" s="86"/>
      <c r="CW230" s="86"/>
      <c r="CX230" s="86"/>
      <c r="CY230" s="86"/>
      <c r="CZ230" s="86"/>
      <c r="DA230" s="86"/>
      <c r="DB230" s="1642"/>
      <c r="DC230" s="1642"/>
      <c r="DD230" s="30"/>
      <c r="DE230" s="30"/>
      <c r="DF230" s="30"/>
      <c r="DG230" s="1642"/>
      <c r="DH230" s="1642"/>
      <c r="DI230" s="1642"/>
      <c r="DJ230" s="1642"/>
      <c r="DK230" s="1642"/>
      <c r="DL230" s="1642"/>
      <c r="DM230" s="1642"/>
      <c r="DN230" s="1642"/>
      <c r="DO230" s="1642"/>
      <c r="DP230" s="1642"/>
      <c r="DQ230" s="1642"/>
      <c r="DR230" s="1642"/>
      <c r="DS230" s="1642"/>
      <c r="DT230" s="1642"/>
      <c r="DU230" s="1642"/>
      <c r="DV230" s="1642"/>
      <c r="DW230" s="1642"/>
      <c r="DX230" s="1642"/>
      <c r="DY230" s="1642"/>
      <c r="DZ230" s="1642"/>
      <c r="EA230" s="1642"/>
      <c r="EB230" s="1642"/>
      <c r="EC230" s="1642"/>
      <c r="ED230" s="1642"/>
      <c r="EE230" s="1642"/>
      <c r="EF230" s="1642"/>
      <c r="EG230" s="1642"/>
      <c r="EH230" s="1643"/>
      <c r="EI230" s="1658"/>
      <c r="EJ230" s="1642"/>
      <c r="EK230" s="30"/>
      <c r="EL230" s="30"/>
      <c r="EM230" s="30"/>
      <c r="EN230" s="30"/>
      <c r="EO230" s="30"/>
      <c r="EP230" s="30"/>
      <c r="EQ230" s="30"/>
      <c r="ER230" s="30"/>
      <c r="ES230" s="30"/>
      <c r="ET230" s="30"/>
      <c r="EU230" s="30"/>
      <c r="EV230" s="30"/>
      <c r="EW230" s="30"/>
      <c r="EX230" s="30"/>
      <c r="EY230" s="30"/>
      <c r="EZ230" s="30"/>
      <c r="FA230" s="30"/>
      <c r="FB230" s="30"/>
      <c r="FC230" s="30"/>
      <c r="FD230" s="30"/>
      <c r="FE230" s="30"/>
      <c r="FF230" s="30"/>
      <c r="FG230" s="30"/>
      <c r="FH230" s="30"/>
      <c r="FI230" s="30"/>
      <c r="FJ230" s="30"/>
      <c r="FK230" s="30"/>
      <c r="FL230" s="30"/>
      <c r="FM230" s="30"/>
      <c r="FN230" s="30"/>
      <c r="FO230" s="30"/>
      <c r="FP230" s="30"/>
      <c r="FQ230" s="30"/>
      <c r="FR230" s="30"/>
      <c r="FS230" s="30"/>
      <c r="FT230" s="30"/>
      <c r="FU230" s="30"/>
      <c r="FV230" s="30"/>
      <c r="FW230" s="30"/>
      <c r="FX230" s="30"/>
      <c r="FY230" s="30"/>
      <c r="FZ230" s="30"/>
      <c r="GA230" s="30"/>
      <c r="GB230" s="30"/>
      <c r="GC230" s="30"/>
      <c r="GD230" s="30"/>
      <c r="GE230" s="30"/>
      <c r="GF230" s="30"/>
      <c r="GG230" s="30"/>
      <c r="GH230" s="30"/>
      <c r="GI230" s="30"/>
      <c r="GJ230" s="30"/>
      <c r="GK230" s="30"/>
      <c r="GL230" s="30"/>
      <c r="GM230" s="30"/>
      <c r="GN230" s="30"/>
      <c r="GO230" s="30"/>
      <c r="GP230" s="30"/>
      <c r="GQ230" s="30"/>
      <c r="GR230" s="30"/>
      <c r="GS230" s="30"/>
      <c r="GT230" s="30"/>
      <c r="GU230" s="30"/>
      <c r="GV230" s="30"/>
      <c r="GW230" s="30"/>
      <c r="GX230" s="30"/>
      <c r="GY230" s="30"/>
      <c r="GZ230" s="30"/>
      <c r="HA230" s="30"/>
      <c r="HB230" s="30"/>
      <c r="HC230" s="30"/>
      <c r="HD230" s="30"/>
      <c r="HE230" s="30"/>
      <c r="HF230" s="30"/>
      <c r="HG230" s="30"/>
      <c r="HH230" s="30"/>
      <c r="HI230" s="30"/>
      <c r="HJ230" s="30"/>
      <c r="HK230" s="30"/>
      <c r="HL230" s="30"/>
      <c r="HM230" s="30"/>
      <c r="HN230" s="30"/>
      <c r="HO230" s="30"/>
      <c r="HP230" s="30"/>
      <c r="HQ230" s="30"/>
      <c r="HR230" s="30"/>
      <c r="HS230" s="30"/>
      <c r="HT230" s="30"/>
      <c r="HU230" s="30"/>
      <c r="HV230" s="30"/>
      <c r="HW230" s="30"/>
      <c r="HX230" s="30"/>
      <c r="HY230" s="30"/>
      <c r="HZ230" s="30"/>
      <c r="IA230" s="30"/>
      <c r="IB230" s="30"/>
      <c r="IC230" s="30"/>
      <c r="ID230" s="30"/>
      <c r="IE230" s="30"/>
      <c r="IF230" s="30"/>
      <c r="IG230" s="30"/>
      <c r="IH230" s="30"/>
      <c r="II230" s="30"/>
      <c r="IJ230" s="30"/>
      <c r="IK230" s="30"/>
      <c r="IL230" s="30"/>
      <c r="IM230" s="30"/>
      <c r="IN230" s="30"/>
      <c r="IO230" s="30"/>
      <c r="IP230" s="30"/>
      <c r="IQ230" s="30"/>
      <c r="IR230" s="30"/>
      <c r="IS230" s="30"/>
      <c r="IT230" s="30"/>
      <c r="IU230" s="30"/>
      <c r="IV230" s="30"/>
      <c r="IW230" s="30"/>
      <c r="IX230" s="30"/>
      <c r="IY230" s="30"/>
      <c r="IZ230" s="30"/>
      <c r="JA230" s="30"/>
      <c r="JB230" s="30"/>
      <c r="JC230" s="30"/>
      <c r="JD230" s="30"/>
      <c r="JE230" s="30"/>
      <c r="JF230" s="30"/>
      <c r="JG230" s="30"/>
      <c r="JH230" s="30"/>
      <c r="JI230" s="30"/>
      <c r="JJ230" s="30"/>
      <c r="JK230" s="30"/>
      <c r="JL230" s="30"/>
      <c r="JM230" s="30"/>
      <c r="JN230" s="30"/>
      <c r="JO230" s="30"/>
      <c r="JP230" s="30"/>
      <c r="JQ230" s="30"/>
      <c r="JR230" s="30"/>
      <c r="JS230" s="30"/>
      <c r="JT230" s="30"/>
      <c r="JU230" s="30"/>
      <c r="JV230" s="30"/>
      <c r="JW230" s="30"/>
      <c r="JX230" s="30"/>
      <c r="JY230" s="30"/>
      <c r="JZ230" s="30"/>
      <c r="KA230" s="30"/>
      <c r="KB230" s="30"/>
      <c r="KC230" s="30"/>
      <c r="KD230" s="30"/>
      <c r="KE230" s="30"/>
      <c r="KF230" s="30"/>
      <c r="KG230" s="30"/>
      <c r="KH230" s="30"/>
      <c r="KI230" s="30"/>
      <c r="KJ230" s="30"/>
      <c r="KK230" s="30"/>
      <c r="KL230" s="30"/>
      <c r="KM230" s="30"/>
      <c r="KN230" s="30"/>
      <c r="KO230" s="30"/>
      <c r="KP230" s="1630"/>
    </row>
    <row r="231" spans="1:302" s="97" customFormat="1" ht="41.65" outlineLevel="1">
      <c r="A231" s="2582" t="s">
        <v>988</v>
      </c>
      <c r="B231" s="2608"/>
      <c r="C231" s="2582" t="s">
        <v>1002</v>
      </c>
      <c r="D231" s="2582" t="s">
        <v>1016</v>
      </c>
      <c r="E231" s="376"/>
      <c r="F231" s="347"/>
      <c r="G231" s="348"/>
      <c r="H231" s="349" t="s">
        <v>26</v>
      </c>
      <c r="I231" s="2940"/>
      <c r="J231" s="362" t="s">
        <v>26</v>
      </c>
      <c r="K231" s="1745"/>
      <c r="L231" s="383"/>
      <c r="M231" s="383"/>
      <c r="N231" s="383"/>
      <c r="O231" s="1510">
        <v>5517325</v>
      </c>
      <c r="P231" s="383"/>
      <c r="Q231" s="383"/>
      <c r="R231" s="383"/>
      <c r="S231" s="1510">
        <f t="shared" si="241"/>
        <v>0</v>
      </c>
      <c r="T231" s="1509"/>
      <c r="U231" s="1746"/>
      <c r="V231" s="1746"/>
      <c r="W231" s="1510">
        <f t="shared" si="235"/>
        <v>5517325</v>
      </c>
      <c r="X231" s="362" t="s">
        <v>26</v>
      </c>
      <c r="Y231" s="1509"/>
      <c r="Z231" s="1746"/>
      <c r="AA231" s="1746"/>
      <c r="AB231" s="1510">
        <f>SUM(AM231:BZ231)</f>
        <v>5517325</v>
      </c>
      <c r="AC231" s="1442"/>
      <c r="AD231" s="1457"/>
      <c r="AE231" s="352"/>
      <c r="AF231" s="353"/>
      <c r="AG231" s="353"/>
      <c r="AH231" s="354">
        <f t="shared" si="242"/>
        <v>0</v>
      </c>
      <c r="AI231" s="355">
        <f t="shared" ca="1" si="232"/>
        <v>0</v>
      </c>
      <c r="AJ231" s="356">
        <f t="shared" ca="1" si="227"/>
        <v>0</v>
      </c>
      <c r="AK231" s="2185"/>
      <c r="AL231" s="2063"/>
      <c r="AM231" s="2261"/>
      <c r="AN231" s="2261"/>
      <c r="AO231" s="362"/>
      <c r="AP231" s="384"/>
      <c r="AQ231" s="362"/>
      <c r="AR231" s="362"/>
      <c r="AS231" s="362"/>
      <c r="AT231" s="385"/>
      <c r="AU231" s="359"/>
      <c r="AV231" s="359"/>
      <c r="AW231" s="377"/>
      <c r="AX231" s="359"/>
      <c r="AY231" s="360"/>
      <c r="AZ231" s="2258">
        <v>551723.5</v>
      </c>
      <c r="BA231" s="359">
        <v>551723.5</v>
      </c>
      <c r="BB231" s="359">
        <v>551723.5</v>
      </c>
      <c r="BC231" s="359">
        <v>551723.5</v>
      </c>
      <c r="BD231" s="359">
        <v>551813.5</v>
      </c>
      <c r="BE231" s="362">
        <v>551723.5</v>
      </c>
      <c r="BF231" s="362">
        <v>551723.5</v>
      </c>
      <c r="BG231" s="362">
        <v>551723.5</v>
      </c>
      <c r="BH231" s="362">
        <v>551723.5</v>
      </c>
      <c r="BI231" s="362">
        <v>551723.5</v>
      </c>
      <c r="BJ231" s="362"/>
      <c r="BK231" s="2123"/>
      <c r="BL231" s="414"/>
      <c r="BM231" s="414"/>
      <c r="BN231" s="414"/>
      <c r="BO231" s="414"/>
      <c r="BP231" s="414"/>
      <c r="BQ231" s="2399"/>
      <c r="BR231" s="362"/>
      <c r="BS231" s="362"/>
      <c r="BT231" s="362"/>
      <c r="BU231" s="364"/>
      <c r="BV231" s="364"/>
      <c r="BW231" s="2366"/>
      <c r="BX231" s="2463"/>
      <c r="BY231" s="2543"/>
      <c r="BZ231" s="2543"/>
      <c r="CA231" s="2432">
        <f t="shared" si="263"/>
        <v>5517325</v>
      </c>
      <c r="CB231" s="2377">
        <f t="shared" si="264"/>
        <v>1</v>
      </c>
      <c r="CC231" s="365">
        <f t="shared" si="265"/>
        <v>1.8124725297132216E-7</v>
      </c>
      <c r="CD231" s="365">
        <f t="shared" si="258"/>
        <v>3.2850566709650447E-14</v>
      </c>
      <c r="CE231" s="365">
        <f t="shared" si="259"/>
        <v>5.9540749746753085E-21</v>
      </c>
      <c r="CF231" s="365">
        <f t="shared" si="260"/>
        <v>1.0791597331451941E-27</v>
      </c>
      <c r="CG231" s="340"/>
      <c r="CH231" s="367"/>
      <c r="CI231" s="368"/>
      <c r="CJ231" s="368"/>
      <c r="CK231" s="369"/>
      <c r="CL231" s="329">
        <f t="shared" si="261"/>
        <v>0</v>
      </c>
      <c r="CM231" s="330">
        <f t="shared" ca="1" si="262"/>
        <v>0</v>
      </c>
      <c r="CN231" s="331">
        <f t="shared" ca="1" si="272"/>
        <v>-5517325</v>
      </c>
      <c r="CO231" s="86"/>
      <c r="CP231" s="86"/>
      <c r="CQ231" s="1641"/>
      <c r="CR231" s="86"/>
      <c r="CS231" s="86"/>
      <c r="CT231" s="86"/>
      <c r="CU231" s="86"/>
      <c r="CV231" s="86"/>
      <c r="CW231" s="86"/>
      <c r="CX231" s="86"/>
      <c r="CY231" s="86"/>
      <c r="CZ231" s="86"/>
      <c r="DA231" s="86"/>
      <c r="DB231" s="1642"/>
      <c r="DC231" s="1642"/>
      <c r="DD231" s="30"/>
      <c r="DE231" s="30"/>
      <c r="DF231" s="30"/>
      <c r="DG231" s="1642"/>
      <c r="DH231" s="1642"/>
      <c r="DI231" s="1642"/>
      <c r="DJ231" s="1642"/>
      <c r="DK231" s="1642"/>
      <c r="DL231" s="1642"/>
      <c r="DM231" s="1642"/>
      <c r="DN231" s="1642"/>
      <c r="DO231" s="1642"/>
      <c r="DP231" s="1642"/>
      <c r="DQ231" s="1642"/>
      <c r="DR231" s="1642"/>
      <c r="DS231" s="1642"/>
      <c r="DT231" s="1642"/>
      <c r="DU231" s="1642"/>
      <c r="DV231" s="1642"/>
      <c r="DW231" s="1642"/>
      <c r="DX231" s="1642"/>
      <c r="DY231" s="1642"/>
      <c r="DZ231" s="1642"/>
      <c r="EA231" s="1642"/>
      <c r="EB231" s="1642"/>
      <c r="EC231" s="1642"/>
      <c r="ED231" s="1642"/>
      <c r="EE231" s="1642"/>
      <c r="EF231" s="1642"/>
      <c r="EG231" s="1642"/>
      <c r="EH231" s="1643"/>
      <c r="EI231" s="1658"/>
      <c r="EJ231" s="1642"/>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0"/>
      <c r="HP231" s="30"/>
      <c r="HQ231" s="30"/>
      <c r="HR231" s="30"/>
      <c r="HS231" s="30"/>
      <c r="HT231" s="30"/>
      <c r="HU231" s="30"/>
      <c r="HV231" s="30"/>
      <c r="HW231" s="30"/>
      <c r="HX231" s="30"/>
      <c r="HY231" s="30"/>
      <c r="HZ231" s="30"/>
      <c r="IA231" s="30"/>
      <c r="IB231" s="30"/>
      <c r="IC231" s="30"/>
      <c r="ID231" s="30"/>
      <c r="IE231" s="30"/>
      <c r="IF231" s="30"/>
      <c r="IG231" s="30"/>
      <c r="IH231" s="30"/>
      <c r="II231" s="30"/>
      <c r="IJ231" s="30"/>
      <c r="IK231" s="30"/>
      <c r="IL231" s="30"/>
      <c r="IM231" s="30"/>
      <c r="IN231" s="30"/>
      <c r="IO231" s="30"/>
      <c r="IP231" s="30"/>
      <c r="IQ231" s="30"/>
      <c r="IR231" s="30"/>
      <c r="IS231" s="30"/>
      <c r="IT231" s="30"/>
      <c r="IU231" s="30"/>
      <c r="IV231" s="30"/>
      <c r="IW231" s="30"/>
      <c r="IX231" s="30"/>
      <c r="IY231" s="30"/>
      <c r="IZ231" s="30"/>
      <c r="JA231" s="30"/>
      <c r="JB231" s="30"/>
      <c r="JC231" s="30"/>
      <c r="JD231" s="30"/>
      <c r="JE231" s="30"/>
      <c r="JF231" s="30"/>
      <c r="JG231" s="30"/>
      <c r="JH231" s="30"/>
      <c r="JI231" s="30"/>
      <c r="JJ231" s="30"/>
      <c r="JK231" s="30"/>
      <c r="JL231" s="30"/>
      <c r="JM231" s="30"/>
      <c r="JN231" s="30"/>
      <c r="JO231" s="30"/>
      <c r="JP231" s="30"/>
      <c r="JQ231" s="30"/>
      <c r="JR231" s="30"/>
      <c r="JS231" s="30"/>
      <c r="JT231" s="30"/>
      <c r="JU231" s="30"/>
      <c r="JV231" s="30"/>
      <c r="JW231" s="30"/>
      <c r="JX231" s="30"/>
      <c r="JY231" s="30"/>
      <c r="JZ231" s="30"/>
      <c r="KA231" s="30"/>
      <c r="KB231" s="30"/>
      <c r="KC231" s="30"/>
      <c r="KD231" s="30"/>
      <c r="KE231" s="30"/>
      <c r="KF231" s="30"/>
      <c r="KG231" s="30"/>
      <c r="KH231" s="30"/>
      <c r="KI231" s="30"/>
      <c r="KJ231" s="30"/>
      <c r="KK231" s="30"/>
      <c r="KL231" s="30"/>
      <c r="KM231" s="30"/>
      <c r="KN231" s="30"/>
      <c r="KO231" s="30"/>
      <c r="KP231" s="1630"/>
    </row>
    <row r="232" spans="1:302" s="97" customFormat="1" ht="39" customHeight="1" outlineLevel="1">
      <c r="A232" s="2587" t="s">
        <v>1017</v>
      </c>
      <c r="B232" s="2605"/>
      <c r="C232" s="2587" t="s">
        <v>1023</v>
      </c>
      <c r="D232" s="2587" t="s">
        <v>1029</v>
      </c>
      <c r="E232" s="376"/>
      <c r="F232" s="347"/>
      <c r="G232" s="348"/>
      <c r="H232" s="349" t="s">
        <v>26</v>
      </c>
      <c r="I232" s="2936">
        <v>22169697</v>
      </c>
      <c r="J232" s="362" t="s">
        <v>26</v>
      </c>
      <c r="K232" s="1745"/>
      <c r="L232" s="383"/>
      <c r="M232" s="383"/>
      <c r="N232" s="383"/>
      <c r="O232" s="1510"/>
      <c r="P232" s="383"/>
      <c r="Q232" s="383"/>
      <c r="R232" s="383"/>
      <c r="S232" s="1510">
        <f t="shared" si="241"/>
        <v>0</v>
      </c>
      <c r="T232" s="1509"/>
      <c r="U232" s="1746"/>
      <c r="V232" s="1746"/>
      <c r="W232" s="1510">
        <f t="shared" si="235"/>
        <v>0</v>
      </c>
      <c r="X232" s="362" t="s">
        <v>26</v>
      </c>
      <c r="Y232" s="1509"/>
      <c r="Z232" s="1746"/>
      <c r="AA232" s="1746"/>
      <c r="AB232" s="1510">
        <f t="shared" si="236"/>
        <v>0</v>
      </c>
      <c r="AC232" s="1442"/>
      <c r="AD232" s="1457"/>
      <c r="AE232" s="352"/>
      <c r="AF232" s="353"/>
      <c r="AG232" s="353"/>
      <c r="AH232" s="354">
        <f t="shared" si="242"/>
        <v>0</v>
      </c>
      <c r="AI232" s="355">
        <f t="shared" ca="1" si="232"/>
        <v>0</v>
      </c>
      <c r="AJ232" s="356" t="str">
        <f t="shared" si="227"/>
        <v/>
      </c>
      <c r="AK232" s="2185"/>
      <c r="AL232" s="2063"/>
      <c r="AM232" s="2261"/>
      <c r="AN232" s="2261"/>
      <c r="AO232" s="362"/>
      <c r="AP232" s="384"/>
      <c r="AQ232" s="362"/>
      <c r="AR232" s="362"/>
      <c r="AS232" s="362"/>
      <c r="AT232" s="385"/>
      <c r="AU232" s="359"/>
      <c r="AV232" s="359"/>
      <c r="AW232" s="377"/>
      <c r="AX232" s="359"/>
      <c r="AY232" s="360"/>
      <c r="AZ232" s="2273"/>
      <c r="BA232" s="497"/>
      <c r="BB232" s="359"/>
      <c r="BC232" s="359"/>
      <c r="BD232" s="359"/>
      <c r="BE232" s="362"/>
      <c r="BF232" s="362"/>
      <c r="BG232" s="362"/>
      <c r="BH232" s="362"/>
      <c r="BI232" s="414"/>
      <c r="BJ232" s="362"/>
      <c r="BK232" s="2123"/>
      <c r="BL232" s="414"/>
      <c r="BM232" s="414"/>
      <c r="BN232" s="414"/>
      <c r="BO232" s="414"/>
      <c r="BP232" s="414"/>
      <c r="BQ232" s="2399"/>
      <c r="BR232" s="362"/>
      <c r="BS232" s="362"/>
      <c r="BT232" s="362"/>
      <c r="BU232" s="364"/>
      <c r="BV232" s="364"/>
      <c r="BW232" s="2366"/>
      <c r="BX232" s="2463"/>
      <c r="BY232" s="2543"/>
      <c r="BZ232" s="2543"/>
      <c r="CA232" s="2432">
        <f t="shared" si="263"/>
        <v>0</v>
      </c>
      <c r="CB232" s="2377" t="str">
        <f t="shared" si="264"/>
        <v/>
      </c>
      <c r="CC232" s="365" t="str">
        <f t="shared" si="265"/>
        <v/>
      </c>
      <c r="CD232" s="365" t="str">
        <f t="shared" si="258"/>
        <v/>
      </c>
      <c r="CE232" s="365" t="str">
        <f t="shared" si="259"/>
        <v/>
      </c>
      <c r="CF232" s="365" t="str">
        <f t="shared" si="260"/>
        <v/>
      </c>
      <c r="CG232" s="340"/>
      <c r="CH232" s="367"/>
      <c r="CI232" s="368"/>
      <c r="CJ232" s="368"/>
      <c r="CK232" s="369"/>
      <c r="CL232" s="329">
        <f t="shared" si="261"/>
        <v>0</v>
      </c>
      <c r="CM232" s="330">
        <f t="shared" ca="1" si="262"/>
        <v>0</v>
      </c>
      <c r="CN232" s="331">
        <f t="shared" ca="1" si="272"/>
        <v>0</v>
      </c>
      <c r="CO232" s="86"/>
      <c r="CP232" s="86"/>
      <c r="CQ232" s="1641"/>
      <c r="CR232" s="86"/>
      <c r="CS232" s="86"/>
      <c r="CT232" s="86"/>
      <c r="CU232" s="86"/>
      <c r="CV232" s="86"/>
      <c r="CW232" s="86"/>
      <c r="CX232" s="86"/>
      <c r="CY232" s="86"/>
      <c r="CZ232" s="86"/>
      <c r="DA232" s="86"/>
      <c r="DB232" s="1642"/>
      <c r="DC232" s="1642"/>
      <c r="DD232" s="30"/>
      <c r="DE232" s="30"/>
      <c r="DF232" s="30"/>
      <c r="DG232" s="1642"/>
      <c r="DH232" s="1642"/>
      <c r="DI232" s="1642"/>
      <c r="DJ232" s="1642"/>
      <c r="DK232" s="1642"/>
      <c r="DL232" s="1642"/>
      <c r="DM232" s="1642"/>
      <c r="DN232" s="1642"/>
      <c r="DO232" s="1642"/>
      <c r="DP232" s="1642"/>
      <c r="DQ232" s="1642"/>
      <c r="DR232" s="1642"/>
      <c r="DS232" s="1642"/>
      <c r="DT232" s="1642"/>
      <c r="DU232" s="1642"/>
      <c r="DV232" s="1642"/>
      <c r="DW232" s="1642"/>
      <c r="DX232" s="1642"/>
      <c r="DY232" s="1642"/>
      <c r="DZ232" s="1642"/>
      <c r="EA232" s="1642"/>
      <c r="EB232" s="1642"/>
      <c r="EC232" s="1642"/>
      <c r="ED232" s="1642"/>
      <c r="EE232" s="1642"/>
      <c r="EF232" s="1642"/>
      <c r="EG232" s="1642"/>
      <c r="EH232" s="1643"/>
      <c r="EI232" s="1658"/>
      <c r="EJ232" s="1642"/>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0"/>
      <c r="HP232" s="30"/>
      <c r="HQ232" s="30"/>
      <c r="HR232" s="30"/>
      <c r="HS232" s="30"/>
      <c r="HT232" s="30"/>
      <c r="HU232" s="30"/>
      <c r="HV232" s="30"/>
      <c r="HW232" s="30"/>
      <c r="HX232" s="30"/>
      <c r="HY232" s="30"/>
      <c r="HZ232" s="30"/>
      <c r="IA232" s="30"/>
      <c r="IB232" s="30"/>
      <c r="IC232" s="30"/>
      <c r="ID232" s="30"/>
      <c r="IE232" s="30"/>
      <c r="IF232" s="30"/>
      <c r="IG232" s="30"/>
      <c r="IH232" s="30"/>
      <c r="II232" s="30"/>
      <c r="IJ232" s="30"/>
      <c r="IK232" s="30"/>
      <c r="IL232" s="30"/>
      <c r="IM232" s="30"/>
      <c r="IN232" s="30"/>
      <c r="IO232" s="30"/>
      <c r="IP232" s="30"/>
      <c r="IQ232" s="30"/>
      <c r="IR232" s="30"/>
      <c r="IS232" s="30"/>
      <c r="IT232" s="30"/>
      <c r="IU232" s="30"/>
      <c r="IV232" s="30"/>
      <c r="IW232" s="30"/>
      <c r="IX232" s="30"/>
      <c r="IY232" s="30"/>
      <c r="IZ232" s="30"/>
      <c r="JA232" s="30"/>
      <c r="JB232" s="30"/>
      <c r="JC232" s="30"/>
      <c r="JD232" s="30"/>
      <c r="JE232" s="30"/>
      <c r="JF232" s="30"/>
      <c r="JG232" s="30"/>
      <c r="JH232" s="30"/>
      <c r="JI232" s="30"/>
      <c r="JJ232" s="30"/>
      <c r="JK232" s="30"/>
      <c r="JL232" s="30"/>
      <c r="JM232" s="30"/>
      <c r="JN232" s="30"/>
      <c r="JO232" s="30"/>
      <c r="JP232" s="30"/>
      <c r="JQ232" s="30"/>
      <c r="JR232" s="30"/>
      <c r="JS232" s="30"/>
      <c r="JT232" s="30"/>
      <c r="JU232" s="30"/>
      <c r="JV232" s="30"/>
      <c r="JW232" s="30"/>
      <c r="JX232" s="30"/>
      <c r="JY232" s="30"/>
      <c r="JZ232" s="30"/>
      <c r="KA232" s="30"/>
      <c r="KB232" s="30"/>
      <c r="KC232" s="30"/>
      <c r="KD232" s="30"/>
      <c r="KE232" s="30"/>
      <c r="KF232" s="30"/>
      <c r="KG232" s="30"/>
      <c r="KH232" s="30"/>
      <c r="KI232" s="30"/>
      <c r="KJ232" s="30"/>
      <c r="KK232" s="30"/>
      <c r="KL232" s="30"/>
      <c r="KM232" s="30"/>
      <c r="KN232" s="30"/>
      <c r="KO232" s="30"/>
      <c r="KP232" s="1630"/>
    </row>
    <row r="233" spans="1:302" s="97" customFormat="1" ht="27.75" customHeight="1" outlineLevel="1">
      <c r="A233" s="2661" t="s">
        <v>1018</v>
      </c>
      <c r="B233" s="2609"/>
      <c r="C233" s="2582" t="s">
        <v>1024</v>
      </c>
      <c r="D233" s="2582" t="s">
        <v>1030</v>
      </c>
      <c r="E233" s="376"/>
      <c r="F233" s="347"/>
      <c r="G233" s="348"/>
      <c r="H233" s="349" t="s">
        <v>26</v>
      </c>
      <c r="I233" s="2936"/>
      <c r="J233" s="362" t="s">
        <v>26</v>
      </c>
      <c r="K233" s="1745"/>
      <c r="L233" s="383"/>
      <c r="M233" s="383"/>
      <c r="N233" s="383"/>
      <c r="O233" s="1510">
        <v>2200000</v>
      </c>
      <c r="P233" s="383"/>
      <c r="Q233" s="383"/>
      <c r="R233" s="383"/>
      <c r="S233" s="1510">
        <f t="shared" si="241"/>
        <v>0</v>
      </c>
      <c r="T233" s="1509"/>
      <c r="U233" s="1746"/>
      <c r="V233" s="1746"/>
      <c r="W233" s="1510">
        <f t="shared" si="235"/>
        <v>2200000</v>
      </c>
      <c r="X233" s="362" t="s">
        <v>26</v>
      </c>
      <c r="Y233" s="1509"/>
      <c r="Z233" s="1746"/>
      <c r="AA233" s="1746"/>
      <c r="AB233" s="1510">
        <f t="shared" si="236"/>
        <v>2200000</v>
      </c>
      <c r="AC233" s="1442"/>
      <c r="AD233" s="1457"/>
      <c r="AE233" s="352"/>
      <c r="AF233" s="353"/>
      <c r="AG233" s="353"/>
      <c r="AH233" s="354">
        <f t="shared" si="242"/>
        <v>0</v>
      </c>
      <c r="AI233" s="355">
        <f t="shared" ca="1" si="232"/>
        <v>0</v>
      </c>
      <c r="AJ233" s="356">
        <f t="shared" ca="1" si="227"/>
        <v>0</v>
      </c>
      <c r="AK233" s="2185"/>
      <c r="AL233" s="2063"/>
      <c r="AM233" s="2261"/>
      <c r="AN233" s="2261"/>
      <c r="AO233" s="362"/>
      <c r="AP233" s="384"/>
      <c r="AQ233" s="362"/>
      <c r="AR233" s="362"/>
      <c r="AS233" s="362"/>
      <c r="AT233" s="385"/>
      <c r="AU233" s="359">
        <v>275000</v>
      </c>
      <c r="AV233" s="359">
        <v>275000</v>
      </c>
      <c r="AW233" s="377">
        <v>275000</v>
      </c>
      <c r="AX233" s="359">
        <v>275000</v>
      </c>
      <c r="AY233" s="360"/>
      <c r="AZ233" s="2258">
        <v>275000</v>
      </c>
      <c r="BA233" s="359">
        <v>275000</v>
      </c>
      <c r="BB233" s="359">
        <v>275000</v>
      </c>
      <c r="BC233" s="359"/>
      <c r="BD233" s="359"/>
      <c r="BE233" s="362"/>
      <c r="BF233" s="362"/>
      <c r="BG233" s="362"/>
      <c r="BH233" s="362"/>
      <c r="BI233" s="414"/>
      <c r="BJ233" s="362"/>
      <c r="BK233" s="360">
        <v>275000</v>
      </c>
      <c r="BL233" s="414"/>
      <c r="BM233" s="414"/>
      <c r="BN233" s="414"/>
      <c r="BO233" s="414"/>
      <c r="BP233" s="414"/>
      <c r="BQ233" s="2399"/>
      <c r="BR233" s="362"/>
      <c r="BS233" s="362"/>
      <c r="BT233" s="362"/>
      <c r="BU233" s="364"/>
      <c r="BV233" s="364"/>
      <c r="BW233" s="2366"/>
      <c r="BX233" s="2463"/>
      <c r="BY233" s="2543"/>
      <c r="BZ233" s="2543"/>
      <c r="CA233" s="2432">
        <f t="shared" si="263"/>
        <v>2200000</v>
      </c>
      <c r="CB233" s="2377">
        <f t="shared" si="264"/>
        <v>1</v>
      </c>
      <c r="CC233" s="365">
        <f t="shared" si="265"/>
        <v>4.5454545454545452E-7</v>
      </c>
      <c r="CD233" s="365">
        <f t="shared" si="258"/>
        <v>2.0661157024793388E-13</v>
      </c>
      <c r="CE233" s="365">
        <f t="shared" si="259"/>
        <v>9.3914350112697216E-20</v>
      </c>
      <c r="CF233" s="365">
        <f t="shared" si="260"/>
        <v>4.2688340960316916E-26</v>
      </c>
      <c r="CG233" s="340"/>
      <c r="CH233" s="367"/>
      <c r="CI233" s="368"/>
      <c r="CJ233" s="368"/>
      <c r="CK233" s="369"/>
      <c r="CL233" s="329">
        <f t="shared" si="261"/>
        <v>0</v>
      </c>
      <c r="CM233" s="330">
        <f t="shared" ca="1" si="262"/>
        <v>0</v>
      </c>
      <c r="CN233" s="331">
        <f t="shared" ca="1" si="272"/>
        <v>-1100000</v>
      </c>
      <c r="CO233" s="86"/>
      <c r="CP233" s="86"/>
      <c r="CQ233" s="1641"/>
      <c r="CR233" s="86"/>
      <c r="CS233" s="86"/>
      <c r="CT233" s="86"/>
      <c r="CU233" s="86"/>
      <c r="CV233" s="86"/>
      <c r="CW233" s="86"/>
      <c r="CX233" s="86"/>
      <c r="CY233" s="86"/>
      <c r="CZ233" s="86"/>
      <c r="DA233" s="86"/>
      <c r="DB233" s="1642"/>
      <c r="DC233" s="1642"/>
      <c r="DD233" s="30"/>
      <c r="DE233" s="30"/>
      <c r="DF233" s="30"/>
      <c r="DG233" s="1642"/>
      <c r="DH233" s="1642"/>
      <c r="DI233" s="1642"/>
      <c r="DJ233" s="1642"/>
      <c r="DK233" s="1642"/>
      <c r="DL233" s="1642"/>
      <c r="DM233" s="1642"/>
      <c r="DN233" s="1642"/>
      <c r="DO233" s="1642"/>
      <c r="DP233" s="1642"/>
      <c r="DQ233" s="1642"/>
      <c r="DR233" s="1642"/>
      <c r="DS233" s="1642"/>
      <c r="DT233" s="1642"/>
      <c r="DU233" s="1642"/>
      <c r="DV233" s="1642"/>
      <c r="DW233" s="1642"/>
      <c r="DX233" s="1642"/>
      <c r="DY233" s="1642"/>
      <c r="DZ233" s="1642"/>
      <c r="EA233" s="1642"/>
      <c r="EB233" s="1642"/>
      <c r="EC233" s="1642"/>
      <c r="ED233" s="1642"/>
      <c r="EE233" s="1642"/>
      <c r="EF233" s="1642"/>
      <c r="EG233" s="1642"/>
      <c r="EH233" s="1643"/>
      <c r="EI233" s="1658"/>
      <c r="EJ233" s="1642"/>
      <c r="EK233" s="30"/>
      <c r="EL233" s="30"/>
      <c r="EM233" s="30"/>
      <c r="EN233" s="30"/>
      <c r="EO233" s="30"/>
      <c r="EP233" s="30"/>
      <c r="EQ233" s="30"/>
      <c r="ER233" s="30"/>
      <c r="ES233" s="30"/>
      <c r="ET233" s="30"/>
      <c r="EU233" s="30"/>
      <c r="EV233" s="30"/>
      <c r="EW233" s="30"/>
      <c r="EX233" s="30"/>
      <c r="EY233" s="30"/>
      <c r="EZ233" s="30"/>
      <c r="FA233" s="30"/>
      <c r="FB233" s="30"/>
      <c r="FC233" s="30"/>
      <c r="FD233" s="30"/>
      <c r="FE233" s="30"/>
      <c r="FF233" s="30"/>
      <c r="FG233" s="30"/>
      <c r="FH233" s="30"/>
      <c r="FI233" s="30"/>
      <c r="FJ233" s="30"/>
      <c r="FK233" s="30"/>
      <c r="FL233" s="30"/>
      <c r="FM233" s="30"/>
      <c r="FN233" s="30"/>
      <c r="FO233" s="30"/>
      <c r="FP233" s="30"/>
      <c r="FQ233" s="30"/>
      <c r="FR233" s="30"/>
      <c r="FS233" s="30"/>
      <c r="FT233" s="30"/>
      <c r="FU233" s="30"/>
      <c r="FV233" s="30"/>
      <c r="FW233" s="30"/>
      <c r="FX233" s="30"/>
      <c r="FY233" s="30"/>
      <c r="FZ233" s="30"/>
      <c r="GA233" s="30"/>
      <c r="GB233" s="30"/>
      <c r="GC233" s="30"/>
      <c r="GD233" s="30"/>
      <c r="GE233" s="30"/>
      <c r="GF233" s="30"/>
      <c r="GG233" s="30"/>
      <c r="GH233" s="30"/>
      <c r="GI233" s="30"/>
      <c r="GJ233" s="30"/>
      <c r="GK233" s="30"/>
      <c r="GL233" s="30"/>
      <c r="GM233" s="30"/>
      <c r="GN233" s="30"/>
      <c r="GO233" s="30"/>
      <c r="GP233" s="30"/>
      <c r="GQ233" s="30"/>
      <c r="GR233" s="30"/>
      <c r="GS233" s="30"/>
      <c r="GT233" s="30"/>
      <c r="GU233" s="30"/>
      <c r="GV233" s="30"/>
      <c r="GW233" s="30"/>
      <c r="GX233" s="30"/>
      <c r="GY233" s="30"/>
      <c r="GZ233" s="30"/>
      <c r="HA233" s="30"/>
      <c r="HB233" s="30"/>
      <c r="HC233" s="30"/>
      <c r="HD233" s="30"/>
      <c r="HE233" s="30"/>
      <c r="HF233" s="30"/>
      <c r="HG233" s="30"/>
      <c r="HH233" s="30"/>
      <c r="HI233" s="30"/>
      <c r="HJ233" s="30"/>
      <c r="HK233" s="30"/>
      <c r="HL233" s="30"/>
      <c r="HM233" s="30"/>
      <c r="HN233" s="30"/>
      <c r="HO233" s="30"/>
      <c r="HP233" s="30"/>
      <c r="HQ233" s="30"/>
      <c r="HR233" s="30"/>
      <c r="HS233" s="30"/>
      <c r="HT233" s="30"/>
      <c r="HU233" s="30"/>
      <c r="HV233" s="30"/>
      <c r="HW233" s="30"/>
      <c r="HX233" s="30"/>
      <c r="HY233" s="30"/>
      <c r="HZ233" s="30"/>
      <c r="IA233" s="30"/>
      <c r="IB233" s="30"/>
      <c r="IC233" s="30"/>
      <c r="ID233" s="30"/>
      <c r="IE233" s="30"/>
      <c r="IF233" s="30"/>
      <c r="IG233" s="30"/>
      <c r="IH233" s="30"/>
      <c r="II233" s="30"/>
      <c r="IJ233" s="30"/>
      <c r="IK233" s="30"/>
      <c r="IL233" s="30"/>
      <c r="IM233" s="30"/>
      <c r="IN233" s="30"/>
      <c r="IO233" s="30"/>
      <c r="IP233" s="30"/>
      <c r="IQ233" s="30"/>
      <c r="IR233" s="30"/>
      <c r="IS233" s="30"/>
      <c r="IT233" s="30"/>
      <c r="IU233" s="30"/>
      <c r="IV233" s="30"/>
      <c r="IW233" s="30"/>
      <c r="IX233" s="30"/>
      <c r="IY233" s="30"/>
      <c r="IZ233" s="30"/>
      <c r="JA233" s="30"/>
      <c r="JB233" s="30"/>
      <c r="JC233" s="30"/>
      <c r="JD233" s="30"/>
      <c r="JE233" s="30"/>
      <c r="JF233" s="30"/>
      <c r="JG233" s="30"/>
      <c r="JH233" s="30"/>
      <c r="JI233" s="30"/>
      <c r="JJ233" s="30"/>
      <c r="JK233" s="30"/>
      <c r="JL233" s="30"/>
      <c r="JM233" s="30"/>
      <c r="JN233" s="30"/>
      <c r="JO233" s="30"/>
      <c r="JP233" s="30"/>
      <c r="JQ233" s="30"/>
      <c r="JR233" s="30"/>
      <c r="JS233" s="30"/>
      <c r="JT233" s="30"/>
      <c r="JU233" s="30"/>
      <c r="JV233" s="30"/>
      <c r="JW233" s="30"/>
      <c r="JX233" s="30"/>
      <c r="JY233" s="30"/>
      <c r="JZ233" s="30"/>
      <c r="KA233" s="30"/>
      <c r="KB233" s="30"/>
      <c r="KC233" s="30"/>
      <c r="KD233" s="30"/>
      <c r="KE233" s="30"/>
      <c r="KF233" s="30"/>
      <c r="KG233" s="30"/>
      <c r="KH233" s="30"/>
      <c r="KI233" s="30"/>
      <c r="KJ233" s="30"/>
      <c r="KK233" s="30"/>
      <c r="KL233" s="30"/>
      <c r="KM233" s="30"/>
      <c r="KN233" s="30"/>
      <c r="KO233" s="30"/>
      <c r="KP233" s="1630"/>
    </row>
    <row r="234" spans="1:302" s="97" customFormat="1" ht="25.5" customHeight="1" outlineLevel="1">
      <c r="A234" s="2661" t="s">
        <v>1019</v>
      </c>
      <c r="B234" s="2609"/>
      <c r="C234" s="2582" t="s">
        <v>1025</v>
      </c>
      <c r="D234" s="2582" t="s">
        <v>1031</v>
      </c>
      <c r="E234" s="376"/>
      <c r="F234" s="347"/>
      <c r="G234" s="348"/>
      <c r="H234" s="349" t="s">
        <v>26</v>
      </c>
      <c r="I234" s="2936"/>
      <c r="J234" s="362" t="s">
        <v>26</v>
      </c>
      <c r="K234" s="1745"/>
      <c r="L234" s="383"/>
      <c r="M234" s="383"/>
      <c r="N234" s="383"/>
      <c r="O234" s="1510">
        <v>1000000</v>
      </c>
      <c r="P234" s="383"/>
      <c r="Q234" s="383"/>
      <c r="R234" s="383"/>
      <c r="S234" s="1510">
        <f t="shared" si="241"/>
        <v>0</v>
      </c>
      <c r="T234" s="1509"/>
      <c r="U234" s="1746"/>
      <c r="V234" s="1746"/>
      <c r="W234" s="1510">
        <f t="shared" si="235"/>
        <v>1000000</v>
      </c>
      <c r="X234" s="362" t="s">
        <v>26</v>
      </c>
      <c r="Y234" s="1509"/>
      <c r="Z234" s="1746"/>
      <c r="AA234" s="1746"/>
      <c r="AB234" s="1510">
        <f t="shared" si="236"/>
        <v>1000000</v>
      </c>
      <c r="AC234" s="1442"/>
      <c r="AD234" s="1458"/>
      <c r="AE234" s="352"/>
      <c r="AF234" s="1686"/>
      <c r="AG234" s="1686"/>
      <c r="AH234" s="354">
        <f t="shared" si="242"/>
        <v>0</v>
      </c>
      <c r="AI234" s="355">
        <f t="shared" ca="1" si="232"/>
        <v>0</v>
      </c>
      <c r="AJ234" s="356">
        <f t="shared" ca="1" si="227"/>
        <v>0</v>
      </c>
      <c r="AK234" s="2185"/>
      <c r="AL234" s="2063"/>
      <c r="AM234" s="2261"/>
      <c r="AN234" s="2261"/>
      <c r="AO234" s="362"/>
      <c r="AP234" s="384"/>
      <c r="AQ234" s="362"/>
      <c r="AR234" s="362"/>
      <c r="AS234" s="362"/>
      <c r="AT234" s="385"/>
      <c r="AU234" s="359">
        <v>125000</v>
      </c>
      <c r="AV234" s="359">
        <v>125000</v>
      </c>
      <c r="AW234" s="377">
        <v>125000</v>
      </c>
      <c r="AX234" s="359">
        <v>125000</v>
      </c>
      <c r="AY234" s="360">
        <v>125000</v>
      </c>
      <c r="AZ234" s="2258">
        <v>125000</v>
      </c>
      <c r="BA234" s="359">
        <v>125000</v>
      </c>
      <c r="BB234" s="359">
        <v>125000</v>
      </c>
      <c r="BC234" s="359"/>
      <c r="BD234" s="359"/>
      <c r="BE234" s="362"/>
      <c r="BF234" s="362"/>
      <c r="BG234" s="362"/>
      <c r="BH234" s="362"/>
      <c r="BI234" s="414"/>
      <c r="BJ234" s="362"/>
      <c r="BK234" s="2123"/>
      <c r="BL234" s="414"/>
      <c r="BM234" s="414"/>
      <c r="BN234" s="414"/>
      <c r="BO234" s="414"/>
      <c r="BP234" s="414"/>
      <c r="BQ234" s="2399"/>
      <c r="BR234" s="362"/>
      <c r="BS234" s="362"/>
      <c r="BT234" s="362"/>
      <c r="BU234" s="364"/>
      <c r="BV234" s="364"/>
      <c r="BW234" s="2366"/>
      <c r="BX234" s="2463"/>
      <c r="BY234" s="2543"/>
      <c r="BZ234" s="2543"/>
      <c r="CA234" s="2432">
        <f t="shared" si="263"/>
        <v>1000000</v>
      </c>
      <c r="CB234" s="2377">
        <f t="shared" si="264"/>
        <v>1</v>
      </c>
      <c r="CC234" s="365">
        <f t="shared" si="265"/>
        <v>9.9999999999999995E-7</v>
      </c>
      <c r="CD234" s="365">
        <f t="shared" si="258"/>
        <v>9.9999999999999998E-13</v>
      </c>
      <c r="CE234" s="365">
        <f t="shared" si="259"/>
        <v>1.0000000000000001E-18</v>
      </c>
      <c r="CF234" s="365">
        <f t="shared" si="260"/>
        <v>1.0000000000000001E-24</v>
      </c>
      <c r="CG234" s="340"/>
      <c r="CH234" s="367"/>
      <c r="CI234" s="368"/>
      <c r="CJ234" s="368"/>
      <c r="CK234" s="369"/>
      <c r="CL234" s="329">
        <f t="shared" si="261"/>
        <v>0</v>
      </c>
      <c r="CM234" s="330">
        <f t="shared" ca="1" si="262"/>
        <v>0</v>
      </c>
      <c r="CN234" s="331">
        <f t="shared" ca="1" si="272"/>
        <v>-375000</v>
      </c>
      <c r="CO234" s="86"/>
      <c r="CP234" s="86"/>
      <c r="CQ234" s="1641"/>
      <c r="CR234" s="86"/>
      <c r="CS234" s="86"/>
      <c r="CT234" s="86"/>
      <c r="CU234" s="86"/>
      <c r="CV234" s="86"/>
      <c r="CW234" s="86"/>
      <c r="CX234" s="86"/>
      <c r="CY234" s="86"/>
      <c r="CZ234" s="86"/>
      <c r="DA234" s="86"/>
      <c r="DB234" s="1642"/>
      <c r="DC234" s="1642"/>
      <c r="DD234" s="30"/>
      <c r="DE234" s="30"/>
      <c r="DF234" s="30"/>
      <c r="DG234" s="1642"/>
      <c r="DH234" s="1642"/>
      <c r="DI234" s="1642"/>
      <c r="DJ234" s="1642"/>
      <c r="DK234" s="1642"/>
      <c r="DL234" s="1642"/>
      <c r="DM234" s="1642"/>
      <c r="DN234" s="1642"/>
      <c r="DO234" s="1642"/>
      <c r="DP234" s="1642"/>
      <c r="DQ234" s="1642"/>
      <c r="DR234" s="1642"/>
      <c r="DS234" s="1642"/>
      <c r="DT234" s="1642"/>
      <c r="DU234" s="1642"/>
      <c r="DV234" s="1642"/>
      <c r="DW234" s="1642"/>
      <c r="DX234" s="1642"/>
      <c r="DY234" s="1642"/>
      <c r="DZ234" s="1642"/>
      <c r="EA234" s="1642"/>
      <c r="EB234" s="1642"/>
      <c r="EC234" s="1642"/>
      <c r="ED234" s="1642"/>
      <c r="EE234" s="1642"/>
      <c r="EF234" s="1642"/>
      <c r="EG234" s="1642"/>
      <c r="EH234" s="1643"/>
      <c r="EI234" s="1658"/>
      <c r="EJ234" s="1642"/>
      <c r="EK234" s="30"/>
      <c r="EL234" s="30"/>
      <c r="EM234" s="30"/>
      <c r="EN234" s="30"/>
      <c r="EO234" s="30"/>
      <c r="EP234" s="30"/>
      <c r="EQ234" s="30"/>
      <c r="ER234" s="30"/>
      <c r="ES234" s="30"/>
      <c r="ET234" s="30"/>
      <c r="EU234" s="30"/>
      <c r="EV234" s="30"/>
      <c r="EW234" s="30"/>
      <c r="EX234" s="30"/>
      <c r="EY234" s="30"/>
      <c r="EZ234" s="30"/>
      <c r="FA234" s="30"/>
      <c r="FB234" s="30"/>
      <c r="FC234" s="30"/>
      <c r="FD234" s="30"/>
      <c r="FE234" s="30"/>
      <c r="FF234" s="30"/>
      <c r="FG234" s="30"/>
      <c r="FH234" s="30"/>
      <c r="FI234" s="30"/>
      <c r="FJ234" s="30"/>
      <c r="FK234" s="30"/>
      <c r="FL234" s="30"/>
      <c r="FM234" s="30"/>
      <c r="FN234" s="30"/>
      <c r="FO234" s="30"/>
      <c r="FP234" s="30"/>
      <c r="FQ234" s="30"/>
      <c r="FR234" s="30"/>
      <c r="FS234" s="30"/>
      <c r="FT234" s="30"/>
      <c r="FU234" s="30"/>
      <c r="FV234" s="30"/>
      <c r="FW234" s="30"/>
      <c r="FX234" s="30"/>
      <c r="FY234" s="30"/>
      <c r="FZ234" s="30"/>
      <c r="GA234" s="30"/>
      <c r="GB234" s="30"/>
      <c r="GC234" s="30"/>
      <c r="GD234" s="30"/>
      <c r="GE234" s="30"/>
      <c r="GF234" s="30"/>
      <c r="GG234" s="30"/>
      <c r="GH234" s="30"/>
      <c r="GI234" s="30"/>
      <c r="GJ234" s="30"/>
      <c r="GK234" s="30"/>
      <c r="GL234" s="30"/>
      <c r="GM234" s="30"/>
      <c r="GN234" s="30"/>
      <c r="GO234" s="30"/>
      <c r="GP234" s="30"/>
      <c r="GQ234" s="30"/>
      <c r="GR234" s="30"/>
      <c r="GS234" s="30"/>
      <c r="GT234" s="30"/>
      <c r="GU234" s="30"/>
      <c r="GV234" s="30"/>
      <c r="GW234" s="30"/>
      <c r="GX234" s="30"/>
      <c r="GY234" s="30"/>
      <c r="GZ234" s="30"/>
      <c r="HA234" s="30"/>
      <c r="HB234" s="30"/>
      <c r="HC234" s="30"/>
      <c r="HD234" s="30"/>
      <c r="HE234" s="30"/>
      <c r="HF234" s="30"/>
      <c r="HG234" s="30"/>
      <c r="HH234" s="30"/>
      <c r="HI234" s="30"/>
      <c r="HJ234" s="30"/>
      <c r="HK234" s="30"/>
      <c r="HL234" s="30"/>
      <c r="HM234" s="30"/>
      <c r="HN234" s="30"/>
      <c r="HO234" s="30"/>
      <c r="HP234" s="30"/>
      <c r="HQ234" s="30"/>
      <c r="HR234" s="30"/>
      <c r="HS234" s="30"/>
      <c r="HT234" s="30"/>
      <c r="HU234" s="30"/>
      <c r="HV234" s="30"/>
      <c r="HW234" s="30"/>
      <c r="HX234" s="30"/>
      <c r="HY234" s="30"/>
      <c r="HZ234" s="30"/>
      <c r="IA234" s="30"/>
      <c r="IB234" s="30"/>
      <c r="IC234" s="30"/>
      <c r="ID234" s="30"/>
      <c r="IE234" s="30"/>
      <c r="IF234" s="30"/>
      <c r="IG234" s="30"/>
      <c r="IH234" s="30"/>
      <c r="II234" s="30"/>
      <c r="IJ234" s="30"/>
      <c r="IK234" s="30"/>
      <c r="IL234" s="30"/>
      <c r="IM234" s="30"/>
      <c r="IN234" s="30"/>
      <c r="IO234" s="30"/>
      <c r="IP234" s="30"/>
      <c r="IQ234" s="30"/>
      <c r="IR234" s="30"/>
      <c r="IS234" s="30"/>
      <c r="IT234" s="30"/>
      <c r="IU234" s="30"/>
      <c r="IV234" s="30"/>
      <c r="IW234" s="30"/>
      <c r="IX234" s="30"/>
      <c r="IY234" s="30"/>
      <c r="IZ234" s="30"/>
      <c r="JA234" s="30"/>
      <c r="JB234" s="30"/>
      <c r="JC234" s="30"/>
      <c r="JD234" s="30"/>
      <c r="JE234" s="30"/>
      <c r="JF234" s="30"/>
      <c r="JG234" s="30"/>
      <c r="JH234" s="30"/>
      <c r="JI234" s="30"/>
      <c r="JJ234" s="30"/>
      <c r="JK234" s="30"/>
      <c r="JL234" s="30"/>
      <c r="JM234" s="30"/>
      <c r="JN234" s="30"/>
      <c r="JO234" s="30"/>
      <c r="JP234" s="30"/>
      <c r="JQ234" s="30"/>
      <c r="JR234" s="30"/>
      <c r="JS234" s="30"/>
      <c r="JT234" s="30"/>
      <c r="JU234" s="30"/>
      <c r="JV234" s="30"/>
      <c r="JW234" s="30"/>
      <c r="JX234" s="30"/>
      <c r="JY234" s="30"/>
      <c r="JZ234" s="30"/>
      <c r="KA234" s="30"/>
      <c r="KB234" s="30"/>
      <c r="KC234" s="30"/>
      <c r="KD234" s="30"/>
      <c r="KE234" s="30"/>
      <c r="KF234" s="30"/>
      <c r="KG234" s="30"/>
      <c r="KH234" s="30"/>
      <c r="KI234" s="30"/>
      <c r="KJ234" s="30"/>
      <c r="KK234" s="30"/>
      <c r="KL234" s="30"/>
      <c r="KM234" s="30"/>
      <c r="KN234" s="30"/>
      <c r="KO234" s="30"/>
      <c r="KP234" s="1630"/>
    </row>
    <row r="235" spans="1:302" s="97" customFormat="1" ht="21" customHeight="1" outlineLevel="1">
      <c r="A235" s="2661" t="s">
        <v>1020</v>
      </c>
      <c r="B235" s="2609"/>
      <c r="C235" s="2582" t="s">
        <v>1026</v>
      </c>
      <c r="D235" s="2582" t="s">
        <v>1032</v>
      </c>
      <c r="E235" s="376"/>
      <c r="F235" s="347"/>
      <c r="G235" s="348"/>
      <c r="H235" s="349" t="s">
        <v>26</v>
      </c>
      <c r="I235" s="2936"/>
      <c r="J235" s="362" t="s">
        <v>26</v>
      </c>
      <c r="K235" s="1745"/>
      <c r="L235" s="383"/>
      <c r="M235" s="383"/>
      <c r="N235" s="383"/>
      <c r="O235" s="1510">
        <v>200000</v>
      </c>
      <c r="P235" s="383"/>
      <c r="Q235" s="383"/>
      <c r="R235" s="383"/>
      <c r="S235" s="1510">
        <f t="shared" si="241"/>
        <v>0</v>
      </c>
      <c r="T235" s="1509"/>
      <c r="U235" s="1746"/>
      <c r="V235" s="1746"/>
      <c r="W235" s="1510">
        <f t="shared" si="235"/>
        <v>200000</v>
      </c>
      <c r="X235" s="362" t="s">
        <v>26</v>
      </c>
      <c r="Y235" s="1509"/>
      <c r="Z235" s="1746"/>
      <c r="AA235" s="1746"/>
      <c r="AB235" s="1510">
        <f t="shared" si="236"/>
        <v>200000</v>
      </c>
      <c r="AC235" s="1442"/>
      <c r="AD235" s="1457"/>
      <c r="AE235" s="352"/>
      <c r="AF235" s="353"/>
      <c r="AG235" s="353"/>
      <c r="AH235" s="354">
        <f t="shared" si="242"/>
        <v>0</v>
      </c>
      <c r="AI235" s="355">
        <f t="shared" ca="1" si="232"/>
        <v>0</v>
      </c>
      <c r="AJ235" s="356">
        <f t="shared" ca="1" si="227"/>
        <v>0</v>
      </c>
      <c r="AK235" s="2185"/>
      <c r="AL235" s="2063"/>
      <c r="AM235" s="2261"/>
      <c r="AN235" s="2261"/>
      <c r="AO235" s="362"/>
      <c r="AP235" s="384"/>
      <c r="AQ235" s="362"/>
      <c r="AR235" s="362"/>
      <c r="AS235" s="362"/>
      <c r="AT235" s="385"/>
      <c r="AU235" s="359">
        <v>25000</v>
      </c>
      <c r="AV235" s="359">
        <v>25000</v>
      </c>
      <c r="AW235" s="377">
        <v>25000</v>
      </c>
      <c r="AX235" s="359">
        <v>25000</v>
      </c>
      <c r="AY235" s="360">
        <v>25000</v>
      </c>
      <c r="AZ235" s="2258">
        <v>25000</v>
      </c>
      <c r="BA235" s="359">
        <v>25000</v>
      </c>
      <c r="BB235" s="359">
        <v>25000</v>
      </c>
      <c r="BC235" s="359"/>
      <c r="BD235" s="359"/>
      <c r="BE235" s="362"/>
      <c r="BF235" s="362"/>
      <c r="BG235" s="362"/>
      <c r="BH235" s="362"/>
      <c r="BI235" s="362"/>
      <c r="BJ235" s="362"/>
      <c r="BK235" s="2123"/>
      <c r="BL235" s="414"/>
      <c r="BM235" s="414"/>
      <c r="BN235" s="414"/>
      <c r="BO235" s="414"/>
      <c r="BP235" s="414"/>
      <c r="BQ235" s="2399"/>
      <c r="BR235" s="362"/>
      <c r="BS235" s="362"/>
      <c r="BT235" s="362"/>
      <c r="BU235" s="364"/>
      <c r="BV235" s="364"/>
      <c r="BW235" s="2366"/>
      <c r="BX235" s="2463"/>
      <c r="BY235" s="2543"/>
      <c r="BZ235" s="2543"/>
      <c r="CA235" s="2432">
        <f t="shared" si="263"/>
        <v>200000</v>
      </c>
      <c r="CB235" s="2377">
        <f t="shared" si="264"/>
        <v>1</v>
      </c>
      <c r="CC235" s="365">
        <f t="shared" si="265"/>
        <v>5.0000000000000004E-6</v>
      </c>
      <c r="CD235" s="365">
        <f t="shared" si="258"/>
        <v>2.5000000000000001E-11</v>
      </c>
      <c r="CE235" s="365">
        <f t="shared" si="259"/>
        <v>1.2500000000000001E-16</v>
      </c>
      <c r="CF235" s="365">
        <f t="shared" si="260"/>
        <v>6.2500000000000006E-22</v>
      </c>
      <c r="CG235" s="340"/>
      <c r="CH235" s="367"/>
      <c r="CI235" s="368"/>
      <c r="CJ235" s="368"/>
      <c r="CK235" s="369"/>
      <c r="CL235" s="329">
        <f t="shared" si="261"/>
        <v>0</v>
      </c>
      <c r="CM235" s="330">
        <f t="shared" ca="1" si="262"/>
        <v>0</v>
      </c>
      <c r="CN235" s="331">
        <f t="shared" ca="1" si="272"/>
        <v>-75000</v>
      </c>
      <c r="CO235" s="86"/>
      <c r="CP235" s="86"/>
      <c r="CQ235" s="1641"/>
      <c r="CR235" s="86"/>
      <c r="CS235" s="86"/>
      <c r="CT235" s="86"/>
      <c r="CU235" s="86"/>
      <c r="CV235" s="86"/>
      <c r="CW235" s="86"/>
      <c r="CX235" s="86"/>
      <c r="CY235" s="86"/>
      <c r="CZ235" s="86"/>
      <c r="DA235" s="86"/>
      <c r="DB235" s="1642"/>
      <c r="DC235" s="1642"/>
      <c r="DD235" s="30"/>
      <c r="DE235" s="30"/>
      <c r="DF235" s="30"/>
      <c r="DG235" s="1642"/>
      <c r="DH235" s="1642"/>
      <c r="DI235" s="1642"/>
      <c r="DJ235" s="1642"/>
      <c r="DK235" s="1642"/>
      <c r="DL235" s="1642"/>
      <c r="DM235" s="1642"/>
      <c r="DN235" s="1642"/>
      <c r="DO235" s="1642"/>
      <c r="DP235" s="1642"/>
      <c r="DQ235" s="1642"/>
      <c r="DR235" s="1642"/>
      <c r="DS235" s="1642"/>
      <c r="DT235" s="1642"/>
      <c r="DU235" s="1642"/>
      <c r="DV235" s="1642"/>
      <c r="DW235" s="1642"/>
      <c r="DX235" s="1642"/>
      <c r="DY235" s="1642"/>
      <c r="DZ235" s="1642"/>
      <c r="EA235" s="1642"/>
      <c r="EB235" s="1642"/>
      <c r="EC235" s="1642"/>
      <c r="ED235" s="1642"/>
      <c r="EE235" s="1642"/>
      <c r="EF235" s="1642"/>
      <c r="EG235" s="1642"/>
      <c r="EH235" s="1643"/>
      <c r="EI235" s="1658"/>
      <c r="EJ235" s="1642"/>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c r="FV235" s="30"/>
      <c r="FW235" s="30"/>
      <c r="FX235" s="30"/>
      <c r="FY235" s="30"/>
      <c r="FZ235" s="30"/>
      <c r="GA235" s="30"/>
      <c r="GB235" s="30"/>
      <c r="GC235" s="30"/>
      <c r="GD235" s="30"/>
      <c r="GE235" s="30"/>
      <c r="GF235" s="30"/>
      <c r="GG235" s="30"/>
      <c r="GH235" s="30"/>
      <c r="GI235" s="30"/>
      <c r="GJ235" s="30"/>
      <c r="GK235" s="30"/>
      <c r="GL235" s="30"/>
      <c r="GM235" s="30"/>
      <c r="GN235" s="30"/>
      <c r="GO235" s="30"/>
      <c r="GP235" s="30"/>
      <c r="GQ235" s="30"/>
      <c r="GR235" s="30"/>
      <c r="GS235" s="30"/>
      <c r="GT235" s="30"/>
      <c r="GU235" s="30"/>
      <c r="GV235" s="30"/>
      <c r="GW235" s="30"/>
      <c r="GX235" s="30"/>
      <c r="GY235" s="30"/>
      <c r="GZ235" s="30"/>
      <c r="HA235" s="30"/>
      <c r="HB235" s="30"/>
      <c r="HC235" s="30"/>
      <c r="HD235" s="30"/>
      <c r="HE235" s="30"/>
      <c r="HF235" s="30"/>
      <c r="HG235" s="30"/>
      <c r="HH235" s="30"/>
      <c r="HI235" s="30"/>
      <c r="HJ235" s="30"/>
      <c r="HK235" s="30"/>
      <c r="HL235" s="30"/>
      <c r="HM235" s="30"/>
      <c r="HN235" s="30"/>
      <c r="HO235" s="30"/>
      <c r="HP235" s="30"/>
      <c r="HQ235" s="30"/>
      <c r="HR235" s="30"/>
      <c r="HS235" s="30"/>
      <c r="HT235" s="30"/>
      <c r="HU235" s="30"/>
      <c r="HV235" s="30"/>
      <c r="HW235" s="30"/>
      <c r="HX235" s="30"/>
      <c r="HY235" s="30"/>
      <c r="HZ235" s="30"/>
      <c r="IA235" s="30"/>
      <c r="IB235" s="30"/>
      <c r="IC235" s="30"/>
      <c r="ID235" s="30"/>
      <c r="IE235" s="30"/>
      <c r="IF235" s="30"/>
      <c r="IG235" s="30"/>
      <c r="IH235" s="30"/>
      <c r="II235" s="30"/>
      <c r="IJ235" s="30"/>
      <c r="IK235" s="30"/>
      <c r="IL235" s="30"/>
      <c r="IM235" s="30"/>
      <c r="IN235" s="30"/>
      <c r="IO235" s="30"/>
      <c r="IP235" s="30"/>
      <c r="IQ235" s="30"/>
      <c r="IR235" s="30"/>
      <c r="IS235" s="30"/>
      <c r="IT235" s="30"/>
      <c r="IU235" s="30"/>
      <c r="IV235" s="30"/>
      <c r="IW235" s="30"/>
      <c r="IX235" s="30"/>
      <c r="IY235" s="30"/>
      <c r="IZ235" s="30"/>
      <c r="JA235" s="30"/>
      <c r="JB235" s="30"/>
      <c r="JC235" s="30"/>
      <c r="JD235" s="30"/>
      <c r="JE235" s="30"/>
      <c r="JF235" s="30"/>
      <c r="JG235" s="30"/>
      <c r="JH235" s="30"/>
      <c r="JI235" s="30"/>
      <c r="JJ235" s="30"/>
      <c r="JK235" s="30"/>
      <c r="JL235" s="30"/>
      <c r="JM235" s="30"/>
      <c r="JN235" s="30"/>
      <c r="JO235" s="30"/>
      <c r="JP235" s="30"/>
      <c r="JQ235" s="30"/>
      <c r="JR235" s="30"/>
      <c r="JS235" s="30"/>
      <c r="JT235" s="30"/>
      <c r="JU235" s="30"/>
      <c r="JV235" s="30"/>
      <c r="JW235" s="30"/>
      <c r="JX235" s="30"/>
      <c r="JY235" s="30"/>
      <c r="JZ235" s="30"/>
      <c r="KA235" s="30"/>
      <c r="KB235" s="30"/>
      <c r="KC235" s="30"/>
      <c r="KD235" s="30"/>
      <c r="KE235" s="30"/>
      <c r="KF235" s="30"/>
      <c r="KG235" s="30"/>
      <c r="KH235" s="30"/>
      <c r="KI235" s="30"/>
      <c r="KJ235" s="30"/>
      <c r="KK235" s="30"/>
      <c r="KL235" s="30"/>
      <c r="KM235" s="30"/>
      <c r="KN235" s="30"/>
      <c r="KO235" s="30"/>
      <c r="KP235" s="1630"/>
    </row>
    <row r="236" spans="1:302" s="97" customFormat="1" ht="21" customHeight="1" outlineLevel="1">
      <c r="A236" s="2661" t="s">
        <v>1021</v>
      </c>
      <c r="B236" s="2609"/>
      <c r="C236" s="2582" t="s">
        <v>1027</v>
      </c>
      <c r="D236" s="2582" t="s">
        <v>1033</v>
      </c>
      <c r="E236" s="376"/>
      <c r="F236" s="347"/>
      <c r="G236" s="348"/>
      <c r="H236" s="349" t="s">
        <v>26</v>
      </c>
      <c r="I236" s="2936"/>
      <c r="J236" s="362" t="s">
        <v>26</v>
      </c>
      <c r="K236" s="1745"/>
      <c r="L236" s="383"/>
      <c r="M236" s="383"/>
      <c r="N236" s="383"/>
      <c r="O236" s="1510">
        <v>400000</v>
      </c>
      <c r="P236" s="383"/>
      <c r="Q236" s="383"/>
      <c r="R236" s="383"/>
      <c r="S236" s="1510">
        <f t="shared" si="241"/>
        <v>0</v>
      </c>
      <c r="T236" s="1509"/>
      <c r="U236" s="1746"/>
      <c r="V236" s="1746"/>
      <c r="W236" s="1510">
        <f>O236+S236</f>
        <v>400000</v>
      </c>
      <c r="X236" s="362" t="s">
        <v>26</v>
      </c>
      <c r="Y236" s="1509"/>
      <c r="Z236" s="1746"/>
      <c r="AA236" s="1746"/>
      <c r="AB236" s="1510">
        <f t="shared" si="236"/>
        <v>400000</v>
      </c>
      <c r="AC236" s="1442"/>
      <c r="AD236" s="1457"/>
      <c r="AE236" s="352"/>
      <c r="AF236" s="353"/>
      <c r="AG236" s="353"/>
      <c r="AH236" s="354">
        <f t="shared" si="242"/>
        <v>0</v>
      </c>
      <c r="AI236" s="355">
        <f t="shared" ca="1" si="232"/>
        <v>0</v>
      </c>
      <c r="AJ236" s="356">
        <f t="shared" ca="1" si="227"/>
        <v>0</v>
      </c>
      <c r="AK236" s="2185"/>
      <c r="AL236" s="2063"/>
      <c r="AM236" s="2261"/>
      <c r="AN236" s="2261"/>
      <c r="AO236" s="362"/>
      <c r="AP236" s="384"/>
      <c r="AQ236" s="362"/>
      <c r="AR236" s="362"/>
      <c r="AS236" s="362"/>
      <c r="AT236" s="385"/>
      <c r="AU236" s="359"/>
      <c r="AV236" s="359"/>
      <c r="AW236" s="377"/>
      <c r="AX236" s="359"/>
      <c r="AY236" s="360"/>
      <c r="AZ236" s="2258"/>
      <c r="BA236" s="359"/>
      <c r="BB236" s="362"/>
      <c r="BC236" s="362"/>
      <c r="BD236" s="359"/>
      <c r="BE236" s="362"/>
      <c r="BF236" s="362"/>
      <c r="BG236" s="362">
        <v>400000</v>
      </c>
      <c r="BH236" s="362"/>
      <c r="BI236" s="362"/>
      <c r="BJ236" s="362"/>
      <c r="BK236" s="2123"/>
      <c r="BL236" s="414"/>
      <c r="BM236" s="414"/>
      <c r="BN236" s="414"/>
      <c r="BO236" s="414"/>
      <c r="BP236" s="414"/>
      <c r="BQ236" s="2399"/>
      <c r="BR236" s="362"/>
      <c r="BS236" s="362"/>
      <c r="BT236" s="362"/>
      <c r="BU236" s="364"/>
      <c r="BV236" s="364"/>
      <c r="BW236" s="2366"/>
      <c r="BX236" s="2463"/>
      <c r="BY236" s="2543"/>
      <c r="BZ236" s="2543"/>
      <c r="CA236" s="2432">
        <f t="shared" si="263"/>
        <v>400000</v>
      </c>
      <c r="CB236" s="2377">
        <f t="shared" si="264"/>
        <v>1</v>
      </c>
      <c r="CC236" s="365">
        <f t="shared" si="265"/>
        <v>2.5000000000000002E-6</v>
      </c>
      <c r="CD236" s="366"/>
      <c r="CE236" s="343"/>
      <c r="CF236" s="343"/>
      <c r="CG236" s="340"/>
      <c r="CH236" s="367"/>
      <c r="CI236" s="368"/>
      <c r="CJ236" s="368"/>
      <c r="CK236" s="369"/>
      <c r="CL236" s="329">
        <f t="shared" si="261"/>
        <v>0</v>
      </c>
      <c r="CM236" s="330">
        <f t="shared" ca="1" si="262"/>
        <v>0</v>
      </c>
      <c r="CN236" s="331">
        <f t="shared" ca="1" si="272"/>
        <v>-400000</v>
      </c>
      <c r="CO236" s="86"/>
      <c r="CP236" s="86"/>
      <c r="CQ236" s="1641"/>
      <c r="CR236" s="86"/>
      <c r="CS236" s="86"/>
      <c r="CT236" s="86"/>
      <c r="CU236" s="86"/>
      <c r="CV236" s="86"/>
      <c r="CW236" s="86"/>
      <c r="CX236" s="86"/>
      <c r="CY236" s="86"/>
      <c r="CZ236" s="86"/>
      <c r="DA236" s="86"/>
      <c r="DB236" s="1642"/>
      <c r="DC236" s="1642"/>
      <c r="DD236" s="30"/>
      <c r="DE236" s="30"/>
      <c r="DF236" s="30"/>
      <c r="DG236" s="1642"/>
      <c r="DH236" s="1642"/>
      <c r="DI236" s="1642"/>
      <c r="DJ236" s="1642"/>
      <c r="DK236" s="1642"/>
      <c r="DL236" s="1642"/>
      <c r="DM236" s="1642"/>
      <c r="DN236" s="1642"/>
      <c r="DO236" s="1642"/>
      <c r="DP236" s="1642"/>
      <c r="DQ236" s="1642"/>
      <c r="DR236" s="1642"/>
      <c r="DS236" s="1642"/>
      <c r="DT236" s="1642"/>
      <c r="DU236" s="1642"/>
      <c r="DV236" s="1642"/>
      <c r="DW236" s="1642"/>
      <c r="DX236" s="1642"/>
      <c r="DY236" s="1642"/>
      <c r="DZ236" s="1642"/>
      <c r="EA236" s="1642"/>
      <c r="EB236" s="1642"/>
      <c r="EC236" s="1642"/>
      <c r="ED236" s="1642"/>
      <c r="EE236" s="1642"/>
      <c r="EF236" s="1642"/>
      <c r="EG236" s="1642"/>
      <c r="EH236" s="1643"/>
      <c r="EI236" s="1658"/>
      <c r="EJ236" s="1642"/>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0"/>
      <c r="HP236" s="30"/>
      <c r="HQ236" s="30"/>
      <c r="HR236" s="30"/>
      <c r="HS236" s="30"/>
      <c r="HT236" s="30"/>
      <c r="HU236" s="30"/>
      <c r="HV236" s="30"/>
      <c r="HW236" s="30"/>
      <c r="HX236" s="30"/>
      <c r="HY236" s="30"/>
      <c r="HZ236" s="30"/>
      <c r="IA236" s="30"/>
      <c r="IB236" s="30"/>
      <c r="IC236" s="30"/>
      <c r="ID236" s="30"/>
      <c r="IE236" s="30"/>
      <c r="IF236" s="30"/>
      <c r="IG236" s="30"/>
      <c r="IH236" s="30"/>
      <c r="II236" s="30"/>
      <c r="IJ236" s="30"/>
      <c r="IK236" s="30"/>
      <c r="IL236" s="30"/>
      <c r="IM236" s="30"/>
      <c r="IN236" s="30"/>
      <c r="IO236" s="30"/>
      <c r="IP236" s="30"/>
      <c r="IQ236" s="30"/>
      <c r="IR236" s="30"/>
      <c r="IS236" s="30"/>
      <c r="IT236" s="30"/>
      <c r="IU236" s="30"/>
      <c r="IV236" s="30"/>
      <c r="IW236" s="30"/>
      <c r="IX236" s="30"/>
      <c r="IY236" s="30"/>
      <c r="IZ236" s="30"/>
      <c r="JA236" s="30"/>
      <c r="JB236" s="30"/>
      <c r="JC236" s="30"/>
      <c r="JD236" s="30"/>
      <c r="JE236" s="30"/>
      <c r="JF236" s="30"/>
      <c r="JG236" s="30"/>
      <c r="JH236" s="30"/>
      <c r="JI236" s="30"/>
      <c r="JJ236" s="30"/>
      <c r="JK236" s="30"/>
      <c r="JL236" s="30"/>
      <c r="JM236" s="30"/>
      <c r="JN236" s="30"/>
      <c r="JO236" s="30"/>
      <c r="JP236" s="30"/>
      <c r="JQ236" s="30"/>
      <c r="JR236" s="30"/>
      <c r="JS236" s="30"/>
      <c r="JT236" s="30"/>
      <c r="JU236" s="30"/>
      <c r="JV236" s="30"/>
      <c r="JW236" s="30"/>
      <c r="JX236" s="30"/>
      <c r="JY236" s="30"/>
      <c r="JZ236" s="30"/>
      <c r="KA236" s="30"/>
      <c r="KB236" s="30"/>
      <c r="KC236" s="30"/>
      <c r="KD236" s="30"/>
      <c r="KE236" s="30"/>
      <c r="KF236" s="30"/>
      <c r="KG236" s="30"/>
      <c r="KH236" s="30"/>
      <c r="KI236" s="30"/>
      <c r="KJ236" s="30"/>
      <c r="KK236" s="30"/>
      <c r="KL236" s="30"/>
      <c r="KM236" s="30"/>
      <c r="KN236" s="30"/>
      <c r="KO236" s="30"/>
      <c r="KP236" s="1630"/>
    </row>
    <row r="237" spans="1:302" s="97" customFormat="1" ht="21" customHeight="1" outlineLevel="1">
      <c r="A237" s="2661" t="s">
        <v>1022</v>
      </c>
      <c r="B237" s="2609"/>
      <c r="C237" s="2582" t="s">
        <v>1028</v>
      </c>
      <c r="D237" s="2582" t="s">
        <v>1034</v>
      </c>
      <c r="E237" s="376"/>
      <c r="F237" s="347"/>
      <c r="G237" s="348"/>
      <c r="H237" s="349" t="s">
        <v>26</v>
      </c>
      <c r="I237" s="2936"/>
      <c r="J237" s="362" t="s">
        <v>26</v>
      </c>
      <c r="K237" s="1745"/>
      <c r="L237" s="383"/>
      <c r="M237" s="383"/>
      <c r="N237" s="383"/>
      <c r="O237" s="1510">
        <v>700000</v>
      </c>
      <c r="P237" s="383"/>
      <c r="Q237" s="383"/>
      <c r="R237" s="383"/>
      <c r="S237" s="1510">
        <f t="shared" si="241"/>
        <v>0</v>
      </c>
      <c r="T237" s="1509"/>
      <c r="U237" s="1746"/>
      <c r="V237" s="1746"/>
      <c r="W237" s="1510">
        <f t="shared" si="235"/>
        <v>700000</v>
      </c>
      <c r="X237" s="362" t="s">
        <v>26</v>
      </c>
      <c r="Y237" s="1509"/>
      <c r="Z237" s="1746"/>
      <c r="AA237" s="1746"/>
      <c r="AB237" s="1510">
        <f t="shared" si="236"/>
        <v>700000</v>
      </c>
      <c r="AC237" s="1442"/>
      <c r="AD237" s="1457"/>
      <c r="AE237" s="352"/>
      <c r="AF237" s="353"/>
      <c r="AG237" s="353"/>
      <c r="AH237" s="354">
        <f t="shared" si="242"/>
        <v>0</v>
      </c>
      <c r="AI237" s="355">
        <f t="shared" ca="1" si="232"/>
        <v>0</v>
      </c>
      <c r="AJ237" s="356">
        <f t="shared" ca="1" si="227"/>
        <v>0</v>
      </c>
      <c r="AK237" s="2185"/>
      <c r="AL237" s="2063"/>
      <c r="AM237" s="2261"/>
      <c r="AN237" s="2261"/>
      <c r="AO237" s="362"/>
      <c r="AP237" s="384"/>
      <c r="AQ237" s="362"/>
      <c r="AR237" s="362"/>
      <c r="AS237" s="362"/>
      <c r="AT237" s="385"/>
      <c r="AU237" s="359">
        <v>87500</v>
      </c>
      <c r="AV237" s="359">
        <v>87500</v>
      </c>
      <c r="AW237" s="377">
        <v>87500</v>
      </c>
      <c r="AX237" s="359">
        <v>87500</v>
      </c>
      <c r="AY237" s="360">
        <v>87500</v>
      </c>
      <c r="AZ237" s="2258">
        <v>87500</v>
      </c>
      <c r="BA237" s="359">
        <v>87500</v>
      </c>
      <c r="BB237" s="359">
        <v>87500</v>
      </c>
      <c r="BC237" s="359"/>
      <c r="BD237" s="359"/>
      <c r="BE237" s="362"/>
      <c r="BF237" s="362"/>
      <c r="BG237" s="362"/>
      <c r="BH237" s="362"/>
      <c r="BI237" s="362"/>
      <c r="BJ237" s="362"/>
      <c r="BK237" s="2123"/>
      <c r="BL237" s="414"/>
      <c r="BM237" s="414"/>
      <c r="BN237" s="414"/>
      <c r="BO237" s="414"/>
      <c r="BP237" s="414"/>
      <c r="BQ237" s="2399"/>
      <c r="BR237" s="362"/>
      <c r="BS237" s="362"/>
      <c r="BT237" s="362"/>
      <c r="BU237" s="364"/>
      <c r="BV237" s="364"/>
      <c r="BW237" s="2366"/>
      <c r="BX237" s="2463"/>
      <c r="BY237" s="2543"/>
      <c r="BZ237" s="2543"/>
      <c r="CA237" s="2432">
        <f t="shared" si="263"/>
        <v>700000</v>
      </c>
      <c r="CB237" s="2377">
        <f t="shared" si="264"/>
        <v>1</v>
      </c>
      <c r="CC237" s="365">
        <f t="shared" si="265"/>
        <v>1.4285714285714286E-6</v>
      </c>
      <c r="CD237" s="366"/>
      <c r="CE237" s="343"/>
      <c r="CF237" s="343"/>
      <c r="CG237" s="340"/>
      <c r="CH237" s="367"/>
      <c r="CI237" s="368"/>
      <c r="CJ237" s="368"/>
      <c r="CK237" s="369"/>
      <c r="CL237" s="329">
        <f t="shared" si="261"/>
        <v>0</v>
      </c>
      <c r="CM237" s="330">
        <f t="shared" ca="1" si="262"/>
        <v>0</v>
      </c>
      <c r="CN237" s="331">
        <f t="shared" ca="1" si="272"/>
        <v>-262500</v>
      </c>
      <c r="CO237" s="86"/>
      <c r="CP237" s="86"/>
      <c r="CQ237" s="1641"/>
      <c r="CR237" s="86"/>
      <c r="CS237" s="86"/>
      <c r="CT237" s="86"/>
      <c r="CU237" s="86"/>
      <c r="CV237" s="86"/>
      <c r="CW237" s="86"/>
      <c r="CX237" s="86"/>
      <c r="CY237" s="86"/>
      <c r="CZ237" s="86"/>
      <c r="DA237" s="86"/>
      <c r="DB237" s="1642"/>
      <c r="DC237" s="1642"/>
      <c r="DD237" s="30"/>
      <c r="DE237" s="30"/>
      <c r="DF237" s="30"/>
      <c r="DG237" s="1642"/>
      <c r="DH237" s="1642"/>
      <c r="DI237" s="1642"/>
      <c r="DJ237" s="1642"/>
      <c r="DK237" s="1642"/>
      <c r="DL237" s="1642"/>
      <c r="DM237" s="1642"/>
      <c r="DN237" s="1642"/>
      <c r="DO237" s="1642"/>
      <c r="DP237" s="1642"/>
      <c r="DQ237" s="1642"/>
      <c r="DR237" s="1642"/>
      <c r="DS237" s="1642"/>
      <c r="DT237" s="1642"/>
      <c r="DU237" s="1642"/>
      <c r="DV237" s="1642"/>
      <c r="DW237" s="1642"/>
      <c r="DX237" s="1642"/>
      <c r="DY237" s="1642"/>
      <c r="DZ237" s="1642"/>
      <c r="EA237" s="1642"/>
      <c r="EB237" s="1642"/>
      <c r="EC237" s="1642"/>
      <c r="ED237" s="1642"/>
      <c r="EE237" s="1642"/>
      <c r="EF237" s="1642"/>
      <c r="EG237" s="1642"/>
      <c r="EH237" s="1643"/>
      <c r="EI237" s="1658"/>
      <c r="EJ237" s="1642"/>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0"/>
      <c r="HP237" s="30"/>
      <c r="HQ237" s="30"/>
      <c r="HR237" s="30"/>
      <c r="HS237" s="30"/>
      <c r="HT237" s="30"/>
      <c r="HU237" s="30"/>
      <c r="HV237" s="30"/>
      <c r="HW237" s="30"/>
      <c r="HX237" s="30"/>
      <c r="HY237" s="30"/>
      <c r="HZ237" s="30"/>
      <c r="IA237" s="30"/>
      <c r="IB237" s="30"/>
      <c r="IC237" s="30"/>
      <c r="ID237" s="30"/>
      <c r="IE237" s="30"/>
      <c r="IF237" s="30"/>
      <c r="IG237" s="30"/>
      <c r="IH237" s="30"/>
      <c r="II237" s="30"/>
      <c r="IJ237" s="30"/>
      <c r="IK237" s="30"/>
      <c r="IL237" s="30"/>
      <c r="IM237" s="30"/>
      <c r="IN237" s="30"/>
      <c r="IO237" s="30"/>
      <c r="IP237" s="30"/>
      <c r="IQ237" s="30"/>
      <c r="IR237" s="30"/>
      <c r="IS237" s="30"/>
      <c r="IT237" s="30"/>
      <c r="IU237" s="30"/>
      <c r="IV237" s="30"/>
      <c r="IW237" s="30"/>
      <c r="IX237" s="30"/>
      <c r="IY237" s="30"/>
      <c r="IZ237" s="30"/>
      <c r="JA237" s="30"/>
      <c r="JB237" s="30"/>
      <c r="JC237" s="30"/>
      <c r="JD237" s="30"/>
      <c r="JE237" s="30"/>
      <c r="JF237" s="30"/>
      <c r="JG237" s="30"/>
      <c r="JH237" s="30"/>
      <c r="JI237" s="30"/>
      <c r="JJ237" s="30"/>
      <c r="JK237" s="30"/>
      <c r="JL237" s="30"/>
      <c r="JM237" s="30"/>
      <c r="JN237" s="30"/>
      <c r="JO237" s="30"/>
      <c r="JP237" s="30"/>
      <c r="JQ237" s="30"/>
      <c r="JR237" s="30"/>
      <c r="JS237" s="30"/>
      <c r="JT237" s="30"/>
      <c r="JU237" s="30"/>
      <c r="JV237" s="30"/>
      <c r="JW237" s="30"/>
      <c r="JX237" s="30"/>
      <c r="JY237" s="30"/>
      <c r="JZ237" s="30"/>
      <c r="KA237" s="30"/>
      <c r="KB237" s="30"/>
      <c r="KC237" s="30"/>
      <c r="KD237" s="30"/>
      <c r="KE237" s="30"/>
      <c r="KF237" s="30"/>
      <c r="KG237" s="30"/>
      <c r="KH237" s="30"/>
      <c r="KI237" s="30"/>
      <c r="KJ237" s="30"/>
      <c r="KK237" s="30"/>
      <c r="KL237" s="30"/>
      <c r="KM237" s="30"/>
      <c r="KN237" s="30"/>
      <c r="KO237" s="30"/>
      <c r="KP237" s="1630"/>
    </row>
    <row r="238" spans="1:302" s="97" customFormat="1" ht="21" customHeight="1" outlineLevel="1">
      <c r="A238" s="2587" t="s">
        <v>1035</v>
      </c>
      <c r="B238" s="2605"/>
      <c r="C238" s="2587" t="s">
        <v>1053</v>
      </c>
      <c r="D238" s="2587" t="s">
        <v>1070</v>
      </c>
      <c r="E238" s="376"/>
      <c r="F238" s="347"/>
      <c r="G238" s="348"/>
      <c r="H238" s="349" t="s">
        <v>26</v>
      </c>
      <c r="I238" s="2936"/>
      <c r="J238" s="362" t="s">
        <v>26</v>
      </c>
      <c r="K238" s="1745"/>
      <c r="L238" s="383"/>
      <c r="M238" s="383"/>
      <c r="N238" s="383"/>
      <c r="O238" s="1510">
        <v>1850000</v>
      </c>
      <c r="P238" s="383"/>
      <c r="Q238" s="383"/>
      <c r="R238" s="383"/>
      <c r="S238" s="1510">
        <f t="shared" si="241"/>
        <v>0</v>
      </c>
      <c r="T238" s="1509"/>
      <c r="U238" s="1746"/>
      <c r="V238" s="1746"/>
      <c r="W238" s="1510">
        <f t="shared" si="235"/>
        <v>1850000</v>
      </c>
      <c r="X238" s="362" t="s">
        <v>26</v>
      </c>
      <c r="Y238" s="1509"/>
      <c r="Z238" s="1746"/>
      <c r="AA238" s="1746"/>
      <c r="AB238" s="1510">
        <f t="shared" si="236"/>
        <v>1850000</v>
      </c>
      <c r="AC238" s="1442"/>
      <c r="AD238" s="1457"/>
      <c r="AE238" s="352"/>
      <c r="AF238" s="353"/>
      <c r="AG238" s="353"/>
      <c r="AH238" s="354">
        <f t="shared" si="242"/>
        <v>0</v>
      </c>
      <c r="AI238" s="355">
        <f t="shared" ca="1" si="232"/>
        <v>0</v>
      </c>
      <c r="AJ238" s="356">
        <f t="shared" ca="1" si="227"/>
        <v>0</v>
      </c>
      <c r="AK238" s="2185"/>
      <c r="AL238" s="2063"/>
      <c r="AM238" s="2261"/>
      <c r="AN238" s="2261"/>
      <c r="AO238" s="362"/>
      <c r="AP238" s="384"/>
      <c r="AQ238" s="362"/>
      <c r="AR238" s="362"/>
      <c r="AS238" s="362"/>
      <c r="AT238" s="385"/>
      <c r="AU238" s="359">
        <v>92500</v>
      </c>
      <c r="AV238" s="359">
        <v>92500</v>
      </c>
      <c r="AW238" s="377">
        <v>185000</v>
      </c>
      <c r="AX238" s="359">
        <v>185000</v>
      </c>
      <c r="AY238" s="360">
        <v>185000</v>
      </c>
      <c r="AZ238" s="2258">
        <v>185000</v>
      </c>
      <c r="BA238" s="359">
        <v>185000</v>
      </c>
      <c r="BB238" s="359">
        <v>185000</v>
      </c>
      <c r="BC238" s="359">
        <v>185000</v>
      </c>
      <c r="BD238" s="359">
        <v>185000</v>
      </c>
      <c r="BE238" s="362">
        <v>185000</v>
      </c>
      <c r="BF238" s="362"/>
      <c r="BG238" s="362"/>
      <c r="BH238" s="362"/>
      <c r="BI238" s="414"/>
      <c r="BJ238" s="362"/>
      <c r="BK238" s="2123"/>
      <c r="BL238" s="414"/>
      <c r="BM238" s="414"/>
      <c r="BN238" s="414"/>
      <c r="BO238" s="414"/>
      <c r="BP238" s="414"/>
      <c r="BQ238" s="2399"/>
      <c r="BR238" s="362"/>
      <c r="BS238" s="362"/>
      <c r="BT238" s="362"/>
      <c r="BU238" s="364"/>
      <c r="BV238" s="364"/>
      <c r="BW238" s="2366"/>
      <c r="BX238" s="2463"/>
      <c r="BY238" s="2543"/>
      <c r="BZ238" s="2543"/>
      <c r="CA238" s="2432">
        <f t="shared" si="263"/>
        <v>1850000</v>
      </c>
      <c r="CB238" s="2377">
        <f t="shared" si="264"/>
        <v>1</v>
      </c>
      <c r="CC238" s="365">
        <f t="shared" si="265"/>
        <v>5.4054054054054058E-7</v>
      </c>
      <c r="CD238" s="366"/>
      <c r="CE238" s="343"/>
      <c r="CF238" s="343"/>
      <c r="CG238" s="340"/>
      <c r="CH238" s="367"/>
      <c r="CI238" s="368"/>
      <c r="CJ238" s="368"/>
      <c r="CK238" s="369"/>
      <c r="CL238" s="329">
        <f t="shared" si="261"/>
        <v>0</v>
      </c>
      <c r="CM238" s="330">
        <f t="shared" ca="1" si="262"/>
        <v>0</v>
      </c>
      <c r="CN238" s="331">
        <f t="shared" ca="1" si="272"/>
        <v>-1110000</v>
      </c>
      <c r="CO238" s="86"/>
      <c r="CP238" s="86"/>
      <c r="CQ238" s="1641"/>
      <c r="CR238" s="86"/>
      <c r="CS238" s="86"/>
      <c r="CT238" s="86"/>
      <c r="CU238" s="86"/>
      <c r="CV238" s="86"/>
      <c r="CW238" s="86"/>
      <c r="CX238" s="86"/>
      <c r="CY238" s="86"/>
      <c r="CZ238" s="86"/>
      <c r="DA238" s="86"/>
      <c r="DB238" s="1642"/>
      <c r="DC238" s="1642"/>
      <c r="DD238" s="30"/>
      <c r="DE238" s="30"/>
      <c r="DF238" s="30"/>
      <c r="DG238" s="1642"/>
      <c r="DH238" s="1642"/>
      <c r="DI238" s="1642"/>
      <c r="DJ238" s="1642"/>
      <c r="DK238" s="1642"/>
      <c r="DL238" s="1642"/>
      <c r="DM238" s="1642"/>
      <c r="DN238" s="1642"/>
      <c r="DO238" s="1642"/>
      <c r="DP238" s="1642"/>
      <c r="DQ238" s="1642"/>
      <c r="DR238" s="1642"/>
      <c r="DS238" s="1642"/>
      <c r="DT238" s="1642"/>
      <c r="DU238" s="1642"/>
      <c r="DV238" s="1642"/>
      <c r="DW238" s="1642"/>
      <c r="DX238" s="1642"/>
      <c r="DY238" s="1642"/>
      <c r="DZ238" s="1642"/>
      <c r="EA238" s="1642"/>
      <c r="EB238" s="1642"/>
      <c r="EC238" s="1642"/>
      <c r="ED238" s="1642"/>
      <c r="EE238" s="1642"/>
      <c r="EF238" s="1642"/>
      <c r="EG238" s="1642"/>
      <c r="EH238" s="1643"/>
      <c r="EI238" s="1658"/>
      <c r="EJ238" s="1642"/>
      <c r="EK238" s="30"/>
      <c r="EL238" s="30"/>
      <c r="EM238" s="30"/>
      <c r="EN238" s="30"/>
      <c r="EO238" s="30"/>
      <c r="EP238" s="30"/>
      <c r="EQ238" s="30"/>
      <c r="ER238" s="30"/>
      <c r="ES238" s="30"/>
      <c r="ET238" s="30"/>
      <c r="EU238" s="30"/>
      <c r="EV238" s="30"/>
      <c r="EW238" s="30"/>
      <c r="EX238" s="30"/>
      <c r="EY238" s="30"/>
      <c r="EZ238" s="30"/>
      <c r="FA238" s="30"/>
      <c r="FB238" s="30"/>
      <c r="FC238" s="30"/>
      <c r="FD238" s="30"/>
      <c r="FE238" s="30"/>
      <c r="FF238" s="30"/>
      <c r="FG238" s="30"/>
      <c r="FH238" s="30"/>
      <c r="FI238" s="30"/>
      <c r="FJ238" s="30"/>
      <c r="FK238" s="30"/>
      <c r="FL238" s="30"/>
      <c r="FM238" s="30"/>
      <c r="FN238" s="30"/>
      <c r="FO238" s="30"/>
      <c r="FP238" s="30"/>
      <c r="FQ238" s="30"/>
      <c r="FR238" s="30"/>
      <c r="FS238" s="30"/>
      <c r="FT238" s="30"/>
      <c r="FU238" s="30"/>
      <c r="FV238" s="30"/>
      <c r="FW238" s="30"/>
      <c r="FX238" s="30"/>
      <c r="FY238" s="30"/>
      <c r="FZ238" s="30"/>
      <c r="GA238" s="30"/>
      <c r="GB238" s="30"/>
      <c r="GC238" s="30"/>
      <c r="GD238" s="30"/>
      <c r="GE238" s="30"/>
      <c r="GF238" s="30"/>
      <c r="GG238" s="30"/>
      <c r="GH238" s="30"/>
      <c r="GI238" s="30"/>
      <c r="GJ238" s="30"/>
      <c r="GK238" s="30"/>
      <c r="GL238" s="30"/>
      <c r="GM238" s="30"/>
      <c r="GN238" s="30"/>
      <c r="GO238" s="30"/>
      <c r="GP238" s="30"/>
      <c r="GQ238" s="30"/>
      <c r="GR238" s="30"/>
      <c r="GS238" s="30"/>
      <c r="GT238" s="30"/>
      <c r="GU238" s="30"/>
      <c r="GV238" s="30"/>
      <c r="GW238" s="30"/>
      <c r="GX238" s="30"/>
      <c r="GY238" s="30"/>
      <c r="GZ238" s="30"/>
      <c r="HA238" s="30"/>
      <c r="HB238" s="30"/>
      <c r="HC238" s="30"/>
      <c r="HD238" s="30"/>
      <c r="HE238" s="30"/>
      <c r="HF238" s="30"/>
      <c r="HG238" s="30"/>
      <c r="HH238" s="30"/>
      <c r="HI238" s="30"/>
      <c r="HJ238" s="30"/>
      <c r="HK238" s="30"/>
      <c r="HL238" s="30"/>
      <c r="HM238" s="30"/>
      <c r="HN238" s="30"/>
      <c r="HO238" s="30"/>
      <c r="HP238" s="30"/>
      <c r="HQ238" s="30"/>
      <c r="HR238" s="30"/>
      <c r="HS238" s="30"/>
      <c r="HT238" s="30"/>
      <c r="HU238" s="30"/>
      <c r="HV238" s="30"/>
      <c r="HW238" s="30"/>
      <c r="HX238" s="30"/>
      <c r="HY238" s="30"/>
      <c r="HZ238" s="30"/>
      <c r="IA238" s="30"/>
      <c r="IB238" s="30"/>
      <c r="IC238" s="30"/>
      <c r="ID238" s="30"/>
      <c r="IE238" s="30"/>
      <c r="IF238" s="30"/>
      <c r="IG238" s="30"/>
      <c r="IH238" s="30"/>
      <c r="II238" s="30"/>
      <c r="IJ238" s="30"/>
      <c r="IK238" s="30"/>
      <c r="IL238" s="30"/>
      <c r="IM238" s="30"/>
      <c r="IN238" s="30"/>
      <c r="IO238" s="30"/>
      <c r="IP238" s="30"/>
      <c r="IQ238" s="30"/>
      <c r="IR238" s="30"/>
      <c r="IS238" s="30"/>
      <c r="IT238" s="30"/>
      <c r="IU238" s="30"/>
      <c r="IV238" s="30"/>
      <c r="IW238" s="30"/>
      <c r="IX238" s="30"/>
      <c r="IY238" s="30"/>
      <c r="IZ238" s="30"/>
      <c r="JA238" s="30"/>
      <c r="JB238" s="30"/>
      <c r="JC238" s="30"/>
      <c r="JD238" s="30"/>
      <c r="JE238" s="30"/>
      <c r="JF238" s="30"/>
      <c r="JG238" s="30"/>
      <c r="JH238" s="30"/>
      <c r="JI238" s="30"/>
      <c r="JJ238" s="30"/>
      <c r="JK238" s="30"/>
      <c r="JL238" s="30"/>
      <c r="JM238" s="30"/>
      <c r="JN238" s="30"/>
      <c r="JO238" s="30"/>
      <c r="JP238" s="30"/>
      <c r="JQ238" s="30"/>
      <c r="JR238" s="30"/>
      <c r="JS238" s="30"/>
      <c r="JT238" s="30"/>
      <c r="JU238" s="30"/>
      <c r="JV238" s="30"/>
      <c r="JW238" s="30"/>
      <c r="JX238" s="30"/>
      <c r="JY238" s="30"/>
      <c r="JZ238" s="30"/>
      <c r="KA238" s="30"/>
      <c r="KB238" s="30"/>
      <c r="KC238" s="30"/>
      <c r="KD238" s="30"/>
      <c r="KE238" s="30"/>
      <c r="KF238" s="30"/>
      <c r="KG238" s="30"/>
      <c r="KH238" s="30"/>
      <c r="KI238" s="30"/>
      <c r="KJ238" s="30"/>
      <c r="KK238" s="30"/>
      <c r="KL238" s="30"/>
      <c r="KM238" s="30"/>
      <c r="KN238" s="30"/>
      <c r="KO238" s="30"/>
      <c r="KP238" s="1630"/>
    </row>
    <row r="239" spans="1:302" s="97" customFormat="1" ht="21" customHeight="1" outlineLevel="1">
      <c r="A239" s="2587" t="s">
        <v>1036</v>
      </c>
      <c r="B239" s="2605"/>
      <c r="C239" s="2587" t="s">
        <v>1054</v>
      </c>
      <c r="D239" s="2587" t="s">
        <v>1071</v>
      </c>
      <c r="E239" s="376"/>
      <c r="F239" s="347"/>
      <c r="G239" s="348"/>
      <c r="H239" s="349" t="s">
        <v>26</v>
      </c>
      <c r="I239" s="2936"/>
      <c r="J239" s="362" t="s">
        <v>26</v>
      </c>
      <c r="K239" s="1745"/>
      <c r="L239" s="383"/>
      <c r="M239" s="383"/>
      <c r="N239" s="383"/>
      <c r="O239" s="1510">
        <v>11000000</v>
      </c>
      <c r="P239" s="383"/>
      <c r="Q239" s="383"/>
      <c r="R239" s="383"/>
      <c r="S239" s="1510">
        <f t="shared" si="241"/>
        <v>0</v>
      </c>
      <c r="T239" s="1509"/>
      <c r="U239" s="1746"/>
      <c r="V239" s="1746"/>
      <c r="W239" s="1510">
        <f t="shared" si="235"/>
        <v>11000000</v>
      </c>
      <c r="X239" s="362" t="s">
        <v>26</v>
      </c>
      <c r="Y239" s="1509"/>
      <c r="Z239" s="1746"/>
      <c r="AA239" s="1746"/>
      <c r="AB239" s="1510">
        <f t="shared" si="236"/>
        <v>10999999.998000003</v>
      </c>
      <c r="AC239" s="1442"/>
      <c r="AD239" s="1457"/>
      <c r="AE239" s="352"/>
      <c r="AF239" s="353"/>
      <c r="AG239" s="353"/>
      <c r="AH239" s="354">
        <f t="shared" si="242"/>
        <v>0</v>
      </c>
      <c r="AI239" s="355">
        <f t="shared" ca="1" si="232"/>
        <v>0</v>
      </c>
      <c r="AJ239" s="356">
        <f t="shared" ca="1" si="227"/>
        <v>0</v>
      </c>
      <c r="AK239" s="2185"/>
      <c r="AL239" s="2063"/>
      <c r="AM239" s="2262"/>
      <c r="AN239" s="2262"/>
      <c r="AO239" s="1509"/>
      <c r="AP239" s="384"/>
      <c r="AQ239" s="1509"/>
      <c r="AR239" s="362"/>
      <c r="AS239" s="362"/>
      <c r="AT239" s="385"/>
      <c r="AU239" s="359"/>
      <c r="AV239" s="359"/>
      <c r="AW239" s="377"/>
      <c r="AX239" s="359"/>
      <c r="AY239" s="360"/>
      <c r="AZ239" s="2273"/>
      <c r="BA239" s="497">
        <v>846153.84600000002</v>
      </c>
      <c r="BB239" s="359">
        <v>846153.84600000002</v>
      </c>
      <c r="BC239" s="359">
        <v>846153.84600000002</v>
      </c>
      <c r="BD239" s="359">
        <v>846153.84600000002</v>
      </c>
      <c r="BE239" s="362">
        <v>846153.84600000002</v>
      </c>
      <c r="BF239" s="362">
        <v>846153.84600000002</v>
      </c>
      <c r="BG239" s="362">
        <v>846153.84600000002</v>
      </c>
      <c r="BH239" s="362">
        <v>846153.84600000002</v>
      </c>
      <c r="BI239" s="414">
        <v>846153.84600000002</v>
      </c>
      <c r="BJ239" s="362">
        <v>846153.84600000002</v>
      </c>
      <c r="BK239" s="2123">
        <v>846153.84600000002</v>
      </c>
      <c r="BL239" s="414">
        <v>846153.84600000002</v>
      </c>
      <c r="BM239" s="414">
        <v>846153.84600000002</v>
      </c>
      <c r="BN239" s="414"/>
      <c r="BO239" s="414"/>
      <c r="BP239" s="414"/>
      <c r="BQ239" s="2399"/>
      <c r="BR239" s="362"/>
      <c r="BS239" s="362"/>
      <c r="BT239" s="362"/>
      <c r="BU239" s="364"/>
      <c r="BV239" s="364"/>
      <c r="BW239" s="2366"/>
      <c r="BX239" s="2463"/>
      <c r="BY239" s="2543"/>
      <c r="BZ239" s="2543"/>
      <c r="CA239" s="2432">
        <f t="shared" si="263"/>
        <v>10999999.998000003</v>
      </c>
      <c r="CB239" s="2377">
        <f t="shared" si="264"/>
        <v>1</v>
      </c>
      <c r="CC239" s="365">
        <f t="shared" si="265"/>
        <v>9.090909092561981E-8</v>
      </c>
      <c r="CD239" s="366"/>
      <c r="CE239" s="343"/>
      <c r="CF239" s="343"/>
      <c r="CG239" s="340"/>
      <c r="CH239" s="367"/>
      <c r="CI239" s="368"/>
      <c r="CJ239" s="368"/>
      <c r="CK239" s="369"/>
      <c r="CL239" s="329">
        <f t="shared" si="261"/>
        <v>1.9999966025352478E-3</v>
      </c>
      <c r="CM239" s="330">
        <f t="shared" ca="1" si="262"/>
        <v>0</v>
      </c>
      <c r="CN239" s="331">
        <f t="shared" ca="1" si="272"/>
        <v>-10999999.998000003</v>
      </c>
      <c r="CO239" s="86"/>
      <c r="CP239" s="86"/>
      <c r="CQ239" s="1641"/>
      <c r="CR239" s="86"/>
      <c r="CS239" s="86"/>
      <c r="CT239" s="86"/>
      <c r="CU239" s="86"/>
      <c r="CV239" s="86"/>
      <c r="CW239" s="86"/>
      <c r="CX239" s="86"/>
      <c r="CY239" s="86"/>
      <c r="CZ239" s="86"/>
      <c r="DA239" s="86"/>
      <c r="DB239" s="1642"/>
      <c r="DC239" s="1642"/>
      <c r="DD239" s="30"/>
      <c r="DE239" s="30"/>
      <c r="DF239" s="30"/>
      <c r="DG239" s="1642"/>
      <c r="DH239" s="1642"/>
      <c r="DI239" s="1642"/>
      <c r="DJ239" s="1642"/>
      <c r="DK239" s="1642"/>
      <c r="DL239" s="1642"/>
      <c r="DM239" s="1642"/>
      <c r="DN239" s="1642"/>
      <c r="DO239" s="1642"/>
      <c r="DP239" s="1642"/>
      <c r="DQ239" s="1642"/>
      <c r="DR239" s="1642"/>
      <c r="DS239" s="1642"/>
      <c r="DT239" s="1642"/>
      <c r="DU239" s="1642"/>
      <c r="DV239" s="1642"/>
      <c r="DW239" s="1642"/>
      <c r="DX239" s="1642"/>
      <c r="DY239" s="1642"/>
      <c r="DZ239" s="1642"/>
      <c r="EA239" s="1642"/>
      <c r="EB239" s="1642"/>
      <c r="EC239" s="1642"/>
      <c r="ED239" s="1642"/>
      <c r="EE239" s="1642"/>
      <c r="EF239" s="1642"/>
      <c r="EG239" s="1642"/>
      <c r="EH239" s="1643"/>
      <c r="EI239" s="1658"/>
      <c r="EJ239" s="1642"/>
      <c r="EK239" s="30"/>
      <c r="EL239" s="30"/>
      <c r="EM239" s="30"/>
      <c r="EN239" s="30"/>
      <c r="EO239" s="30"/>
      <c r="EP239" s="30"/>
      <c r="EQ239" s="30"/>
      <c r="ER239" s="30"/>
      <c r="ES239" s="30"/>
      <c r="ET239" s="30"/>
      <c r="EU239" s="30"/>
      <c r="EV239" s="30"/>
      <c r="EW239" s="30"/>
      <c r="EX239" s="30"/>
      <c r="EY239" s="30"/>
      <c r="EZ239" s="30"/>
      <c r="FA239" s="30"/>
      <c r="FB239" s="30"/>
      <c r="FC239" s="30"/>
      <c r="FD239" s="30"/>
      <c r="FE239" s="30"/>
      <c r="FF239" s="30"/>
      <c r="FG239" s="30"/>
      <c r="FH239" s="30"/>
      <c r="FI239" s="30"/>
      <c r="FJ239" s="30"/>
      <c r="FK239" s="30"/>
      <c r="FL239" s="30"/>
      <c r="FM239" s="30"/>
      <c r="FN239" s="30"/>
      <c r="FO239" s="30"/>
      <c r="FP239" s="30"/>
      <c r="FQ239" s="30"/>
      <c r="FR239" s="30"/>
      <c r="FS239" s="30"/>
      <c r="FT239" s="30"/>
      <c r="FU239" s="30"/>
      <c r="FV239" s="30"/>
      <c r="FW239" s="30"/>
      <c r="FX239" s="30"/>
      <c r="FY239" s="30"/>
      <c r="FZ239" s="30"/>
      <c r="GA239" s="30"/>
      <c r="GB239" s="30"/>
      <c r="GC239" s="30"/>
      <c r="GD239" s="30"/>
      <c r="GE239" s="30"/>
      <c r="GF239" s="30"/>
      <c r="GG239" s="30"/>
      <c r="GH239" s="30"/>
      <c r="GI239" s="30"/>
      <c r="GJ239" s="30"/>
      <c r="GK239" s="30"/>
      <c r="GL239" s="30"/>
      <c r="GM239" s="30"/>
      <c r="GN239" s="30"/>
      <c r="GO239" s="30"/>
      <c r="GP239" s="30"/>
      <c r="GQ239" s="30"/>
      <c r="GR239" s="30"/>
      <c r="GS239" s="30"/>
      <c r="GT239" s="30"/>
      <c r="GU239" s="30"/>
      <c r="GV239" s="30"/>
      <c r="GW239" s="30"/>
      <c r="GX239" s="30"/>
      <c r="GY239" s="30"/>
      <c r="GZ239" s="30"/>
      <c r="HA239" s="30"/>
      <c r="HB239" s="30"/>
      <c r="HC239" s="30"/>
      <c r="HD239" s="30"/>
      <c r="HE239" s="30"/>
      <c r="HF239" s="30"/>
      <c r="HG239" s="30"/>
      <c r="HH239" s="30"/>
      <c r="HI239" s="30"/>
      <c r="HJ239" s="30"/>
      <c r="HK239" s="30"/>
      <c r="HL239" s="30"/>
      <c r="HM239" s="30"/>
      <c r="HN239" s="30"/>
      <c r="HO239" s="30"/>
      <c r="HP239" s="30"/>
      <c r="HQ239" s="30"/>
      <c r="HR239" s="30"/>
      <c r="HS239" s="30"/>
      <c r="HT239" s="30"/>
      <c r="HU239" s="30"/>
      <c r="HV239" s="30"/>
      <c r="HW239" s="30"/>
      <c r="HX239" s="30"/>
      <c r="HY239" s="30"/>
      <c r="HZ239" s="30"/>
      <c r="IA239" s="30"/>
      <c r="IB239" s="30"/>
      <c r="IC239" s="30"/>
      <c r="ID239" s="30"/>
      <c r="IE239" s="30"/>
      <c r="IF239" s="30"/>
      <c r="IG239" s="30"/>
      <c r="IH239" s="30"/>
      <c r="II239" s="30"/>
      <c r="IJ239" s="30"/>
      <c r="IK239" s="30"/>
      <c r="IL239" s="30"/>
      <c r="IM239" s="30"/>
      <c r="IN239" s="30"/>
      <c r="IO239" s="30"/>
      <c r="IP239" s="30"/>
      <c r="IQ239" s="30"/>
      <c r="IR239" s="30"/>
      <c r="IS239" s="30"/>
      <c r="IT239" s="30"/>
      <c r="IU239" s="30"/>
      <c r="IV239" s="30"/>
      <c r="IW239" s="30"/>
      <c r="IX239" s="30"/>
      <c r="IY239" s="30"/>
      <c r="IZ239" s="30"/>
      <c r="JA239" s="30"/>
      <c r="JB239" s="30"/>
      <c r="JC239" s="30"/>
      <c r="JD239" s="30"/>
      <c r="JE239" s="30"/>
      <c r="JF239" s="30"/>
      <c r="JG239" s="30"/>
      <c r="JH239" s="30"/>
      <c r="JI239" s="30"/>
      <c r="JJ239" s="30"/>
      <c r="JK239" s="30"/>
      <c r="JL239" s="30"/>
      <c r="JM239" s="30"/>
      <c r="JN239" s="30"/>
      <c r="JO239" s="30"/>
      <c r="JP239" s="30"/>
      <c r="JQ239" s="30"/>
      <c r="JR239" s="30"/>
      <c r="JS239" s="30"/>
      <c r="JT239" s="30"/>
      <c r="JU239" s="30"/>
      <c r="JV239" s="30"/>
      <c r="JW239" s="30"/>
      <c r="JX239" s="30"/>
      <c r="JY239" s="30"/>
      <c r="JZ239" s="30"/>
      <c r="KA239" s="30"/>
      <c r="KB239" s="30"/>
      <c r="KC239" s="30"/>
      <c r="KD239" s="30"/>
      <c r="KE239" s="30"/>
      <c r="KF239" s="30"/>
      <c r="KG239" s="30"/>
      <c r="KH239" s="30"/>
      <c r="KI239" s="30"/>
      <c r="KJ239" s="30"/>
      <c r="KK239" s="30"/>
      <c r="KL239" s="30"/>
      <c r="KM239" s="30"/>
      <c r="KN239" s="30"/>
      <c r="KO239" s="30"/>
      <c r="KP239" s="1630"/>
    </row>
    <row r="240" spans="1:302" s="97" customFormat="1" ht="21" customHeight="1" outlineLevel="1">
      <c r="A240" s="2587" t="s">
        <v>1037</v>
      </c>
      <c r="B240" s="2605"/>
      <c r="C240" s="2587" t="s">
        <v>1055</v>
      </c>
      <c r="D240" s="2587" t="s">
        <v>1072</v>
      </c>
      <c r="E240" s="376"/>
      <c r="F240" s="347"/>
      <c r="G240" s="348"/>
      <c r="H240" s="349" t="s">
        <v>26</v>
      </c>
      <c r="I240" s="2936"/>
      <c r="J240" s="362" t="s">
        <v>26</v>
      </c>
      <c r="K240" s="1745"/>
      <c r="L240" s="383"/>
      <c r="M240" s="383"/>
      <c r="N240" s="383"/>
      <c r="O240" s="1510"/>
      <c r="P240" s="383"/>
      <c r="Q240" s="383"/>
      <c r="R240" s="383"/>
      <c r="S240" s="1510">
        <f t="shared" si="241"/>
        <v>0</v>
      </c>
      <c r="T240" s="1509"/>
      <c r="U240" s="1746"/>
      <c r="V240" s="1746"/>
      <c r="W240" s="1510">
        <f t="shared" si="235"/>
        <v>0</v>
      </c>
      <c r="X240" s="362" t="s">
        <v>26</v>
      </c>
      <c r="Y240" s="1509"/>
      <c r="Z240" s="1746"/>
      <c r="AA240" s="1746"/>
      <c r="AB240" s="1510">
        <f t="shared" si="236"/>
        <v>0</v>
      </c>
      <c r="AC240" s="1442"/>
      <c r="AD240" s="1457"/>
      <c r="AE240" s="352"/>
      <c r="AF240" s="353"/>
      <c r="AG240" s="353"/>
      <c r="AH240" s="354">
        <f t="shared" ref="AH240:AH277" si="273">AF240*AG240</f>
        <v>0</v>
      </c>
      <c r="AI240" s="355">
        <f t="shared" ca="1" si="232"/>
        <v>0</v>
      </c>
      <c r="AJ240" s="356" t="str">
        <f t="shared" si="227"/>
        <v/>
      </c>
      <c r="AK240" s="2185"/>
      <c r="AL240" s="2063"/>
      <c r="AM240" s="2262"/>
      <c r="AN240" s="2262"/>
      <c r="AO240" s="1509"/>
      <c r="AP240" s="384"/>
      <c r="AQ240" s="1509"/>
      <c r="AR240" s="362"/>
      <c r="AS240" s="362"/>
      <c r="AT240" s="385"/>
      <c r="AU240" s="359"/>
      <c r="AV240" s="359"/>
      <c r="AW240" s="377"/>
      <c r="AX240" s="359"/>
      <c r="AY240" s="1987"/>
      <c r="AZ240" s="2258"/>
      <c r="BA240" s="359"/>
      <c r="BB240" s="359"/>
      <c r="BC240" s="359"/>
      <c r="BD240" s="359"/>
      <c r="BE240" s="362"/>
      <c r="BF240" s="362"/>
      <c r="BG240" s="362"/>
      <c r="BH240" s="362"/>
      <c r="BI240" s="414"/>
      <c r="BJ240" s="362"/>
      <c r="BK240" s="2123"/>
      <c r="BL240" s="414"/>
      <c r="BM240" s="414"/>
      <c r="BN240" s="414"/>
      <c r="BO240" s="414"/>
      <c r="BP240" s="414"/>
      <c r="BQ240" s="2399"/>
      <c r="BR240" s="362"/>
      <c r="BS240" s="362"/>
      <c r="BT240" s="362"/>
      <c r="BU240" s="364"/>
      <c r="BV240" s="364"/>
      <c r="BW240" s="2366"/>
      <c r="BX240" s="2463"/>
      <c r="BY240" s="2543"/>
      <c r="BZ240" s="2543"/>
      <c r="CA240" s="2432">
        <f t="shared" si="263"/>
        <v>0</v>
      </c>
      <c r="CB240" s="2377" t="str">
        <f t="shared" si="264"/>
        <v/>
      </c>
      <c r="CC240" s="365" t="str">
        <f t="shared" si="265"/>
        <v/>
      </c>
      <c r="CD240" s="366"/>
      <c r="CE240" s="343"/>
      <c r="CF240" s="343"/>
      <c r="CG240" s="340"/>
      <c r="CH240" s="367"/>
      <c r="CI240" s="368"/>
      <c r="CJ240" s="368"/>
      <c r="CK240" s="369"/>
      <c r="CL240" s="329">
        <f t="shared" si="261"/>
        <v>0</v>
      </c>
      <c r="CM240" s="330">
        <f t="shared" ca="1" si="262"/>
        <v>0</v>
      </c>
      <c r="CN240" s="331">
        <f t="shared" ca="1" si="272"/>
        <v>0</v>
      </c>
      <c r="CO240" s="86"/>
      <c r="CP240" s="86"/>
      <c r="CQ240" s="1641"/>
      <c r="CR240" s="86"/>
      <c r="CS240" s="86"/>
      <c r="CT240" s="86"/>
      <c r="CU240" s="86"/>
      <c r="CV240" s="86"/>
      <c r="CW240" s="86"/>
      <c r="CX240" s="86"/>
      <c r="CY240" s="86"/>
      <c r="CZ240" s="86"/>
      <c r="DA240" s="86"/>
      <c r="DB240" s="1642"/>
      <c r="DC240" s="1642"/>
      <c r="DD240" s="30"/>
      <c r="DE240" s="30"/>
      <c r="DF240" s="30"/>
      <c r="DG240" s="1642"/>
      <c r="DH240" s="1642"/>
      <c r="DI240" s="1642"/>
      <c r="DJ240" s="1642"/>
      <c r="DK240" s="1642"/>
      <c r="DL240" s="1642"/>
      <c r="DM240" s="1642"/>
      <c r="DN240" s="1642"/>
      <c r="DO240" s="1642"/>
      <c r="DP240" s="1642"/>
      <c r="DQ240" s="1642"/>
      <c r="DR240" s="1642"/>
      <c r="DS240" s="1642"/>
      <c r="DT240" s="1642"/>
      <c r="DU240" s="1642"/>
      <c r="DV240" s="1642"/>
      <c r="DW240" s="1642"/>
      <c r="DX240" s="1642"/>
      <c r="DY240" s="1642"/>
      <c r="DZ240" s="1642"/>
      <c r="EA240" s="1642"/>
      <c r="EB240" s="1642"/>
      <c r="EC240" s="1642"/>
      <c r="ED240" s="1642"/>
      <c r="EE240" s="1642"/>
      <c r="EF240" s="1642"/>
      <c r="EG240" s="1642"/>
      <c r="EH240" s="1643"/>
      <c r="EI240" s="1658"/>
      <c r="EJ240" s="1642"/>
      <c r="EK240" s="30"/>
      <c r="EL240" s="30"/>
      <c r="EM240" s="30"/>
      <c r="EN240" s="30"/>
      <c r="EO240" s="30"/>
      <c r="EP240" s="30"/>
      <c r="EQ240" s="30"/>
      <c r="ER240" s="30"/>
      <c r="ES240" s="30"/>
      <c r="ET240" s="30"/>
      <c r="EU240" s="30"/>
      <c r="EV240" s="30"/>
      <c r="EW240" s="30"/>
      <c r="EX240" s="30"/>
      <c r="EY240" s="30"/>
      <c r="EZ240" s="30"/>
      <c r="FA240" s="30"/>
      <c r="FB240" s="30"/>
      <c r="FC240" s="30"/>
      <c r="FD240" s="30"/>
      <c r="FE240" s="30"/>
      <c r="FF240" s="30"/>
      <c r="FG240" s="30"/>
      <c r="FH240" s="30"/>
      <c r="FI240" s="30"/>
      <c r="FJ240" s="30"/>
      <c r="FK240" s="30"/>
      <c r="FL240" s="30"/>
      <c r="FM240" s="30"/>
      <c r="FN240" s="30"/>
      <c r="FO240" s="30"/>
      <c r="FP240" s="30"/>
      <c r="FQ240" s="30"/>
      <c r="FR240" s="30"/>
      <c r="FS240" s="30"/>
      <c r="FT240" s="30"/>
      <c r="FU240" s="30"/>
      <c r="FV240" s="30"/>
      <c r="FW240" s="30"/>
      <c r="FX240" s="30"/>
      <c r="FY240" s="30"/>
      <c r="FZ240" s="30"/>
      <c r="GA240" s="30"/>
      <c r="GB240" s="30"/>
      <c r="GC240" s="30"/>
      <c r="GD240" s="30"/>
      <c r="GE240" s="30"/>
      <c r="GF240" s="30"/>
      <c r="GG240" s="30"/>
      <c r="GH240" s="30"/>
      <c r="GI240" s="30"/>
      <c r="GJ240" s="30"/>
      <c r="GK240" s="30"/>
      <c r="GL240" s="30"/>
      <c r="GM240" s="30"/>
      <c r="GN240" s="30"/>
      <c r="GO240" s="30"/>
      <c r="GP240" s="30"/>
      <c r="GQ240" s="30"/>
      <c r="GR240" s="30"/>
      <c r="GS240" s="30"/>
      <c r="GT240" s="30"/>
      <c r="GU240" s="30"/>
      <c r="GV240" s="30"/>
      <c r="GW240" s="30"/>
      <c r="GX240" s="30"/>
      <c r="GY240" s="30"/>
      <c r="GZ240" s="30"/>
      <c r="HA240" s="30"/>
      <c r="HB240" s="30"/>
      <c r="HC240" s="30"/>
      <c r="HD240" s="30"/>
      <c r="HE240" s="30"/>
      <c r="HF240" s="30"/>
      <c r="HG240" s="30"/>
      <c r="HH240" s="30"/>
      <c r="HI240" s="30"/>
      <c r="HJ240" s="30"/>
      <c r="HK240" s="30"/>
      <c r="HL240" s="30"/>
      <c r="HM240" s="30"/>
      <c r="HN240" s="30"/>
      <c r="HO240" s="30"/>
      <c r="HP240" s="30"/>
      <c r="HQ240" s="30"/>
      <c r="HR240" s="30"/>
      <c r="HS240" s="30"/>
      <c r="HT240" s="30"/>
      <c r="HU240" s="30"/>
      <c r="HV240" s="30"/>
      <c r="HW240" s="30"/>
      <c r="HX240" s="30"/>
      <c r="HY240" s="30"/>
      <c r="HZ240" s="30"/>
      <c r="IA240" s="30"/>
      <c r="IB240" s="30"/>
      <c r="IC240" s="30"/>
      <c r="ID240" s="30"/>
      <c r="IE240" s="30"/>
      <c r="IF240" s="30"/>
      <c r="IG240" s="30"/>
      <c r="IH240" s="30"/>
      <c r="II240" s="30"/>
      <c r="IJ240" s="30"/>
      <c r="IK240" s="30"/>
      <c r="IL240" s="30"/>
      <c r="IM240" s="30"/>
      <c r="IN240" s="30"/>
      <c r="IO240" s="30"/>
      <c r="IP240" s="30"/>
      <c r="IQ240" s="30"/>
      <c r="IR240" s="30"/>
      <c r="IS240" s="30"/>
      <c r="IT240" s="30"/>
      <c r="IU240" s="30"/>
      <c r="IV240" s="30"/>
      <c r="IW240" s="30"/>
      <c r="IX240" s="30"/>
      <c r="IY240" s="30"/>
      <c r="IZ240" s="30"/>
      <c r="JA240" s="30"/>
      <c r="JB240" s="30"/>
      <c r="JC240" s="30"/>
      <c r="JD240" s="30"/>
      <c r="JE240" s="30"/>
      <c r="JF240" s="30"/>
      <c r="JG240" s="30"/>
      <c r="JH240" s="30"/>
      <c r="JI240" s="30"/>
      <c r="JJ240" s="30"/>
      <c r="JK240" s="30"/>
      <c r="JL240" s="30"/>
      <c r="JM240" s="30"/>
      <c r="JN240" s="30"/>
      <c r="JO240" s="30"/>
      <c r="JP240" s="30"/>
      <c r="JQ240" s="30"/>
      <c r="JR240" s="30"/>
      <c r="JS240" s="30"/>
      <c r="JT240" s="30"/>
      <c r="JU240" s="30"/>
      <c r="JV240" s="30"/>
      <c r="JW240" s="30"/>
      <c r="JX240" s="30"/>
      <c r="JY240" s="30"/>
      <c r="JZ240" s="30"/>
      <c r="KA240" s="30"/>
      <c r="KB240" s="30"/>
      <c r="KC240" s="30"/>
      <c r="KD240" s="30"/>
      <c r="KE240" s="30"/>
      <c r="KF240" s="30"/>
      <c r="KG240" s="30"/>
      <c r="KH240" s="30"/>
      <c r="KI240" s="30"/>
      <c r="KJ240" s="30"/>
      <c r="KK240" s="30"/>
      <c r="KL240" s="30"/>
      <c r="KM240" s="30"/>
      <c r="KN240" s="30"/>
      <c r="KO240" s="30"/>
      <c r="KP240" s="1630"/>
    </row>
    <row r="241" spans="1:302" s="97" customFormat="1" ht="19.5" customHeight="1" outlineLevel="1">
      <c r="A241" s="2582" t="s">
        <v>1038</v>
      </c>
      <c r="B241" s="2608"/>
      <c r="C241" s="2582" t="s">
        <v>1056</v>
      </c>
      <c r="D241" s="2582" t="s">
        <v>1073</v>
      </c>
      <c r="E241" s="376"/>
      <c r="F241" s="347"/>
      <c r="G241" s="348"/>
      <c r="H241" s="349" t="s">
        <v>26</v>
      </c>
      <c r="I241" s="2936"/>
      <c r="J241" s="362" t="s">
        <v>26</v>
      </c>
      <c r="K241" s="1745"/>
      <c r="L241" s="383"/>
      <c r="M241" s="383"/>
      <c r="N241" s="383"/>
      <c r="O241" s="1510">
        <v>1500000</v>
      </c>
      <c r="P241" s="383"/>
      <c r="Q241" s="383"/>
      <c r="R241" s="383"/>
      <c r="S241" s="1510">
        <f t="shared" ref="S241:S275" si="274">R241*Q241</f>
        <v>0</v>
      </c>
      <c r="T241" s="1509"/>
      <c r="U241" s="1746"/>
      <c r="V241" s="1746"/>
      <c r="W241" s="1510">
        <f t="shared" si="235"/>
        <v>1500000</v>
      </c>
      <c r="X241" s="362" t="s">
        <v>26</v>
      </c>
      <c r="Y241" s="1509"/>
      <c r="Z241" s="1746"/>
      <c r="AA241" s="1746"/>
      <c r="AB241" s="1510">
        <f t="shared" si="236"/>
        <v>1500000</v>
      </c>
      <c r="AC241" s="1442"/>
      <c r="AD241" s="1457"/>
      <c r="AE241" s="352"/>
      <c r="AF241" s="353"/>
      <c r="AG241" s="353"/>
      <c r="AH241" s="354">
        <f t="shared" si="273"/>
        <v>0</v>
      </c>
      <c r="AI241" s="355">
        <f t="shared" ca="1" si="232"/>
        <v>0</v>
      </c>
      <c r="AJ241" s="356">
        <f t="shared" ca="1" si="227"/>
        <v>0</v>
      </c>
      <c r="AK241" s="2185"/>
      <c r="AL241" s="2063"/>
      <c r="AM241" s="2262"/>
      <c r="AN241" s="2262"/>
      <c r="AO241" s="1509"/>
      <c r="AP241" s="384"/>
      <c r="AQ241" s="1509"/>
      <c r="AR241" s="362"/>
      <c r="AS241" s="362"/>
      <c r="AT241" s="385"/>
      <c r="AU241" s="359"/>
      <c r="AV241" s="359"/>
      <c r="AW241" s="377"/>
      <c r="AX241" s="362"/>
      <c r="AY241" s="385"/>
      <c r="AZ241" s="2273"/>
      <c r="BA241" s="497"/>
      <c r="BB241" s="359"/>
      <c r="BC241" s="359"/>
      <c r="BD241" s="359"/>
      <c r="BE241" s="362"/>
      <c r="BF241" s="362"/>
      <c r="BG241" s="362"/>
      <c r="BH241" s="362"/>
      <c r="BI241" s="414"/>
      <c r="BJ241" s="362"/>
      <c r="BK241" s="2123">
        <v>1500000</v>
      </c>
      <c r="BL241" s="414"/>
      <c r="BM241" s="414"/>
      <c r="BN241" s="414"/>
      <c r="BO241" s="414"/>
      <c r="BP241" s="414"/>
      <c r="BQ241" s="2399"/>
      <c r="BR241" s="362"/>
      <c r="BS241" s="362"/>
      <c r="BT241" s="362"/>
      <c r="BU241" s="364"/>
      <c r="BV241" s="364"/>
      <c r="BW241" s="2366"/>
      <c r="BX241" s="2463"/>
      <c r="BY241" s="2543"/>
      <c r="BZ241" s="2543"/>
      <c r="CA241" s="2432">
        <f t="shared" si="263"/>
        <v>1500000</v>
      </c>
      <c r="CB241" s="2377">
        <f t="shared" si="264"/>
        <v>1</v>
      </c>
      <c r="CC241" s="365">
        <f t="shared" si="265"/>
        <v>6.6666666666666671E-7</v>
      </c>
      <c r="CD241" s="366"/>
      <c r="CE241" s="343"/>
      <c r="CF241" s="343"/>
      <c r="CG241" s="340"/>
      <c r="CH241" s="367"/>
      <c r="CI241" s="368"/>
      <c r="CJ241" s="368"/>
      <c r="CK241" s="369"/>
      <c r="CL241" s="329">
        <f t="shared" si="261"/>
        <v>0</v>
      </c>
      <c r="CM241" s="330">
        <f t="shared" ca="1" si="262"/>
        <v>0</v>
      </c>
      <c r="CN241" s="331">
        <f t="shared" ca="1" si="272"/>
        <v>-1500000</v>
      </c>
      <c r="CO241" s="86"/>
      <c r="CP241" s="86"/>
      <c r="CQ241" s="1641"/>
      <c r="CR241" s="86"/>
      <c r="CS241" s="86"/>
      <c r="CT241" s="86"/>
      <c r="CU241" s="86"/>
      <c r="CV241" s="86"/>
      <c r="CW241" s="86"/>
      <c r="CX241" s="86"/>
      <c r="CY241" s="86"/>
      <c r="CZ241" s="86"/>
      <c r="DA241" s="86"/>
      <c r="DB241" s="1642"/>
      <c r="DC241" s="1642"/>
      <c r="DD241" s="30"/>
      <c r="DE241" s="30"/>
      <c r="DF241" s="30"/>
      <c r="DG241" s="1642"/>
      <c r="DH241" s="1642"/>
      <c r="DI241" s="1642"/>
      <c r="DJ241" s="1642"/>
      <c r="DK241" s="1642"/>
      <c r="DL241" s="1642"/>
      <c r="DM241" s="1642"/>
      <c r="DN241" s="1642"/>
      <c r="DO241" s="1642"/>
      <c r="DP241" s="1642"/>
      <c r="DQ241" s="1642"/>
      <c r="DR241" s="1642"/>
      <c r="DS241" s="1642"/>
      <c r="DT241" s="1642"/>
      <c r="DU241" s="1642"/>
      <c r="DV241" s="1642"/>
      <c r="DW241" s="1642"/>
      <c r="DX241" s="1642"/>
      <c r="DY241" s="1642"/>
      <c r="DZ241" s="1642"/>
      <c r="EA241" s="1642"/>
      <c r="EB241" s="1642"/>
      <c r="EC241" s="1642"/>
      <c r="ED241" s="1642"/>
      <c r="EE241" s="1642"/>
      <c r="EF241" s="1642"/>
      <c r="EG241" s="1642"/>
      <c r="EH241" s="1643"/>
      <c r="EI241" s="1658"/>
      <c r="EJ241" s="1642"/>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0"/>
      <c r="HP241" s="30"/>
      <c r="HQ241" s="30"/>
      <c r="HR241" s="30"/>
      <c r="HS241" s="30"/>
      <c r="HT241" s="30"/>
      <c r="HU241" s="30"/>
      <c r="HV241" s="30"/>
      <c r="HW241" s="30"/>
      <c r="HX241" s="30"/>
      <c r="HY241" s="30"/>
      <c r="HZ241" s="30"/>
      <c r="IA241" s="30"/>
      <c r="IB241" s="30"/>
      <c r="IC241" s="30"/>
      <c r="ID241" s="30"/>
      <c r="IE241" s="30"/>
      <c r="IF241" s="30"/>
      <c r="IG241" s="30"/>
      <c r="IH241" s="30"/>
      <c r="II241" s="30"/>
      <c r="IJ241" s="30"/>
      <c r="IK241" s="30"/>
      <c r="IL241" s="30"/>
      <c r="IM241" s="30"/>
      <c r="IN241" s="30"/>
      <c r="IO241" s="30"/>
      <c r="IP241" s="30"/>
      <c r="IQ241" s="30"/>
      <c r="IR241" s="30"/>
      <c r="IS241" s="30"/>
      <c r="IT241" s="30"/>
      <c r="IU241" s="30"/>
      <c r="IV241" s="30"/>
      <c r="IW241" s="30"/>
      <c r="IX241" s="30"/>
      <c r="IY241" s="30"/>
      <c r="IZ241" s="30"/>
      <c r="JA241" s="30"/>
      <c r="JB241" s="30"/>
      <c r="JC241" s="30"/>
      <c r="JD241" s="30"/>
      <c r="JE241" s="30"/>
      <c r="JF241" s="30"/>
      <c r="JG241" s="30"/>
      <c r="JH241" s="30"/>
      <c r="JI241" s="30"/>
      <c r="JJ241" s="30"/>
      <c r="JK241" s="30"/>
      <c r="JL241" s="30"/>
      <c r="JM241" s="30"/>
      <c r="JN241" s="30"/>
      <c r="JO241" s="30"/>
      <c r="JP241" s="30"/>
      <c r="JQ241" s="30"/>
      <c r="JR241" s="30"/>
      <c r="JS241" s="30"/>
      <c r="JT241" s="30"/>
      <c r="JU241" s="30"/>
      <c r="JV241" s="30"/>
      <c r="JW241" s="30"/>
      <c r="JX241" s="30"/>
      <c r="JY241" s="30"/>
      <c r="JZ241" s="30"/>
      <c r="KA241" s="30"/>
      <c r="KB241" s="30"/>
      <c r="KC241" s="30"/>
      <c r="KD241" s="30"/>
      <c r="KE241" s="30"/>
      <c r="KF241" s="30"/>
      <c r="KG241" s="30"/>
      <c r="KH241" s="30"/>
      <c r="KI241" s="30"/>
      <c r="KJ241" s="30"/>
      <c r="KK241" s="30"/>
      <c r="KL241" s="30"/>
      <c r="KM241" s="30"/>
      <c r="KN241" s="30"/>
      <c r="KO241" s="30"/>
      <c r="KP241" s="1630"/>
    </row>
    <row r="242" spans="1:302" s="97" customFormat="1" ht="17" customHeight="1" outlineLevel="1">
      <c r="A242" s="2582" t="s">
        <v>1039</v>
      </c>
      <c r="B242" s="2608"/>
      <c r="C242" s="2582" t="s">
        <v>1057</v>
      </c>
      <c r="D242" s="2582" t="s">
        <v>1074</v>
      </c>
      <c r="E242" s="376"/>
      <c r="F242" s="347"/>
      <c r="G242" s="348"/>
      <c r="H242" s="349" t="s">
        <v>26</v>
      </c>
      <c r="I242" s="2936"/>
      <c r="J242" s="362" t="s">
        <v>26</v>
      </c>
      <c r="K242" s="1745"/>
      <c r="L242" s="383"/>
      <c r="M242" s="383"/>
      <c r="N242" s="383"/>
      <c r="O242" s="1510">
        <v>200000</v>
      </c>
      <c r="P242" s="383"/>
      <c r="Q242" s="383"/>
      <c r="R242" s="383"/>
      <c r="S242" s="1510">
        <f t="shared" si="274"/>
        <v>0</v>
      </c>
      <c r="T242" s="1509"/>
      <c r="U242" s="1746"/>
      <c r="V242" s="1746"/>
      <c r="W242" s="1510">
        <f t="shared" si="235"/>
        <v>200000</v>
      </c>
      <c r="X242" s="362" t="s">
        <v>26</v>
      </c>
      <c r="Y242" s="1509"/>
      <c r="Z242" s="1746"/>
      <c r="AA242" s="1746"/>
      <c r="AB242" s="1510">
        <f t="shared" si="236"/>
        <v>200000.00019999995</v>
      </c>
      <c r="AC242" s="1442"/>
      <c r="AD242" s="1457"/>
      <c r="AE242" s="352"/>
      <c r="AF242" s="353"/>
      <c r="AG242" s="353"/>
      <c r="AH242" s="354">
        <f t="shared" si="273"/>
        <v>0</v>
      </c>
      <c r="AI242" s="355">
        <f t="shared" ca="1" si="232"/>
        <v>0</v>
      </c>
      <c r="AJ242" s="356">
        <f t="shared" ca="1" si="227"/>
        <v>0</v>
      </c>
      <c r="AK242" s="2185"/>
      <c r="AL242" s="2063"/>
      <c r="AM242" s="2262"/>
      <c r="AN242" s="2262"/>
      <c r="AO242" s="1509"/>
      <c r="AP242" s="384"/>
      <c r="AQ242" s="1509"/>
      <c r="AR242" s="362"/>
      <c r="AS242" s="362">
        <v>28571.428599999999</v>
      </c>
      <c r="AT242" s="385">
        <v>28571.428599999999</v>
      </c>
      <c r="AU242" s="359">
        <v>28571.428599999999</v>
      </c>
      <c r="AV242" s="359">
        <v>28571.428599999999</v>
      </c>
      <c r="AW242" s="377">
        <v>28571.428599999999</v>
      </c>
      <c r="AX242" s="362">
        <v>28571.428599999999</v>
      </c>
      <c r="AY242" s="385">
        <v>28571.428599999999</v>
      </c>
      <c r="AZ242" s="2273"/>
      <c r="BA242" s="497"/>
      <c r="BB242" s="359"/>
      <c r="BC242" s="359"/>
      <c r="BD242" s="359"/>
      <c r="BE242" s="362"/>
      <c r="BF242" s="362"/>
      <c r="BG242" s="362"/>
      <c r="BH242" s="362"/>
      <c r="BI242" s="362"/>
      <c r="BJ242" s="362"/>
      <c r="BK242" s="2123"/>
      <c r="BL242" s="414"/>
      <c r="BM242" s="414"/>
      <c r="BN242" s="414"/>
      <c r="BO242" s="414"/>
      <c r="BP242" s="414"/>
      <c r="BQ242" s="2399"/>
      <c r="BR242" s="362"/>
      <c r="BS242" s="362"/>
      <c r="BT242" s="362"/>
      <c r="BU242" s="364"/>
      <c r="BV242" s="364"/>
      <c r="BW242" s="2366"/>
      <c r="BX242" s="2463"/>
      <c r="BY242" s="2543"/>
      <c r="BZ242" s="2543"/>
      <c r="CA242" s="2432">
        <f t="shared" si="263"/>
        <v>200000.00019999995</v>
      </c>
      <c r="CB242" s="2377">
        <f t="shared" si="264"/>
        <v>1</v>
      </c>
      <c r="CC242" s="365">
        <f t="shared" si="265"/>
        <v>4.9999999950000013E-6</v>
      </c>
      <c r="CD242" s="366"/>
      <c r="CE242" s="343"/>
      <c r="CF242" s="343"/>
      <c r="CG242" s="340"/>
      <c r="CH242" s="367"/>
      <c r="CI242" s="368"/>
      <c r="CJ242" s="368"/>
      <c r="CK242" s="369"/>
      <c r="CL242" s="329">
        <f t="shared" si="261"/>
        <v>-1.9999995129182935E-4</v>
      </c>
      <c r="CM242" s="330">
        <f t="shared" ca="1" si="262"/>
        <v>0</v>
      </c>
      <c r="CN242" s="331">
        <f t="shared" ca="1" si="272"/>
        <v>0</v>
      </c>
      <c r="CO242" s="86"/>
      <c r="CP242" s="86"/>
      <c r="CQ242" s="1641"/>
      <c r="CR242" s="86"/>
      <c r="CS242" s="86"/>
      <c r="CT242" s="86"/>
      <c r="CU242" s="86"/>
      <c r="CV242" s="86"/>
      <c r="CW242" s="86"/>
      <c r="CX242" s="86"/>
      <c r="CY242" s="86"/>
      <c r="CZ242" s="86"/>
      <c r="DA242" s="86"/>
      <c r="DB242" s="1642"/>
      <c r="DC242" s="1642"/>
      <c r="DD242" s="30"/>
      <c r="DE242" s="30"/>
      <c r="DF242" s="30"/>
      <c r="DG242" s="1642"/>
      <c r="DH242" s="1642"/>
      <c r="DI242" s="1642"/>
      <c r="DJ242" s="1642"/>
      <c r="DK242" s="1642"/>
      <c r="DL242" s="1642"/>
      <c r="DM242" s="1642"/>
      <c r="DN242" s="1642"/>
      <c r="DO242" s="1642"/>
      <c r="DP242" s="1642"/>
      <c r="DQ242" s="1642"/>
      <c r="DR242" s="1642"/>
      <c r="DS242" s="1642"/>
      <c r="DT242" s="1642"/>
      <c r="DU242" s="1642"/>
      <c r="DV242" s="1642"/>
      <c r="DW242" s="1642"/>
      <c r="DX242" s="1642"/>
      <c r="DY242" s="1642"/>
      <c r="DZ242" s="1642"/>
      <c r="EA242" s="1642"/>
      <c r="EB242" s="1642"/>
      <c r="EC242" s="1642"/>
      <c r="ED242" s="1642"/>
      <c r="EE242" s="1642"/>
      <c r="EF242" s="1642"/>
      <c r="EG242" s="1642"/>
      <c r="EH242" s="1643"/>
      <c r="EI242" s="1658"/>
      <c r="EJ242" s="1642"/>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0"/>
      <c r="HP242" s="30"/>
      <c r="HQ242" s="30"/>
      <c r="HR242" s="30"/>
      <c r="HS242" s="30"/>
      <c r="HT242" s="30"/>
      <c r="HU242" s="30"/>
      <c r="HV242" s="30"/>
      <c r="HW242" s="30"/>
      <c r="HX242" s="30"/>
      <c r="HY242" s="30"/>
      <c r="HZ242" s="30"/>
      <c r="IA242" s="30"/>
      <c r="IB242" s="30"/>
      <c r="IC242" s="30"/>
      <c r="ID242" s="30"/>
      <c r="IE242" s="30"/>
      <c r="IF242" s="30"/>
      <c r="IG242" s="30"/>
      <c r="IH242" s="30"/>
      <c r="II242" s="30"/>
      <c r="IJ242" s="30"/>
      <c r="IK242" s="30"/>
      <c r="IL242" s="30"/>
      <c r="IM242" s="30"/>
      <c r="IN242" s="30"/>
      <c r="IO242" s="30"/>
      <c r="IP242" s="30"/>
      <c r="IQ242" s="30"/>
      <c r="IR242" s="30"/>
      <c r="IS242" s="30"/>
      <c r="IT242" s="30"/>
      <c r="IU242" s="30"/>
      <c r="IV242" s="30"/>
      <c r="IW242" s="30"/>
      <c r="IX242" s="30"/>
      <c r="IY242" s="30"/>
      <c r="IZ242" s="30"/>
      <c r="JA242" s="30"/>
      <c r="JB242" s="30"/>
      <c r="JC242" s="30"/>
      <c r="JD242" s="30"/>
      <c r="JE242" s="30"/>
      <c r="JF242" s="30"/>
      <c r="JG242" s="30"/>
      <c r="JH242" s="30"/>
      <c r="JI242" s="30"/>
      <c r="JJ242" s="30"/>
      <c r="JK242" s="30"/>
      <c r="JL242" s="30"/>
      <c r="JM242" s="30"/>
      <c r="JN242" s="30"/>
      <c r="JO242" s="30"/>
      <c r="JP242" s="30"/>
      <c r="JQ242" s="30"/>
      <c r="JR242" s="30"/>
      <c r="JS242" s="30"/>
      <c r="JT242" s="30"/>
      <c r="JU242" s="30"/>
      <c r="JV242" s="30"/>
      <c r="JW242" s="30"/>
      <c r="JX242" s="30"/>
      <c r="JY242" s="30"/>
      <c r="JZ242" s="30"/>
      <c r="KA242" s="30"/>
      <c r="KB242" s="30"/>
      <c r="KC242" s="30"/>
      <c r="KD242" s="30"/>
      <c r="KE242" s="30"/>
      <c r="KF242" s="30"/>
      <c r="KG242" s="30"/>
      <c r="KH242" s="30"/>
      <c r="KI242" s="30"/>
      <c r="KJ242" s="30"/>
      <c r="KK242" s="30"/>
      <c r="KL242" s="30"/>
      <c r="KM242" s="30"/>
      <c r="KN242" s="30"/>
      <c r="KO242" s="30"/>
      <c r="KP242" s="1630"/>
    </row>
    <row r="243" spans="1:302" s="97" customFormat="1" ht="29.25" customHeight="1" outlineLevel="1">
      <c r="A243" s="2582" t="s">
        <v>1040</v>
      </c>
      <c r="B243" s="2608"/>
      <c r="C243" s="2582" t="s">
        <v>1058</v>
      </c>
      <c r="D243" s="2582" t="s">
        <v>1075</v>
      </c>
      <c r="E243" s="376"/>
      <c r="F243" s="347"/>
      <c r="G243" s="348"/>
      <c r="H243" s="349" t="s">
        <v>26</v>
      </c>
      <c r="I243" s="2936"/>
      <c r="J243" s="362" t="s">
        <v>26</v>
      </c>
      <c r="K243" s="1745"/>
      <c r="L243" s="383"/>
      <c r="M243" s="383"/>
      <c r="N243" s="383"/>
      <c r="O243" s="1510">
        <v>200000</v>
      </c>
      <c r="P243" s="383"/>
      <c r="Q243" s="383"/>
      <c r="R243" s="383"/>
      <c r="S243" s="1510">
        <f t="shared" si="274"/>
        <v>0</v>
      </c>
      <c r="T243" s="1509"/>
      <c r="U243" s="1746"/>
      <c r="V243" s="1746"/>
      <c r="W243" s="1510">
        <f t="shared" si="235"/>
        <v>200000</v>
      </c>
      <c r="X243" s="362" t="s">
        <v>26</v>
      </c>
      <c r="Y243" s="1509"/>
      <c r="Z243" s="1746"/>
      <c r="AA243" s="1746"/>
      <c r="AB243" s="1510">
        <f t="shared" si="236"/>
        <v>200000.00019999995</v>
      </c>
      <c r="AC243" s="1442"/>
      <c r="AD243" s="1457"/>
      <c r="AE243" s="352"/>
      <c r="AF243" s="353"/>
      <c r="AG243" s="353"/>
      <c r="AH243" s="354">
        <f t="shared" si="273"/>
        <v>0</v>
      </c>
      <c r="AI243" s="355">
        <f t="shared" ca="1" si="232"/>
        <v>0</v>
      </c>
      <c r="AJ243" s="356">
        <f t="shared" ref="AJ243:AJ279" ca="1" si="275">IF($AB243&lt;&gt;0,AI243/$AB243,"")</f>
        <v>0</v>
      </c>
      <c r="AK243" s="2185"/>
      <c r="AL243" s="2063"/>
      <c r="AM243" s="2262"/>
      <c r="AN243" s="2262"/>
      <c r="AO243" s="1509"/>
      <c r="AP243" s="384"/>
      <c r="AQ243" s="1509"/>
      <c r="AR243" s="362"/>
      <c r="AS243" s="362"/>
      <c r="AT243" s="385"/>
      <c r="AU243" s="359"/>
      <c r="AV243" s="359"/>
      <c r="AW243" s="377"/>
      <c r="AX243" s="362"/>
      <c r="AY243" s="385"/>
      <c r="AZ243" s="2258"/>
      <c r="BA243" s="359">
        <v>28571.428599999999</v>
      </c>
      <c r="BB243" s="359">
        <v>28571.428599999999</v>
      </c>
      <c r="BC243" s="359">
        <v>28571.428599999999</v>
      </c>
      <c r="BD243" s="359">
        <v>28571.428599999999</v>
      </c>
      <c r="BE243" s="362">
        <v>28571.428599999999</v>
      </c>
      <c r="BF243" s="362">
        <v>28571.428599999999</v>
      </c>
      <c r="BG243" s="362">
        <v>28571.428599999999</v>
      </c>
      <c r="BH243" s="362"/>
      <c r="BI243" s="362"/>
      <c r="BJ243" s="362"/>
      <c r="BK243" s="2123"/>
      <c r="BL243" s="414"/>
      <c r="BM243" s="414"/>
      <c r="BN243" s="414"/>
      <c r="BO243" s="414"/>
      <c r="BP243" s="414"/>
      <c r="BQ243" s="2399"/>
      <c r="BR243" s="362"/>
      <c r="BS243" s="362"/>
      <c r="BT243" s="362"/>
      <c r="BU243" s="364"/>
      <c r="BV243" s="364"/>
      <c r="BW243" s="2366"/>
      <c r="BX243" s="2463"/>
      <c r="BY243" s="2543"/>
      <c r="BZ243" s="2543"/>
      <c r="CA243" s="2432">
        <f t="shared" si="263"/>
        <v>200000.00019999995</v>
      </c>
      <c r="CB243" s="2377">
        <f t="shared" si="264"/>
        <v>1</v>
      </c>
      <c r="CC243" s="365">
        <f t="shared" si="265"/>
        <v>4.9999999950000013E-6</v>
      </c>
      <c r="CD243" s="366"/>
      <c r="CE243" s="343"/>
      <c r="CF243" s="343"/>
      <c r="CG243" s="340"/>
      <c r="CH243" s="367"/>
      <c r="CI243" s="368"/>
      <c r="CJ243" s="368"/>
      <c r="CK243" s="369"/>
      <c r="CL243" s="329">
        <f t="shared" si="261"/>
        <v>-1.9999995129182935E-4</v>
      </c>
      <c r="CM243" s="330">
        <f t="shared" ca="1" si="262"/>
        <v>0</v>
      </c>
      <c r="CN243" s="331">
        <f t="shared" ca="1" si="272"/>
        <v>-200000.00019999995</v>
      </c>
      <c r="CO243" s="86"/>
      <c r="CP243" s="86"/>
      <c r="CQ243" s="1641"/>
      <c r="CR243" s="86"/>
      <c r="CS243" s="86"/>
      <c r="CT243" s="86"/>
      <c r="CU243" s="86"/>
      <c r="CV243" s="86"/>
      <c r="CW243" s="86"/>
      <c r="CX243" s="86"/>
      <c r="CY243" s="86"/>
      <c r="CZ243" s="86"/>
      <c r="DA243" s="86"/>
      <c r="DB243" s="1642"/>
      <c r="DC243" s="1642"/>
      <c r="DD243" s="30"/>
      <c r="DE243" s="30"/>
      <c r="DF243" s="30"/>
      <c r="DG243" s="1642"/>
      <c r="DH243" s="1642"/>
      <c r="DI243" s="1642"/>
      <c r="DJ243" s="1642"/>
      <c r="DK243" s="1642"/>
      <c r="DL243" s="1642"/>
      <c r="DM243" s="1642"/>
      <c r="DN243" s="1642"/>
      <c r="DO243" s="1642"/>
      <c r="DP243" s="1642"/>
      <c r="DQ243" s="1642"/>
      <c r="DR243" s="1642"/>
      <c r="DS243" s="1642"/>
      <c r="DT243" s="1642"/>
      <c r="DU243" s="1642"/>
      <c r="DV243" s="1642"/>
      <c r="DW243" s="1642"/>
      <c r="DX243" s="1642"/>
      <c r="DY243" s="1642"/>
      <c r="DZ243" s="1642"/>
      <c r="EA243" s="1642"/>
      <c r="EB243" s="1642"/>
      <c r="EC243" s="1642"/>
      <c r="ED243" s="1642"/>
      <c r="EE243" s="1642"/>
      <c r="EF243" s="1642"/>
      <c r="EG243" s="1642"/>
      <c r="EH243" s="1643"/>
      <c r="EI243" s="1658"/>
      <c r="EJ243" s="1642"/>
      <c r="EK243" s="30"/>
      <c r="EL243" s="30"/>
      <c r="EM243" s="30"/>
      <c r="EN243" s="30"/>
      <c r="EO243" s="30"/>
      <c r="EP243" s="30"/>
      <c r="EQ243" s="30"/>
      <c r="ER243" s="30"/>
      <c r="ES243" s="30"/>
      <c r="ET243" s="30"/>
      <c r="EU243" s="30"/>
      <c r="EV243" s="30"/>
      <c r="EW243" s="30"/>
      <c r="EX243" s="30"/>
      <c r="EY243" s="30"/>
      <c r="EZ243" s="30"/>
      <c r="FA243" s="30"/>
      <c r="FB243" s="30"/>
      <c r="FC243" s="30"/>
      <c r="FD243" s="30"/>
      <c r="FE243" s="30"/>
      <c r="FF243" s="30"/>
      <c r="FG243" s="30"/>
      <c r="FH243" s="30"/>
      <c r="FI243" s="30"/>
      <c r="FJ243" s="30"/>
      <c r="FK243" s="30"/>
      <c r="FL243" s="30"/>
      <c r="FM243" s="30"/>
      <c r="FN243" s="30"/>
      <c r="FO243" s="30"/>
      <c r="FP243" s="30"/>
      <c r="FQ243" s="30"/>
      <c r="FR243" s="30"/>
      <c r="FS243" s="30"/>
      <c r="FT243" s="30"/>
      <c r="FU243" s="30"/>
      <c r="FV243" s="30"/>
      <c r="FW243" s="30"/>
      <c r="FX243" s="30"/>
      <c r="FY243" s="30"/>
      <c r="FZ243" s="30"/>
      <c r="GA243" s="30"/>
      <c r="GB243" s="30"/>
      <c r="GC243" s="30"/>
      <c r="GD243" s="30"/>
      <c r="GE243" s="30"/>
      <c r="GF243" s="30"/>
      <c r="GG243" s="30"/>
      <c r="GH243" s="30"/>
      <c r="GI243" s="30"/>
      <c r="GJ243" s="30"/>
      <c r="GK243" s="30"/>
      <c r="GL243" s="30"/>
      <c r="GM243" s="30"/>
      <c r="GN243" s="30"/>
      <c r="GO243" s="30"/>
      <c r="GP243" s="30"/>
      <c r="GQ243" s="30"/>
      <c r="GR243" s="30"/>
      <c r="GS243" s="30"/>
      <c r="GT243" s="30"/>
      <c r="GU243" s="30"/>
      <c r="GV243" s="30"/>
      <c r="GW243" s="30"/>
      <c r="GX243" s="30"/>
      <c r="GY243" s="30"/>
      <c r="GZ243" s="30"/>
      <c r="HA243" s="30"/>
      <c r="HB243" s="30"/>
      <c r="HC243" s="30"/>
      <c r="HD243" s="30"/>
      <c r="HE243" s="30"/>
      <c r="HF243" s="30"/>
      <c r="HG243" s="30"/>
      <c r="HH243" s="30"/>
      <c r="HI243" s="30"/>
      <c r="HJ243" s="30"/>
      <c r="HK243" s="30"/>
      <c r="HL243" s="30"/>
      <c r="HM243" s="30"/>
      <c r="HN243" s="30"/>
      <c r="HO243" s="30"/>
      <c r="HP243" s="30"/>
      <c r="HQ243" s="30"/>
      <c r="HR243" s="30"/>
      <c r="HS243" s="30"/>
      <c r="HT243" s="30"/>
      <c r="HU243" s="30"/>
      <c r="HV243" s="30"/>
      <c r="HW243" s="30"/>
      <c r="HX243" s="30"/>
      <c r="HY243" s="30"/>
      <c r="HZ243" s="30"/>
      <c r="IA243" s="30"/>
      <c r="IB243" s="30"/>
      <c r="IC243" s="30"/>
      <c r="ID243" s="30"/>
      <c r="IE243" s="30"/>
      <c r="IF243" s="30"/>
      <c r="IG243" s="30"/>
      <c r="IH243" s="30"/>
      <c r="II243" s="30"/>
      <c r="IJ243" s="30"/>
      <c r="IK243" s="30"/>
      <c r="IL243" s="30"/>
      <c r="IM243" s="30"/>
      <c r="IN243" s="30"/>
      <c r="IO243" s="30"/>
      <c r="IP243" s="30"/>
      <c r="IQ243" s="30"/>
      <c r="IR243" s="30"/>
      <c r="IS243" s="30"/>
      <c r="IT243" s="30"/>
      <c r="IU243" s="30"/>
      <c r="IV243" s="30"/>
      <c r="IW243" s="30"/>
      <c r="IX243" s="30"/>
      <c r="IY243" s="30"/>
      <c r="IZ243" s="30"/>
      <c r="JA243" s="30"/>
      <c r="JB243" s="30"/>
      <c r="JC243" s="30"/>
      <c r="JD243" s="30"/>
      <c r="JE243" s="30"/>
      <c r="JF243" s="30"/>
      <c r="JG243" s="30"/>
      <c r="JH243" s="30"/>
      <c r="JI243" s="30"/>
      <c r="JJ243" s="30"/>
      <c r="JK243" s="30"/>
      <c r="JL243" s="30"/>
      <c r="JM243" s="30"/>
      <c r="JN243" s="30"/>
      <c r="JO243" s="30"/>
      <c r="JP243" s="30"/>
      <c r="JQ243" s="30"/>
      <c r="JR243" s="30"/>
      <c r="JS243" s="30"/>
      <c r="JT243" s="30"/>
      <c r="JU243" s="30"/>
      <c r="JV243" s="30"/>
      <c r="JW243" s="30"/>
      <c r="JX243" s="30"/>
      <c r="JY243" s="30"/>
      <c r="JZ243" s="30"/>
      <c r="KA243" s="30"/>
      <c r="KB243" s="30"/>
      <c r="KC243" s="30"/>
      <c r="KD243" s="30"/>
      <c r="KE243" s="30"/>
      <c r="KF243" s="30"/>
      <c r="KG243" s="30"/>
      <c r="KH243" s="30"/>
      <c r="KI243" s="30"/>
      <c r="KJ243" s="30"/>
      <c r="KK243" s="30"/>
      <c r="KL243" s="30"/>
      <c r="KM243" s="30"/>
      <c r="KN243" s="30"/>
      <c r="KO243" s="30"/>
      <c r="KP243" s="1630"/>
    </row>
    <row r="244" spans="1:302" s="97" customFormat="1" ht="31.25" customHeight="1" outlineLevel="1">
      <c r="A244" s="2582" t="s">
        <v>1041</v>
      </c>
      <c r="B244" s="2608"/>
      <c r="C244" s="2582" t="s">
        <v>1059</v>
      </c>
      <c r="D244" s="2582" t="s">
        <v>1076</v>
      </c>
      <c r="E244" s="376"/>
      <c r="F244" s="347"/>
      <c r="G244" s="348"/>
      <c r="H244" s="349" t="s">
        <v>26</v>
      </c>
      <c r="I244" s="2936"/>
      <c r="J244" s="362" t="s">
        <v>26</v>
      </c>
      <c r="K244" s="1745"/>
      <c r="L244" s="383"/>
      <c r="M244" s="383"/>
      <c r="N244" s="383"/>
      <c r="O244" s="1510">
        <v>3337500</v>
      </c>
      <c r="P244" s="383"/>
      <c r="Q244" s="383"/>
      <c r="R244" s="383"/>
      <c r="S244" s="1510">
        <f t="shared" si="274"/>
        <v>0</v>
      </c>
      <c r="T244" s="1509"/>
      <c r="U244" s="1746"/>
      <c r="V244" s="1746"/>
      <c r="W244" s="1510">
        <f t="shared" si="235"/>
        <v>3337500</v>
      </c>
      <c r="X244" s="362" t="s">
        <v>26</v>
      </c>
      <c r="Y244" s="1509"/>
      <c r="Z244" s="1746"/>
      <c r="AA244" s="1746"/>
      <c r="AB244" s="1510">
        <f t="shared" si="236"/>
        <v>3337500</v>
      </c>
      <c r="AC244" s="1442"/>
      <c r="AD244" s="1457"/>
      <c r="AE244" s="352"/>
      <c r="AF244" s="353"/>
      <c r="AG244" s="353"/>
      <c r="AH244" s="354">
        <f t="shared" si="273"/>
        <v>0</v>
      </c>
      <c r="AI244" s="355">
        <f t="shared" ca="1" si="232"/>
        <v>0</v>
      </c>
      <c r="AJ244" s="356">
        <f t="shared" ca="1" si="275"/>
        <v>0</v>
      </c>
      <c r="AK244" s="2185"/>
      <c r="AL244" s="2063"/>
      <c r="AM244" s="2262"/>
      <c r="AN244" s="2262"/>
      <c r="AO244" s="1509"/>
      <c r="AP244" s="384"/>
      <c r="AQ244" s="1509"/>
      <c r="AR244" s="362"/>
      <c r="AS244" s="362"/>
      <c r="AT244" s="385"/>
      <c r="AU244" s="359"/>
      <c r="AV244" s="359"/>
      <c r="AW244" s="377"/>
      <c r="AX244" s="362"/>
      <c r="AY244" s="385"/>
      <c r="AZ244" s="2273"/>
      <c r="BA244" s="359">
        <v>476785.74</v>
      </c>
      <c r="BB244" s="359">
        <v>476785.71</v>
      </c>
      <c r="BC244" s="359">
        <v>476785.71</v>
      </c>
      <c r="BD244" s="359">
        <v>476785.71</v>
      </c>
      <c r="BE244" s="362">
        <v>476785.71</v>
      </c>
      <c r="BF244" s="362">
        <v>476785.71</v>
      </c>
      <c r="BG244" s="362">
        <v>476785.71</v>
      </c>
      <c r="BH244" s="362"/>
      <c r="BI244" s="414"/>
      <c r="BJ244" s="362"/>
      <c r="BK244" s="2123"/>
      <c r="BL244" s="414"/>
      <c r="BM244" s="414"/>
      <c r="BN244" s="414"/>
      <c r="BO244" s="414"/>
      <c r="BP244" s="414"/>
      <c r="BQ244" s="2399"/>
      <c r="BR244" s="362"/>
      <c r="BS244" s="362"/>
      <c r="BT244" s="362"/>
      <c r="BU244" s="364"/>
      <c r="BV244" s="364"/>
      <c r="BW244" s="2366"/>
      <c r="BX244" s="2463"/>
      <c r="BY244" s="2543"/>
      <c r="BZ244" s="2543"/>
      <c r="CA244" s="2432">
        <f t="shared" si="263"/>
        <v>3337500</v>
      </c>
      <c r="CB244" s="2377">
        <f t="shared" si="264"/>
        <v>1</v>
      </c>
      <c r="CC244" s="365">
        <f t="shared" si="265"/>
        <v>2.9962546816479403E-7</v>
      </c>
      <c r="CD244" s="366"/>
      <c r="CE244" s="343"/>
      <c r="CF244" s="343"/>
      <c r="CG244" s="340"/>
      <c r="CH244" s="367"/>
      <c r="CI244" s="368"/>
      <c r="CJ244" s="368"/>
      <c r="CK244" s="369"/>
      <c r="CL244" s="329">
        <f t="shared" si="261"/>
        <v>0</v>
      </c>
      <c r="CM244" s="330">
        <f t="shared" ca="1" si="262"/>
        <v>0</v>
      </c>
      <c r="CN244" s="331">
        <f t="shared" ca="1" si="272"/>
        <v>-3337500</v>
      </c>
      <c r="CO244" s="86"/>
      <c r="CP244" s="86"/>
      <c r="CQ244" s="1641"/>
      <c r="CR244" s="86"/>
      <c r="CS244" s="86"/>
      <c r="CT244" s="86"/>
      <c r="CU244" s="86"/>
      <c r="CV244" s="86"/>
      <c r="CW244" s="86"/>
      <c r="CX244" s="86"/>
      <c r="CY244" s="86"/>
      <c r="CZ244" s="86"/>
      <c r="DA244" s="86"/>
      <c r="DB244" s="1642"/>
      <c r="DC244" s="1642"/>
      <c r="DD244" s="30"/>
      <c r="DE244" s="30"/>
      <c r="DF244" s="30"/>
      <c r="DG244" s="1642"/>
      <c r="DH244" s="1642"/>
      <c r="DI244" s="1642"/>
      <c r="DJ244" s="1642"/>
      <c r="DK244" s="1642"/>
      <c r="DL244" s="1642"/>
      <c r="DM244" s="1642"/>
      <c r="DN244" s="1642"/>
      <c r="DO244" s="1642"/>
      <c r="DP244" s="1642"/>
      <c r="DQ244" s="1642"/>
      <c r="DR244" s="1642"/>
      <c r="DS244" s="1642"/>
      <c r="DT244" s="1642"/>
      <c r="DU244" s="1642"/>
      <c r="DV244" s="1642"/>
      <c r="DW244" s="1642"/>
      <c r="DX244" s="1642"/>
      <c r="DY244" s="1642"/>
      <c r="DZ244" s="1642"/>
      <c r="EA244" s="1642"/>
      <c r="EB244" s="1642"/>
      <c r="EC244" s="1642"/>
      <c r="ED244" s="1642"/>
      <c r="EE244" s="1642"/>
      <c r="EF244" s="1642"/>
      <c r="EG244" s="1642"/>
      <c r="EH244" s="1643"/>
      <c r="EI244" s="1658"/>
      <c r="EJ244" s="1642"/>
      <c r="EK244" s="30"/>
      <c r="EL244" s="30"/>
      <c r="EM244" s="30"/>
      <c r="EN244" s="30"/>
      <c r="EO244" s="30"/>
      <c r="EP244" s="30"/>
      <c r="EQ244" s="30"/>
      <c r="ER244" s="30"/>
      <c r="ES244" s="30"/>
      <c r="ET244" s="30"/>
      <c r="EU244" s="30"/>
      <c r="EV244" s="30"/>
      <c r="EW244" s="30"/>
      <c r="EX244" s="30"/>
      <c r="EY244" s="30"/>
      <c r="EZ244" s="30"/>
      <c r="FA244" s="30"/>
      <c r="FB244" s="30"/>
      <c r="FC244" s="30"/>
      <c r="FD244" s="30"/>
      <c r="FE244" s="30"/>
      <c r="FF244" s="30"/>
      <c r="FG244" s="30"/>
      <c r="FH244" s="30"/>
      <c r="FI244" s="30"/>
      <c r="FJ244" s="30"/>
      <c r="FK244" s="30"/>
      <c r="FL244" s="30"/>
      <c r="FM244" s="30"/>
      <c r="FN244" s="30"/>
      <c r="FO244" s="30"/>
      <c r="FP244" s="30"/>
      <c r="FQ244" s="30"/>
      <c r="FR244" s="30"/>
      <c r="FS244" s="30"/>
      <c r="FT244" s="30"/>
      <c r="FU244" s="30"/>
      <c r="FV244" s="30"/>
      <c r="FW244" s="30"/>
      <c r="FX244" s="30"/>
      <c r="FY244" s="30"/>
      <c r="FZ244" s="30"/>
      <c r="GA244" s="30"/>
      <c r="GB244" s="30"/>
      <c r="GC244" s="30"/>
      <c r="GD244" s="30"/>
      <c r="GE244" s="30"/>
      <c r="GF244" s="30"/>
      <c r="GG244" s="30"/>
      <c r="GH244" s="30"/>
      <c r="GI244" s="30"/>
      <c r="GJ244" s="30"/>
      <c r="GK244" s="30"/>
      <c r="GL244" s="30"/>
      <c r="GM244" s="30"/>
      <c r="GN244" s="30"/>
      <c r="GO244" s="30"/>
      <c r="GP244" s="30"/>
      <c r="GQ244" s="30"/>
      <c r="GR244" s="30"/>
      <c r="GS244" s="30"/>
      <c r="GT244" s="30"/>
      <c r="GU244" s="30"/>
      <c r="GV244" s="30"/>
      <c r="GW244" s="30"/>
      <c r="GX244" s="30"/>
      <c r="GY244" s="30"/>
      <c r="GZ244" s="30"/>
      <c r="HA244" s="30"/>
      <c r="HB244" s="30"/>
      <c r="HC244" s="30"/>
      <c r="HD244" s="30"/>
      <c r="HE244" s="30"/>
      <c r="HF244" s="30"/>
      <c r="HG244" s="30"/>
      <c r="HH244" s="30"/>
      <c r="HI244" s="30"/>
      <c r="HJ244" s="30"/>
      <c r="HK244" s="30"/>
      <c r="HL244" s="30"/>
      <c r="HM244" s="30"/>
      <c r="HN244" s="30"/>
      <c r="HO244" s="30"/>
      <c r="HP244" s="30"/>
      <c r="HQ244" s="30"/>
      <c r="HR244" s="30"/>
      <c r="HS244" s="30"/>
      <c r="HT244" s="30"/>
      <c r="HU244" s="30"/>
      <c r="HV244" s="30"/>
      <c r="HW244" s="30"/>
      <c r="HX244" s="30"/>
      <c r="HY244" s="30"/>
      <c r="HZ244" s="30"/>
      <c r="IA244" s="30"/>
      <c r="IB244" s="30"/>
      <c r="IC244" s="30"/>
      <c r="ID244" s="30"/>
      <c r="IE244" s="30"/>
      <c r="IF244" s="30"/>
      <c r="IG244" s="30"/>
      <c r="IH244" s="30"/>
      <c r="II244" s="30"/>
      <c r="IJ244" s="30"/>
      <c r="IK244" s="30"/>
      <c r="IL244" s="30"/>
      <c r="IM244" s="30"/>
      <c r="IN244" s="30"/>
      <c r="IO244" s="30"/>
      <c r="IP244" s="30"/>
      <c r="IQ244" s="30"/>
      <c r="IR244" s="30"/>
      <c r="IS244" s="30"/>
      <c r="IT244" s="30"/>
      <c r="IU244" s="30"/>
      <c r="IV244" s="30"/>
      <c r="IW244" s="30"/>
      <c r="IX244" s="30"/>
      <c r="IY244" s="30"/>
      <c r="IZ244" s="30"/>
      <c r="JA244" s="30"/>
      <c r="JB244" s="30"/>
      <c r="JC244" s="30"/>
      <c r="JD244" s="30"/>
      <c r="JE244" s="30"/>
      <c r="JF244" s="30"/>
      <c r="JG244" s="30"/>
      <c r="JH244" s="30"/>
      <c r="JI244" s="30"/>
      <c r="JJ244" s="30"/>
      <c r="JK244" s="30"/>
      <c r="JL244" s="30"/>
      <c r="JM244" s="30"/>
      <c r="JN244" s="30"/>
      <c r="JO244" s="30"/>
      <c r="JP244" s="30"/>
      <c r="JQ244" s="30"/>
      <c r="JR244" s="30"/>
      <c r="JS244" s="30"/>
      <c r="JT244" s="30"/>
      <c r="JU244" s="30"/>
      <c r="JV244" s="30"/>
      <c r="JW244" s="30"/>
      <c r="JX244" s="30"/>
      <c r="JY244" s="30"/>
      <c r="JZ244" s="30"/>
      <c r="KA244" s="30"/>
      <c r="KB244" s="30"/>
      <c r="KC244" s="30"/>
      <c r="KD244" s="30"/>
      <c r="KE244" s="30"/>
      <c r="KF244" s="30"/>
      <c r="KG244" s="30"/>
      <c r="KH244" s="30"/>
      <c r="KI244" s="30"/>
      <c r="KJ244" s="30"/>
      <c r="KK244" s="30"/>
      <c r="KL244" s="30"/>
      <c r="KM244" s="30"/>
      <c r="KN244" s="30"/>
      <c r="KO244" s="30"/>
      <c r="KP244" s="1630"/>
    </row>
    <row r="245" spans="1:302" s="97" customFormat="1" ht="36.75" customHeight="1" outlineLevel="1">
      <c r="A245" s="2582" t="s">
        <v>1042</v>
      </c>
      <c r="B245" s="2608"/>
      <c r="C245" s="2582" t="s">
        <v>1060</v>
      </c>
      <c r="D245" s="2582" t="s">
        <v>1077</v>
      </c>
      <c r="E245" s="376"/>
      <c r="F245" s="347"/>
      <c r="G245" s="348"/>
      <c r="H245" s="349" t="s">
        <v>26</v>
      </c>
      <c r="I245" s="2936"/>
      <c r="J245" s="362" t="s">
        <v>26</v>
      </c>
      <c r="K245" s="1745"/>
      <c r="L245" s="383"/>
      <c r="M245" s="383"/>
      <c r="N245" s="383"/>
      <c r="O245" s="1510">
        <v>2600000</v>
      </c>
      <c r="P245" s="383"/>
      <c r="Q245" s="383"/>
      <c r="R245" s="383"/>
      <c r="S245" s="1510">
        <f t="shared" si="274"/>
        <v>0</v>
      </c>
      <c r="T245" s="1509"/>
      <c r="U245" s="1746"/>
      <c r="V245" s="1746"/>
      <c r="W245" s="1510">
        <f t="shared" si="235"/>
        <v>2600000</v>
      </c>
      <c r="X245" s="362" t="s">
        <v>26</v>
      </c>
      <c r="Y245" s="1509"/>
      <c r="Z245" s="1746"/>
      <c r="AA245" s="1746"/>
      <c r="AB245" s="1510">
        <f t="shared" si="236"/>
        <v>2600000</v>
      </c>
      <c r="AC245" s="1442"/>
      <c r="AD245" s="1457"/>
      <c r="AE245" s="352"/>
      <c r="AF245" s="353"/>
      <c r="AG245" s="353"/>
      <c r="AH245" s="354">
        <f t="shared" si="273"/>
        <v>0</v>
      </c>
      <c r="AI245" s="355">
        <f t="shared" ca="1" si="232"/>
        <v>0</v>
      </c>
      <c r="AJ245" s="356">
        <f t="shared" ca="1" si="275"/>
        <v>0</v>
      </c>
      <c r="AK245" s="2185"/>
      <c r="AL245" s="2063"/>
      <c r="AM245" s="2262"/>
      <c r="AN245" s="2262"/>
      <c r="AO245" s="1509"/>
      <c r="AP245" s="384"/>
      <c r="AQ245" s="1509"/>
      <c r="AR245" s="362"/>
      <c r="AS245" s="362"/>
      <c r="AT245" s="385"/>
      <c r="AU245" s="359"/>
      <c r="AV245" s="359"/>
      <c r="AW245" s="377"/>
      <c r="AX245" s="362"/>
      <c r="AY245" s="385"/>
      <c r="AZ245" s="2273"/>
      <c r="BA245" s="497"/>
      <c r="BB245" s="359"/>
      <c r="BC245" s="359"/>
      <c r="BD245" s="359"/>
      <c r="BE245" s="362"/>
      <c r="BF245" s="362"/>
      <c r="BG245" s="362">
        <v>325000</v>
      </c>
      <c r="BH245" s="362">
        <v>325000</v>
      </c>
      <c r="BI245" s="362">
        <v>325000</v>
      </c>
      <c r="BJ245" s="362">
        <v>325000</v>
      </c>
      <c r="BK245" s="2123">
        <v>325000</v>
      </c>
      <c r="BL245" s="414">
        <v>325000</v>
      </c>
      <c r="BM245" s="414">
        <v>325000</v>
      </c>
      <c r="BN245" s="414">
        <v>325000</v>
      </c>
      <c r="BO245" s="414"/>
      <c r="BP245" s="414"/>
      <c r="BQ245" s="2399"/>
      <c r="BR245" s="362"/>
      <c r="BS245" s="362"/>
      <c r="BT245" s="362"/>
      <c r="BU245" s="364"/>
      <c r="BV245" s="364"/>
      <c r="BW245" s="2366"/>
      <c r="BX245" s="2463"/>
      <c r="BY245" s="2543"/>
      <c r="BZ245" s="2543"/>
      <c r="CA245" s="2432">
        <f t="shared" si="263"/>
        <v>2600000</v>
      </c>
      <c r="CB245" s="2377">
        <f t="shared" si="264"/>
        <v>1</v>
      </c>
      <c r="CC245" s="365">
        <f t="shared" si="265"/>
        <v>3.8461538461538463E-7</v>
      </c>
      <c r="CD245" s="366"/>
      <c r="CE245" s="343"/>
      <c r="CF245" s="343"/>
      <c r="CG245" s="340"/>
      <c r="CH245" s="367"/>
      <c r="CI245" s="368"/>
      <c r="CJ245" s="368"/>
      <c r="CK245" s="369"/>
      <c r="CL245" s="329">
        <f t="shared" si="261"/>
        <v>0</v>
      </c>
      <c r="CM245" s="330">
        <f t="shared" ca="1" si="262"/>
        <v>0</v>
      </c>
      <c r="CN245" s="331">
        <f t="shared" ca="1" si="272"/>
        <v>-2600000</v>
      </c>
      <c r="CO245" s="86"/>
      <c r="CP245" s="86"/>
      <c r="CQ245" s="1641"/>
      <c r="CR245" s="86"/>
      <c r="CS245" s="86"/>
      <c r="CT245" s="86"/>
      <c r="CU245" s="86"/>
      <c r="CV245" s="86"/>
      <c r="CW245" s="86"/>
      <c r="CX245" s="86"/>
      <c r="CY245" s="86"/>
      <c r="CZ245" s="86"/>
      <c r="DA245" s="86"/>
      <c r="DB245" s="1642"/>
      <c r="DC245" s="1642"/>
      <c r="DD245" s="30"/>
      <c r="DE245" s="30"/>
      <c r="DF245" s="30"/>
      <c r="DG245" s="1642"/>
      <c r="DH245" s="1642"/>
      <c r="DI245" s="1642"/>
      <c r="DJ245" s="1642"/>
      <c r="DK245" s="1642"/>
      <c r="DL245" s="1642"/>
      <c r="DM245" s="1642"/>
      <c r="DN245" s="1642"/>
      <c r="DO245" s="1642"/>
      <c r="DP245" s="1642"/>
      <c r="DQ245" s="1642"/>
      <c r="DR245" s="1642"/>
      <c r="DS245" s="1642"/>
      <c r="DT245" s="1642"/>
      <c r="DU245" s="1642"/>
      <c r="DV245" s="1642"/>
      <c r="DW245" s="1642"/>
      <c r="DX245" s="1642"/>
      <c r="DY245" s="1642"/>
      <c r="DZ245" s="1642"/>
      <c r="EA245" s="1642"/>
      <c r="EB245" s="1642"/>
      <c r="EC245" s="1642"/>
      <c r="ED245" s="1642"/>
      <c r="EE245" s="1642"/>
      <c r="EF245" s="1642"/>
      <c r="EG245" s="1642"/>
      <c r="EH245" s="1643"/>
      <c r="EI245" s="1658"/>
      <c r="EJ245" s="1642"/>
      <c r="EK245" s="30"/>
      <c r="EL245" s="30"/>
      <c r="EM245" s="30"/>
      <c r="EN245" s="30"/>
      <c r="EO245" s="30"/>
      <c r="EP245" s="30"/>
      <c r="EQ245" s="30"/>
      <c r="ER245" s="30"/>
      <c r="ES245" s="30"/>
      <c r="ET245" s="30"/>
      <c r="EU245" s="30"/>
      <c r="EV245" s="30"/>
      <c r="EW245" s="30"/>
      <c r="EX245" s="30"/>
      <c r="EY245" s="30"/>
      <c r="EZ245" s="30"/>
      <c r="FA245" s="30"/>
      <c r="FB245" s="30"/>
      <c r="FC245" s="30"/>
      <c r="FD245" s="30"/>
      <c r="FE245" s="30"/>
      <c r="FF245" s="30"/>
      <c r="FG245" s="30"/>
      <c r="FH245" s="30"/>
      <c r="FI245" s="30"/>
      <c r="FJ245" s="30"/>
      <c r="FK245" s="30"/>
      <c r="FL245" s="30"/>
      <c r="FM245" s="30"/>
      <c r="FN245" s="30"/>
      <c r="FO245" s="30"/>
      <c r="FP245" s="30"/>
      <c r="FQ245" s="30"/>
      <c r="FR245" s="30"/>
      <c r="FS245" s="30"/>
      <c r="FT245" s="30"/>
      <c r="FU245" s="30"/>
      <c r="FV245" s="30"/>
      <c r="FW245" s="30"/>
      <c r="FX245" s="30"/>
      <c r="FY245" s="30"/>
      <c r="FZ245" s="30"/>
      <c r="GA245" s="30"/>
      <c r="GB245" s="30"/>
      <c r="GC245" s="30"/>
      <c r="GD245" s="30"/>
      <c r="GE245" s="30"/>
      <c r="GF245" s="30"/>
      <c r="GG245" s="30"/>
      <c r="GH245" s="30"/>
      <c r="GI245" s="30"/>
      <c r="GJ245" s="30"/>
      <c r="GK245" s="30"/>
      <c r="GL245" s="30"/>
      <c r="GM245" s="30"/>
      <c r="GN245" s="30"/>
      <c r="GO245" s="30"/>
      <c r="GP245" s="30"/>
      <c r="GQ245" s="30"/>
      <c r="GR245" s="30"/>
      <c r="GS245" s="30"/>
      <c r="GT245" s="30"/>
      <c r="GU245" s="30"/>
      <c r="GV245" s="30"/>
      <c r="GW245" s="30"/>
      <c r="GX245" s="30"/>
      <c r="GY245" s="30"/>
      <c r="GZ245" s="30"/>
      <c r="HA245" s="30"/>
      <c r="HB245" s="30"/>
      <c r="HC245" s="30"/>
      <c r="HD245" s="30"/>
      <c r="HE245" s="30"/>
      <c r="HF245" s="30"/>
      <c r="HG245" s="30"/>
      <c r="HH245" s="30"/>
      <c r="HI245" s="30"/>
      <c r="HJ245" s="30"/>
      <c r="HK245" s="30"/>
      <c r="HL245" s="30"/>
      <c r="HM245" s="30"/>
      <c r="HN245" s="30"/>
      <c r="HO245" s="30"/>
      <c r="HP245" s="30"/>
      <c r="HQ245" s="30"/>
      <c r="HR245" s="30"/>
      <c r="HS245" s="30"/>
      <c r="HT245" s="30"/>
      <c r="HU245" s="30"/>
      <c r="HV245" s="30"/>
      <c r="HW245" s="30"/>
      <c r="HX245" s="30"/>
      <c r="HY245" s="30"/>
      <c r="HZ245" s="30"/>
      <c r="IA245" s="30"/>
      <c r="IB245" s="30"/>
      <c r="IC245" s="30"/>
      <c r="ID245" s="30"/>
      <c r="IE245" s="30"/>
      <c r="IF245" s="30"/>
      <c r="IG245" s="30"/>
      <c r="IH245" s="30"/>
      <c r="II245" s="30"/>
      <c r="IJ245" s="30"/>
      <c r="IK245" s="30"/>
      <c r="IL245" s="30"/>
      <c r="IM245" s="30"/>
      <c r="IN245" s="30"/>
      <c r="IO245" s="30"/>
      <c r="IP245" s="30"/>
      <c r="IQ245" s="30"/>
      <c r="IR245" s="30"/>
      <c r="IS245" s="30"/>
      <c r="IT245" s="30"/>
      <c r="IU245" s="30"/>
      <c r="IV245" s="30"/>
      <c r="IW245" s="30"/>
      <c r="IX245" s="30"/>
      <c r="IY245" s="30"/>
      <c r="IZ245" s="30"/>
      <c r="JA245" s="30"/>
      <c r="JB245" s="30"/>
      <c r="JC245" s="30"/>
      <c r="JD245" s="30"/>
      <c r="JE245" s="30"/>
      <c r="JF245" s="30"/>
      <c r="JG245" s="30"/>
      <c r="JH245" s="30"/>
      <c r="JI245" s="30"/>
      <c r="JJ245" s="30"/>
      <c r="JK245" s="30"/>
      <c r="JL245" s="30"/>
      <c r="JM245" s="30"/>
      <c r="JN245" s="30"/>
      <c r="JO245" s="30"/>
      <c r="JP245" s="30"/>
      <c r="JQ245" s="30"/>
      <c r="JR245" s="30"/>
      <c r="JS245" s="30"/>
      <c r="JT245" s="30"/>
      <c r="JU245" s="30"/>
      <c r="JV245" s="30"/>
      <c r="JW245" s="30"/>
      <c r="JX245" s="30"/>
      <c r="JY245" s="30"/>
      <c r="JZ245" s="30"/>
      <c r="KA245" s="30"/>
      <c r="KB245" s="30"/>
      <c r="KC245" s="30"/>
      <c r="KD245" s="30"/>
      <c r="KE245" s="30"/>
      <c r="KF245" s="30"/>
      <c r="KG245" s="30"/>
      <c r="KH245" s="30"/>
      <c r="KI245" s="30"/>
      <c r="KJ245" s="30"/>
      <c r="KK245" s="30"/>
      <c r="KL245" s="30"/>
      <c r="KM245" s="30"/>
      <c r="KN245" s="30"/>
      <c r="KO245" s="30"/>
      <c r="KP245" s="1630"/>
    </row>
    <row r="246" spans="1:302" s="97" customFormat="1" ht="39.75" customHeight="1" outlineLevel="1">
      <c r="A246" s="2582" t="s">
        <v>1043</v>
      </c>
      <c r="B246" s="2608"/>
      <c r="C246" s="2582" t="s">
        <v>1061</v>
      </c>
      <c r="D246" s="2582" t="s">
        <v>1078</v>
      </c>
      <c r="E246" s="376"/>
      <c r="F246" s="347"/>
      <c r="G246" s="348"/>
      <c r="H246" s="349" t="s">
        <v>26</v>
      </c>
      <c r="I246" s="2936"/>
      <c r="J246" s="362" t="s">
        <v>26</v>
      </c>
      <c r="K246" s="1745"/>
      <c r="L246" s="383"/>
      <c r="M246" s="383"/>
      <c r="N246" s="383"/>
      <c r="O246" s="1510">
        <v>350000</v>
      </c>
      <c r="P246" s="383"/>
      <c r="Q246" s="383"/>
      <c r="R246" s="383"/>
      <c r="S246" s="1510">
        <f t="shared" si="274"/>
        <v>0</v>
      </c>
      <c r="T246" s="1509"/>
      <c r="U246" s="1746"/>
      <c r="V246" s="1746"/>
      <c r="W246" s="1510">
        <f t="shared" si="235"/>
        <v>350000</v>
      </c>
      <c r="X246" s="362" t="s">
        <v>26</v>
      </c>
      <c r="Y246" s="1509"/>
      <c r="Z246" s="1746"/>
      <c r="AA246" s="1746"/>
      <c r="AB246" s="1510">
        <f t="shared" si="236"/>
        <v>349999.99979999999</v>
      </c>
      <c r="AC246" s="1442"/>
      <c r="AD246" s="1457"/>
      <c r="AE246" s="352"/>
      <c r="AF246" s="353"/>
      <c r="AG246" s="353"/>
      <c r="AH246" s="354">
        <f t="shared" si="273"/>
        <v>0</v>
      </c>
      <c r="AI246" s="355">
        <f t="shared" ca="1" si="232"/>
        <v>0</v>
      </c>
      <c r="AJ246" s="356">
        <f t="shared" ca="1" si="275"/>
        <v>0</v>
      </c>
      <c r="AK246" s="2185"/>
      <c r="AL246" s="2063"/>
      <c r="AM246" s="2262"/>
      <c r="AN246" s="2262"/>
      <c r="AO246" s="1509"/>
      <c r="AP246" s="384"/>
      <c r="AQ246" s="1509"/>
      <c r="AR246" s="362"/>
      <c r="AS246" s="362"/>
      <c r="AT246" s="385"/>
      <c r="AU246" s="359"/>
      <c r="AV246" s="359"/>
      <c r="AW246" s="377"/>
      <c r="AX246" s="362"/>
      <c r="AY246" s="385"/>
      <c r="AZ246" s="2258"/>
      <c r="BA246" s="359"/>
      <c r="BB246" s="380"/>
      <c r="BC246" s="380"/>
      <c r="BD246" s="380"/>
      <c r="BE246" s="362"/>
      <c r="BF246" s="362"/>
      <c r="BG246" s="362">
        <v>58333.333299999998</v>
      </c>
      <c r="BH246" s="362">
        <v>58333.333299999998</v>
      </c>
      <c r="BI246" s="380">
        <v>58333.333299999998</v>
      </c>
      <c r="BJ246" s="362">
        <v>58333.333299999998</v>
      </c>
      <c r="BK246" s="2123">
        <v>58333.333299999998</v>
      </c>
      <c r="BL246" s="414">
        <v>58333.333299999998</v>
      </c>
      <c r="BM246" s="414"/>
      <c r="BN246" s="414"/>
      <c r="BO246" s="414"/>
      <c r="BP246" s="414"/>
      <c r="BQ246" s="2399"/>
      <c r="BR246" s="362"/>
      <c r="BS246" s="362"/>
      <c r="BT246" s="362"/>
      <c r="BU246" s="364"/>
      <c r="BV246" s="364"/>
      <c r="BW246" s="2366"/>
      <c r="BX246" s="2463"/>
      <c r="BY246" s="2543"/>
      <c r="BZ246" s="2543"/>
      <c r="CA246" s="2432">
        <f t="shared" si="263"/>
        <v>349999.99979999999</v>
      </c>
      <c r="CB246" s="2377">
        <f t="shared" si="264"/>
        <v>1</v>
      </c>
      <c r="CC246" s="365">
        <f t="shared" si="265"/>
        <v>2.8571428587755103E-6</v>
      </c>
      <c r="CD246" s="366"/>
      <c r="CE246" s="343"/>
      <c r="CF246" s="343"/>
      <c r="CG246" s="340"/>
      <c r="CH246" s="367"/>
      <c r="CI246" s="368"/>
      <c r="CJ246" s="368"/>
      <c r="CK246" s="369"/>
      <c r="CL246" s="329">
        <f t="shared" si="261"/>
        <v>2.0000000949949026E-4</v>
      </c>
      <c r="CM246" s="330">
        <f t="shared" ca="1" si="262"/>
        <v>0</v>
      </c>
      <c r="CN246" s="331">
        <f t="shared" ca="1" si="272"/>
        <v>-349999.99979999999</v>
      </c>
      <c r="CO246" s="86"/>
      <c r="CP246" s="86"/>
      <c r="CQ246" s="1641"/>
      <c r="CR246" s="86"/>
      <c r="CS246" s="86"/>
      <c r="CT246" s="86"/>
      <c r="CU246" s="86"/>
      <c r="CV246" s="86"/>
      <c r="CW246" s="86"/>
      <c r="CX246" s="86"/>
      <c r="CY246" s="86"/>
      <c r="CZ246" s="86"/>
      <c r="DA246" s="86"/>
      <c r="DB246" s="1642"/>
      <c r="DC246" s="1642"/>
      <c r="DD246" s="30"/>
      <c r="DE246" s="30"/>
      <c r="DF246" s="30"/>
      <c r="DG246" s="1642"/>
      <c r="DH246" s="1642"/>
      <c r="DI246" s="1642"/>
      <c r="DJ246" s="1642"/>
      <c r="DK246" s="1642"/>
      <c r="DL246" s="1642"/>
      <c r="DM246" s="1642"/>
      <c r="DN246" s="1642"/>
      <c r="DO246" s="1642"/>
      <c r="DP246" s="1642"/>
      <c r="DQ246" s="1642"/>
      <c r="DR246" s="1642"/>
      <c r="DS246" s="1642"/>
      <c r="DT246" s="1642"/>
      <c r="DU246" s="1642"/>
      <c r="DV246" s="1642"/>
      <c r="DW246" s="1642"/>
      <c r="DX246" s="1642"/>
      <c r="DY246" s="1642"/>
      <c r="DZ246" s="1642"/>
      <c r="EA246" s="1642"/>
      <c r="EB246" s="1642"/>
      <c r="EC246" s="1642"/>
      <c r="ED246" s="1642"/>
      <c r="EE246" s="1642"/>
      <c r="EF246" s="1642"/>
      <c r="EG246" s="1642"/>
      <c r="EH246" s="1643"/>
      <c r="EI246" s="1658"/>
      <c r="EJ246" s="1642"/>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0"/>
      <c r="HP246" s="30"/>
      <c r="HQ246" s="30"/>
      <c r="HR246" s="30"/>
      <c r="HS246" s="30"/>
      <c r="HT246" s="30"/>
      <c r="HU246" s="30"/>
      <c r="HV246" s="30"/>
      <c r="HW246" s="30"/>
      <c r="HX246" s="30"/>
      <c r="HY246" s="30"/>
      <c r="HZ246" s="30"/>
      <c r="IA246" s="30"/>
      <c r="IB246" s="30"/>
      <c r="IC246" s="30"/>
      <c r="ID246" s="30"/>
      <c r="IE246" s="30"/>
      <c r="IF246" s="30"/>
      <c r="IG246" s="30"/>
      <c r="IH246" s="30"/>
      <c r="II246" s="30"/>
      <c r="IJ246" s="30"/>
      <c r="IK246" s="30"/>
      <c r="IL246" s="30"/>
      <c r="IM246" s="30"/>
      <c r="IN246" s="30"/>
      <c r="IO246" s="30"/>
      <c r="IP246" s="30"/>
      <c r="IQ246" s="30"/>
      <c r="IR246" s="30"/>
      <c r="IS246" s="30"/>
      <c r="IT246" s="30"/>
      <c r="IU246" s="30"/>
      <c r="IV246" s="30"/>
      <c r="IW246" s="30"/>
      <c r="IX246" s="30"/>
      <c r="IY246" s="30"/>
      <c r="IZ246" s="30"/>
      <c r="JA246" s="30"/>
      <c r="JB246" s="30"/>
      <c r="JC246" s="30"/>
      <c r="JD246" s="30"/>
      <c r="JE246" s="30"/>
      <c r="JF246" s="30"/>
      <c r="JG246" s="30"/>
      <c r="JH246" s="30"/>
      <c r="JI246" s="30"/>
      <c r="JJ246" s="30"/>
      <c r="JK246" s="30"/>
      <c r="JL246" s="30"/>
      <c r="JM246" s="30"/>
      <c r="JN246" s="30"/>
      <c r="JO246" s="30"/>
      <c r="JP246" s="30"/>
      <c r="JQ246" s="30"/>
      <c r="JR246" s="30"/>
      <c r="JS246" s="30"/>
      <c r="JT246" s="30"/>
      <c r="JU246" s="30"/>
      <c r="JV246" s="30"/>
      <c r="JW246" s="30"/>
      <c r="JX246" s="30"/>
      <c r="JY246" s="30"/>
      <c r="JZ246" s="30"/>
      <c r="KA246" s="30"/>
      <c r="KB246" s="30"/>
      <c r="KC246" s="30"/>
      <c r="KD246" s="30"/>
      <c r="KE246" s="30"/>
      <c r="KF246" s="30"/>
      <c r="KG246" s="30"/>
      <c r="KH246" s="30"/>
      <c r="KI246" s="30"/>
      <c r="KJ246" s="30"/>
      <c r="KK246" s="30"/>
      <c r="KL246" s="30"/>
      <c r="KM246" s="30"/>
      <c r="KN246" s="30"/>
      <c r="KO246" s="30"/>
      <c r="KP246" s="1630"/>
    </row>
    <row r="247" spans="1:302" s="97" customFormat="1" ht="13.9" outlineLevel="1">
      <c r="A247" s="2582" t="s">
        <v>1044</v>
      </c>
      <c r="B247" s="2608"/>
      <c r="C247" s="2582" t="s">
        <v>1062</v>
      </c>
      <c r="D247" s="2582" t="s">
        <v>1079</v>
      </c>
      <c r="E247" s="376"/>
      <c r="F247" s="347"/>
      <c r="G247" s="348"/>
      <c r="H247" s="349" t="s">
        <v>26</v>
      </c>
      <c r="I247" s="2936"/>
      <c r="J247" s="362" t="s">
        <v>26</v>
      </c>
      <c r="K247" s="1745"/>
      <c r="L247" s="383"/>
      <c r="M247" s="383"/>
      <c r="N247" s="383"/>
      <c r="O247" s="1510">
        <v>3010000</v>
      </c>
      <c r="P247" s="383"/>
      <c r="Q247" s="383"/>
      <c r="R247" s="383"/>
      <c r="S247" s="1510">
        <f t="shared" si="274"/>
        <v>0</v>
      </c>
      <c r="T247" s="1509"/>
      <c r="U247" s="1746"/>
      <c r="V247" s="1746"/>
      <c r="W247" s="1510">
        <f t="shared" si="235"/>
        <v>3010000</v>
      </c>
      <c r="X247" s="362" t="s">
        <v>26</v>
      </c>
      <c r="Y247" s="1509"/>
      <c r="Z247" s="1746"/>
      <c r="AA247" s="1746"/>
      <c r="AB247" s="1510">
        <f t="shared" si="236"/>
        <v>3010000</v>
      </c>
      <c r="AC247" s="1442"/>
      <c r="AD247" s="1457"/>
      <c r="AE247" s="352"/>
      <c r="AF247" s="353"/>
      <c r="AG247" s="353"/>
      <c r="AH247" s="354">
        <f t="shared" si="273"/>
        <v>0</v>
      </c>
      <c r="AI247" s="355">
        <f t="shared" ca="1" si="232"/>
        <v>0</v>
      </c>
      <c r="AJ247" s="356">
        <f t="shared" ca="1" si="275"/>
        <v>0</v>
      </c>
      <c r="AK247" s="2185"/>
      <c r="AL247" s="2063"/>
      <c r="AM247" s="2262"/>
      <c r="AN247" s="2262"/>
      <c r="AO247" s="1509"/>
      <c r="AP247" s="384"/>
      <c r="AQ247" s="1509"/>
      <c r="AR247" s="362"/>
      <c r="AS247" s="362"/>
      <c r="AT247" s="385"/>
      <c r="AU247" s="359"/>
      <c r="AV247" s="359"/>
      <c r="AW247" s="377"/>
      <c r="AX247" s="362"/>
      <c r="AY247" s="385"/>
      <c r="AZ247" s="2258"/>
      <c r="BA247" s="359"/>
      <c r="BB247" s="359"/>
      <c r="BC247" s="359"/>
      <c r="BD247" s="359"/>
      <c r="BE247" s="362"/>
      <c r="BF247" s="362"/>
      <c r="BG247" s="362"/>
      <c r="BH247" s="362"/>
      <c r="BI247" s="414"/>
      <c r="BJ247" s="362"/>
      <c r="BK247" s="2123"/>
      <c r="BL247" s="414"/>
      <c r="BM247" s="414"/>
      <c r="BN247" s="414"/>
      <c r="BO247" s="414"/>
      <c r="BP247" s="414"/>
      <c r="BQ247" s="2399"/>
      <c r="BR247" s="362"/>
      <c r="BS247" s="362"/>
      <c r="BT247" s="362"/>
      <c r="BU247" s="364"/>
      <c r="BV247" s="364"/>
      <c r="BW247" s="2366">
        <v>3010000</v>
      </c>
      <c r="BX247" s="2463"/>
      <c r="BY247" s="2543"/>
      <c r="BZ247" s="2543"/>
      <c r="CA247" s="2432">
        <f t="shared" si="263"/>
        <v>3010000</v>
      </c>
      <c r="CB247" s="2377">
        <f t="shared" si="264"/>
        <v>1</v>
      </c>
      <c r="CC247" s="365">
        <f t="shared" si="265"/>
        <v>3.3222591362126246E-7</v>
      </c>
      <c r="CD247" s="366"/>
      <c r="CE247" s="343"/>
      <c r="CF247" s="343"/>
      <c r="CG247" s="340"/>
      <c r="CH247" s="367"/>
      <c r="CI247" s="368"/>
      <c r="CJ247" s="368"/>
      <c r="CK247" s="369"/>
      <c r="CL247" s="329">
        <f t="shared" si="261"/>
        <v>0</v>
      </c>
      <c r="CM247" s="330">
        <f t="shared" ca="1" si="262"/>
        <v>0</v>
      </c>
      <c r="CN247" s="331">
        <f t="shared" ca="1" si="272"/>
        <v>-3010000</v>
      </c>
      <c r="CO247" s="86"/>
      <c r="CP247" s="86"/>
      <c r="CQ247" s="1641"/>
      <c r="CR247" s="86"/>
      <c r="CS247" s="86"/>
      <c r="CT247" s="86"/>
      <c r="CU247" s="86"/>
      <c r="CV247" s="86"/>
      <c r="CW247" s="86"/>
      <c r="CX247" s="86"/>
      <c r="CY247" s="86"/>
      <c r="CZ247" s="86"/>
      <c r="DA247" s="86"/>
      <c r="DB247" s="1642"/>
      <c r="DC247" s="1642"/>
      <c r="DD247" s="30"/>
      <c r="DE247" s="30"/>
      <c r="DF247" s="30"/>
      <c r="DG247" s="1642"/>
      <c r="DH247" s="1642"/>
      <c r="DI247" s="1642"/>
      <c r="DJ247" s="1642"/>
      <c r="DK247" s="1642"/>
      <c r="DL247" s="1642"/>
      <c r="DM247" s="1642"/>
      <c r="DN247" s="1642"/>
      <c r="DO247" s="1642"/>
      <c r="DP247" s="1642"/>
      <c r="DQ247" s="1642"/>
      <c r="DR247" s="1642"/>
      <c r="DS247" s="1642"/>
      <c r="DT247" s="1642"/>
      <c r="DU247" s="1642"/>
      <c r="DV247" s="1642"/>
      <c r="DW247" s="1642"/>
      <c r="DX247" s="1642"/>
      <c r="DY247" s="1642"/>
      <c r="DZ247" s="1642"/>
      <c r="EA247" s="1642"/>
      <c r="EB247" s="1642"/>
      <c r="EC247" s="1642"/>
      <c r="ED247" s="1642"/>
      <c r="EE247" s="1642"/>
      <c r="EF247" s="1642"/>
      <c r="EG247" s="1642"/>
      <c r="EH247" s="1643"/>
      <c r="EI247" s="1658"/>
      <c r="EJ247" s="1642"/>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0"/>
      <c r="HP247" s="30"/>
      <c r="HQ247" s="30"/>
      <c r="HR247" s="30"/>
      <c r="HS247" s="30"/>
      <c r="HT247" s="30"/>
      <c r="HU247" s="30"/>
      <c r="HV247" s="30"/>
      <c r="HW247" s="30"/>
      <c r="HX247" s="30"/>
      <c r="HY247" s="30"/>
      <c r="HZ247" s="30"/>
      <c r="IA247" s="30"/>
      <c r="IB247" s="30"/>
      <c r="IC247" s="30"/>
      <c r="ID247" s="30"/>
      <c r="IE247" s="30"/>
      <c r="IF247" s="30"/>
      <c r="IG247" s="30"/>
      <c r="IH247" s="30"/>
      <c r="II247" s="30"/>
      <c r="IJ247" s="30"/>
      <c r="IK247" s="30"/>
      <c r="IL247" s="30"/>
      <c r="IM247" s="30"/>
      <c r="IN247" s="30"/>
      <c r="IO247" s="30"/>
      <c r="IP247" s="30"/>
      <c r="IQ247" s="30"/>
      <c r="IR247" s="30"/>
      <c r="IS247" s="30"/>
      <c r="IT247" s="30"/>
      <c r="IU247" s="30"/>
      <c r="IV247" s="30"/>
      <c r="IW247" s="30"/>
      <c r="IX247" s="30"/>
      <c r="IY247" s="30"/>
      <c r="IZ247" s="30"/>
      <c r="JA247" s="30"/>
      <c r="JB247" s="30"/>
      <c r="JC247" s="30"/>
      <c r="JD247" s="30"/>
      <c r="JE247" s="30"/>
      <c r="JF247" s="30"/>
      <c r="JG247" s="30"/>
      <c r="JH247" s="30"/>
      <c r="JI247" s="30"/>
      <c r="JJ247" s="30"/>
      <c r="JK247" s="30"/>
      <c r="JL247" s="30"/>
      <c r="JM247" s="30"/>
      <c r="JN247" s="30"/>
      <c r="JO247" s="30"/>
      <c r="JP247" s="30"/>
      <c r="JQ247" s="30"/>
      <c r="JR247" s="30"/>
      <c r="JS247" s="30"/>
      <c r="JT247" s="30"/>
      <c r="JU247" s="30"/>
      <c r="JV247" s="30"/>
      <c r="JW247" s="30"/>
      <c r="JX247" s="30"/>
      <c r="JY247" s="30"/>
      <c r="JZ247" s="30"/>
      <c r="KA247" s="30"/>
      <c r="KB247" s="30"/>
      <c r="KC247" s="30"/>
      <c r="KD247" s="30"/>
      <c r="KE247" s="30"/>
      <c r="KF247" s="30"/>
      <c r="KG247" s="30"/>
      <c r="KH247" s="30"/>
      <c r="KI247" s="30"/>
      <c r="KJ247" s="30"/>
      <c r="KK247" s="30"/>
      <c r="KL247" s="30"/>
      <c r="KM247" s="30"/>
      <c r="KN247" s="30"/>
      <c r="KO247" s="30"/>
      <c r="KP247" s="1630"/>
    </row>
    <row r="248" spans="1:302" s="97" customFormat="1" ht="26" customHeight="1" outlineLevel="1">
      <c r="A248" s="2582" t="s">
        <v>1045</v>
      </c>
      <c r="B248" s="2608"/>
      <c r="C248" s="2582" t="s">
        <v>1063</v>
      </c>
      <c r="D248" s="2582" t="s">
        <v>1080</v>
      </c>
      <c r="E248" s="376"/>
      <c r="F248" s="347"/>
      <c r="G248" s="348"/>
      <c r="H248" s="349" t="s">
        <v>26</v>
      </c>
      <c r="I248" s="2936"/>
      <c r="J248" s="362" t="s">
        <v>26</v>
      </c>
      <c r="K248" s="1745"/>
      <c r="L248" s="383"/>
      <c r="M248" s="383"/>
      <c r="N248" s="383"/>
      <c r="O248" s="1510">
        <v>838500</v>
      </c>
      <c r="P248" s="383"/>
      <c r="Q248" s="383"/>
      <c r="R248" s="383"/>
      <c r="S248" s="1510">
        <f t="shared" si="274"/>
        <v>0</v>
      </c>
      <c r="T248" s="1509"/>
      <c r="U248" s="1746"/>
      <c r="V248" s="1746"/>
      <c r="W248" s="1510">
        <f t="shared" si="235"/>
        <v>838500</v>
      </c>
      <c r="X248" s="362" t="s">
        <v>26</v>
      </c>
      <c r="Y248" s="1509"/>
      <c r="Z248" s="1746"/>
      <c r="AA248" s="1746"/>
      <c r="AB248" s="1510">
        <f t="shared" si="236"/>
        <v>838500</v>
      </c>
      <c r="AC248" s="1442"/>
      <c r="AD248" s="1457"/>
      <c r="AE248" s="352"/>
      <c r="AF248" s="353"/>
      <c r="AG248" s="353"/>
      <c r="AH248" s="354">
        <f t="shared" si="273"/>
        <v>0</v>
      </c>
      <c r="AI248" s="355">
        <f t="shared" ca="1" si="232"/>
        <v>0</v>
      </c>
      <c r="AJ248" s="356">
        <f t="shared" ca="1" si="275"/>
        <v>0</v>
      </c>
      <c r="AK248" s="2185"/>
      <c r="AL248" s="2063"/>
      <c r="AM248" s="2262"/>
      <c r="AN248" s="2262"/>
      <c r="AO248" s="1509"/>
      <c r="AP248" s="384"/>
      <c r="AQ248" s="1509"/>
      <c r="AR248" s="362"/>
      <c r="AS248" s="362"/>
      <c r="AT248" s="385"/>
      <c r="AU248" s="359"/>
      <c r="AV248" s="359"/>
      <c r="AW248" s="377"/>
      <c r="AX248" s="362"/>
      <c r="AY248" s="385"/>
      <c r="AZ248" s="2273"/>
      <c r="BA248" s="497"/>
      <c r="BB248" s="359"/>
      <c r="BC248" s="359">
        <v>209625</v>
      </c>
      <c r="BD248" s="359">
        <v>209625</v>
      </c>
      <c r="BE248" s="362">
        <v>209625</v>
      </c>
      <c r="BF248" s="362">
        <v>209625</v>
      </c>
      <c r="BG248" s="362"/>
      <c r="BH248" s="362"/>
      <c r="BI248" s="1514"/>
      <c r="BJ248" s="362"/>
      <c r="BK248" s="2123"/>
      <c r="BL248" s="414"/>
      <c r="BM248" s="414"/>
      <c r="BN248" s="414"/>
      <c r="BO248" s="414"/>
      <c r="BP248" s="414"/>
      <c r="BQ248" s="2399"/>
      <c r="BR248" s="362"/>
      <c r="BS248" s="362"/>
      <c r="BT248" s="362"/>
      <c r="BU248" s="364"/>
      <c r="BV248" s="364"/>
      <c r="BW248" s="2366"/>
      <c r="BX248" s="2463"/>
      <c r="BY248" s="2543"/>
      <c r="BZ248" s="2543"/>
      <c r="CA248" s="2432">
        <f t="shared" si="263"/>
        <v>838500</v>
      </c>
      <c r="CB248" s="2377">
        <f t="shared" si="264"/>
        <v>1</v>
      </c>
      <c r="CC248" s="365">
        <f t="shared" si="265"/>
        <v>1.1926058437686345E-6</v>
      </c>
      <c r="CD248" s="366"/>
      <c r="CE248" s="343"/>
      <c r="CF248" s="343"/>
      <c r="CG248" s="340"/>
      <c r="CH248" s="367"/>
      <c r="CI248" s="368"/>
      <c r="CJ248" s="368"/>
      <c r="CK248" s="369"/>
      <c r="CL248" s="329">
        <f t="shared" si="261"/>
        <v>0</v>
      </c>
      <c r="CM248" s="330">
        <f t="shared" ca="1" si="262"/>
        <v>0</v>
      </c>
      <c r="CN248" s="331">
        <f t="shared" ca="1" si="272"/>
        <v>-838500</v>
      </c>
      <c r="CO248" s="86"/>
      <c r="CP248" s="86"/>
      <c r="CQ248" s="1641"/>
      <c r="CR248" s="86"/>
      <c r="CS248" s="86"/>
      <c r="CT248" s="86"/>
      <c r="CU248" s="86"/>
      <c r="CV248" s="86"/>
      <c r="CW248" s="86"/>
      <c r="CX248" s="86"/>
      <c r="CY248" s="86"/>
      <c r="CZ248" s="86"/>
      <c r="DA248" s="86"/>
      <c r="DB248" s="1642"/>
      <c r="DC248" s="1642"/>
      <c r="DD248" s="30"/>
      <c r="DE248" s="30"/>
      <c r="DF248" s="30"/>
      <c r="DG248" s="1642"/>
      <c r="DH248" s="1642"/>
      <c r="DI248" s="1642"/>
      <c r="DJ248" s="1642"/>
      <c r="DK248" s="1642"/>
      <c r="DL248" s="1642"/>
      <c r="DM248" s="1642"/>
      <c r="DN248" s="1642"/>
      <c r="DO248" s="1642"/>
      <c r="DP248" s="1642"/>
      <c r="DQ248" s="1642"/>
      <c r="DR248" s="1642"/>
      <c r="DS248" s="1642"/>
      <c r="DT248" s="1642"/>
      <c r="DU248" s="1642"/>
      <c r="DV248" s="1642"/>
      <c r="DW248" s="1642"/>
      <c r="DX248" s="1642"/>
      <c r="DY248" s="1642"/>
      <c r="DZ248" s="1642"/>
      <c r="EA248" s="1642"/>
      <c r="EB248" s="1642"/>
      <c r="EC248" s="1642"/>
      <c r="ED248" s="1642"/>
      <c r="EE248" s="1642"/>
      <c r="EF248" s="1642"/>
      <c r="EG248" s="1642"/>
      <c r="EH248" s="1643"/>
      <c r="EI248" s="1658"/>
      <c r="EJ248" s="1642"/>
      <c r="EK248" s="30"/>
      <c r="EL248" s="30"/>
      <c r="EM248" s="30"/>
      <c r="EN248" s="30"/>
      <c r="EO248" s="30"/>
      <c r="EP248" s="30"/>
      <c r="EQ248" s="30"/>
      <c r="ER248" s="30"/>
      <c r="ES248" s="30"/>
      <c r="ET248" s="30"/>
      <c r="EU248" s="30"/>
      <c r="EV248" s="30"/>
      <c r="EW248" s="30"/>
      <c r="EX248" s="30"/>
      <c r="EY248" s="30"/>
      <c r="EZ248" s="30"/>
      <c r="FA248" s="30"/>
      <c r="FB248" s="30"/>
      <c r="FC248" s="30"/>
      <c r="FD248" s="30"/>
      <c r="FE248" s="30"/>
      <c r="FF248" s="30"/>
      <c r="FG248" s="30"/>
      <c r="FH248" s="30"/>
      <c r="FI248" s="30"/>
      <c r="FJ248" s="30"/>
      <c r="FK248" s="30"/>
      <c r="FL248" s="30"/>
      <c r="FM248" s="30"/>
      <c r="FN248" s="30"/>
      <c r="FO248" s="30"/>
      <c r="FP248" s="30"/>
      <c r="FQ248" s="30"/>
      <c r="FR248" s="30"/>
      <c r="FS248" s="30"/>
      <c r="FT248" s="30"/>
      <c r="FU248" s="30"/>
      <c r="FV248" s="30"/>
      <c r="FW248" s="30"/>
      <c r="FX248" s="30"/>
      <c r="FY248" s="30"/>
      <c r="FZ248" s="30"/>
      <c r="GA248" s="30"/>
      <c r="GB248" s="30"/>
      <c r="GC248" s="30"/>
      <c r="GD248" s="30"/>
      <c r="GE248" s="30"/>
      <c r="GF248" s="30"/>
      <c r="GG248" s="30"/>
      <c r="GH248" s="30"/>
      <c r="GI248" s="30"/>
      <c r="GJ248" s="30"/>
      <c r="GK248" s="30"/>
      <c r="GL248" s="30"/>
      <c r="GM248" s="30"/>
      <c r="GN248" s="30"/>
      <c r="GO248" s="30"/>
      <c r="GP248" s="30"/>
      <c r="GQ248" s="30"/>
      <c r="GR248" s="30"/>
      <c r="GS248" s="30"/>
      <c r="GT248" s="30"/>
      <c r="GU248" s="30"/>
      <c r="GV248" s="30"/>
      <c r="GW248" s="30"/>
      <c r="GX248" s="30"/>
      <c r="GY248" s="30"/>
      <c r="GZ248" s="30"/>
      <c r="HA248" s="30"/>
      <c r="HB248" s="30"/>
      <c r="HC248" s="30"/>
      <c r="HD248" s="30"/>
      <c r="HE248" s="30"/>
      <c r="HF248" s="30"/>
      <c r="HG248" s="30"/>
      <c r="HH248" s="30"/>
      <c r="HI248" s="30"/>
      <c r="HJ248" s="30"/>
      <c r="HK248" s="30"/>
      <c r="HL248" s="30"/>
      <c r="HM248" s="30"/>
      <c r="HN248" s="30"/>
      <c r="HO248" s="30"/>
      <c r="HP248" s="30"/>
      <c r="HQ248" s="30"/>
      <c r="HR248" s="30"/>
      <c r="HS248" s="30"/>
      <c r="HT248" s="30"/>
      <c r="HU248" s="30"/>
      <c r="HV248" s="30"/>
      <c r="HW248" s="30"/>
      <c r="HX248" s="30"/>
      <c r="HY248" s="30"/>
      <c r="HZ248" s="30"/>
      <c r="IA248" s="30"/>
      <c r="IB248" s="30"/>
      <c r="IC248" s="30"/>
      <c r="ID248" s="30"/>
      <c r="IE248" s="30"/>
      <c r="IF248" s="30"/>
      <c r="IG248" s="30"/>
      <c r="IH248" s="30"/>
      <c r="II248" s="30"/>
      <c r="IJ248" s="30"/>
      <c r="IK248" s="30"/>
      <c r="IL248" s="30"/>
      <c r="IM248" s="30"/>
      <c r="IN248" s="30"/>
      <c r="IO248" s="30"/>
      <c r="IP248" s="30"/>
      <c r="IQ248" s="30"/>
      <c r="IR248" s="30"/>
      <c r="IS248" s="30"/>
      <c r="IT248" s="30"/>
      <c r="IU248" s="30"/>
      <c r="IV248" s="30"/>
      <c r="IW248" s="30"/>
      <c r="IX248" s="30"/>
      <c r="IY248" s="30"/>
      <c r="IZ248" s="30"/>
      <c r="JA248" s="30"/>
      <c r="JB248" s="30"/>
      <c r="JC248" s="30"/>
      <c r="JD248" s="30"/>
      <c r="JE248" s="30"/>
      <c r="JF248" s="30"/>
      <c r="JG248" s="30"/>
      <c r="JH248" s="30"/>
      <c r="JI248" s="30"/>
      <c r="JJ248" s="30"/>
      <c r="JK248" s="30"/>
      <c r="JL248" s="30"/>
      <c r="JM248" s="30"/>
      <c r="JN248" s="30"/>
      <c r="JO248" s="30"/>
      <c r="JP248" s="30"/>
      <c r="JQ248" s="30"/>
      <c r="JR248" s="30"/>
      <c r="JS248" s="30"/>
      <c r="JT248" s="30"/>
      <c r="JU248" s="30"/>
      <c r="JV248" s="30"/>
      <c r="JW248" s="30"/>
      <c r="JX248" s="30"/>
      <c r="JY248" s="30"/>
      <c r="JZ248" s="30"/>
      <c r="KA248" s="30"/>
      <c r="KB248" s="30"/>
      <c r="KC248" s="30"/>
      <c r="KD248" s="30"/>
      <c r="KE248" s="30"/>
      <c r="KF248" s="30"/>
      <c r="KG248" s="30"/>
      <c r="KH248" s="30"/>
      <c r="KI248" s="30"/>
      <c r="KJ248" s="30"/>
      <c r="KK248" s="30"/>
      <c r="KL248" s="30"/>
      <c r="KM248" s="30"/>
      <c r="KN248" s="30"/>
      <c r="KO248" s="30"/>
      <c r="KP248" s="1630"/>
    </row>
    <row r="249" spans="1:302" s="97" customFormat="1" ht="19.5" customHeight="1" outlineLevel="1">
      <c r="A249" s="2582" t="s">
        <v>1046</v>
      </c>
      <c r="B249" s="2608"/>
      <c r="C249" s="2582" t="s">
        <v>1064</v>
      </c>
      <c r="D249" s="2582" t="s">
        <v>1081</v>
      </c>
      <c r="E249" s="376"/>
      <c r="F249" s="347"/>
      <c r="G249" s="348"/>
      <c r="H249" s="349" t="s">
        <v>26</v>
      </c>
      <c r="I249" s="2936"/>
      <c r="J249" s="362" t="s">
        <v>26</v>
      </c>
      <c r="K249" s="1745"/>
      <c r="L249" s="383"/>
      <c r="M249" s="383"/>
      <c r="N249" s="383"/>
      <c r="O249" s="1510">
        <v>731000</v>
      </c>
      <c r="P249" s="383"/>
      <c r="Q249" s="383"/>
      <c r="R249" s="383"/>
      <c r="S249" s="1510">
        <f t="shared" si="274"/>
        <v>0</v>
      </c>
      <c r="T249" s="1509"/>
      <c r="U249" s="1746"/>
      <c r="V249" s="1746"/>
      <c r="W249" s="1510">
        <f t="shared" si="235"/>
        <v>731000</v>
      </c>
      <c r="X249" s="362" t="s">
        <v>26</v>
      </c>
      <c r="Y249" s="1509"/>
      <c r="Z249" s="1746"/>
      <c r="AA249" s="1746"/>
      <c r="AB249" s="1510">
        <f t="shared" si="236"/>
        <v>730999.99979999999</v>
      </c>
      <c r="AC249" s="1442"/>
      <c r="AD249" s="1457"/>
      <c r="AE249" s="352"/>
      <c r="AF249" s="353"/>
      <c r="AG249" s="353"/>
      <c r="AH249" s="354">
        <f t="shared" si="273"/>
        <v>0</v>
      </c>
      <c r="AI249" s="355">
        <f t="shared" ca="1" si="232"/>
        <v>0</v>
      </c>
      <c r="AJ249" s="356">
        <f t="shared" ca="1" si="275"/>
        <v>0</v>
      </c>
      <c r="AK249" s="2185"/>
      <c r="AL249" s="2063"/>
      <c r="AM249" s="2262"/>
      <c r="AN249" s="2262"/>
      <c r="AO249" s="1509"/>
      <c r="AP249" s="384"/>
      <c r="AQ249" s="1509"/>
      <c r="AR249" s="362"/>
      <c r="AS249" s="362"/>
      <c r="AT249" s="385"/>
      <c r="AU249" s="359"/>
      <c r="AV249" s="359"/>
      <c r="AW249" s="377">
        <v>81222.222200000004</v>
      </c>
      <c r="AX249" s="362">
        <v>81222.222200000004</v>
      </c>
      <c r="AY249" s="385">
        <v>81222.222200000004</v>
      </c>
      <c r="AZ249" s="2258">
        <v>81222.222200000004</v>
      </c>
      <c r="BA249" s="359">
        <v>81222.222200000004</v>
      </c>
      <c r="BB249" s="359">
        <v>81222.222200000004</v>
      </c>
      <c r="BC249" s="359">
        <v>81222.222200000004</v>
      </c>
      <c r="BD249" s="359">
        <v>81222.222200000004</v>
      </c>
      <c r="BE249" s="362">
        <v>81222.222200000004</v>
      </c>
      <c r="BF249" s="362"/>
      <c r="BG249" s="362"/>
      <c r="BH249" s="362"/>
      <c r="BI249" s="414"/>
      <c r="BJ249" s="362"/>
      <c r="BK249" s="2123"/>
      <c r="BL249" s="414"/>
      <c r="BM249" s="414"/>
      <c r="BN249" s="414"/>
      <c r="BO249" s="414"/>
      <c r="BP249" s="414"/>
      <c r="BQ249" s="2399"/>
      <c r="BR249" s="362"/>
      <c r="BS249" s="362"/>
      <c r="BT249" s="362"/>
      <c r="BU249" s="364"/>
      <c r="BV249" s="364"/>
      <c r="BW249" s="2366"/>
      <c r="BX249" s="2463"/>
      <c r="BY249" s="2543"/>
      <c r="BZ249" s="2543"/>
      <c r="CA249" s="2432">
        <f t="shared" si="263"/>
        <v>730999.99979999999</v>
      </c>
      <c r="CB249" s="2377">
        <f t="shared" si="264"/>
        <v>1</v>
      </c>
      <c r="CC249" s="365">
        <f t="shared" si="265"/>
        <v>1.3679890564618301E-6</v>
      </c>
      <c r="CD249" s="366"/>
      <c r="CE249" s="343"/>
      <c r="CF249" s="343"/>
      <c r="CG249" s="340"/>
      <c r="CH249" s="367"/>
      <c r="CI249" s="368"/>
      <c r="CJ249" s="368"/>
      <c r="CK249" s="369"/>
      <c r="CL249" s="329">
        <f t="shared" si="261"/>
        <v>2.0000000949949026E-4</v>
      </c>
      <c r="CM249" s="330">
        <f t="shared" ca="1" si="262"/>
        <v>0</v>
      </c>
      <c r="CN249" s="331">
        <f t="shared" ca="1" si="272"/>
        <v>-487333.33319999999</v>
      </c>
      <c r="CO249" s="86"/>
      <c r="CP249" s="86"/>
      <c r="CQ249" s="1641"/>
      <c r="CR249" s="86"/>
      <c r="CS249" s="86"/>
      <c r="CT249" s="86"/>
      <c r="CU249" s="86"/>
      <c r="CV249" s="86"/>
      <c r="CW249" s="86"/>
      <c r="CX249" s="86"/>
      <c r="CY249" s="86"/>
      <c r="CZ249" s="86"/>
      <c r="DA249" s="86"/>
      <c r="DB249" s="1642"/>
      <c r="DC249" s="1642"/>
      <c r="DD249" s="30"/>
      <c r="DE249" s="30"/>
      <c r="DF249" s="30"/>
      <c r="DG249" s="1642"/>
      <c r="DH249" s="1642"/>
      <c r="DI249" s="1642"/>
      <c r="DJ249" s="1642"/>
      <c r="DK249" s="1642"/>
      <c r="DL249" s="1642"/>
      <c r="DM249" s="1642"/>
      <c r="DN249" s="1642"/>
      <c r="DO249" s="1642"/>
      <c r="DP249" s="1642"/>
      <c r="DQ249" s="1642"/>
      <c r="DR249" s="1642"/>
      <c r="DS249" s="1642"/>
      <c r="DT249" s="1642"/>
      <c r="DU249" s="1642"/>
      <c r="DV249" s="1642"/>
      <c r="DW249" s="1642"/>
      <c r="DX249" s="1642"/>
      <c r="DY249" s="1642"/>
      <c r="DZ249" s="1642"/>
      <c r="EA249" s="1642"/>
      <c r="EB249" s="1642"/>
      <c r="EC249" s="1642"/>
      <c r="ED249" s="1642"/>
      <c r="EE249" s="1642"/>
      <c r="EF249" s="1642"/>
      <c r="EG249" s="1642"/>
      <c r="EH249" s="1643"/>
      <c r="EI249" s="1658"/>
      <c r="EJ249" s="1642"/>
      <c r="EK249" s="30"/>
      <c r="EL249" s="30"/>
      <c r="EM249" s="30"/>
      <c r="EN249" s="30"/>
      <c r="EO249" s="30"/>
      <c r="EP249" s="30"/>
      <c r="EQ249" s="30"/>
      <c r="ER249" s="30"/>
      <c r="ES249" s="30"/>
      <c r="ET249" s="30"/>
      <c r="EU249" s="30"/>
      <c r="EV249" s="30"/>
      <c r="EW249" s="30"/>
      <c r="EX249" s="30"/>
      <c r="EY249" s="30"/>
      <c r="EZ249" s="30"/>
      <c r="FA249" s="30"/>
      <c r="FB249" s="30"/>
      <c r="FC249" s="30"/>
      <c r="FD249" s="30"/>
      <c r="FE249" s="30"/>
      <c r="FF249" s="30"/>
      <c r="FG249" s="30"/>
      <c r="FH249" s="30"/>
      <c r="FI249" s="30"/>
      <c r="FJ249" s="30"/>
      <c r="FK249" s="30"/>
      <c r="FL249" s="30"/>
      <c r="FM249" s="30"/>
      <c r="FN249" s="30"/>
      <c r="FO249" s="30"/>
      <c r="FP249" s="30"/>
      <c r="FQ249" s="30"/>
      <c r="FR249" s="30"/>
      <c r="FS249" s="30"/>
      <c r="FT249" s="30"/>
      <c r="FU249" s="30"/>
      <c r="FV249" s="30"/>
      <c r="FW249" s="30"/>
      <c r="FX249" s="30"/>
      <c r="FY249" s="30"/>
      <c r="FZ249" s="30"/>
      <c r="GA249" s="30"/>
      <c r="GB249" s="30"/>
      <c r="GC249" s="30"/>
      <c r="GD249" s="30"/>
      <c r="GE249" s="30"/>
      <c r="GF249" s="30"/>
      <c r="GG249" s="30"/>
      <c r="GH249" s="30"/>
      <c r="GI249" s="30"/>
      <c r="GJ249" s="30"/>
      <c r="GK249" s="30"/>
      <c r="GL249" s="30"/>
      <c r="GM249" s="30"/>
      <c r="GN249" s="30"/>
      <c r="GO249" s="30"/>
      <c r="GP249" s="30"/>
      <c r="GQ249" s="30"/>
      <c r="GR249" s="30"/>
      <c r="GS249" s="30"/>
      <c r="GT249" s="30"/>
      <c r="GU249" s="30"/>
      <c r="GV249" s="30"/>
      <c r="GW249" s="30"/>
      <c r="GX249" s="30"/>
      <c r="GY249" s="30"/>
      <c r="GZ249" s="30"/>
      <c r="HA249" s="30"/>
      <c r="HB249" s="30"/>
      <c r="HC249" s="30"/>
      <c r="HD249" s="30"/>
      <c r="HE249" s="30"/>
      <c r="HF249" s="30"/>
      <c r="HG249" s="30"/>
      <c r="HH249" s="30"/>
      <c r="HI249" s="30"/>
      <c r="HJ249" s="30"/>
      <c r="HK249" s="30"/>
      <c r="HL249" s="30"/>
      <c r="HM249" s="30"/>
      <c r="HN249" s="30"/>
      <c r="HO249" s="30"/>
      <c r="HP249" s="30"/>
      <c r="HQ249" s="30"/>
      <c r="HR249" s="30"/>
      <c r="HS249" s="30"/>
      <c r="HT249" s="30"/>
      <c r="HU249" s="30"/>
      <c r="HV249" s="30"/>
      <c r="HW249" s="30"/>
      <c r="HX249" s="30"/>
      <c r="HY249" s="30"/>
      <c r="HZ249" s="30"/>
      <c r="IA249" s="30"/>
      <c r="IB249" s="30"/>
      <c r="IC249" s="30"/>
      <c r="ID249" s="30"/>
      <c r="IE249" s="30"/>
      <c r="IF249" s="30"/>
      <c r="IG249" s="30"/>
      <c r="IH249" s="30"/>
      <c r="II249" s="30"/>
      <c r="IJ249" s="30"/>
      <c r="IK249" s="30"/>
      <c r="IL249" s="30"/>
      <c r="IM249" s="30"/>
      <c r="IN249" s="30"/>
      <c r="IO249" s="30"/>
      <c r="IP249" s="30"/>
      <c r="IQ249" s="30"/>
      <c r="IR249" s="30"/>
      <c r="IS249" s="30"/>
      <c r="IT249" s="30"/>
      <c r="IU249" s="30"/>
      <c r="IV249" s="30"/>
      <c r="IW249" s="30"/>
      <c r="IX249" s="30"/>
      <c r="IY249" s="30"/>
      <c r="IZ249" s="30"/>
      <c r="JA249" s="30"/>
      <c r="JB249" s="30"/>
      <c r="JC249" s="30"/>
      <c r="JD249" s="30"/>
      <c r="JE249" s="30"/>
      <c r="JF249" s="30"/>
      <c r="JG249" s="30"/>
      <c r="JH249" s="30"/>
      <c r="JI249" s="30"/>
      <c r="JJ249" s="30"/>
      <c r="JK249" s="30"/>
      <c r="JL249" s="30"/>
      <c r="JM249" s="30"/>
      <c r="JN249" s="30"/>
      <c r="JO249" s="30"/>
      <c r="JP249" s="30"/>
      <c r="JQ249" s="30"/>
      <c r="JR249" s="30"/>
      <c r="JS249" s="30"/>
      <c r="JT249" s="30"/>
      <c r="JU249" s="30"/>
      <c r="JV249" s="30"/>
      <c r="JW249" s="30"/>
      <c r="JX249" s="30"/>
      <c r="JY249" s="30"/>
      <c r="JZ249" s="30"/>
      <c r="KA249" s="30"/>
      <c r="KB249" s="30"/>
      <c r="KC249" s="30"/>
      <c r="KD249" s="30"/>
      <c r="KE249" s="30"/>
      <c r="KF249" s="30"/>
      <c r="KG249" s="30"/>
      <c r="KH249" s="30"/>
      <c r="KI249" s="30"/>
      <c r="KJ249" s="30"/>
      <c r="KK249" s="30"/>
      <c r="KL249" s="30"/>
      <c r="KM249" s="30"/>
      <c r="KN249" s="30"/>
      <c r="KO249" s="30"/>
      <c r="KP249" s="1630"/>
    </row>
    <row r="250" spans="1:302" s="97" customFormat="1" ht="19.5" customHeight="1" outlineLevel="1">
      <c r="A250" s="2582" t="s">
        <v>1047</v>
      </c>
      <c r="B250" s="2608"/>
      <c r="C250" s="2582" t="s">
        <v>1065</v>
      </c>
      <c r="D250" s="2582" t="s">
        <v>1082</v>
      </c>
      <c r="E250" s="376"/>
      <c r="F250" s="347"/>
      <c r="G250" s="348"/>
      <c r="H250" s="349" t="s">
        <v>26</v>
      </c>
      <c r="I250" s="2936"/>
      <c r="J250" s="362" t="s">
        <v>26</v>
      </c>
      <c r="K250" s="1745"/>
      <c r="L250" s="383"/>
      <c r="M250" s="383"/>
      <c r="N250" s="383"/>
      <c r="O250" s="1510">
        <v>800000</v>
      </c>
      <c r="P250" s="383"/>
      <c r="Q250" s="383"/>
      <c r="R250" s="383"/>
      <c r="S250" s="1510">
        <f t="shared" si="274"/>
        <v>0</v>
      </c>
      <c r="T250" s="1509"/>
      <c r="U250" s="1746"/>
      <c r="V250" s="1746"/>
      <c r="W250" s="1510">
        <f t="shared" ref="W250:W275" si="276">O250+S250</f>
        <v>800000</v>
      </c>
      <c r="X250" s="362" t="s">
        <v>26</v>
      </c>
      <c r="Y250" s="1509"/>
      <c r="Z250" s="1746"/>
      <c r="AA250" s="1746"/>
      <c r="AB250" s="1510">
        <f t="shared" si="236"/>
        <v>799999.99800000002</v>
      </c>
      <c r="AC250" s="1442"/>
      <c r="AD250" s="1457"/>
      <c r="AE250" s="352"/>
      <c r="AF250" s="353"/>
      <c r="AG250" s="353"/>
      <c r="AH250" s="354">
        <f t="shared" si="273"/>
        <v>0</v>
      </c>
      <c r="AI250" s="355">
        <f t="shared" ca="1" si="232"/>
        <v>0</v>
      </c>
      <c r="AJ250" s="356">
        <f t="shared" ca="1" si="275"/>
        <v>0</v>
      </c>
      <c r="AK250" s="2185"/>
      <c r="AL250" s="2063"/>
      <c r="AM250" s="2262"/>
      <c r="AN250" s="2262"/>
      <c r="AO250" s="1509"/>
      <c r="AP250" s="384"/>
      <c r="AQ250" s="1509"/>
      <c r="AR250" s="362"/>
      <c r="AS250" s="362"/>
      <c r="AT250" s="385"/>
      <c r="AU250" s="359"/>
      <c r="AV250" s="359"/>
      <c r="AW250" s="377"/>
      <c r="AX250" s="359"/>
      <c r="AY250" s="360"/>
      <c r="AZ250" s="2273"/>
      <c r="BA250" s="497"/>
      <c r="BB250" s="359"/>
      <c r="BC250" s="359"/>
      <c r="BD250" s="359"/>
      <c r="BE250" s="359"/>
      <c r="BF250" s="359">
        <v>133333.33300000001</v>
      </c>
      <c r="BG250" s="359">
        <v>133333.33300000001</v>
      </c>
      <c r="BH250" s="359">
        <v>133333.33300000001</v>
      </c>
      <c r="BI250" s="2053">
        <v>133333.33300000001</v>
      </c>
      <c r="BJ250" s="359">
        <v>133333.33300000001</v>
      </c>
      <c r="BK250" s="2122">
        <v>133333.33300000001</v>
      </c>
      <c r="BL250" s="380"/>
      <c r="BM250" s="380"/>
      <c r="BN250" s="380"/>
      <c r="BO250" s="380"/>
      <c r="BP250" s="380"/>
      <c r="BQ250" s="2087"/>
      <c r="BR250" s="359"/>
      <c r="BS250" s="359"/>
      <c r="BT250" s="362"/>
      <c r="BU250" s="364"/>
      <c r="BV250" s="364"/>
      <c r="BW250" s="2366"/>
      <c r="BX250" s="2463"/>
      <c r="BY250" s="2543"/>
      <c r="BZ250" s="2543"/>
      <c r="CA250" s="2432">
        <f t="shared" si="263"/>
        <v>799999.99800000002</v>
      </c>
      <c r="CB250" s="2377">
        <f t="shared" si="264"/>
        <v>1</v>
      </c>
      <c r="CC250" s="365">
        <f t="shared" si="265"/>
        <v>1.250000003125E-6</v>
      </c>
      <c r="CD250" s="365">
        <f t="shared" ref="CD250" si="277">IF($AB250&lt;&gt;0,CC250/$AB250,"")</f>
        <v>1.5625000078125E-12</v>
      </c>
      <c r="CE250" s="365">
        <f t="shared" ref="CE250" si="278">IF($AB250&lt;&gt;0,CD250/$AB250,"")</f>
        <v>1.9531250146484376E-18</v>
      </c>
      <c r="CF250" s="365">
        <f t="shared" ref="CF250" si="279">IF($AB250&lt;&gt;0,CE250/$AB250,"")</f>
        <v>2.4414062744140628E-24</v>
      </c>
      <c r="CG250" s="365">
        <f t="shared" ref="CG250" si="280">IF($AB250&lt;&gt;0,CF250/$AB250,"")</f>
        <v>3.051757850646973E-30</v>
      </c>
      <c r="CH250" s="365">
        <f t="shared" ref="CH250" si="281">IF($AB250&lt;&gt;0,CG250/$AB250,"")</f>
        <v>3.8146973228454596E-36</v>
      </c>
      <c r="CI250" s="365">
        <f t="shared" ref="CI250" si="282">IF($AB250&lt;&gt;0,CH250/$AB250,"")</f>
        <v>4.7683716654777535E-42</v>
      </c>
      <c r="CJ250" s="365">
        <f t="shared" ref="CJ250" si="283">IF($AB250&lt;&gt;0,CI250/$AB250,"")</f>
        <v>5.9604645967483533E-48</v>
      </c>
      <c r="CK250" s="365">
        <f t="shared" ref="CK250" si="284">IF($AB250&lt;&gt;0,CJ250/$AB250,"")</f>
        <v>7.4505807645618938E-54</v>
      </c>
      <c r="CL250" s="329">
        <f t="shared" si="261"/>
        <v>1.9999999785795808E-3</v>
      </c>
      <c r="CM250" s="330">
        <f t="shared" ca="1" si="262"/>
        <v>0</v>
      </c>
      <c r="CN250" s="331">
        <f t="shared" ca="1" si="272"/>
        <v>-799999.99800000002</v>
      </c>
      <c r="CO250" s="86"/>
      <c r="CP250" s="86"/>
      <c r="CQ250" s="1641"/>
      <c r="CR250" s="86"/>
      <c r="CS250" s="86"/>
      <c r="CT250" s="86"/>
      <c r="CU250" s="86"/>
      <c r="CV250" s="86"/>
      <c r="CW250" s="86"/>
      <c r="CX250" s="86"/>
      <c r="CY250" s="86"/>
      <c r="CZ250" s="86"/>
      <c r="DA250" s="86"/>
      <c r="DB250" s="1642"/>
      <c r="DC250" s="1642"/>
      <c r="DD250" s="30"/>
      <c r="DE250" s="30"/>
      <c r="DF250" s="30"/>
      <c r="DG250" s="1642"/>
      <c r="DH250" s="1642"/>
      <c r="DI250" s="1642"/>
      <c r="DJ250" s="1642"/>
      <c r="DK250" s="1642"/>
      <c r="DL250" s="1642"/>
      <c r="DM250" s="1642"/>
      <c r="DN250" s="1642"/>
      <c r="DO250" s="1642"/>
      <c r="DP250" s="1642"/>
      <c r="DQ250" s="1642"/>
      <c r="DR250" s="1642"/>
      <c r="DS250" s="1642"/>
      <c r="DT250" s="1642"/>
      <c r="DU250" s="1642"/>
      <c r="DV250" s="1642"/>
      <c r="DW250" s="1642"/>
      <c r="DX250" s="1642"/>
      <c r="DY250" s="1642"/>
      <c r="DZ250" s="1642"/>
      <c r="EA250" s="1642"/>
      <c r="EB250" s="1642"/>
      <c r="EC250" s="1642"/>
      <c r="ED250" s="1642"/>
      <c r="EE250" s="1642"/>
      <c r="EF250" s="1642"/>
      <c r="EG250" s="1642"/>
      <c r="EH250" s="1643"/>
      <c r="EI250" s="1658"/>
      <c r="EJ250" s="1642"/>
      <c r="EK250" s="30"/>
      <c r="EL250" s="30"/>
      <c r="EM250" s="30"/>
      <c r="EN250" s="30"/>
      <c r="EO250" s="30"/>
      <c r="EP250" s="30"/>
      <c r="EQ250" s="30"/>
      <c r="ER250" s="30"/>
      <c r="ES250" s="30"/>
      <c r="ET250" s="30"/>
      <c r="EU250" s="30"/>
      <c r="EV250" s="30"/>
      <c r="EW250" s="30"/>
      <c r="EX250" s="30"/>
      <c r="EY250" s="30"/>
      <c r="EZ250" s="30"/>
      <c r="FA250" s="30"/>
      <c r="FB250" s="30"/>
      <c r="FC250" s="30"/>
      <c r="FD250" s="30"/>
      <c r="FE250" s="30"/>
      <c r="FF250" s="30"/>
      <c r="FG250" s="30"/>
      <c r="FH250" s="30"/>
      <c r="FI250" s="30"/>
      <c r="FJ250" s="30"/>
      <c r="FK250" s="30"/>
      <c r="FL250" s="30"/>
      <c r="FM250" s="30"/>
      <c r="FN250" s="30"/>
      <c r="FO250" s="30"/>
      <c r="FP250" s="30"/>
      <c r="FQ250" s="30"/>
      <c r="FR250" s="30"/>
      <c r="FS250" s="30"/>
      <c r="FT250" s="30"/>
      <c r="FU250" s="30"/>
      <c r="FV250" s="30"/>
      <c r="FW250" s="30"/>
      <c r="FX250" s="30"/>
      <c r="FY250" s="30"/>
      <c r="FZ250" s="30"/>
      <c r="GA250" s="30"/>
      <c r="GB250" s="30"/>
      <c r="GC250" s="30"/>
      <c r="GD250" s="30"/>
      <c r="GE250" s="30"/>
      <c r="GF250" s="30"/>
      <c r="GG250" s="30"/>
      <c r="GH250" s="30"/>
      <c r="GI250" s="30"/>
      <c r="GJ250" s="30"/>
      <c r="GK250" s="30"/>
      <c r="GL250" s="30"/>
      <c r="GM250" s="30"/>
      <c r="GN250" s="30"/>
      <c r="GO250" s="30"/>
      <c r="GP250" s="30"/>
      <c r="GQ250" s="30"/>
      <c r="GR250" s="30"/>
      <c r="GS250" s="30"/>
      <c r="GT250" s="30"/>
      <c r="GU250" s="30"/>
      <c r="GV250" s="30"/>
      <c r="GW250" s="30"/>
      <c r="GX250" s="30"/>
      <c r="GY250" s="30"/>
      <c r="GZ250" s="30"/>
      <c r="HA250" s="30"/>
      <c r="HB250" s="30"/>
      <c r="HC250" s="30"/>
      <c r="HD250" s="30"/>
      <c r="HE250" s="30"/>
      <c r="HF250" s="30"/>
      <c r="HG250" s="30"/>
      <c r="HH250" s="30"/>
      <c r="HI250" s="30"/>
      <c r="HJ250" s="30"/>
      <c r="HK250" s="30"/>
      <c r="HL250" s="30"/>
      <c r="HM250" s="30"/>
      <c r="HN250" s="30"/>
      <c r="HO250" s="30"/>
      <c r="HP250" s="30"/>
      <c r="HQ250" s="30"/>
      <c r="HR250" s="30"/>
      <c r="HS250" s="30"/>
      <c r="HT250" s="30"/>
      <c r="HU250" s="30"/>
      <c r="HV250" s="30"/>
      <c r="HW250" s="30"/>
      <c r="HX250" s="30"/>
      <c r="HY250" s="30"/>
      <c r="HZ250" s="30"/>
      <c r="IA250" s="30"/>
      <c r="IB250" s="30"/>
      <c r="IC250" s="30"/>
      <c r="ID250" s="30"/>
      <c r="IE250" s="30"/>
      <c r="IF250" s="30"/>
      <c r="IG250" s="30"/>
      <c r="IH250" s="30"/>
      <c r="II250" s="30"/>
      <c r="IJ250" s="30"/>
      <c r="IK250" s="30"/>
      <c r="IL250" s="30"/>
      <c r="IM250" s="30"/>
      <c r="IN250" s="30"/>
      <c r="IO250" s="30"/>
      <c r="IP250" s="30"/>
      <c r="IQ250" s="30"/>
      <c r="IR250" s="30"/>
      <c r="IS250" s="30"/>
      <c r="IT250" s="30"/>
      <c r="IU250" s="30"/>
      <c r="IV250" s="30"/>
      <c r="IW250" s="30"/>
      <c r="IX250" s="30"/>
      <c r="IY250" s="30"/>
      <c r="IZ250" s="30"/>
      <c r="JA250" s="30"/>
      <c r="JB250" s="30"/>
      <c r="JC250" s="30"/>
      <c r="JD250" s="30"/>
      <c r="JE250" s="30"/>
      <c r="JF250" s="30"/>
      <c r="JG250" s="30"/>
      <c r="JH250" s="30"/>
      <c r="JI250" s="30"/>
      <c r="JJ250" s="30"/>
      <c r="JK250" s="30"/>
      <c r="JL250" s="30"/>
      <c r="JM250" s="30"/>
      <c r="JN250" s="30"/>
      <c r="JO250" s="30"/>
      <c r="JP250" s="30"/>
      <c r="JQ250" s="30"/>
      <c r="JR250" s="30"/>
      <c r="JS250" s="30"/>
      <c r="JT250" s="30"/>
      <c r="JU250" s="30"/>
      <c r="JV250" s="30"/>
      <c r="JW250" s="30"/>
      <c r="JX250" s="30"/>
      <c r="JY250" s="30"/>
      <c r="JZ250" s="30"/>
      <c r="KA250" s="30"/>
      <c r="KB250" s="30"/>
      <c r="KC250" s="30"/>
      <c r="KD250" s="30"/>
      <c r="KE250" s="30"/>
      <c r="KF250" s="30"/>
      <c r="KG250" s="30"/>
      <c r="KH250" s="30"/>
      <c r="KI250" s="30"/>
      <c r="KJ250" s="30"/>
      <c r="KK250" s="30"/>
      <c r="KL250" s="30"/>
      <c r="KM250" s="30"/>
      <c r="KN250" s="30"/>
      <c r="KO250" s="30"/>
      <c r="KP250" s="1630"/>
    </row>
    <row r="251" spans="1:302" s="97" customFormat="1" ht="19.5" customHeight="1" outlineLevel="1">
      <c r="A251" s="2587" t="s">
        <v>1048</v>
      </c>
      <c r="B251" s="2605"/>
      <c r="C251" s="2587" t="s">
        <v>1066</v>
      </c>
      <c r="D251" s="2587" t="s">
        <v>1083</v>
      </c>
      <c r="E251" s="376"/>
      <c r="F251" s="347"/>
      <c r="G251" s="348"/>
      <c r="H251" s="349" t="s">
        <v>26</v>
      </c>
      <c r="I251" s="2936"/>
      <c r="J251" s="362" t="s">
        <v>26</v>
      </c>
      <c r="K251" s="1745"/>
      <c r="L251" s="383"/>
      <c r="M251" s="383"/>
      <c r="N251" s="383"/>
      <c r="O251" s="1510"/>
      <c r="P251" s="383"/>
      <c r="Q251" s="383"/>
      <c r="R251" s="383"/>
      <c r="S251" s="1510">
        <f t="shared" si="274"/>
        <v>0</v>
      </c>
      <c r="T251" s="1509"/>
      <c r="U251" s="1746"/>
      <c r="V251" s="1746"/>
      <c r="W251" s="1510">
        <f t="shared" si="276"/>
        <v>0</v>
      </c>
      <c r="X251" s="362" t="s">
        <v>26</v>
      </c>
      <c r="Y251" s="1509"/>
      <c r="Z251" s="1746"/>
      <c r="AA251" s="1746"/>
      <c r="AB251" s="1510">
        <f t="shared" si="236"/>
        <v>0</v>
      </c>
      <c r="AC251" s="1442"/>
      <c r="AD251" s="1457"/>
      <c r="AE251" s="352"/>
      <c r="AF251" s="353"/>
      <c r="AG251" s="353"/>
      <c r="AH251" s="354">
        <f t="shared" si="273"/>
        <v>0</v>
      </c>
      <c r="AI251" s="355">
        <f t="shared" ref="AI251:AI256" ca="1" si="285">SUMIF($AM$10:$BZ$10,$AI$9,AM251:BT251)</f>
        <v>0</v>
      </c>
      <c r="AJ251" s="356" t="str">
        <f t="shared" si="275"/>
        <v/>
      </c>
      <c r="AK251" s="2185"/>
      <c r="AL251" s="2063"/>
      <c r="AM251" s="2262"/>
      <c r="AN251" s="2262"/>
      <c r="AO251" s="1509"/>
      <c r="AP251" s="384"/>
      <c r="AQ251" s="1509"/>
      <c r="AR251" s="362"/>
      <c r="AS251" s="362"/>
      <c r="AT251" s="385"/>
      <c r="AU251" s="359"/>
      <c r="AV251" s="359"/>
      <c r="AW251" s="377"/>
      <c r="AX251" s="359"/>
      <c r="AY251" s="360"/>
      <c r="AZ251" s="2273"/>
      <c r="BA251" s="497"/>
      <c r="BB251" s="359"/>
      <c r="BC251" s="359"/>
      <c r="BD251" s="359"/>
      <c r="BE251" s="359"/>
      <c r="BF251" s="359"/>
      <c r="BG251" s="359"/>
      <c r="BH251" s="359"/>
      <c r="BI251" s="380"/>
      <c r="BJ251" s="359"/>
      <c r="BK251" s="2122"/>
      <c r="BL251" s="380"/>
      <c r="BM251" s="380"/>
      <c r="BN251" s="380"/>
      <c r="BO251" s="380"/>
      <c r="BP251" s="380"/>
      <c r="BQ251" s="2087"/>
      <c r="BR251" s="359"/>
      <c r="BS251" s="359"/>
      <c r="BT251" s="362"/>
      <c r="BU251" s="364"/>
      <c r="BV251" s="364"/>
      <c r="BW251" s="2366"/>
      <c r="BX251" s="2463"/>
      <c r="BY251" s="2543"/>
      <c r="BZ251" s="2543"/>
      <c r="CA251" s="2432">
        <f t="shared" si="263"/>
        <v>0</v>
      </c>
      <c r="CB251" s="2377" t="str">
        <f t="shared" si="264"/>
        <v/>
      </c>
      <c r="CC251" s="365" t="str">
        <f t="shared" si="265"/>
        <v/>
      </c>
      <c r="CD251" s="366"/>
      <c r="CE251" s="343"/>
      <c r="CF251" s="343"/>
      <c r="CG251" s="340"/>
      <c r="CH251" s="367"/>
      <c r="CI251" s="368"/>
      <c r="CJ251" s="368"/>
      <c r="CK251" s="369"/>
      <c r="CL251" s="329">
        <f t="shared" si="261"/>
        <v>0</v>
      </c>
      <c r="CM251" s="330">
        <f t="shared" ca="1" si="262"/>
        <v>0</v>
      </c>
      <c r="CN251" s="331">
        <f t="shared" ca="1" si="272"/>
        <v>0</v>
      </c>
      <c r="CO251" s="86"/>
      <c r="CP251" s="86"/>
      <c r="CQ251" s="1641"/>
      <c r="CR251" s="86"/>
      <c r="CS251" s="86"/>
      <c r="CT251" s="86"/>
      <c r="CU251" s="86"/>
      <c r="CV251" s="86"/>
      <c r="CW251" s="86"/>
      <c r="CX251" s="86"/>
      <c r="CY251" s="86"/>
      <c r="CZ251" s="86"/>
      <c r="DA251" s="86"/>
      <c r="DB251" s="1642"/>
      <c r="DC251" s="1642"/>
      <c r="DD251" s="30"/>
      <c r="DE251" s="30"/>
      <c r="DF251" s="30"/>
      <c r="DG251" s="1642"/>
      <c r="DH251" s="1642"/>
      <c r="DI251" s="1642"/>
      <c r="DJ251" s="1642"/>
      <c r="DK251" s="1642"/>
      <c r="DL251" s="1642"/>
      <c r="DM251" s="1642"/>
      <c r="DN251" s="1642"/>
      <c r="DO251" s="1642"/>
      <c r="DP251" s="1642"/>
      <c r="DQ251" s="1642"/>
      <c r="DR251" s="1642"/>
      <c r="DS251" s="1642"/>
      <c r="DT251" s="1642"/>
      <c r="DU251" s="1642"/>
      <c r="DV251" s="1642"/>
      <c r="DW251" s="1642"/>
      <c r="DX251" s="1642"/>
      <c r="DY251" s="1642"/>
      <c r="DZ251" s="1642"/>
      <c r="EA251" s="1642"/>
      <c r="EB251" s="1642"/>
      <c r="EC251" s="1642"/>
      <c r="ED251" s="1642"/>
      <c r="EE251" s="1642"/>
      <c r="EF251" s="1642"/>
      <c r="EG251" s="1642"/>
      <c r="EH251" s="1643"/>
      <c r="EI251" s="1658"/>
      <c r="EJ251" s="1642"/>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0"/>
      <c r="HP251" s="30"/>
      <c r="HQ251" s="30"/>
      <c r="HR251" s="30"/>
      <c r="HS251" s="30"/>
      <c r="HT251" s="30"/>
      <c r="HU251" s="30"/>
      <c r="HV251" s="30"/>
      <c r="HW251" s="30"/>
      <c r="HX251" s="30"/>
      <c r="HY251" s="30"/>
      <c r="HZ251" s="30"/>
      <c r="IA251" s="30"/>
      <c r="IB251" s="30"/>
      <c r="IC251" s="30"/>
      <c r="ID251" s="30"/>
      <c r="IE251" s="30"/>
      <c r="IF251" s="30"/>
      <c r="IG251" s="30"/>
      <c r="IH251" s="30"/>
      <c r="II251" s="30"/>
      <c r="IJ251" s="30"/>
      <c r="IK251" s="30"/>
      <c r="IL251" s="30"/>
      <c r="IM251" s="30"/>
      <c r="IN251" s="30"/>
      <c r="IO251" s="30"/>
      <c r="IP251" s="30"/>
      <c r="IQ251" s="30"/>
      <c r="IR251" s="30"/>
      <c r="IS251" s="30"/>
      <c r="IT251" s="30"/>
      <c r="IU251" s="30"/>
      <c r="IV251" s="30"/>
      <c r="IW251" s="30"/>
      <c r="IX251" s="30"/>
      <c r="IY251" s="30"/>
      <c r="IZ251" s="30"/>
      <c r="JA251" s="30"/>
      <c r="JB251" s="30"/>
      <c r="JC251" s="30"/>
      <c r="JD251" s="30"/>
      <c r="JE251" s="30"/>
      <c r="JF251" s="30"/>
      <c r="JG251" s="30"/>
      <c r="JH251" s="30"/>
      <c r="JI251" s="30"/>
      <c r="JJ251" s="30"/>
      <c r="JK251" s="30"/>
      <c r="JL251" s="30"/>
      <c r="JM251" s="30"/>
      <c r="JN251" s="30"/>
      <c r="JO251" s="30"/>
      <c r="JP251" s="30"/>
      <c r="JQ251" s="30"/>
      <c r="JR251" s="30"/>
      <c r="JS251" s="30"/>
      <c r="JT251" s="30"/>
      <c r="JU251" s="30"/>
      <c r="JV251" s="30"/>
      <c r="JW251" s="30"/>
      <c r="JX251" s="30"/>
      <c r="JY251" s="30"/>
      <c r="JZ251" s="30"/>
      <c r="KA251" s="30"/>
      <c r="KB251" s="30"/>
      <c r="KC251" s="30"/>
      <c r="KD251" s="30"/>
      <c r="KE251" s="30"/>
      <c r="KF251" s="30"/>
      <c r="KG251" s="30"/>
      <c r="KH251" s="30"/>
      <c r="KI251" s="30"/>
      <c r="KJ251" s="30"/>
      <c r="KK251" s="30"/>
      <c r="KL251" s="30"/>
      <c r="KM251" s="30"/>
      <c r="KN251" s="30"/>
      <c r="KO251" s="30"/>
      <c r="KP251" s="1630"/>
    </row>
    <row r="252" spans="1:302" s="97" customFormat="1" ht="19.5" customHeight="1" outlineLevel="1">
      <c r="A252" s="2661" t="s">
        <v>1049</v>
      </c>
      <c r="B252" s="2609"/>
      <c r="C252" s="2582" t="s">
        <v>664</v>
      </c>
      <c r="D252" s="2582" t="s">
        <v>1084</v>
      </c>
      <c r="E252" s="376"/>
      <c r="F252" s="347"/>
      <c r="G252" s="348"/>
      <c r="H252" s="349" t="s">
        <v>26</v>
      </c>
      <c r="I252" s="2936"/>
      <c r="J252" s="362" t="s">
        <v>26</v>
      </c>
      <c r="K252" s="1745"/>
      <c r="L252" s="383"/>
      <c r="M252" s="383"/>
      <c r="N252" s="383"/>
      <c r="O252" s="1510">
        <v>1000000</v>
      </c>
      <c r="P252" s="383"/>
      <c r="Q252" s="383"/>
      <c r="R252" s="383"/>
      <c r="S252" s="1510">
        <f t="shared" si="274"/>
        <v>0</v>
      </c>
      <c r="T252" s="1509"/>
      <c r="U252" s="1746"/>
      <c r="V252" s="1746"/>
      <c r="W252" s="1510">
        <f t="shared" si="276"/>
        <v>1000000</v>
      </c>
      <c r="X252" s="362" t="s">
        <v>26</v>
      </c>
      <c r="Y252" s="1509"/>
      <c r="Z252" s="1746"/>
      <c r="AA252" s="1746"/>
      <c r="AB252" s="2722">
        <f t="shared" ref="AB252:AB256" si="286">SUM(AM252:BZ252)</f>
        <v>300000</v>
      </c>
      <c r="AC252" s="1442"/>
      <c r="AD252" s="1457"/>
      <c r="AE252" s="352"/>
      <c r="AF252" s="353"/>
      <c r="AG252" s="353"/>
      <c r="AH252" s="354">
        <f t="shared" si="273"/>
        <v>0</v>
      </c>
      <c r="AI252" s="355">
        <f t="shared" ca="1" si="285"/>
        <v>0</v>
      </c>
      <c r="AJ252" s="356">
        <f t="shared" ca="1" si="275"/>
        <v>0</v>
      </c>
      <c r="AK252" s="2185"/>
      <c r="AL252" s="2063"/>
      <c r="AM252" s="2262"/>
      <c r="AN252" s="2262"/>
      <c r="AO252" s="362"/>
      <c r="AP252" s="384"/>
      <c r="AQ252" s="1509"/>
      <c r="AR252" s="362"/>
      <c r="AS252" s="362"/>
      <c r="AT252" s="385"/>
      <c r="AU252" s="359"/>
      <c r="AV252" s="359"/>
      <c r="AW252" s="377"/>
      <c r="AX252" s="359"/>
      <c r="AY252" s="360"/>
      <c r="AZ252" s="2258"/>
      <c r="BA252" s="359"/>
      <c r="BB252" s="359"/>
      <c r="BC252" s="359"/>
      <c r="BD252" s="359"/>
      <c r="BE252" s="359"/>
      <c r="BF252" s="359"/>
      <c r="BG252" s="379"/>
      <c r="BH252" s="379"/>
      <c r="BI252" s="359"/>
      <c r="BJ252" s="359"/>
      <c r="BK252" s="2122"/>
      <c r="BL252" s="380"/>
      <c r="BM252" s="380"/>
      <c r="BN252" s="380"/>
      <c r="BO252" s="380"/>
      <c r="BP252" s="380"/>
      <c r="BQ252" s="2087"/>
      <c r="BR252" s="359"/>
      <c r="BS252" s="359"/>
      <c r="BT252" s="362"/>
      <c r="BU252" s="364"/>
      <c r="BV252" s="364"/>
      <c r="BW252" s="2463">
        <v>300000</v>
      </c>
      <c r="BX252" s="2463"/>
      <c r="BY252" s="2543"/>
      <c r="BZ252" s="2543"/>
      <c r="CA252" s="2432">
        <f t="shared" si="263"/>
        <v>300000</v>
      </c>
      <c r="CB252" s="2377">
        <f t="shared" si="264"/>
        <v>1</v>
      </c>
      <c r="CC252" s="365">
        <f t="shared" si="265"/>
        <v>3.3333333333333333E-6</v>
      </c>
      <c r="CD252" s="366"/>
      <c r="CE252" s="343"/>
      <c r="CF252" s="343"/>
      <c r="CG252" s="340"/>
      <c r="CH252" s="367"/>
      <c r="CI252" s="368"/>
      <c r="CJ252" s="368"/>
      <c r="CK252" s="369"/>
      <c r="CL252" s="329">
        <f t="shared" si="261"/>
        <v>700000</v>
      </c>
      <c r="CM252" s="330">
        <f t="shared" ca="1" si="262"/>
        <v>0</v>
      </c>
      <c r="CN252" s="331">
        <f t="shared" ca="1" si="272"/>
        <v>-300000</v>
      </c>
      <c r="CO252" s="86"/>
      <c r="CP252" s="86"/>
      <c r="CQ252" s="1641"/>
      <c r="CR252" s="86"/>
      <c r="CS252" s="86"/>
      <c r="CT252" s="86"/>
      <c r="CU252" s="86"/>
      <c r="CV252" s="86"/>
      <c r="CW252" s="86"/>
      <c r="CX252" s="86"/>
      <c r="CY252" s="86"/>
      <c r="CZ252" s="86"/>
      <c r="DA252" s="86"/>
      <c r="DB252" s="1642"/>
      <c r="DC252" s="1642"/>
      <c r="DD252" s="30"/>
      <c r="DE252" s="30"/>
      <c r="DF252" s="30"/>
      <c r="DG252" s="1642"/>
      <c r="DH252" s="1642"/>
      <c r="DI252" s="1642"/>
      <c r="DJ252" s="1642"/>
      <c r="DK252" s="1642"/>
      <c r="DL252" s="1642"/>
      <c r="DM252" s="1642"/>
      <c r="DN252" s="1642"/>
      <c r="DO252" s="1642"/>
      <c r="DP252" s="1642"/>
      <c r="DQ252" s="1642"/>
      <c r="DR252" s="1642"/>
      <c r="DS252" s="1642"/>
      <c r="DT252" s="1642"/>
      <c r="DU252" s="1642"/>
      <c r="DV252" s="1642"/>
      <c r="DW252" s="1642"/>
      <c r="DX252" s="1642"/>
      <c r="DY252" s="1642"/>
      <c r="DZ252" s="1642"/>
      <c r="EA252" s="1642"/>
      <c r="EB252" s="1642"/>
      <c r="EC252" s="1642"/>
      <c r="ED252" s="1642"/>
      <c r="EE252" s="1642"/>
      <c r="EF252" s="1642"/>
      <c r="EG252" s="1642"/>
      <c r="EH252" s="1643"/>
      <c r="EI252" s="1658"/>
      <c r="EJ252" s="1642"/>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0"/>
      <c r="HP252" s="30"/>
      <c r="HQ252" s="30"/>
      <c r="HR252" s="30"/>
      <c r="HS252" s="30"/>
      <c r="HT252" s="30"/>
      <c r="HU252" s="30"/>
      <c r="HV252" s="30"/>
      <c r="HW252" s="30"/>
      <c r="HX252" s="30"/>
      <c r="HY252" s="30"/>
      <c r="HZ252" s="30"/>
      <c r="IA252" s="30"/>
      <c r="IB252" s="30"/>
      <c r="IC252" s="30"/>
      <c r="ID252" s="30"/>
      <c r="IE252" s="30"/>
      <c r="IF252" s="30"/>
      <c r="IG252" s="30"/>
      <c r="IH252" s="30"/>
      <c r="II252" s="30"/>
      <c r="IJ252" s="30"/>
      <c r="IK252" s="30"/>
      <c r="IL252" s="30"/>
      <c r="IM252" s="30"/>
      <c r="IN252" s="30"/>
      <c r="IO252" s="30"/>
      <c r="IP252" s="30"/>
      <c r="IQ252" s="30"/>
      <c r="IR252" s="30"/>
      <c r="IS252" s="30"/>
      <c r="IT252" s="30"/>
      <c r="IU252" s="30"/>
      <c r="IV252" s="30"/>
      <c r="IW252" s="30"/>
      <c r="IX252" s="30"/>
      <c r="IY252" s="30"/>
      <c r="IZ252" s="30"/>
      <c r="JA252" s="30"/>
      <c r="JB252" s="30"/>
      <c r="JC252" s="30"/>
      <c r="JD252" s="30"/>
      <c r="JE252" s="30"/>
      <c r="JF252" s="30"/>
      <c r="JG252" s="30"/>
      <c r="JH252" s="30"/>
      <c r="JI252" s="30"/>
      <c r="JJ252" s="30"/>
      <c r="JK252" s="30"/>
      <c r="JL252" s="30"/>
      <c r="JM252" s="30"/>
      <c r="JN252" s="30"/>
      <c r="JO252" s="30"/>
      <c r="JP252" s="30"/>
      <c r="JQ252" s="30"/>
      <c r="JR252" s="30"/>
      <c r="JS252" s="30"/>
      <c r="JT252" s="30"/>
      <c r="JU252" s="30"/>
      <c r="JV252" s="30"/>
      <c r="JW252" s="30"/>
      <c r="JX252" s="30"/>
      <c r="JY252" s="30"/>
      <c r="JZ252" s="30"/>
      <c r="KA252" s="30"/>
      <c r="KB252" s="30"/>
      <c r="KC252" s="30"/>
      <c r="KD252" s="30"/>
      <c r="KE252" s="30"/>
      <c r="KF252" s="30"/>
      <c r="KG252" s="30"/>
      <c r="KH252" s="30"/>
      <c r="KI252" s="30"/>
      <c r="KJ252" s="30"/>
      <c r="KK252" s="30"/>
      <c r="KL252" s="30"/>
      <c r="KM252" s="30"/>
      <c r="KN252" s="30"/>
      <c r="KO252" s="30"/>
      <c r="KP252" s="1630"/>
    </row>
    <row r="253" spans="1:302" s="97" customFormat="1" ht="19.5" customHeight="1" outlineLevel="1">
      <c r="A253" s="2661" t="s">
        <v>1230</v>
      </c>
      <c r="B253" s="2609"/>
      <c r="C253" s="2582" t="s">
        <v>1311</v>
      </c>
      <c r="D253" s="2582" t="s">
        <v>1084</v>
      </c>
      <c r="E253" s="376"/>
      <c r="F253" s="347"/>
      <c r="G253" s="348"/>
      <c r="H253" s="349" t="s">
        <v>26</v>
      </c>
      <c r="I253" s="2936"/>
      <c r="J253" s="362" t="s">
        <v>26</v>
      </c>
      <c r="K253" s="1745"/>
      <c r="L253" s="383"/>
      <c r="M253" s="383"/>
      <c r="N253" s="383"/>
      <c r="O253" s="1510"/>
      <c r="P253" s="383"/>
      <c r="Q253" s="383"/>
      <c r="R253" s="383"/>
      <c r="S253" s="1510">
        <f t="shared" si="274"/>
        <v>0</v>
      </c>
      <c r="T253" s="1509"/>
      <c r="U253" s="1746"/>
      <c r="V253" s="1746"/>
      <c r="W253" s="1510">
        <f t="shared" si="276"/>
        <v>0</v>
      </c>
      <c r="X253" s="362" t="s">
        <v>26</v>
      </c>
      <c r="Y253" s="1509"/>
      <c r="Z253" s="1746"/>
      <c r="AA253" s="1746"/>
      <c r="AB253" s="1510">
        <f t="shared" si="286"/>
        <v>700000.00000000047</v>
      </c>
      <c r="AC253" s="2718" t="s">
        <v>1231</v>
      </c>
      <c r="AD253" s="1457"/>
      <c r="AE253" s="352"/>
      <c r="AF253" s="353">
        <v>700000</v>
      </c>
      <c r="AG253" s="353">
        <v>1</v>
      </c>
      <c r="AH253" s="354">
        <f>AF253*AG253</f>
        <v>700000</v>
      </c>
      <c r="AI253" s="355">
        <f t="shared" ref="AI253" ca="1" si="287">SUMIF($AM$10:$BZ$10,$AI$9,AM253:BT253)</f>
        <v>0</v>
      </c>
      <c r="AJ253" s="356">
        <f t="shared" ca="1" si="275"/>
        <v>0</v>
      </c>
      <c r="AK253" s="2185"/>
      <c r="AL253" s="2063"/>
      <c r="AM253" s="2262"/>
      <c r="AN253" s="2262"/>
      <c r="AO253" s="362"/>
      <c r="AP253" s="384">
        <v>24137.931034482757</v>
      </c>
      <c r="AQ253" s="1509">
        <v>24137.931034482757</v>
      </c>
      <c r="AR253" s="362">
        <v>24137.931034482757</v>
      </c>
      <c r="AS253" s="362">
        <f>24137.9310344828</f>
        <v>24137.931034482801</v>
      </c>
      <c r="AT253" s="385">
        <v>24137.931034482757</v>
      </c>
      <c r="AU253" s="359">
        <v>24137.931034482757</v>
      </c>
      <c r="AV253" s="359">
        <v>24137.931034482757</v>
      </c>
      <c r="AW253" s="377">
        <f>24137.9310344828+24137.9310344828</f>
        <v>48275.862068965602</v>
      </c>
      <c r="AX253" s="359">
        <v>24137.931034482757</v>
      </c>
      <c r="AY253" s="360">
        <v>24137.931034482757</v>
      </c>
      <c r="AZ253" s="2258">
        <v>24137.931034482757</v>
      </c>
      <c r="BA253" s="359">
        <v>24137.931034482757</v>
      </c>
      <c r="BB253" s="359">
        <v>24137.931034482757</v>
      </c>
      <c r="BC253" s="359">
        <v>24137.931034482757</v>
      </c>
      <c r="BD253" s="359">
        <v>24137.931034482757</v>
      </c>
      <c r="BE253" s="359">
        <v>24137.931034482757</v>
      </c>
      <c r="BF253" s="359">
        <v>24137.931034482757</v>
      </c>
      <c r="BG253" s="359">
        <v>24137.931034482757</v>
      </c>
      <c r="BH253" s="359">
        <v>24137.931034482757</v>
      </c>
      <c r="BI253" s="360">
        <v>24137.931034482757</v>
      </c>
      <c r="BJ253" s="359">
        <v>24137.931034482757</v>
      </c>
      <c r="BK253" s="2122">
        <v>24137.931034482757</v>
      </c>
      <c r="BL253" s="380">
        <v>24137.931034482757</v>
      </c>
      <c r="BM253" s="2087">
        <v>24137.931034482757</v>
      </c>
      <c r="BN253" s="2087">
        <v>24137.931034482757</v>
      </c>
      <c r="BO253" s="2087">
        <v>24137.931034482757</v>
      </c>
      <c r="BP253" s="2087">
        <v>24137.931034482757</v>
      </c>
      <c r="BQ253" s="2087">
        <v>24137.931034482757</v>
      </c>
      <c r="BR253" s="359"/>
      <c r="BS253" s="359"/>
      <c r="BT253" s="362"/>
      <c r="BU253" s="364"/>
      <c r="BV253" s="364"/>
      <c r="BW253" s="2366"/>
      <c r="BX253" s="2463"/>
      <c r="BY253" s="2543"/>
      <c r="BZ253" s="2543"/>
      <c r="CA253" s="2432">
        <f t="shared" si="263"/>
        <v>700000.00000000047</v>
      </c>
      <c r="CB253" s="2377">
        <f t="shared" si="264"/>
        <v>1</v>
      </c>
      <c r="CC253" s="365">
        <f t="shared" si="265"/>
        <v>1.4285714285714276E-6</v>
      </c>
      <c r="CD253" s="366"/>
      <c r="CE253" s="343"/>
      <c r="CF253" s="343"/>
      <c r="CG253" s="340"/>
      <c r="CH253" s="367"/>
      <c r="CI253" s="368"/>
      <c r="CJ253" s="368"/>
      <c r="CK253" s="369"/>
      <c r="CL253" s="329">
        <f t="shared" si="261"/>
        <v>-700000.00000000047</v>
      </c>
      <c r="CM253" s="330">
        <f t="shared" ca="1" si="262"/>
        <v>0</v>
      </c>
      <c r="CN253" s="331">
        <f t="shared" ca="1" si="272"/>
        <v>-434482.75862069003</v>
      </c>
      <c r="CO253" s="86"/>
      <c r="CP253" s="86"/>
      <c r="CQ253" s="1641"/>
      <c r="CR253" s="86"/>
      <c r="CS253" s="86"/>
      <c r="CT253" s="86"/>
      <c r="CU253" s="86"/>
      <c r="CV253" s="86"/>
      <c r="CW253" s="86"/>
      <c r="CX253" s="86"/>
      <c r="CY253" s="86"/>
      <c r="CZ253" s="86"/>
      <c r="DA253" s="86"/>
      <c r="DB253" s="1642"/>
      <c r="DC253" s="1642"/>
      <c r="DD253" s="30"/>
      <c r="DE253" s="30"/>
      <c r="DF253" s="30"/>
      <c r="DG253" s="1642"/>
      <c r="DH253" s="1642"/>
      <c r="DI253" s="1642"/>
      <c r="DJ253" s="1642"/>
      <c r="DK253" s="1642"/>
      <c r="DL253" s="1642"/>
      <c r="DM253" s="1642"/>
      <c r="DN253" s="1642"/>
      <c r="DO253" s="1642"/>
      <c r="DP253" s="1642"/>
      <c r="DQ253" s="1642"/>
      <c r="DR253" s="1642"/>
      <c r="DS253" s="1642"/>
      <c r="DT253" s="1642"/>
      <c r="DU253" s="1642"/>
      <c r="DV253" s="1642"/>
      <c r="DW253" s="1642"/>
      <c r="DX253" s="1642"/>
      <c r="DY253" s="1642"/>
      <c r="DZ253" s="1642"/>
      <c r="EA253" s="1642"/>
      <c r="EB253" s="1642"/>
      <c r="EC253" s="1642"/>
      <c r="ED253" s="1642"/>
      <c r="EE253" s="1642"/>
      <c r="EF253" s="1642"/>
      <c r="EG253" s="1642"/>
      <c r="EH253" s="1643"/>
      <c r="EI253" s="1658"/>
      <c r="EJ253" s="1642"/>
      <c r="EK253" s="30"/>
      <c r="EL253" s="30"/>
      <c r="EM253" s="30"/>
      <c r="EN253" s="30"/>
      <c r="EO253" s="30"/>
      <c r="EP253" s="30"/>
      <c r="EQ253" s="30"/>
      <c r="ER253" s="30"/>
      <c r="ES253" s="30"/>
      <c r="ET253" s="30"/>
      <c r="EU253" s="30"/>
      <c r="EV253" s="30"/>
      <c r="EW253" s="30"/>
      <c r="EX253" s="30"/>
      <c r="EY253" s="30"/>
      <c r="EZ253" s="30"/>
      <c r="FA253" s="30"/>
      <c r="FB253" s="30"/>
      <c r="FC253" s="30"/>
      <c r="FD253" s="30"/>
      <c r="FE253" s="30"/>
      <c r="FF253" s="30"/>
      <c r="FG253" s="30"/>
      <c r="FH253" s="30"/>
      <c r="FI253" s="30"/>
      <c r="FJ253" s="30"/>
      <c r="FK253" s="30"/>
      <c r="FL253" s="30"/>
      <c r="FM253" s="30"/>
      <c r="FN253" s="30"/>
      <c r="FO253" s="30"/>
      <c r="FP253" s="30"/>
      <c r="FQ253" s="30"/>
      <c r="FR253" s="30"/>
      <c r="FS253" s="30"/>
      <c r="FT253" s="30"/>
      <c r="FU253" s="30"/>
      <c r="FV253" s="30"/>
      <c r="FW253" s="30"/>
      <c r="FX253" s="30"/>
      <c r="FY253" s="30"/>
      <c r="FZ253" s="30"/>
      <c r="GA253" s="30"/>
      <c r="GB253" s="30"/>
      <c r="GC253" s="30"/>
      <c r="GD253" s="30"/>
      <c r="GE253" s="30"/>
      <c r="GF253" s="30"/>
      <c r="GG253" s="30"/>
      <c r="GH253" s="30"/>
      <c r="GI253" s="30"/>
      <c r="GJ253" s="30"/>
      <c r="GK253" s="30"/>
      <c r="GL253" s="30"/>
      <c r="GM253" s="30"/>
      <c r="GN253" s="30"/>
      <c r="GO253" s="30"/>
      <c r="GP253" s="30"/>
      <c r="GQ253" s="30"/>
      <c r="GR253" s="30"/>
      <c r="GS253" s="30"/>
      <c r="GT253" s="30"/>
      <c r="GU253" s="30"/>
      <c r="GV253" s="30"/>
      <c r="GW253" s="30"/>
      <c r="GX253" s="30"/>
      <c r="GY253" s="30"/>
      <c r="GZ253" s="30"/>
      <c r="HA253" s="30"/>
      <c r="HB253" s="30"/>
      <c r="HC253" s="30"/>
      <c r="HD253" s="30"/>
      <c r="HE253" s="30"/>
      <c r="HF253" s="30"/>
      <c r="HG253" s="30"/>
      <c r="HH253" s="30"/>
      <c r="HI253" s="30"/>
      <c r="HJ253" s="30"/>
      <c r="HK253" s="30"/>
      <c r="HL253" s="30"/>
      <c r="HM253" s="30"/>
      <c r="HN253" s="30"/>
      <c r="HO253" s="30"/>
      <c r="HP253" s="30"/>
      <c r="HQ253" s="30"/>
      <c r="HR253" s="30"/>
      <c r="HS253" s="30"/>
      <c r="HT253" s="30"/>
      <c r="HU253" s="30"/>
      <c r="HV253" s="30"/>
      <c r="HW253" s="30"/>
      <c r="HX253" s="30"/>
      <c r="HY253" s="30"/>
      <c r="HZ253" s="30"/>
      <c r="IA253" s="30"/>
      <c r="IB253" s="30"/>
      <c r="IC253" s="30"/>
      <c r="ID253" s="30"/>
      <c r="IE253" s="30"/>
      <c r="IF253" s="30"/>
      <c r="IG253" s="30"/>
      <c r="IH253" s="30"/>
      <c r="II253" s="30"/>
      <c r="IJ253" s="30"/>
      <c r="IK253" s="30"/>
      <c r="IL253" s="30"/>
      <c r="IM253" s="30"/>
      <c r="IN253" s="30"/>
      <c r="IO253" s="30"/>
      <c r="IP253" s="30"/>
      <c r="IQ253" s="30"/>
      <c r="IR253" s="30"/>
      <c r="IS253" s="30"/>
      <c r="IT253" s="30"/>
      <c r="IU253" s="30"/>
      <c r="IV253" s="30"/>
      <c r="IW253" s="30"/>
      <c r="IX253" s="30"/>
      <c r="IY253" s="30"/>
      <c r="IZ253" s="30"/>
      <c r="JA253" s="30"/>
      <c r="JB253" s="30"/>
      <c r="JC253" s="30"/>
      <c r="JD253" s="30"/>
      <c r="JE253" s="30"/>
      <c r="JF253" s="30"/>
      <c r="JG253" s="30"/>
      <c r="JH253" s="30"/>
      <c r="JI253" s="30"/>
      <c r="JJ253" s="30"/>
      <c r="JK253" s="30"/>
      <c r="JL253" s="30"/>
      <c r="JM253" s="30"/>
      <c r="JN253" s="30"/>
      <c r="JO253" s="30"/>
      <c r="JP253" s="30"/>
      <c r="JQ253" s="30"/>
      <c r="JR253" s="30"/>
      <c r="JS253" s="30"/>
      <c r="JT253" s="30"/>
      <c r="JU253" s="30"/>
      <c r="JV253" s="30"/>
      <c r="JW253" s="30"/>
      <c r="JX253" s="30"/>
      <c r="JY253" s="30"/>
      <c r="JZ253" s="30"/>
      <c r="KA253" s="30"/>
      <c r="KB253" s="30"/>
      <c r="KC253" s="30"/>
      <c r="KD253" s="30"/>
      <c r="KE253" s="30"/>
      <c r="KF253" s="30"/>
      <c r="KG253" s="30"/>
      <c r="KH253" s="30"/>
      <c r="KI253" s="30"/>
      <c r="KJ253" s="30"/>
      <c r="KK253" s="30"/>
      <c r="KL253" s="30"/>
      <c r="KM253" s="30"/>
      <c r="KN253" s="30"/>
      <c r="KO253" s="30"/>
      <c r="KP253" s="1630"/>
    </row>
    <row r="254" spans="1:302" s="97" customFormat="1" ht="33" customHeight="1" outlineLevel="1">
      <c r="A254" s="2661" t="s">
        <v>1050</v>
      </c>
      <c r="B254" s="2609"/>
      <c r="C254" s="2582" t="s">
        <v>1067</v>
      </c>
      <c r="D254" s="2582" t="s">
        <v>1085</v>
      </c>
      <c r="E254" s="376"/>
      <c r="F254" s="347"/>
      <c r="G254" s="348"/>
      <c r="H254" s="349" t="s">
        <v>26</v>
      </c>
      <c r="I254" s="2936"/>
      <c r="J254" s="362" t="s">
        <v>26</v>
      </c>
      <c r="K254" s="1745"/>
      <c r="L254" s="383"/>
      <c r="M254" s="383"/>
      <c r="N254" s="383"/>
      <c r="O254" s="1510">
        <v>1500000</v>
      </c>
      <c r="P254" s="383"/>
      <c r="Q254" s="383"/>
      <c r="R254" s="383"/>
      <c r="S254" s="1510">
        <f t="shared" si="274"/>
        <v>0</v>
      </c>
      <c r="T254" s="1509"/>
      <c r="U254" s="1746"/>
      <c r="V254" s="1746"/>
      <c r="W254" s="1510">
        <f t="shared" si="276"/>
        <v>1500000</v>
      </c>
      <c r="X254" s="362" t="s">
        <v>26</v>
      </c>
      <c r="Y254" s="1509"/>
      <c r="Z254" s="1746"/>
      <c r="AA254" s="1746"/>
      <c r="AB254" s="1510">
        <f t="shared" si="286"/>
        <v>1499999.9979999999</v>
      </c>
      <c r="AC254" s="1442"/>
      <c r="AD254" s="1457"/>
      <c r="AE254" s="352"/>
      <c r="AF254" s="353"/>
      <c r="AG254" s="353"/>
      <c r="AH254" s="354">
        <f t="shared" si="273"/>
        <v>0</v>
      </c>
      <c r="AI254" s="355">
        <f t="shared" ca="1" si="285"/>
        <v>0</v>
      </c>
      <c r="AJ254" s="356">
        <f t="shared" ca="1" si="275"/>
        <v>0</v>
      </c>
      <c r="AK254" s="2185"/>
      <c r="AL254" s="2063"/>
      <c r="AM254" s="2262"/>
      <c r="AN254" s="2262"/>
      <c r="AO254" s="1509"/>
      <c r="AP254" s="384"/>
      <c r="AQ254" s="1509"/>
      <c r="AR254" s="362"/>
      <c r="AS254" s="362"/>
      <c r="AT254" s="385"/>
      <c r="AU254" s="359"/>
      <c r="AV254" s="359"/>
      <c r="AW254" s="377"/>
      <c r="AX254" s="359"/>
      <c r="AY254" s="360"/>
      <c r="AZ254" s="2273">
        <v>214285.71400000001</v>
      </c>
      <c r="BA254" s="497">
        <v>214285.71400000001</v>
      </c>
      <c r="BB254" s="359">
        <v>214285.71400000001</v>
      </c>
      <c r="BC254" s="359">
        <v>214285.71400000001</v>
      </c>
      <c r="BD254" s="359">
        <v>214285.71400000001</v>
      </c>
      <c r="BE254" s="359">
        <v>214285.71400000001</v>
      </c>
      <c r="BF254" s="359">
        <v>214285.71400000001</v>
      </c>
      <c r="BG254" s="359"/>
      <c r="BH254" s="359"/>
      <c r="BI254" s="1333"/>
      <c r="BJ254" s="359"/>
      <c r="BK254" s="2122"/>
      <c r="BL254" s="380"/>
      <c r="BM254" s="2087"/>
      <c r="BN254" s="2087"/>
      <c r="BO254" s="2087"/>
      <c r="BP254" s="2087"/>
      <c r="BQ254" s="2087"/>
      <c r="BR254" s="359"/>
      <c r="BS254" s="359"/>
      <c r="BT254" s="362"/>
      <c r="BU254" s="364"/>
      <c r="BV254" s="364"/>
      <c r="BW254" s="2366"/>
      <c r="BX254" s="2463"/>
      <c r="BY254" s="2543"/>
      <c r="BZ254" s="2543"/>
      <c r="CA254" s="2432">
        <f t="shared" si="263"/>
        <v>1499999.9979999999</v>
      </c>
      <c r="CB254" s="2377">
        <f t="shared" si="264"/>
        <v>1</v>
      </c>
      <c r="CC254" s="365">
        <f t="shared" si="265"/>
        <v>6.6666666755555558E-7</v>
      </c>
      <c r="CD254" s="366"/>
      <c r="CE254" s="343"/>
      <c r="CF254" s="343"/>
      <c r="CG254" s="340"/>
      <c r="CH254" s="367"/>
      <c r="CI254" s="368"/>
      <c r="CJ254" s="368"/>
      <c r="CK254" s="369"/>
      <c r="CL254" s="329">
        <f t="shared" si="261"/>
        <v>2.0000000949949026E-3</v>
      </c>
      <c r="CM254" s="330">
        <f t="shared" ca="1" si="262"/>
        <v>0</v>
      </c>
      <c r="CN254" s="331">
        <f t="shared" ca="1" si="272"/>
        <v>-1499999.9979999999</v>
      </c>
      <c r="CO254" s="86"/>
      <c r="CP254" s="86"/>
      <c r="CQ254" s="1641"/>
      <c r="CR254" s="86"/>
      <c r="CS254" s="86"/>
      <c r="CT254" s="86"/>
      <c r="CU254" s="86"/>
      <c r="CV254" s="86"/>
      <c r="CW254" s="86"/>
      <c r="CX254" s="86"/>
      <c r="CY254" s="86"/>
      <c r="CZ254" s="86"/>
      <c r="DA254" s="86"/>
      <c r="DB254" s="1642"/>
      <c r="DC254" s="1642"/>
      <c r="DD254" s="30"/>
      <c r="DE254" s="30"/>
      <c r="DF254" s="30"/>
      <c r="DG254" s="1642"/>
      <c r="DH254" s="1642"/>
      <c r="DI254" s="1642"/>
      <c r="DJ254" s="1642"/>
      <c r="DK254" s="1642"/>
      <c r="DL254" s="1642"/>
      <c r="DM254" s="1642"/>
      <c r="DN254" s="1642"/>
      <c r="DO254" s="1642"/>
      <c r="DP254" s="1642"/>
      <c r="DQ254" s="1642"/>
      <c r="DR254" s="1642"/>
      <c r="DS254" s="1642"/>
      <c r="DT254" s="1642"/>
      <c r="DU254" s="1642"/>
      <c r="DV254" s="1642"/>
      <c r="DW254" s="1642"/>
      <c r="DX254" s="1642"/>
      <c r="DY254" s="1642"/>
      <c r="DZ254" s="1642"/>
      <c r="EA254" s="1642"/>
      <c r="EB254" s="1642"/>
      <c r="EC254" s="1642"/>
      <c r="ED254" s="1642"/>
      <c r="EE254" s="1642"/>
      <c r="EF254" s="1642"/>
      <c r="EG254" s="1642"/>
      <c r="EH254" s="1643"/>
      <c r="EI254" s="1658"/>
      <c r="EJ254" s="1642"/>
      <c r="EK254" s="30"/>
      <c r="EL254" s="30"/>
      <c r="EM254" s="30"/>
      <c r="EN254" s="30"/>
      <c r="EO254" s="30"/>
      <c r="EP254" s="30"/>
      <c r="EQ254" s="30"/>
      <c r="ER254" s="30"/>
      <c r="ES254" s="30"/>
      <c r="ET254" s="30"/>
      <c r="EU254" s="30"/>
      <c r="EV254" s="30"/>
      <c r="EW254" s="30"/>
      <c r="EX254" s="30"/>
      <c r="EY254" s="30"/>
      <c r="EZ254" s="30"/>
      <c r="FA254" s="30"/>
      <c r="FB254" s="30"/>
      <c r="FC254" s="30"/>
      <c r="FD254" s="30"/>
      <c r="FE254" s="30"/>
      <c r="FF254" s="30"/>
      <c r="FG254" s="30"/>
      <c r="FH254" s="30"/>
      <c r="FI254" s="30"/>
      <c r="FJ254" s="30"/>
      <c r="FK254" s="30"/>
      <c r="FL254" s="30"/>
      <c r="FM254" s="30"/>
      <c r="FN254" s="30"/>
      <c r="FO254" s="30"/>
      <c r="FP254" s="30"/>
      <c r="FQ254" s="30"/>
      <c r="FR254" s="30"/>
      <c r="FS254" s="30"/>
      <c r="FT254" s="30"/>
      <c r="FU254" s="30"/>
      <c r="FV254" s="30"/>
      <c r="FW254" s="30"/>
      <c r="FX254" s="30"/>
      <c r="FY254" s="30"/>
      <c r="FZ254" s="30"/>
      <c r="GA254" s="30"/>
      <c r="GB254" s="30"/>
      <c r="GC254" s="30"/>
      <c r="GD254" s="30"/>
      <c r="GE254" s="30"/>
      <c r="GF254" s="30"/>
      <c r="GG254" s="30"/>
      <c r="GH254" s="30"/>
      <c r="GI254" s="30"/>
      <c r="GJ254" s="30"/>
      <c r="GK254" s="30"/>
      <c r="GL254" s="30"/>
      <c r="GM254" s="30"/>
      <c r="GN254" s="30"/>
      <c r="GO254" s="30"/>
      <c r="GP254" s="30"/>
      <c r="GQ254" s="30"/>
      <c r="GR254" s="30"/>
      <c r="GS254" s="30"/>
      <c r="GT254" s="30"/>
      <c r="GU254" s="30"/>
      <c r="GV254" s="30"/>
      <c r="GW254" s="30"/>
      <c r="GX254" s="30"/>
      <c r="GY254" s="30"/>
      <c r="GZ254" s="30"/>
      <c r="HA254" s="30"/>
      <c r="HB254" s="30"/>
      <c r="HC254" s="30"/>
      <c r="HD254" s="30"/>
      <c r="HE254" s="30"/>
      <c r="HF254" s="30"/>
      <c r="HG254" s="30"/>
      <c r="HH254" s="30"/>
      <c r="HI254" s="30"/>
      <c r="HJ254" s="30"/>
      <c r="HK254" s="30"/>
      <c r="HL254" s="30"/>
      <c r="HM254" s="30"/>
      <c r="HN254" s="30"/>
      <c r="HO254" s="30"/>
      <c r="HP254" s="30"/>
      <c r="HQ254" s="30"/>
      <c r="HR254" s="30"/>
      <c r="HS254" s="30"/>
      <c r="HT254" s="30"/>
      <c r="HU254" s="30"/>
      <c r="HV254" s="30"/>
      <c r="HW254" s="30"/>
      <c r="HX254" s="30"/>
      <c r="HY254" s="30"/>
      <c r="HZ254" s="30"/>
      <c r="IA254" s="30"/>
      <c r="IB254" s="30"/>
      <c r="IC254" s="30"/>
      <c r="ID254" s="30"/>
      <c r="IE254" s="30"/>
      <c r="IF254" s="30"/>
      <c r="IG254" s="30"/>
      <c r="IH254" s="30"/>
      <c r="II254" s="30"/>
      <c r="IJ254" s="30"/>
      <c r="IK254" s="30"/>
      <c r="IL254" s="30"/>
      <c r="IM254" s="30"/>
      <c r="IN254" s="30"/>
      <c r="IO254" s="30"/>
      <c r="IP254" s="30"/>
      <c r="IQ254" s="30"/>
      <c r="IR254" s="30"/>
      <c r="IS254" s="30"/>
      <c r="IT254" s="30"/>
      <c r="IU254" s="30"/>
      <c r="IV254" s="30"/>
      <c r="IW254" s="30"/>
      <c r="IX254" s="30"/>
      <c r="IY254" s="30"/>
      <c r="IZ254" s="30"/>
      <c r="JA254" s="30"/>
      <c r="JB254" s="30"/>
      <c r="JC254" s="30"/>
      <c r="JD254" s="30"/>
      <c r="JE254" s="30"/>
      <c r="JF254" s="30"/>
      <c r="JG254" s="30"/>
      <c r="JH254" s="30"/>
      <c r="JI254" s="30"/>
      <c r="JJ254" s="30"/>
      <c r="JK254" s="30"/>
      <c r="JL254" s="30"/>
      <c r="JM254" s="30"/>
      <c r="JN254" s="30"/>
      <c r="JO254" s="30"/>
      <c r="JP254" s="30"/>
      <c r="JQ254" s="30"/>
      <c r="JR254" s="30"/>
      <c r="JS254" s="30"/>
      <c r="JT254" s="30"/>
      <c r="JU254" s="30"/>
      <c r="JV254" s="30"/>
      <c r="JW254" s="30"/>
      <c r="JX254" s="30"/>
      <c r="JY254" s="30"/>
      <c r="JZ254" s="30"/>
      <c r="KA254" s="30"/>
      <c r="KB254" s="30"/>
      <c r="KC254" s="30"/>
      <c r="KD254" s="30"/>
      <c r="KE254" s="30"/>
      <c r="KF254" s="30"/>
      <c r="KG254" s="30"/>
      <c r="KH254" s="30"/>
      <c r="KI254" s="30"/>
      <c r="KJ254" s="30"/>
      <c r="KK254" s="30"/>
      <c r="KL254" s="30"/>
      <c r="KM254" s="30"/>
      <c r="KN254" s="30"/>
      <c r="KO254" s="30"/>
      <c r="KP254" s="1630"/>
    </row>
    <row r="255" spans="1:302" s="97" customFormat="1" ht="19.5" customHeight="1" outlineLevel="1">
      <c r="A255" s="2661" t="s">
        <v>1051</v>
      </c>
      <c r="B255" s="2609"/>
      <c r="C255" s="2582" t="s">
        <v>1068</v>
      </c>
      <c r="D255" s="2582" t="s">
        <v>1086</v>
      </c>
      <c r="E255" s="376"/>
      <c r="F255" s="347"/>
      <c r="G255" s="348"/>
      <c r="H255" s="349" t="s">
        <v>26</v>
      </c>
      <c r="I255" s="2936"/>
      <c r="J255" s="362" t="s">
        <v>26</v>
      </c>
      <c r="K255" s="1745"/>
      <c r="L255" s="383"/>
      <c r="M255" s="383"/>
      <c r="N255" s="383"/>
      <c r="O255" s="1510">
        <v>1000000</v>
      </c>
      <c r="P255" s="383"/>
      <c r="Q255" s="383"/>
      <c r="R255" s="383"/>
      <c r="S255" s="1510">
        <f t="shared" si="274"/>
        <v>0</v>
      </c>
      <c r="T255" s="1509"/>
      <c r="U255" s="1746"/>
      <c r="V255" s="1746"/>
      <c r="W255" s="1510">
        <f t="shared" si="276"/>
        <v>1000000</v>
      </c>
      <c r="X255" s="362" t="s">
        <v>26</v>
      </c>
      <c r="Y255" s="1509"/>
      <c r="Z255" s="1746"/>
      <c r="AA255" s="1746"/>
      <c r="AB255" s="1510">
        <f t="shared" si="286"/>
        <v>1000000</v>
      </c>
      <c r="AC255" s="1442"/>
      <c r="AD255" s="1457"/>
      <c r="AE255" s="352"/>
      <c r="AF255" s="353"/>
      <c r="AG255" s="353"/>
      <c r="AH255" s="354">
        <f t="shared" si="273"/>
        <v>0</v>
      </c>
      <c r="AI255" s="355">
        <f t="shared" ca="1" si="285"/>
        <v>0</v>
      </c>
      <c r="AJ255" s="356">
        <f t="shared" ca="1" si="275"/>
        <v>0</v>
      </c>
      <c r="AK255" s="2185"/>
      <c r="AL255" s="2063"/>
      <c r="AM255" s="2262"/>
      <c r="AN255" s="2262"/>
      <c r="AO255" s="1509"/>
      <c r="AP255" s="384"/>
      <c r="AQ255" s="1509"/>
      <c r="AR255" s="362"/>
      <c r="AS255" s="362"/>
      <c r="AT255" s="385">
        <v>50000</v>
      </c>
      <c r="AU255" s="359">
        <v>50000</v>
      </c>
      <c r="AV255" s="359">
        <v>60000</v>
      </c>
      <c r="AW255" s="377">
        <v>100000</v>
      </c>
      <c r="AX255" s="359">
        <v>100000</v>
      </c>
      <c r="AY255" s="360">
        <v>130000</v>
      </c>
      <c r="AZ255" s="2273">
        <v>130000</v>
      </c>
      <c r="BA255" s="497">
        <v>100000</v>
      </c>
      <c r="BB255" s="359">
        <v>100000</v>
      </c>
      <c r="BC255" s="359">
        <v>70000</v>
      </c>
      <c r="BD255" s="359">
        <v>60000</v>
      </c>
      <c r="BE255" s="359">
        <v>50000</v>
      </c>
      <c r="BF255" s="359"/>
      <c r="BG255" s="359"/>
      <c r="BH255" s="359"/>
      <c r="BI255" s="380"/>
      <c r="BJ255" s="359"/>
      <c r="BK255" s="2122"/>
      <c r="BL255" s="380"/>
      <c r="BM255" s="380"/>
      <c r="BN255" s="380"/>
      <c r="BO255" s="380"/>
      <c r="BP255" s="380"/>
      <c r="BQ255" s="2087"/>
      <c r="BR255" s="359"/>
      <c r="BS255" s="359"/>
      <c r="BT255" s="362"/>
      <c r="BU255" s="364"/>
      <c r="BV255" s="364"/>
      <c r="BW255" s="2366"/>
      <c r="BX255" s="2463"/>
      <c r="BY255" s="2543"/>
      <c r="BZ255" s="2543"/>
      <c r="CA255" s="2432">
        <f t="shared" si="263"/>
        <v>1000000</v>
      </c>
      <c r="CB255" s="2377">
        <f t="shared" si="264"/>
        <v>1</v>
      </c>
      <c r="CC255" s="365">
        <f t="shared" si="265"/>
        <v>9.9999999999999995E-7</v>
      </c>
      <c r="CD255" s="366"/>
      <c r="CE255" s="343"/>
      <c r="CF255" s="343"/>
      <c r="CG255" s="340"/>
      <c r="CH255" s="367"/>
      <c r="CI255" s="368"/>
      <c r="CJ255" s="368"/>
      <c r="CK255" s="369"/>
      <c r="CL255" s="329">
        <f t="shared" si="261"/>
        <v>0</v>
      </c>
      <c r="CM255" s="330">
        <f t="shared" ca="1" si="262"/>
        <v>0</v>
      </c>
      <c r="CN255" s="331">
        <f t="shared" ca="1" si="272"/>
        <v>-510000</v>
      </c>
      <c r="CO255" s="86"/>
      <c r="CP255" s="86"/>
      <c r="CQ255" s="1641"/>
      <c r="CR255" s="86"/>
      <c r="CS255" s="86"/>
      <c r="CT255" s="86"/>
      <c r="CU255" s="86"/>
      <c r="CV255" s="86"/>
      <c r="CW255" s="86"/>
      <c r="CX255" s="86"/>
      <c r="CY255" s="86"/>
      <c r="CZ255" s="86"/>
      <c r="DA255" s="86"/>
      <c r="DB255" s="1642"/>
      <c r="DC255" s="1642"/>
      <c r="DD255" s="30"/>
      <c r="DE255" s="30"/>
      <c r="DF255" s="30"/>
      <c r="DG255" s="1642"/>
      <c r="DH255" s="1642"/>
      <c r="DI255" s="1642"/>
      <c r="DJ255" s="1642"/>
      <c r="DK255" s="1642"/>
      <c r="DL255" s="1642"/>
      <c r="DM255" s="1642"/>
      <c r="DN255" s="1642"/>
      <c r="DO255" s="1642"/>
      <c r="DP255" s="1642"/>
      <c r="DQ255" s="1642"/>
      <c r="DR255" s="1642"/>
      <c r="DS255" s="1642"/>
      <c r="DT255" s="1642"/>
      <c r="DU255" s="1642"/>
      <c r="DV255" s="1642"/>
      <c r="DW255" s="1642"/>
      <c r="DX255" s="1642"/>
      <c r="DY255" s="1642"/>
      <c r="DZ255" s="1642"/>
      <c r="EA255" s="1642"/>
      <c r="EB255" s="1642"/>
      <c r="EC255" s="1642"/>
      <c r="ED255" s="1642"/>
      <c r="EE255" s="1642"/>
      <c r="EF255" s="1642"/>
      <c r="EG255" s="1642"/>
      <c r="EH255" s="1643"/>
      <c r="EI255" s="1658"/>
      <c r="EJ255" s="1642"/>
      <c r="EK255" s="30"/>
      <c r="EL255" s="30"/>
      <c r="EM255" s="30"/>
      <c r="EN255" s="30"/>
      <c r="EO255" s="30"/>
      <c r="EP255" s="30"/>
      <c r="EQ255" s="30"/>
      <c r="ER255" s="30"/>
      <c r="ES255" s="30"/>
      <c r="ET255" s="30"/>
      <c r="EU255" s="30"/>
      <c r="EV255" s="30"/>
      <c r="EW255" s="30"/>
      <c r="EX255" s="30"/>
      <c r="EY255" s="30"/>
      <c r="EZ255" s="30"/>
      <c r="FA255" s="30"/>
      <c r="FB255" s="30"/>
      <c r="FC255" s="30"/>
      <c r="FD255" s="30"/>
      <c r="FE255" s="30"/>
      <c r="FF255" s="30"/>
      <c r="FG255" s="30"/>
      <c r="FH255" s="30"/>
      <c r="FI255" s="30"/>
      <c r="FJ255" s="30"/>
      <c r="FK255" s="30"/>
      <c r="FL255" s="30"/>
      <c r="FM255" s="30"/>
      <c r="FN255" s="30"/>
      <c r="FO255" s="30"/>
      <c r="FP255" s="30"/>
      <c r="FQ255" s="30"/>
      <c r="FR255" s="30"/>
      <c r="FS255" s="30"/>
      <c r="FT255" s="30"/>
      <c r="FU255" s="30"/>
      <c r="FV255" s="30"/>
      <c r="FW255" s="30"/>
      <c r="FX255" s="30"/>
      <c r="FY255" s="30"/>
      <c r="FZ255" s="30"/>
      <c r="GA255" s="30"/>
      <c r="GB255" s="30"/>
      <c r="GC255" s="30"/>
      <c r="GD255" s="30"/>
      <c r="GE255" s="30"/>
      <c r="GF255" s="30"/>
      <c r="GG255" s="30"/>
      <c r="GH255" s="30"/>
      <c r="GI255" s="30"/>
      <c r="GJ255" s="30"/>
      <c r="GK255" s="30"/>
      <c r="GL255" s="30"/>
      <c r="GM255" s="30"/>
      <c r="GN255" s="30"/>
      <c r="GO255" s="30"/>
      <c r="GP255" s="30"/>
      <c r="GQ255" s="30"/>
      <c r="GR255" s="30"/>
      <c r="GS255" s="30"/>
      <c r="GT255" s="30"/>
      <c r="GU255" s="30"/>
      <c r="GV255" s="30"/>
      <c r="GW255" s="30"/>
      <c r="GX255" s="30"/>
      <c r="GY255" s="30"/>
      <c r="GZ255" s="30"/>
      <c r="HA255" s="30"/>
      <c r="HB255" s="30"/>
      <c r="HC255" s="30"/>
      <c r="HD255" s="30"/>
      <c r="HE255" s="30"/>
      <c r="HF255" s="30"/>
      <c r="HG255" s="30"/>
      <c r="HH255" s="30"/>
      <c r="HI255" s="30"/>
      <c r="HJ255" s="30"/>
      <c r="HK255" s="30"/>
      <c r="HL255" s="30"/>
      <c r="HM255" s="30"/>
      <c r="HN255" s="30"/>
      <c r="HO255" s="30"/>
      <c r="HP255" s="30"/>
      <c r="HQ255" s="30"/>
      <c r="HR255" s="30"/>
      <c r="HS255" s="30"/>
      <c r="HT255" s="30"/>
      <c r="HU255" s="30"/>
      <c r="HV255" s="30"/>
      <c r="HW255" s="30"/>
      <c r="HX255" s="30"/>
      <c r="HY255" s="30"/>
      <c r="HZ255" s="30"/>
      <c r="IA255" s="30"/>
      <c r="IB255" s="30"/>
      <c r="IC255" s="30"/>
      <c r="ID255" s="30"/>
      <c r="IE255" s="30"/>
      <c r="IF255" s="30"/>
      <c r="IG255" s="30"/>
      <c r="IH255" s="30"/>
      <c r="II255" s="30"/>
      <c r="IJ255" s="30"/>
      <c r="IK255" s="30"/>
      <c r="IL255" s="30"/>
      <c r="IM255" s="30"/>
      <c r="IN255" s="30"/>
      <c r="IO255" s="30"/>
      <c r="IP255" s="30"/>
      <c r="IQ255" s="30"/>
      <c r="IR255" s="30"/>
      <c r="IS255" s="30"/>
      <c r="IT255" s="30"/>
      <c r="IU255" s="30"/>
      <c r="IV255" s="30"/>
      <c r="IW255" s="30"/>
      <c r="IX255" s="30"/>
      <c r="IY255" s="30"/>
      <c r="IZ255" s="30"/>
      <c r="JA255" s="30"/>
      <c r="JB255" s="30"/>
      <c r="JC255" s="30"/>
      <c r="JD255" s="30"/>
      <c r="JE255" s="30"/>
      <c r="JF255" s="30"/>
      <c r="JG255" s="30"/>
      <c r="JH255" s="30"/>
      <c r="JI255" s="30"/>
      <c r="JJ255" s="30"/>
      <c r="JK255" s="30"/>
      <c r="JL255" s="30"/>
      <c r="JM255" s="30"/>
      <c r="JN255" s="30"/>
      <c r="JO255" s="30"/>
      <c r="JP255" s="30"/>
      <c r="JQ255" s="30"/>
      <c r="JR255" s="30"/>
      <c r="JS255" s="30"/>
      <c r="JT255" s="30"/>
      <c r="JU255" s="30"/>
      <c r="JV255" s="30"/>
      <c r="JW255" s="30"/>
      <c r="JX255" s="30"/>
      <c r="JY255" s="30"/>
      <c r="JZ255" s="30"/>
      <c r="KA255" s="30"/>
      <c r="KB255" s="30"/>
      <c r="KC255" s="30"/>
      <c r="KD255" s="30"/>
      <c r="KE255" s="30"/>
      <c r="KF255" s="30"/>
      <c r="KG255" s="30"/>
      <c r="KH255" s="30"/>
      <c r="KI255" s="30"/>
      <c r="KJ255" s="30"/>
      <c r="KK255" s="30"/>
      <c r="KL255" s="30"/>
      <c r="KM255" s="30"/>
      <c r="KN255" s="30"/>
      <c r="KO255" s="30"/>
      <c r="KP255" s="1630"/>
    </row>
    <row r="256" spans="1:302" s="97" customFormat="1" ht="19.5" customHeight="1" outlineLevel="1">
      <c r="A256" s="2661" t="s">
        <v>1052</v>
      </c>
      <c r="B256" s="2609"/>
      <c r="C256" s="2582" t="s">
        <v>1069</v>
      </c>
      <c r="D256" s="2582" t="s">
        <v>1087</v>
      </c>
      <c r="E256" s="376"/>
      <c r="F256" s="347"/>
      <c r="G256" s="348"/>
      <c r="H256" s="349" t="s">
        <v>26</v>
      </c>
      <c r="I256" s="2938"/>
      <c r="J256" s="362" t="s">
        <v>26</v>
      </c>
      <c r="K256" s="1745"/>
      <c r="L256" s="383"/>
      <c r="M256" s="383"/>
      <c r="N256" s="383"/>
      <c r="O256" s="1510">
        <v>350000</v>
      </c>
      <c r="P256" s="383"/>
      <c r="Q256" s="383"/>
      <c r="R256" s="383"/>
      <c r="S256" s="1510">
        <f t="shared" si="274"/>
        <v>0</v>
      </c>
      <c r="T256" s="1509"/>
      <c r="U256" s="1746"/>
      <c r="V256" s="1746"/>
      <c r="W256" s="1510">
        <f t="shared" si="276"/>
        <v>350000</v>
      </c>
      <c r="X256" s="362" t="s">
        <v>26</v>
      </c>
      <c r="Y256" s="1509"/>
      <c r="Z256" s="1746"/>
      <c r="AA256" s="1746"/>
      <c r="AB256" s="1510">
        <f t="shared" si="286"/>
        <v>350000</v>
      </c>
      <c r="AC256" s="1442"/>
      <c r="AD256" s="1457"/>
      <c r="AE256" s="352"/>
      <c r="AF256" s="353"/>
      <c r="AG256" s="353"/>
      <c r="AH256" s="354">
        <f t="shared" si="273"/>
        <v>0</v>
      </c>
      <c r="AI256" s="355">
        <f t="shared" ca="1" si="285"/>
        <v>0</v>
      </c>
      <c r="AJ256" s="356">
        <f t="shared" ca="1" si="275"/>
        <v>0</v>
      </c>
      <c r="AK256" s="2185"/>
      <c r="AL256" s="2063"/>
      <c r="AM256" s="2262"/>
      <c r="AN256" s="2262"/>
      <c r="AO256" s="1509"/>
      <c r="AP256" s="384"/>
      <c r="AQ256" s="1509"/>
      <c r="AR256" s="362"/>
      <c r="AS256" s="362"/>
      <c r="AT256" s="385"/>
      <c r="AU256" s="359"/>
      <c r="AV256" s="359"/>
      <c r="AW256" s="377"/>
      <c r="AX256" s="359"/>
      <c r="AY256" s="360"/>
      <c r="AZ256" s="2258"/>
      <c r="BA256" s="359"/>
      <c r="BB256" s="359"/>
      <c r="BC256" s="359"/>
      <c r="BD256" s="359"/>
      <c r="BE256" s="359"/>
      <c r="BF256" s="359"/>
      <c r="BG256" s="359">
        <v>43750</v>
      </c>
      <c r="BH256" s="359">
        <v>43750</v>
      </c>
      <c r="BI256" s="380">
        <v>43750</v>
      </c>
      <c r="BJ256" s="359">
        <v>43750</v>
      </c>
      <c r="BK256" s="2122">
        <v>43750</v>
      </c>
      <c r="BL256" s="380">
        <v>43750</v>
      </c>
      <c r="BM256" s="380">
        <v>43750</v>
      </c>
      <c r="BN256" s="380">
        <v>43750</v>
      </c>
      <c r="BO256" s="380"/>
      <c r="BP256" s="380"/>
      <c r="BQ256" s="2087"/>
      <c r="BR256" s="359"/>
      <c r="BS256" s="359"/>
      <c r="BT256" s="362"/>
      <c r="BU256" s="364"/>
      <c r="BV256" s="364"/>
      <c r="BW256" s="2366"/>
      <c r="BX256" s="2463"/>
      <c r="BY256" s="2543"/>
      <c r="BZ256" s="2543"/>
      <c r="CA256" s="2432">
        <f t="shared" si="263"/>
        <v>350000</v>
      </c>
      <c r="CB256" s="2377">
        <f t="shared" si="264"/>
        <v>1</v>
      </c>
      <c r="CC256" s="365">
        <f t="shared" si="265"/>
        <v>2.8571428571428573E-6</v>
      </c>
      <c r="CD256" s="366"/>
      <c r="CE256" s="343"/>
      <c r="CF256" s="343"/>
      <c r="CG256" s="340"/>
      <c r="CH256" s="367"/>
      <c r="CI256" s="368"/>
      <c r="CJ256" s="368"/>
      <c r="CK256" s="369"/>
      <c r="CL256" s="329">
        <f t="shared" si="261"/>
        <v>0</v>
      </c>
      <c r="CM256" s="330">
        <f t="shared" ca="1" si="262"/>
        <v>0</v>
      </c>
      <c r="CN256" s="331">
        <f t="shared" ca="1" si="272"/>
        <v>-350000</v>
      </c>
      <c r="CO256" s="86"/>
      <c r="CP256" s="86"/>
      <c r="CQ256" s="1641"/>
      <c r="CR256" s="86"/>
      <c r="CS256" s="86"/>
      <c r="CT256" s="86"/>
      <c r="CU256" s="86"/>
      <c r="CV256" s="86"/>
      <c r="CW256" s="86"/>
      <c r="CX256" s="86"/>
      <c r="CY256" s="86"/>
      <c r="CZ256" s="86"/>
      <c r="DA256" s="86"/>
      <c r="DB256" s="1642"/>
      <c r="DC256" s="1642"/>
      <c r="DD256" s="30"/>
      <c r="DE256" s="30"/>
      <c r="DF256" s="30"/>
      <c r="DG256" s="1642"/>
      <c r="DH256" s="1642"/>
      <c r="DI256" s="1642"/>
      <c r="DJ256" s="1642"/>
      <c r="DK256" s="1642"/>
      <c r="DL256" s="1642"/>
      <c r="DM256" s="1642"/>
      <c r="DN256" s="1642"/>
      <c r="DO256" s="1642"/>
      <c r="DP256" s="1642"/>
      <c r="DQ256" s="1642"/>
      <c r="DR256" s="1642"/>
      <c r="DS256" s="1642"/>
      <c r="DT256" s="1642"/>
      <c r="DU256" s="1642"/>
      <c r="DV256" s="1642"/>
      <c r="DW256" s="1642"/>
      <c r="DX256" s="1642"/>
      <c r="DY256" s="1642"/>
      <c r="DZ256" s="1642"/>
      <c r="EA256" s="1642"/>
      <c r="EB256" s="1642"/>
      <c r="EC256" s="1642"/>
      <c r="ED256" s="1642"/>
      <c r="EE256" s="1642"/>
      <c r="EF256" s="1642"/>
      <c r="EG256" s="1642"/>
      <c r="EH256" s="1643"/>
      <c r="EI256" s="1658"/>
      <c r="EJ256" s="1642"/>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0"/>
      <c r="HP256" s="30"/>
      <c r="HQ256" s="30"/>
      <c r="HR256" s="30"/>
      <c r="HS256" s="30"/>
      <c r="HT256" s="30"/>
      <c r="HU256" s="30"/>
      <c r="HV256" s="30"/>
      <c r="HW256" s="30"/>
      <c r="HX256" s="30"/>
      <c r="HY256" s="30"/>
      <c r="HZ256" s="30"/>
      <c r="IA256" s="30"/>
      <c r="IB256" s="30"/>
      <c r="IC256" s="30"/>
      <c r="ID256" s="30"/>
      <c r="IE256" s="30"/>
      <c r="IF256" s="30"/>
      <c r="IG256" s="30"/>
      <c r="IH256" s="30"/>
      <c r="II256" s="30"/>
      <c r="IJ256" s="30"/>
      <c r="IK256" s="30"/>
      <c r="IL256" s="30"/>
      <c r="IM256" s="30"/>
      <c r="IN256" s="30"/>
      <c r="IO256" s="30"/>
      <c r="IP256" s="30"/>
      <c r="IQ256" s="30"/>
      <c r="IR256" s="30"/>
      <c r="IS256" s="30"/>
      <c r="IT256" s="30"/>
      <c r="IU256" s="30"/>
      <c r="IV256" s="30"/>
      <c r="IW256" s="30"/>
      <c r="IX256" s="30"/>
      <c r="IY256" s="30"/>
      <c r="IZ256" s="30"/>
      <c r="JA256" s="30"/>
      <c r="JB256" s="30"/>
      <c r="JC256" s="30"/>
      <c r="JD256" s="30"/>
      <c r="JE256" s="30"/>
      <c r="JF256" s="30"/>
      <c r="JG256" s="30"/>
      <c r="JH256" s="30"/>
      <c r="JI256" s="30"/>
      <c r="JJ256" s="30"/>
      <c r="JK256" s="30"/>
      <c r="JL256" s="30"/>
      <c r="JM256" s="30"/>
      <c r="JN256" s="30"/>
      <c r="JO256" s="30"/>
      <c r="JP256" s="30"/>
      <c r="JQ256" s="30"/>
      <c r="JR256" s="30"/>
      <c r="JS256" s="30"/>
      <c r="JT256" s="30"/>
      <c r="JU256" s="30"/>
      <c r="JV256" s="30"/>
      <c r="JW256" s="30"/>
      <c r="JX256" s="30"/>
      <c r="JY256" s="30"/>
      <c r="JZ256" s="30"/>
      <c r="KA256" s="30"/>
      <c r="KB256" s="30"/>
      <c r="KC256" s="30"/>
      <c r="KD256" s="30"/>
      <c r="KE256" s="30"/>
      <c r="KF256" s="30"/>
      <c r="KG256" s="30"/>
      <c r="KH256" s="30"/>
      <c r="KI256" s="30"/>
      <c r="KJ256" s="30"/>
      <c r="KK256" s="30"/>
      <c r="KL256" s="30"/>
      <c r="KM256" s="30"/>
      <c r="KN256" s="30"/>
      <c r="KO256" s="30"/>
      <c r="KP256" s="1630"/>
    </row>
    <row r="257" spans="1:302" s="97" customFormat="1" ht="30" customHeight="1">
      <c r="A257" s="2654">
        <v>6</v>
      </c>
      <c r="B257" s="332"/>
      <c r="C257" s="164" t="s">
        <v>1088</v>
      </c>
      <c r="D257" s="164" t="s">
        <v>1089</v>
      </c>
      <c r="E257" s="333"/>
      <c r="F257" s="334"/>
      <c r="G257" s="335"/>
      <c r="H257" s="334"/>
      <c r="I257" s="336">
        <f>SUM(I258)</f>
        <v>8499199</v>
      </c>
      <c r="J257" s="336"/>
      <c r="K257" s="336"/>
      <c r="L257" s="336"/>
      <c r="M257" s="336"/>
      <c r="N257" s="336"/>
      <c r="O257" s="336">
        <f>SUM(O258:O275)</f>
        <v>8500000</v>
      </c>
      <c r="P257" s="336">
        <f t="shared" ref="P257:V257" si="288">SUM(P258:P275)</f>
        <v>0</v>
      </c>
      <c r="Q257" s="336">
        <f t="shared" si="288"/>
        <v>0</v>
      </c>
      <c r="R257" s="336">
        <f t="shared" si="288"/>
        <v>0</v>
      </c>
      <c r="S257" s="336">
        <f>SUM(S258:S275)</f>
        <v>0</v>
      </c>
      <c r="T257" s="336">
        <f t="shared" si="288"/>
        <v>0</v>
      </c>
      <c r="U257" s="336">
        <f t="shared" si="288"/>
        <v>0</v>
      </c>
      <c r="V257" s="336">
        <f t="shared" si="288"/>
        <v>0</v>
      </c>
      <c r="W257" s="336">
        <f>SUM(W258:W275)</f>
        <v>8500000</v>
      </c>
      <c r="X257" s="1743"/>
      <c r="Y257" s="1742">
        <f>SUM(Y258:Y368)</f>
        <v>0</v>
      </c>
      <c r="Z257" s="1742">
        <f>SUM(Z258:Z368)</f>
        <v>0</v>
      </c>
      <c r="AA257" s="1743">
        <f>SUM(AA258:AA368)</f>
        <v>0</v>
      </c>
      <c r="AB257" s="2746">
        <f>SUM(AB258:AB275)</f>
        <v>8499999.9970999993</v>
      </c>
      <c r="AC257" s="1440"/>
      <c r="AD257" s="1456"/>
      <c r="AE257" s="336"/>
      <c r="AF257" s="336"/>
      <c r="AG257" s="336"/>
      <c r="AH257" s="336">
        <f>SUM(AH258:AH275)</f>
        <v>100000</v>
      </c>
      <c r="AI257" s="336">
        <f t="shared" ref="AI257:AI276" si="289">SUMIF($AN$10:$BZ$10,$AI$9,AN257:BZ257)</f>
        <v>0</v>
      </c>
      <c r="AJ257" s="337">
        <f t="shared" si="275"/>
        <v>0</v>
      </c>
      <c r="AK257" s="2183"/>
      <c r="AL257" s="1331"/>
      <c r="AM257" s="2259">
        <f>SUM(AM258:AM275)</f>
        <v>0</v>
      </c>
      <c r="AN257" s="2259">
        <f>SUM(AN258:AN275)</f>
        <v>0</v>
      </c>
      <c r="AO257" s="336">
        <f t="shared" ref="AO257:BZ257" si="290">SUM(AO258:AO275)</f>
        <v>0</v>
      </c>
      <c r="AP257" s="336">
        <f t="shared" si="290"/>
        <v>0</v>
      </c>
      <c r="AQ257" s="336">
        <f t="shared" si="290"/>
        <v>0</v>
      </c>
      <c r="AR257" s="336">
        <f t="shared" si="290"/>
        <v>0</v>
      </c>
      <c r="AS257" s="336">
        <f t="shared" si="290"/>
        <v>0</v>
      </c>
      <c r="AT257" s="338">
        <f t="shared" si="290"/>
        <v>0</v>
      </c>
      <c r="AU257" s="336">
        <f t="shared" si="290"/>
        <v>0</v>
      </c>
      <c r="AV257" s="336">
        <f t="shared" si="290"/>
        <v>0</v>
      </c>
      <c r="AW257" s="336">
        <f t="shared" si="290"/>
        <v>0</v>
      </c>
      <c r="AX257" s="336">
        <f t="shared" si="290"/>
        <v>0</v>
      </c>
      <c r="AY257" s="338">
        <f t="shared" si="290"/>
        <v>0</v>
      </c>
      <c r="AZ257" s="2308">
        <f t="shared" si="290"/>
        <v>0</v>
      </c>
      <c r="BA257" s="336">
        <f t="shared" si="290"/>
        <v>0</v>
      </c>
      <c r="BB257" s="336">
        <f t="shared" si="290"/>
        <v>0</v>
      </c>
      <c r="BC257" s="336">
        <f t="shared" si="290"/>
        <v>0</v>
      </c>
      <c r="BD257" s="336">
        <f t="shared" si="290"/>
        <v>0</v>
      </c>
      <c r="BE257" s="336">
        <f t="shared" si="290"/>
        <v>0</v>
      </c>
      <c r="BF257" s="336">
        <f t="shared" si="290"/>
        <v>0</v>
      </c>
      <c r="BG257" s="336">
        <f t="shared" si="290"/>
        <v>0</v>
      </c>
      <c r="BH257" s="336">
        <f t="shared" si="290"/>
        <v>327499.99970000004</v>
      </c>
      <c r="BI257" s="336">
        <f t="shared" si="290"/>
        <v>410833.33300000004</v>
      </c>
      <c r="BJ257" s="336">
        <f t="shared" si="290"/>
        <v>523333.33300000004</v>
      </c>
      <c r="BK257" s="2121">
        <f t="shared" si="290"/>
        <v>466190.47610000003</v>
      </c>
      <c r="BL257" s="339">
        <f t="shared" si="290"/>
        <v>282261.90470000001</v>
      </c>
      <c r="BM257" s="339">
        <f t="shared" si="290"/>
        <v>353690.47610000003</v>
      </c>
      <c r="BN257" s="339">
        <f t="shared" si="290"/>
        <v>353690.47610000003</v>
      </c>
      <c r="BO257" s="339">
        <f t="shared" si="290"/>
        <v>270357.14280000003</v>
      </c>
      <c r="BP257" s="339">
        <f t="shared" si="290"/>
        <v>269785.71280000004</v>
      </c>
      <c r="BQ257" s="2086">
        <f t="shared" si="290"/>
        <v>242357.14280000003</v>
      </c>
      <c r="BR257" s="336">
        <f t="shared" si="290"/>
        <v>0</v>
      </c>
      <c r="BS257" s="336">
        <f t="shared" si="290"/>
        <v>0</v>
      </c>
      <c r="BT257" s="336">
        <f t="shared" si="290"/>
        <v>0</v>
      </c>
      <c r="BU257" s="336">
        <f t="shared" si="290"/>
        <v>0</v>
      </c>
      <c r="BV257" s="336">
        <f t="shared" si="290"/>
        <v>0</v>
      </c>
      <c r="BW257" s="338">
        <f t="shared" si="290"/>
        <v>5000000</v>
      </c>
      <c r="BX257" s="2391">
        <f t="shared" si="290"/>
        <v>0</v>
      </c>
      <c r="BY257" s="2391">
        <f t="shared" si="290"/>
        <v>0</v>
      </c>
      <c r="BZ257" s="2391">
        <f t="shared" si="290"/>
        <v>0</v>
      </c>
      <c r="CA257" s="2431">
        <f>SUMIF($AM$10:$BZ$10,$CA$9,AM257:BZ257)</f>
        <v>8499999.9970999993</v>
      </c>
      <c r="CB257" s="2376">
        <f t="shared" ref="CB257:CC278" si="291">IF($AB257&lt;&gt;0,CA257/$AB257,"")</f>
        <v>1</v>
      </c>
      <c r="CC257" s="365">
        <f t="shared" ref="CC257:CC258" si="292">IF($AB257&lt;&gt;0,CB257/$AB257,"")</f>
        <v>1.1764705886366783E-7</v>
      </c>
      <c r="CD257" s="341"/>
      <c r="CE257" s="342"/>
      <c r="CF257" s="343"/>
      <c r="CG257" s="340"/>
      <c r="CH257" s="344"/>
      <c r="CI257" s="345"/>
      <c r="CJ257" s="345"/>
      <c r="CK257" s="346"/>
      <c r="CL257" s="329">
        <f t="shared" si="261"/>
        <v>2.900000661611557E-3</v>
      </c>
      <c r="CM257" s="330">
        <f t="shared" si="262"/>
        <v>0</v>
      </c>
      <c r="CN257" s="331">
        <f t="shared" si="272"/>
        <v>-8499999.9970999993</v>
      </c>
      <c r="CO257" s="86"/>
      <c r="CP257" s="86"/>
      <c r="CQ257" s="1641"/>
      <c r="CR257" s="86"/>
      <c r="CS257" s="86"/>
      <c r="CT257" s="86"/>
      <c r="CU257" s="86"/>
      <c r="CV257" s="86"/>
      <c r="CW257" s="86"/>
      <c r="CX257" s="86"/>
      <c r="CY257" s="86"/>
      <c r="CZ257" s="86"/>
      <c r="DA257" s="86"/>
      <c r="DB257" s="1642"/>
      <c r="DC257" s="1642"/>
      <c r="DD257" s="30"/>
      <c r="DE257" s="30"/>
      <c r="DF257" s="30"/>
      <c r="DG257" s="1642"/>
      <c r="DH257" s="1642"/>
      <c r="DI257" s="1642"/>
      <c r="DJ257" s="1642"/>
      <c r="DK257" s="1642"/>
      <c r="DL257" s="1642"/>
      <c r="DM257" s="1642"/>
      <c r="DN257" s="1642"/>
      <c r="DO257" s="1642"/>
      <c r="DP257" s="1642"/>
      <c r="DQ257" s="1642"/>
      <c r="DR257" s="1642"/>
      <c r="DS257" s="1642"/>
      <c r="DT257" s="1642"/>
      <c r="DU257" s="1642"/>
      <c r="DV257" s="1642"/>
      <c r="DW257" s="1642"/>
      <c r="DX257" s="1642"/>
      <c r="DY257" s="1642"/>
      <c r="DZ257" s="1642"/>
      <c r="EA257" s="1642"/>
      <c r="EB257" s="1642"/>
      <c r="EC257" s="1642"/>
      <c r="ED257" s="1642"/>
      <c r="EE257" s="1642"/>
      <c r="EF257" s="1642"/>
      <c r="EG257" s="1642"/>
      <c r="EH257" s="1643"/>
      <c r="EI257" s="1658"/>
      <c r="EJ257" s="1642"/>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0"/>
      <c r="HP257" s="30"/>
      <c r="HQ257" s="30"/>
      <c r="HR257" s="30"/>
      <c r="HS257" s="30"/>
      <c r="HT257" s="30"/>
      <c r="HU257" s="30"/>
      <c r="HV257" s="30"/>
      <c r="HW257" s="30"/>
      <c r="HX257" s="30"/>
      <c r="HY257" s="30"/>
      <c r="HZ257" s="30"/>
      <c r="IA257" s="30"/>
      <c r="IB257" s="30"/>
      <c r="IC257" s="30"/>
      <c r="ID257" s="30"/>
      <c r="IE257" s="30"/>
      <c r="IF257" s="30"/>
      <c r="IG257" s="30"/>
      <c r="IH257" s="30"/>
      <c r="II257" s="30"/>
      <c r="IJ257" s="30"/>
      <c r="IK257" s="30"/>
      <c r="IL257" s="30"/>
      <c r="IM257" s="30"/>
      <c r="IN257" s="30"/>
      <c r="IO257" s="30"/>
      <c r="IP257" s="30"/>
      <c r="IQ257" s="30"/>
      <c r="IR257" s="30"/>
      <c r="IS257" s="30"/>
      <c r="IT257" s="30"/>
      <c r="IU257" s="30"/>
      <c r="IV257" s="30"/>
      <c r="IW257" s="30"/>
      <c r="IX257" s="30"/>
      <c r="IY257" s="30"/>
      <c r="IZ257" s="30"/>
      <c r="JA257" s="30"/>
      <c r="JB257" s="30"/>
      <c r="JC257" s="30"/>
      <c r="JD257" s="30"/>
      <c r="JE257" s="30"/>
      <c r="JF257" s="30"/>
      <c r="JG257" s="30"/>
      <c r="JH257" s="30"/>
      <c r="JI257" s="30"/>
      <c r="JJ257" s="30"/>
      <c r="JK257" s="30"/>
      <c r="JL257" s="30"/>
      <c r="JM257" s="30"/>
      <c r="JN257" s="30"/>
      <c r="JO257" s="30"/>
      <c r="JP257" s="30"/>
      <c r="JQ257" s="30"/>
      <c r="JR257" s="30"/>
      <c r="JS257" s="30"/>
      <c r="JT257" s="30"/>
      <c r="JU257" s="30"/>
      <c r="JV257" s="30"/>
      <c r="JW257" s="30"/>
      <c r="JX257" s="30"/>
      <c r="JY257" s="30"/>
      <c r="JZ257" s="30"/>
      <c r="KA257" s="30"/>
      <c r="KB257" s="30"/>
      <c r="KC257" s="30"/>
      <c r="KD257" s="30"/>
      <c r="KE257" s="30"/>
      <c r="KF257" s="30"/>
      <c r="KG257" s="30"/>
      <c r="KH257" s="30"/>
      <c r="KI257" s="30"/>
      <c r="KJ257" s="30"/>
      <c r="KK257" s="30"/>
      <c r="KL257" s="30"/>
      <c r="KM257" s="30"/>
      <c r="KN257" s="30"/>
      <c r="KO257" s="30"/>
      <c r="KP257" s="1630"/>
    </row>
    <row r="258" spans="1:302" s="97" customFormat="1" ht="30" customHeight="1" outlineLevel="1">
      <c r="A258" s="2587" t="s">
        <v>147</v>
      </c>
      <c r="B258" s="2605"/>
      <c r="C258" s="2587" t="s">
        <v>1101</v>
      </c>
      <c r="D258" s="2587" t="s">
        <v>1118</v>
      </c>
      <c r="E258" s="376"/>
      <c r="F258" s="347"/>
      <c r="G258" s="348"/>
      <c r="H258" s="349" t="s">
        <v>26</v>
      </c>
      <c r="I258" s="2937">
        <v>8499199</v>
      </c>
      <c r="J258" s="362" t="s">
        <v>26</v>
      </c>
      <c r="K258" s="1745"/>
      <c r="L258" s="383"/>
      <c r="M258" s="383"/>
      <c r="N258" s="383"/>
      <c r="O258" s="1510"/>
      <c r="P258" s="383"/>
      <c r="Q258" s="383"/>
      <c r="R258" s="383"/>
      <c r="S258" s="1510">
        <f t="shared" si="274"/>
        <v>0</v>
      </c>
      <c r="T258" s="1509"/>
      <c r="U258" s="1746"/>
      <c r="V258" s="1746"/>
      <c r="W258" s="1510">
        <f t="shared" si="276"/>
        <v>0</v>
      </c>
      <c r="X258" s="362" t="s">
        <v>26</v>
      </c>
      <c r="Y258" s="1509"/>
      <c r="Z258" s="1746"/>
      <c r="AA258" s="1746"/>
      <c r="AB258" s="1744">
        <f>SUM(AM258:BZ258)</f>
        <v>0</v>
      </c>
      <c r="AC258" s="1442"/>
      <c r="AD258" s="1457"/>
      <c r="AE258" s="352"/>
      <c r="AF258" s="353"/>
      <c r="AG258" s="353"/>
      <c r="AH258" s="354">
        <f t="shared" si="273"/>
        <v>0</v>
      </c>
      <c r="AI258" s="355">
        <f t="shared" ref="AI258:AI275" ca="1" si="293">SUMIF($AM$10:$BZ$10,$AI$9,AM258:BT258)</f>
        <v>0</v>
      </c>
      <c r="AJ258" s="356" t="str">
        <f t="shared" si="275"/>
        <v/>
      </c>
      <c r="AK258" s="2185"/>
      <c r="AL258" s="2063"/>
      <c r="AM258" s="2262"/>
      <c r="AN258" s="2262"/>
      <c r="AO258" s="1509"/>
      <c r="AP258" s="384"/>
      <c r="AQ258" s="1509"/>
      <c r="AR258" s="362"/>
      <c r="AS258" s="362"/>
      <c r="AT258" s="385"/>
      <c r="AU258" s="359"/>
      <c r="AV258" s="359"/>
      <c r="AW258" s="377"/>
      <c r="AX258" s="359"/>
      <c r="AY258" s="360"/>
      <c r="AZ258" s="2273"/>
      <c r="BA258" s="497"/>
      <c r="BB258" s="1505"/>
      <c r="BC258" s="359"/>
      <c r="BD258" s="1505"/>
      <c r="BE258" s="359"/>
      <c r="BF258" s="359"/>
      <c r="BG258" s="359"/>
      <c r="BH258" s="359"/>
      <c r="BI258" s="380"/>
      <c r="BJ258" s="359"/>
      <c r="BK258" s="2122"/>
      <c r="BL258" s="380"/>
      <c r="BM258" s="380"/>
      <c r="BN258" s="380"/>
      <c r="BO258" s="380"/>
      <c r="BP258" s="380"/>
      <c r="BQ258" s="2087"/>
      <c r="BR258" s="359"/>
      <c r="BS258" s="359"/>
      <c r="BT258" s="362"/>
      <c r="BU258" s="364"/>
      <c r="BV258" s="364"/>
      <c r="BW258" s="2366"/>
      <c r="BX258" s="2463"/>
      <c r="BY258" s="2543"/>
      <c r="BZ258" s="2543"/>
      <c r="CA258" s="2432">
        <f>SUMIF($AM$10:$BZ$10,$CA$9,AM258:BZ258)</f>
        <v>0</v>
      </c>
      <c r="CB258" s="2377" t="str">
        <f t="shared" si="291"/>
        <v/>
      </c>
      <c r="CC258" s="365" t="str">
        <f t="shared" si="292"/>
        <v/>
      </c>
      <c r="CD258" s="366"/>
      <c r="CE258" s="343"/>
      <c r="CF258" s="343"/>
      <c r="CG258" s="340"/>
      <c r="CH258" s="367"/>
      <c r="CI258" s="368"/>
      <c r="CJ258" s="368"/>
      <c r="CK258" s="369"/>
      <c r="CL258" s="329">
        <f t="shared" si="261"/>
        <v>0</v>
      </c>
      <c r="CM258" s="330">
        <f t="shared" ca="1" si="262"/>
        <v>0</v>
      </c>
      <c r="CN258" s="331">
        <f t="shared" ca="1" si="272"/>
        <v>0</v>
      </c>
      <c r="CO258" s="86"/>
      <c r="CP258" s="86"/>
      <c r="CQ258" s="1641"/>
      <c r="CR258" s="86"/>
      <c r="CS258" s="86"/>
      <c r="CT258" s="86"/>
      <c r="CU258" s="86"/>
      <c r="CV258" s="86"/>
      <c r="CW258" s="86"/>
      <c r="CX258" s="86"/>
      <c r="CY258" s="86"/>
      <c r="CZ258" s="86"/>
      <c r="DA258" s="86"/>
      <c r="DB258" s="1642"/>
      <c r="DC258" s="1642"/>
      <c r="DD258" s="30"/>
      <c r="DE258" s="30"/>
      <c r="DF258" s="30"/>
      <c r="DG258" s="1642"/>
      <c r="DH258" s="1642"/>
      <c r="DI258" s="1642"/>
      <c r="DJ258" s="1642"/>
      <c r="DK258" s="1642"/>
      <c r="DL258" s="1642"/>
      <c r="DM258" s="1642"/>
      <c r="DN258" s="1642"/>
      <c r="DO258" s="1642"/>
      <c r="DP258" s="1642"/>
      <c r="DQ258" s="1642"/>
      <c r="DR258" s="1642"/>
      <c r="DS258" s="1642"/>
      <c r="DT258" s="1642"/>
      <c r="DU258" s="1642"/>
      <c r="DV258" s="1642"/>
      <c r="DW258" s="1642"/>
      <c r="DX258" s="1642"/>
      <c r="DY258" s="1642"/>
      <c r="DZ258" s="1642"/>
      <c r="EA258" s="1642"/>
      <c r="EB258" s="1642"/>
      <c r="EC258" s="1642"/>
      <c r="ED258" s="1642"/>
      <c r="EE258" s="1642"/>
      <c r="EF258" s="1642"/>
      <c r="EG258" s="1642"/>
      <c r="EH258" s="1643"/>
      <c r="EI258" s="1658"/>
      <c r="EJ258" s="1642"/>
      <c r="EK258" s="30"/>
      <c r="EL258" s="30"/>
      <c r="EM258" s="30"/>
      <c r="EN258" s="30"/>
      <c r="EO258" s="30"/>
      <c r="EP258" s="30"/>
      <c r="EQ258" s="30"/>
      <c r="ER258" s="30"/>
      <c r="ES258" s="30"/>
      <c r="ET258" s="30"/>
      <c r="EU258" s="30"/>
      <c r="EV258" s="30"/>
      <c r="EW258" s="30"/>
      <c r="EX258" s="30"/>
      <c r="EY258" s="30"/>
      <c r="EZ258" s="30"/>
      <c r="FA258" s="30"/>
      <c r="FB258" s="30"/>
      <c r="FC258" s="30"/>
      <c r="FD258" s="30"/>
      <c r="FE258" s="30"/>
      <c r="FF258" s="30"/>
      <c r="FG258" s="30"/>
      <c r="FH258" s="30"/>
      <c r="FI258" s="30"/>
      <c r="FJ258" s="30"/>
      <c r="FK258" s="30"/>
      <c r="FL258" s="30"/>
      <c r="FM258" s="30"/>
      <c r="FN258" s="30"/>
      <c r="FO258" s="30"/>
      <c r="FP258" s="30"/>
      <c r="FQ258" s="30"/>
      <c r="FR258" s="30"/>
      <c r="FS258" s="30"/>
      <c r="FT258" s="30"/>
      <c r="FU258" s="30"/>
      <c r="FV258" s="30"/>
      <c r="FW258" s="30"/>
      <c r="FX258" s="30"/>
      <c r="FY258" s="30"/>
      <c r="FZ258" s="30"/>
      <c r="GA258" s="30"/>
      <c r="GB258" s="30"/>
      <c r="GC258" s="30"/>
      <c r="GD258" s="30"/>
      <c r="GE258" s="30"/>
      <c r="GF258" s="30"/>
      <c r="GG258" s="30"/>
      <c r="GH258" s="30"/>
      <c r="GI258" s="30"/>
      <c r="GJ258" s="30"/>
      <c r="GK258" s="30"/>
      <c r="GL258" s="30"/>
      <c r="GM258" s="30"/>
      <c r="GN258" s="30"/>
      <c r="GO258" s="30"/>
      <c r="GP258" s="30"/>
      <c r="GQ258" s="30"/>
      <c r="GR258" s="30"/>
      <c r="GS258" s="30"/>
      <c r="GT258" s="30"/>
      <c r="GU258" s="30"/>
      <c r="GV258" s="30"/>
      <c r="GW258" s="30"/>
      <c r="GX258" s="30"/>
      <c r="GY258" s="30"/>
      <c r="GZ258" s="30"/>
      <c r="HA258" s="30"/>
      <c r="HB258" s="30"/>
      <c r="HC258" s="30"/>
      <c r="HD258" s="30"/>
      <c r="HE258" s="30"/>
      <c r="HF258" s="30"/>
      <c r="HG258" s="30"/>
      <c r="HH258" s="30"/>
      <c r="HI258" s="30"/>
      <c r="HJ258" s="30"/>
      <c r="HK258" s="30"/>
      <c r="HL258" s="30"/>
      <c r="HM258" s="30"/>
      <c r="HN258" s="30"/>
      <c r="HO258" s="30"/>
      <c r="HP258" s="30"/>
      <c r="HQ258" s="30"/>
      <c r="HR258" s="30"/>
      <c r="HS258" s="30"/>
      <c r="HT258" s="30"/>
      <c r="HU258" s="30"/>
      <c r="HV258" s="30"/>
      <c r="HW258" s="30"/>
      <c r="HX258" s="30"/>
      <c r="HY258" s="30"/>
      <c r="HZ258" s="30"/>
      <c r="IA258" s="30"/>
      <c r="IB258" s="30"/>
      <c r="IC258" s="30"/>
      <c r="ID258" s="30"/>
      <c r="IE258" s="30"/>
      <c r="IF258" s="30"/>
      <c r="IG258" s="30"/>
      <c r="IH258" s="30"/>
      <c r="II258" s="30"/>
      <c r="IJ258" s="30"/>
      <c r="IK258" s="30"/>
      <c r="IL258" s="30"/>
      <c r="IM258" s="30"/>
      <c r="IN258" s="30"/>
      <c r="IO258" s="30"/>
      <c r="IP258" s="30"/>
      <c r="IQ258" s="30"/>
      <c r="IR258" s="30"/>
      <c r="IS258" s="30"/>
      <c r="IT258" s="30"/>
      <c r="IU258" s="30"/>
      <c r="IV258" s="30"/>
      <c r="IW258" s="30"/>
      <c r="IX258" s="30"/>
      <c r="IY258" s="30"/>
      <c r="IZ258" s="30"/>
      <c r="JA258" s="30"/>
      <c r="JB258" s="30"/>
      <c r="JC258" s="30"/>
      <c r="JD258" s="30"/>
      <c r="JE258" s="30"/>
      <c r="JF258" s="30"/>
      <c r="JG258" s="30"/>
      <c r="JH258" s="30"/>
      <c r="JI258" s="30"/>
      <c r="JJ258" s="30"/>
      <c r="JK258" s="30"/>
      <c r="JL258" s="30"/>
      <c r="JM258" s="30"/>
      <c r="JN258" s="30"/>
      <c r="JO258" s="30"/>
      <c r="JP258" s="30"/>
      <c r="JQ258" s="30"/>
      <c r="JR258" s="30"/>
      <c r="JS258" s="30"/>
      <c r="JT258" s="30"/>
      <c r="JU258" s="30"/>
      <c r="JV258" s="30"/>
      <c r="JW258" s="30"/>
      <c r="JX258" s="30"/>
      <c r="JY258" s="30"/>
      <c r="JZ258" s="30"/>
      <c r="KA258" s="30"/>
      <c r="KB258" s="30"/>
      <c r="KC258" s="30"/>
      <c r="KD258" s="30"/>
      <c r="KE258" s="30"/>
      <c r="KF258" s="30"/>
      <c r="KG258" s="30"/>
      <c r="KH258" s="30"/>
      <c r="KI258" s="30"/>
      <c r="KJ258" s="30"/>
      <c r="KK258" s="30"/>
      <c r="KL258" s="30"/>
      <c r="KM258" s="30"/>
      <c r="KN258" s="30"/>
      <c r="KO258" s="30"/>
      <c r="KP258" s="1630"/>
    </row>
    <row r="259" spans="1:302" s="97" customFormat="1" ht="30" customHeight="1" outlineLevel="1">
      <c r="A259" s="2582" t="s">
        <v>1090</v>
      </c>
      <c r="B259" s="2608"/>
      <c r="C259" s="2582" t="s">
        <v>1102</v>
      </c>
      <c r="D259" s="2582" t="s">
        <v>1119</v>
      </c>
      <c r="E259" s="376"/>
      <c r="F259" s="347"/>
      <c r="G259" s="348"/>
      <c r="H259" s="349" t="s">
        <v>26</v>
      </c>
      <c r="I259" s="2936"/>
      <c r="J259" s="362" t="s">
        <v>26</v>
      </c>
      <c r="K259" s="1745"/>
      <c r="L259" s="383"/>
      <c r="M259" s="383"/>
      <c r="N259" s="383"/>
      <c r="O259" s="1510">
        <v>5000000</v>
      </c>
      <c r="P259" s="383"/>
      <c r="Q259" s="383"/>
      <c r="R259" s="383"/>
      <c r="S259" s="1510">
        <f t="shared" si="274"/>
        <v>0</v>
      </c>
      <c r="T259" s="1509"/>
      <c r="U259" s="1746"/>
      <c r="V259" s="1746"/>
      <c r="W259" s="1510">
        <f t="shared" si="276"/>
        <v>5000000</v>
      </c>
      <c r="X259" s="362" t="s">
        <v>26</v>
      </c>
      <c r="Y259" s="1509"/>
      <c r="Z259" s="1746"/>
      <c r="AA259" s="1746"/>
      <c r="AB259" s="1744">
        <f t="shared" ref="AB259:AB275" si="294">SUM(AM259:BZ259)</f>
        <v>5000000</v>
      </c>
      <c r="AC259" s="2704"/>
      <c r="AD259" s="1457"/>
      <c r="AE259" s="352"/>
      <c r="AF259" s="353"/>
      <c r="AG259" s="353"/>
      <c r="AH259" s="354">
        <f t="shared" si="273"/>
        <v>0</v>
      </c>
      <c r="AI259" s="355">
        <f t="shared" ca="1" si="293"/>
        <v>0</v>
      </c>
      <c r="AJ259" s="356">
        <f t="shared" ca="1" si="275"/>
        <v>0</v>
      </c>
      <c r="AK259" s="2185"/>
      <c r="AL259" s="2063"/>
      <c r="AM259" s="2262"/>
      <c r="AN259" s="2262"/>
      <c r="AO259" s="1509"/>
      <c r="AP259" s="384"/>
      <c r="AQ259" s="1509"/>
      <c r="AR259" s="362"/>
      <c r="AS259" s="362"/>
      <c r="AT259" s="385"/>
      <c r="AU259" s="359"/>
      <c r="AV259" s="359"/>
      <c r="AW259" s="377"/>
      <c r="AX259" s="359"/>
      <c r="AY259" s="360"/>
      <c r="AZ259" s="2258"/>
      <c r="BA259" s="359"/>
      <c r="BB259" s="359"/>
      <c r="BC259" s="359"/>
      <c r="BD259" s="1505"/>
      <c r="BE259" s="359"/>
      <c r="BF259" s="359"/>
      <c r="BG259" s="359"/>
      <c r="BH259" s="359"/>
      <c r="BI259" s="380"/>
      <c r="BJ259" s="359"/>
      <c r="BK259" s="2122"/>
      <c r="BL259" s="380"/>
      <c r="BM259" s="380"/>
      <c r="BN259" s="380"/>
      <c r="BO259" s="380"/>
      <c r="BP259" s="380"/>
      <c r="BQ259" s="2087"/>
      <c r="BR259" s="359"/>
      <c r="BS259" s="359"/>
      <c r="BT259" s="362"/>
      <c r="BU259" s="364"/>
      <c r="BV259" s="364"/>
      <c r="BW259" s="2463">
        <v>5000000</v>
      </c>
      <c r="BX259" s="2463"/>
      <c r="BY259" s="2543"/>
      <c r="BZ259" s="2543"/>
      <c r="CA259" s="2432">
        <f t="shared" ref="CA259:CA273" si="295">SUMIF($AM$10:$BZ$10,$CA$9,AM259:BZ259)</f>
        <v>5000000</v>
      </c>
      <c r="CB259" s="2377">
        <f t="shared" ref="CB259:CB273" si="296">IF($AB259&lt;&gt;0,CA259/$AB259,"")</f>
        <v>1</v>
      </c>
      <c r="CC259" s="365">
        <f t="shared" ref="CC259:CC273" si="297">IF($AB259&lt;&gt;0,CB259/$AB259,"")</f>
        <v>1.9999999999999999E-7</v>
      </c>
      <c r="CD259" s="366"/>
      <c r="CE259" s="343"/>
      <c r="CF259" s="343"/>
      <c r="CG259" s="340"/>
      <c r="CH259" s="367"/>
      <c r="CI259" s="368"/>
      <c r="CJ259" s="368"/>
      <c r="CK259" s="369"/>
      <c r="CL259" s="329">
        <f t="shared" si="261"/>
        <v>0</v>
      </c>
      <c r="CM259" s="330">
        <f t="shared" ca="1" si="262"/>
        <v>0</v>
      </c>
      <c r="CN259" s="331">
        <f t="shared" ca="1" si="272"/>
        <v>-5000000</v>
      </c>
      <c r="CO259" s="86"/>
      <c r="CP259" s="86"/>
      <c r="CQ259" s="1641"/>
      <c r="CR259" s="86"/>
      <c r="CS259" s="86"/>
      <c r="CT259" s="86"/>
      <c r="CU259" s="86"/>
      <c r="CV259" s="86"/>
      <c r="CW259" s="86"/>
      <c r="CX259" s="86"/>
      <c r="CY259" s="86"/>
      <c r="CZ259" s="86"/>
      <c r="DA259" s="86"/>
      <c r="DB259" s="1642"/>
      <c r="DC259" s="1642"/>
      <c r="DD259" s="30"/>
      <c r="DE259" s="30"/>
      <c r="DF259" s="30"/>
      <c r="DG259" s="1642"/>
      <c r="DH259" s="1642"/>
      <c r="DI259" s="1642"/>
      <c r="DJ259" s="1642"/>
      <c r="DK259" s="1642"/>
      <c r="DL259" s="1642"/>
      <c r="DM259" s="1642"/>
      <c r="DN259" s="1642"/>
      <c r="DO259" s="1642"/>
      <c r="DP259" s="1642"/>
      <c r="DQ259" s="1642"/>
      <c r="DR259" s="1642"/>
      <c r="DS259" s="1642"/>
      <c r="DT259" s="1642"/>
      <c r="DU259" s="1642"/>
      <c r="DV259" s="1642"/>
      <c r="DW259" s="1642"/>
      <c r="DX259" s="1642"/>
      <c r="DY259" s="1642"/>
      <c r="DZ259" s="1642"/>
      <c r="EA259" s="1642"/>
      <c r="EB259" s="1642"/>
      <c r="EC259" s="1642"/>
      <c r="ED259" s="1642"/>
      <c r="EE259" s="1642"/>
      <c r="EF259" s="1642"/>
      <c r="EG259" s="1642"/>
      <c r="EH259" s="1643"/>
      <c r="EI259" s="1658"/>
      <c r="EJ259" s="1642"/>
      <c r="EK259" s="30"/>
      <c r="EL259" s="30"/>
      <c r="EM259" s="30"/>
      <c r="EN259" s="30"/>
      <c r="EO259" s="30"/>
      <c r="EP259" s="30"/>
      <c r="EQ259" s="30"/>
      <c r="ER259" s="30"/>
      <c r="ES259" s="30"/>
      <c r="ET259" s="30"/>
      <c r="EU259" s="30"/>
      <c r="EV259" s="30"/>
      <c r="EW259" s="30"/>
      <c r="EX259" s="30"/>
      <c r="EY259" s="30"/>
      <c r="EZ259" s="30"/>
      <c r="FA259" s="30"/>
      <c r="FB259" s="30"/>
      <c r="FC259" s="30"/>
      <c r="FD259" s="30"/>
      <c r="FE259" s="30"/>
      <c r="FF259" s="30"/>
      <c r="FG259" s="30"/>
      <c r="FH259" s="30"/>
      <c r="FI259" s="30"/>
      <c r="FJ259" s="30"/>
      <c r="FK259" s="30"/>
      <c r="FL259" s="30"/>
      <c r="FM259" s="30"/>
      <c r="FN259" s="30"/>
      <c r="FO259" s="30"/>
      <c r="FP259" s="30"/>
      <c r="FQ259" s="30"/>
      <c r="FR259" s="30"/>
      <c r="FS259" s="30"/>
      <c r="FT259" s="30"/>
      <c r="FU259" s="30"/>
      <c r="FV259" s="30"/>
      <c r="FW259" s="30"/>
      <c r="FX259" s="30"/>
      <c r="FY259" s="30"/>
      <c r="FZ259" s="30"/>
      <c r="GA259" s="30"/>
      <c r="GB259" s="30"/>
      <c r="GC259" s="30"/>
      <c r="GD259" s="30"/>
      <c r="GE259" s="30"/>
      <c r="GF259" s="30"/>
      <c r="GG259" s="30"/>
      <c r="GH259" s="30"/>
      <c r="GI259" s="30"/>
      <c r="GJ259" s="30"/>
      <c r="GK259" s="30"/>
      <c r="GL259" s="30"/>
      <c r="GM259" s="30"/>
      <c r="GN259" s="30"/>
      <c r="GO259" s="30"/>
      <c r="GP259" s="30"/>
      <c r="GQ259" s="30"/>
      <c r="GR259" s="30"/>
      <c r="GS259" s="30"/>
      <c r="GT259" s="30"/>
      <c r="GU259" s="30"/>
      <c r="GV259" s="30"/>
      <c r="GW259" s="30"/>
      <c r="GX259" s="30"/>
      <c r="GY259" s="30"/>
      <c r="GZ259" s="30"/>
      <c r="HA259" s="30"/>
      <c r="HB259" s="30"/>
      <c r="HC259" s="30"/>
      <c r="HD259" s="30"/>
      <c r="HE259" s="30"/>
      <c r="HF259" s="30"/>
      <c r="HG259" s="30"/>
      <c r="HH259" s="30"/>
      <c r="HI259" s="30"/>
      <c r="HJ259" s="30"/>
      <c r="HK259" s="30"/>
      <c r="HL259" s="30"/>
      <c r="HM259" s="30"/>
      <c r="HN259" s="30"/>
      <c r="HO259" s="30"/>
      <c r="HP259" s="30"/>
      <c r="HQ259" s="30"/>
      <c r="HR259" s="30"/>
      <c r="HS259" s="30"/>
      <c r="HT259" s="30"/>
      <c r="HU259" s="30"/>
      <c r="HV259" s="30"/>
      <c r="HW259" s="30"/>
      <c r="HX259" s="30"/>
      <c r="HY259" s="30"/>
      <c r="HZ259" s="30"/>
      <c r="IA259" s="30"/>
      <c r="IB259" s="30"/>
      <c r="IC259" s="30"/>
      <c r="ID259" s="30"/>
      <c r="IE259" s="30"/>
      <c r="IF259" s="30"/>
      <c r="IG259" s="30"/>
      <c r="IH259" s="30"/>
      <c r="II259" s="30"/>
      <c r="IJ259" s="30"/>
      <c r="IK259" s="30"/>
      <c r="IL259" s="30"/>
      <c r="IM259" s="30"/>
      <c r="IN259" s="30"/>
      <c r="IO259" s="30"/>
      <c r="IP259" s="30"/>
      <c r="IQ259" s="30"/>
      <c r="IR259" s="30"/>
      <c r="IS259" s="30"/>
      <c r="IT259" s="30"/>
      <c r="IU259" s="30"/>
      <c r="IV259" s="30"/>
      <c r="IW259" s="30"/>
      <c r="IX259" s="30"/>
      <c r="IY259" s="30"/>
      <c r="IZ259" s="30"/>
      <c r="JA259" s="30"/>
      <c r="JB259" s="30"/>
      <c r="JC259" s="30"/>
      <c r="JD259" s="30"/>
      <c r="JE259" s="30"/>
      <c r="JF259" s="30"/>
      <c r="JG259" s="30"/>
      <c r="JH259" s="30"/>
      <c r="JI259" s="30"/>
      <c r="JJ259" s="30"/>
      <c r="JK259" s="30"/>
      <c r="JL259" s="30"/>
      <c r="JM259" s="30"/>
      <c r="JN259" s="30"/>
      <c r="JO259" s="30"/>
      <c r="JP259" s="30"/>
      <c r="JQ259" s="30"/>
      <c r="JR259" s="30"/>
      <c r="JS259" s="30"/>
      <c r="JT259" s="30"/>
      <c r="JU259" s="30"/>
      <c r="JV259" s="30"/>
      <c r="JW259" s="30"/>
      <c r="JX259" s="30"/>
      <c r="JY259" s="30"/>
      <c r="JZ259" s="30"/>
      <c r="KA259" s="30"/>
      <c r="KB259" s="30"/>
      <c r="KC259" s="30"/>
      <c r="KD259" s="30"/>
      <c r="KE259" s="30"/>
      <c r="KF259" s="30"/>
      <c r="KG259" s="30"/>
      <c r="KH259" s="30"/>
      <c r="KI259" s="30"/>
      <c r="KJ259" s="30"/>
      <c r="KK259" s="30"/>
      <c r="KL259" s="30"/>
      <c r="KM259" s="30"/>
      <c r="KN259" s="30"/>
      <c r="KO259" s="30"/>
      <c r="KP259" s="1630"/>
    </row>
    <row r="260" spans="1:302" s="97" customFormat="1" ht="30" customHeight="1" outlineLevel="1">
      <c r="A260" s="2582" t="s">
        <v>1091</v>
      </c>
      <c r="B260" s="2608"/>
      <c r="C260" s="2582" t="s">
        <v>1103</v>
      </c>
      <c r="D260" s="2582" t="s">
        <v>1120</v>
      </c>
      <c r="E260" s="376"/>
      <c r="F260" s="347"/>
      <c r="G260" s="348"/>
      <c r="H260" s="349" t="s">
        <v>26</v>
      </c>
      <c r="I260" s="2936"/>
      <c r="J260" s="362" t="s">
        <v>26</v>
      </c>
      <c r="K260" s="1745"/>
      <c r="L260" s="383"/>
      <c r="M260" s="383"/>
      <c r="N260" s="383"/>
      <c r="O260" s="1510">
        <v>200000</v>
      </c>
      <c r="P260" s="383"/>
      <c r="Q260" s="383"/>
      <c r="R260" s="383"/>
      <c r="S260" s="1510">
        <f t="shared" si="274"/>
        <v>0</v>
      </c>
      <c r="T260" s="1509"/>
      <c r="U260" s="1746"/>
      <c r="V260" s="1746"/>
      <c r="W260" s="1510">
        <f t="shared" si="276"/>
        <v>200000</v>
      </c>
      <c r="X260" s="362" t="s">
        <v>26</v>
      </c>
      <c r="Y260" s="1509"/>
      <c r="Z260" s="1746"/>
      <c r="AA260" s="1746"/>
      <c r="AB260" s="1744">
        <f t="shared" si="294"/>
        <v>200000.0001</v>
      </c>
      <c r="AC260" s="2704"/>
      <c r="AD260" s="1457"/>
      <c r="AE260" s="352"/>
      <c r="AF260" s="353"/>
      <c r="AG260" s="353"/>
      <c r="AH260" s="354">
        <f t="shared" si="273"/>
        <v>0</v>
      </c>
      <c r="AI260" s="355">
        <f t="shared" ca="1" si="293"/>
        <v>0</v>
      </c>
      <c r="AJ260" s="356">
        <f t="shared" ca="1" si="275"/>
        <v>0</v>
      </c>
      <c r="AK260" s="2185"/>
      <c r="AL260" s="2063"/>
      <c r="AM260" s="2262"/>
      <c r="AN260" s="2262"/>
      <c r="AO260" s="1509"/>
      <c r="AP260" s="384"/>
      <c r="AQ260" s="1509"/>
      <c r="AR260" s="362"/>
      <c r="AS260" s="362"/>
      <c r="AT260" s="385"/>
      <c r="AU260" s="359"/>
      <c r="AV260" s="359"/>
      <c r="AW260" s="377"/>
      <c r="AX260" s="359"/>
      <c r="AY260" s="360"/>
      <c r="AZ260" s="2273"/>
      <c r="BA260" s="497"/>
      <c r="BB260" s="359"/>
      <c r="BC260" s="359"/>
      <c r="BD260" s="359"/>
      <c r="BE260" s="359"/>
      <c r="BF260" s="359"/>
      <c r="BG260" s="359"/>
      <c r="BH260" s="359">
        <v>66666.666700000002</v>
      </c>
      <c r="BI260" s="380">
        <v>66666.666700000002</v>
      </c>
      <c r="BJ260" s="359">
        <v>66666.666700000002</v>
      </c>
      <c r="BK260" s="2122"/>
      <c r="BL260" s="380"/>
      <c r="BM260" s="380"/>
      <c r="BN260" s="380"/>
      <c r="BO260" s="380"/>
      <c r="BP260" s="380"/>
      <c r="BQ260" s="2087"/>
      <c r="BR260" s="359"/>
      <c r="BS260" s="359"/>
      <c r="BT260" s="362"/>
      <c r="BU260" s="364"/>
      <c r="BV260" s="364"/>
      <c r="BW260" s="2366"/>
      <c r="BX260" s="2463"/>
      <c r="BY260" s="2543"/>
      <c r="BZ260" s="2543"/>
      <c r="CA260" s="2432">
        <f t="shared" si="295"/>
        <v>200000.0001</v>
      </c>
      <c r="CB260" s="2377">
        <f t="shared" si="296"/>
        <v>1</v>
      </c>
      <c r="CC260" s="365">
        <f t="shared" si="297"/>
        <v>4.9999999974999996E-6</v>
      </c>
      <c r="CD260" s="366"/>
      <c r="CE260" s="343"/>
      <c r="CF260" s="343"/>
      <c r="CG260" s="340"/>
      <c r="CH260" s="367"/>
      <c r="CI260" s="368"/>
      <c r="CJ260" s="368"/>
      <c r="CK260" s="369"/>
      <c r="CL260" s="329">
        <f t="shared" si="261"/>
        <v>-1.0000000474974513E-4</v>
      </c>
      <c r="CM260" s="330">
        <f t="shared" ca="1" si="262"/>
        <v>0</v>
      </c>
      <c r="CN260" s="331">
        <f t="shared" ca="1" si="272"/>
        <v>-200000.0001</v>
      </c>
      <c r="CO260" s="86"/>
      <c r="CP260" s="86"/>
      <c r="CQ260" s="1641"/>
      <c r="CR260" s="86"/>
      <c r="CS260" s="86"/>
      <c r="CT260" s="86"/>
      <c r="CU260" s="86"/>
      <c r="CV260" s="86"/>
      <c r="CW260" s="86"/>
      <c r="CX260" s="86"/>
      <c r="CY260" s="86"/>
      <c r="CZ260" s="86"/>
      <c r="DA260" s="86"/>
      <c r="DB260" s="1642"/>
      <c r="DC260" s="1642"/>
      <c r="DD260" s="30"/>
      <c r="DE260" s="30"/>
      <c r="DF260" s="30"/>
      <c r="DG260" s="1642"/>
      <c r="DH260" s="1642"/>
      <c r="DI260" s="1642"/>
      <c r="DJ260" s="1642"/>
      <c r="DK260" s="1642"/>
      <c r="DL260" s="1642"/>
      <c r="DM260" s="1642"/>
      <c r="DN260" s="1642"/>
      <c r="DO260" s="1642"/>
      <c r="DP260" s="1642"/>
      <c r="DQ260" s="1642"/>
      <c r="DR260" s="1642"/>
      <c r="DS260" s="1642"/>
      <c r="DT260" s="1642"/>
      <c r="DU260" s="1642"/>
      <c r="DV260" s="1642"/>
      <c r="DW260" s="1642"/>
      <c r="DX260" s="1642"/>
      <c r="DY260" s="1642"/>
      <c r="DZ260" s="1642"/>
      <c r="EA260" s="1642"/>
      <c r="EB260" s="1642"/>
      <c r="EC260" s="1642"/>
      <c r="ED260" s="1642"/>
      <c r="EE260" s="1642"/>
      <c r="EF260" s="1642"/>
      <c r="EG260" s="1642"/>
      <c r="EH260" s="1643"/>
      <c r="EI260" s="1658"/>
      <c r="EJ260" s="1642"/>
      <c r="EK260" s="30"/>
      <c r="EL260" s="30"/>
      <c r="EM260" s="30"/>
      <c r="EN260" s="30"/>
      <c r="EO260" s="30"/>
      <c r="EP260" s="30"/>
      <c r="EQ260" s="30"/>
      <c r="ER260" s="30"/>
      <c r="ES260" s="30"/>
      <c r="ET260" s="30"/>
      <c r="EU260" s="30"/>
      <c r="EV260" s="30"/>
      <c r="EW260" s="30"/>
      <c r="EX260" s="30"/>
      <c r="EY260" s="30"/>
      <c r="EZ260" s="30"/>
      <c r="FA260" s="30"/>
      <c r="FB260" s="30"/>
      <c r="FC260" s="30"/>
      <c r="FD260" s="30"/>
      <c r="FE260" s="30"/>
      <c r="FF260" s="30"/>
      <c r="FG260" s="30"/>
      <c r="FH260" s="30"/>
      <c r="FI260" s="30"/>
      <c r="FJ260" s="30"/>
      <c r="FK260" s="30"/>
      <c r="FL260" s="30"/>
      <c r="FM260" s="30"/>
      <c r="FN260" s="30"/>
      <c r="FO260" s="30"/>
      <c r="FP260" s="30"/>
      <c r="FQ260" s="30"/>
      <c r="FR260" s="30"/>
      <c r="FS260" s="30"/>
      <c r="FT260" s="30"/>
      <c r="FU260" s="30"/>
      <c r="FV260" s="30"/>
      <c r="FW260" s="30"/>
      <c r="FX260" s="30"/>
      <c r="FY260" s="30"/>
      <c r="FZ260" s="30"/>
      <c r="GA260" s="30"/>
      <c r="GB260" s="30"/>
      <c r="GC260" s="30"/>
      <c r="GD260" s="30"/>
      <c r="GE260" s="30"/>
      <c r="GF260" s="30"/>
      <c r="GG260" s="30"/>
      <c r="GH260" s="30"/>
      <c r="GI260" s="30"/>
      <c r="GJ260" s="30"/>
      <c r="GK260" s="30"/>
      <c r="GL260" s="30"/>
      <c r="GM260" s="30"/>
      <c r="GN260" s="30"/>
      <c r="GO260" s="30"/>
      <c r="GP260" s="30"/>
      <c r="GQ260" s="30"/>
      <c r="GR260" s="30"/>
      <c r="GS260" s="30"/>
      <c r="GT260" s="30"/>
      <c r="GU260" s="30"/>
      <c r="GV260" s="30"/>
      <c r="GW260" s="30"/>
      <c r="GX260" s="30"/>
      <c r="GY260" s="30"/>
      <c r="GZ260" s="30"/>
      <c r="HA260" s="30"/>
      <c r="HB260" s="30"/>
      <c r="HC260" s="30"/>
      <c r="HD260" s="30"/>
      <c r="HE260" s="30"/>
      <c r="HF260" s="30"/>
      <c r="HG260" s="30"/>
      <c r="HH260" s="30"/>
      <c r="HI260" s="30"/>
      <c r="HJ260" s="30"/>
      <c r="HK260" s="30"/>
      <c r="HL260" s="30"/>
      <c r="HM260" s="30"/>
      <c r="HN260" s="30"/>
      <c r="HO260" s="30"/>
      <c r="HP260" s="30"/>
      <c r="HQ260" s="30"/>
      <c r="HR260" s="30"/>
      <c r="HS260" s="30"/>
      <c r="HT260" s="30"/>
      <c r="HU260" s="30"/>
      <c r="HV260" s="30"/>
      <c r="HW260" s="30"/>
      <c r="HX260" s="30"/>
      <c r="HY260" s="30"/>
      <c r="HZ260" s="30"/>
      <c r="IA260" s="30"/>
      <c r="IB260" s="30"/>
      <c r="IC260" s="30"/>
      <c r="ID260" s="30"/>
      <c r="IE260" s="30"/>
      <c r="IF260" s="30"/>
      <c r="IG260" s="30"/>
      <c r="IH260" s="30"/>
      <c r="II260" s="30"/>
      <c r="IJ260" s="30"/>
      <c r="IK260" s="30"/>
      <c r="IL260" s="30"/>
      <c r="IM260" s="30"/>
      <c r="IN260" s="30"/>
      <c r="IO260" s="30"/>
      <c r="IP260" s="30"/>
      <c r="IQ260" s="30"/>
      <c r="IR260" s="30"/>
      <c r="IS260" s="30"/>
      <c r="IT260" s="30"/>
      <c r="IU260" s="30"/>
      <c r="IV260" s="30"/>
      <c r="IW260" s="30"/>
      <c r="IX260" s="30"/>
      <c r="IY260" s="30"/>
      <c r="IZ260" s="30"/>
      <c r="JA260" s="30"/>
      <c r="JB260" s="30"/>
      <c r="JC260" s="30"/>
      <c r="JD260" s="30"/>
      <c r="JE260" s="30"/>
      <c r="JF260" s="30"/>
      <c r="JG260" s="30"/>
      <c r="JH260" s="30"/>
      <c r="JI260" s="30"/>
      <c r="JJ260" s="30"/>
      <c r="JK260" s="30"/>
      <c r="JL260" s="30"/>
      <c r="JM260" s="30"/>
      <c r="JN260" s="30"/>
      <c r="JO260" s="30"/>
      <c r="JP260" s="30"/>
      <c r="JQ260" s="30"/>
      <c r="JR260" s="30"/>
      <c r="JS260" s="30"/>
      <c r="JT260" s="30"/>
      <c r="JU260" s="30"/>
      <c r="JV260" s="30"/>
      <c r="JW260" s="30"/>
      <c r="JX260" s="30"/>
      <c r="JY260" s="30"/>
      <c r="JZ260" s="30"/>
      <c r="KA260" s="30"/>
      <c r="KB260" s="30"/>
      <c r="KC260" s="30"/>
      <c r="KD260" s="30"/>
      <c r="KE260" s="30"/>
      <c r="KF260" s="30"/>
      <c r="KG260" s="30"/>
      <c r="KH260" s="30"/>
      <c r="KI260" s="30"/>
      <c r="KJ260" s="30"/>
      <c r="KK260" s="30"/>
      <c r="KL260" s="30"/>
      <c r="KM260" s="30"/>
      <c r="KN260" s="30"/>
      <c r="KO260" s="30"/>
      <c r="KP260" s="1630"/>
    </row>
    <row r="261" spans="1:302" s="97" customFormat="1" ht="27.75" customHeight="1" outlineLevel="1">
      <c r="A261" s="2582" t="s">
        <v>1092</v>
      </c>
      <c r="B261" s="2608"/>
      <c r="C261" s="2582" t="s">
        <v>1104</v>
      </c>
      <c r="D261" s="2582" t="s">
        <v>1121</v>
      </c>
      <c r="E261" s="376"/>
      <c r="F261" s="347"/>
      <c r="G261" s="348"/>
      <c r="H261" s="349" t="s">
        <v>26</v>
      </c>
      <c r="I261" s="2936"/>
      <c r="J261" s="362" t="s">
        <v>26</v>
      </c>
      <c r="K261" s="1745"/>
      <c r="L261" s="383"/>
      <c r="M261" s="383"/>
      <c r="N261" s="383"/>
      <c r="O261" s="1510">
        <v>550000</v>
      </c>
      <c r="P261" s="383"/>
      <c r="Q261" s="383"/>
      <c r="R261" s="383"/>
      <c r="S261" s="1510">
        <f t="shared" si="274"/>
        <v>0</v>
      </c>
      <c r="T261" s="1509"/>
      <c r="U261" s="1746"/>
      <c r="V261" s="1746"/>
      <c r="W261" s="1510">
        <f t="shared" si="276"/>
        <v>550000</v>
      </c>
      <c r="X261" s="362" t="s">
        <v>26</v>
      </c>
      <c r="Y261" s="1509"/>
      <c r="Z261" s="1746"/>
      <c r="AA261" s="1746"/>
      <c r="AB261" s="1744">
        <f t="shared" si="294"/>
        <v>549999.99900000007</v>
      </c>
      <c r="AC261" s="2704"/>
      <c r="AD261" s="1457"/>
      <c r="AE261" s="352"/>
      <c r="AF261" s="353"/>
      <c r="AG261" s="353"/>
      <c r="AH261" s="354">
        <f t="shared" si="273"/>
        <v>0</v>
      </c>
      <c r="AI261" s="355">
        <f t="shared" ca="1" si="293"/>
        <v>0</v>
      </c>
      <c r="AJ261" s="356">
        <f t="shared" ca="1" si="275"/>
        <v>0</v>
      </c>
      <c r="AK261" s="2185"/>
      <c r="AL261" s="2063"/>
      <c r="AM261" s="2262"/>
      <c r="AN261" s="2262"/>
      <c r="AO261" s="1509"/>
      <c r="AP261" s="384"/>
      <c r="AQ261" s="1509"/>
      <c r="AR261" s="362"/>
      <c r="AS261" s="362"/>
      <c r="AT261" s="385"/>
      <c r="AU261" s="359"/>
      <c r="AV261" s="359"/>
      <c r="AW261" s="377"/>
      <c r="AX261" s="359"/>
      <c r="AY261" s="360"/>
      <c r="AZ261" s="2273"/>
      <c r="BA261" s="497"/>
      <c r="BB261" s="1505"/>
      <c r="BC261" s="359"/>
      <c r="BD261" s="359"/>
      <c r="BE261" s="359"/>
      <c r="BF261" s="359"/>
      <c r="BG261" s="359"/>
      <c r="BH261" s="359">
        <v>183333.33300000001</v>
      </c>
      <c r="BI261" s="380">
        <v>183333.33300000001</v>
      </c>
      <c r="BJ261" s="359">
        <v>183333.33300000001</v>
      </c>
      <c r="BK261" s="2122"/>
      <c r="BL261" s="380"/>
      <c r="BM261" s="380"/>
      <c r="BN261" s="380"/>
      <c r="BO261" s="380"/>
      <c r="BP261" s="380"/>
      <c r="BQ261" s="2087"/>
      <c r="BR261" s="359"/>
      <c r="BS261" s="359"/>
      <c r="BT261" s="362"/>
      <c r="BU261" s="364"/>
      <c r="BV261" s="364"/>
      <c r="BW261" s="2366"/>
      <c r="BX261" s="2463"/>
      <c r="BY261" s="2543"/>
      <c r="BZ261" s="2543"/>
      <c r="CA261" s="2432">
        <f t="shared" si="295"/>
        <v>549999.99900000007</v>
      </c>
      <c r="CB261" s="2377">
        <f t="shared" si="296"/>
        <v>1</v>
      </c>
      <c r="CC261" s="365">
        <f t="shared" si="297"/>
        <v>1.818181821487603E-6</v>
      </c>
      <c r="CD261" s="366"/>
      <c r="CE261" s="343"/>
      <c r="CF261" s="343"/>
      <c r="CG261" s="340"/>
      <c r="CH261" s="367"/>
      <c r="CI261" s="368"/>
      <c r="CJ261" s="368"/>
      <c r="CK261" s="369"/>
      <c r="CL261" s="329">
        <f t="shared" si="261"/>
        <v>9.9999993108212948E-4</v>
      </c>
      <c r="CM261" s="330">
        <f t="shared" ca="1" si="262"/>
        <v>0</v>
      </c>
      <c r="CN261" s="331">
        <f t="shared" ca="1" si="272"/>
        <v>-549999.99900000007</v>
      </c>
      <c r="CO261" s="86"/>
      <c r="CP261" s="86"/>
      <c r="CQ261" s="1641"/>
      <c r="CR261" s="86"/>
      <c r="CS261" s="86"/>
      <c r="CT261" s="86"/>
      <c r="CU261" s="86"/>
      <c r="CV261" s="86"/>
      <c r="CW261" s="86"/>
      <c r="CX261" s="86"/>
      <c r="CY261" s="86"/>
      <c r="CZ261" s="86"/>
      <c r="DA261" s="86"/>
      <c r="DB261" s="1642"/>
      <c r="DC261" s="1642"/>
      <c r="DD261" s="30"/>
      <c r="DE261" s="30"/>
      <c r="DF261" s="30"/>
      <c r="DG261" s="1642"/>
      <c r="DH261" s="1642"/>
      <c r="DI261" s="1642"/>
      <c r="DJ261" s="1642"/>
      <c r="DK261" s="1642"/>
      <c r="DL261" s="1642"/>
      <c r="DM261" s="1642"/>
      <c r="DN261" s="1642"/>
      <c r="DO261" s="1642"/>
      <c r="DP261" s="1642"/>
      <c r="DQ261" s="1642"/>
      <c r="DR261" s="1642"/>
      <c r="DS261" s="1642"/>
      <c r="DT261" s="1642"/>
      <c r="DU261" s="1642"/>
      <c r="DV261" s="1642"/>
      <c r="DW261" s="1642"/>
      <c r="DX261" s="1642"/>
      <c r="DY261" s="1642"/>
      <c r="DZ261" s="1642"/>
      <c r="EA261" s="1642"/>
      <c r="EB261" s="1642"/>
      <c r="EC261" s="1642"/>
      <c r="ED261" s="1642"/>
      <c r="EE261" s="1642"/>
      <c r="EF261" s="1642"/>
      <c r="EG261" s="1642"/>
      <c r="EH261" s="1643"/>
      <c r="EI261" s="1658"/>
      <c r="EJ261" s="1642"/>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0"/>
      <c r="HP261" s="30"/>
      <c r="HQ261" s="30"/>
      <c r="HR261" s="30"/>
      <c r="HS261" s="30"/>
      <c r="HT261" s="30"/>
      <c r="HU261" s="30"/>
      <c r="HV261" s="30"/>
      <c r="HW261" s="30"/>
      <c r="HX261" s="30"/>
      <c r="HY261" s="30"/>
      <c r="HZ261" s="30"/>
      <c r="IA261" s="30"/>
      <c r="IB261" s="30"/>
      <c r="IC261" s="30"/>
      <c r="ID261" s="30"/>
      <c r="IE261" s="30"/>
      <c r="IF261" s="30"/>
      <c r="IG261" s="30"/>
      <c r="IH261" s="30"/>
      <c r="II261" s="30"/>
      <c r="IJ261" s="30"/>
      <c r="IK261" s="30"/>
      <c r="IL261" s="30"/>
      <c r="IM261" s="30"/>
      <c r="IN261" s="30"/>
      <c r="IO261" s="30"/>
      <c r="IP261" s="30"/>
      <c r="IQ261" s="30"/>
      <c r="IR261" s="30"/>
      <c r="IS261" s="30"/>
      <c r="IT261" s="30"/>
      <c r="IU261" s="30"/>
      <c r="IV261" s="30"/>
      <c r="IW261" s="30"/>
      <c r="IX261" s="30"/>
      <c r="IY261" s="30"/>
      <c r="IZ261" s="30"/>
      <c r="JA261" s="30"/>
      <c r="JB261" s="30"/>
      <c r="JC261" s="30"/>
      <c r="JD261" s="30"/>
      <c r="JE261" s="30"/>
      <c r="JF261" s="30"/>
      <c r="JG261" s="30"/>
      <c r="JH261" s="30"/>
      <c r="JI261" s="30"/>
      <c r="JJ261" s="30"/>
      <c r="JK261" s="30"/>
      <c r="JL261" s="30"/>
      <c r="JM261" s="30"/>
      <c r="JN261" s="30"/>
      <c r="JO261" s="30"/>
      <c r="JP261" s="30"/>
      <c r="JQ261" s="30"/>
      <c r="JR261" s="30"/>
      <c r="JS261" s="30"/>
      <c r="JT261" s="30"/>
      <c r="JU261" s="30"/>
      <c r="JV261" s="30"/>
      <c r="JW261" s="30"/>
      <c r="JX261" s="30"/>
      <c r="JY261" s="30"/>
      <c r="JZ261" s="30"/>
      <c r="KA261" s="30"/>
      <c r="KB261" s="30"/>
      <c r="KC261" s="30"/>
      <c r="KD261" s="30"/>
      <c r="KE261" s="30"/>
      <c r="KF261" s="30"/>
      <c r="KG261" s="30"/>
      <c r="KH261" s="30"/>
      <c r="KI261" s="30"/>
      <c r="KJ261" s="30"/>
      <c r="KK261" s="30"/>
      <c r="KL261" s="30"/>
      <c r="KM261" s="30"/>
      <c r="KN261" s="30"/>
      <c r="KO261" s="30"/>
      <c r="KP261" s="1630"/>
    </row>
    <row r="262" spans="1:302" s="97" customFormat="1" ht="19.5" customHeight="1" outlineLevel="1">
      <c r="A262" s="2582" t="s">
        <v>1093</v>
      </c>
      <c r="B262" s="2608"/>
      <c r="C262" s="2582" t="s">
        <v>1105</v>
      </c>
      <c r="D262" s="2582" t="s">
        <v>1122</v>
      </c>
      <c r="E262" s="376"/>
      <c r="F262" s="347"/>
      <c r="G262" s="348"/>
      <c r="H262" s="349" t="s">
        <v>26</v>
      </c>
      <c r="I262" s="2936"/>
      <c r="J262" s="362" t="s">
        <v>26</v>
      </c>
      <c r="K262" s="1745"/>
      <c r="L262" s="383"/>
      <c r="M262" s="383"/>
      <c r="N262" s="383"/>
      <c r="O262" s="1510">
        <v>50000</v>
      </c>
      <c r="P262" s="383"/>
      <c r="Q262" s="383"/>
      <c r="R262" s="383"/>
      <c r="S262" s="1510">
        <f t="shared" si="274"/>
        <v>0</v>
      </c>
      <c r="T262" s="1509"/>
      <c r="U262" s="1746"/>
      <c r="V262" s="1746"/>
      <c r="W262" s="1510">
        <f t="shared" si="276"/>
        <v>50000</v>
      </c>
      <c r="X262" s="362" t="s">
        <v>26</v>
      </c>
      <c r="Y262" s="1509"/>
      <c r="Z262" s="1746"/>
      <c r="AA262" s="1746"/>
      <c r="AB262" s="1744">
        <f t="shared" si="294"/>
        <v>50000</v>
      </c>
      <c r="AC262" s="2704"/>
      <c r="AD262" s="1457"/>
      <c r="AE262" s="352"/>
      <c r="AF262" s="353"/>
      <c r="AG262" s="353"/>
      <c r="AH262" s="354">
        <f t="shared" si="273"/>
        <v>0</v>
      </c>
      <c r="AI262" s="355">
        <f t="shared" ca="1" si="293"/>
        <v>0</v>
      </c>
      <c r="AJ262" s="356">
        <f t="shared" ca="1" si="275"/>
        <v>0</v>
      </c>
      <c r="AK262" s="2185"/>
      <c r="AL262" s="2063"/>
      <c r="AM262" s="2262"/>
      <c r="AN262" s="2262"/>
      <c r="AO262" s="1509"/>
      <c r="AP262" s="384"/>
      <c r="AQ262" s="1509"/>
      <c r="AR262" s="362"/>
      <c r="AS262" s="362"/>
      <c r="AT262" s="385"/>
      <c r="AU262" s="359"/>
      <c r="AV262" s="359"/>
      <c r="AW262" s="377"/>
      <c r="AX262" s="359"/>
      <c r="AY262" s="360"/>
      <c r="AZ262" s="2258"/>
      <c r="BA262" s="359"/>
      <c r="BB262" s="359"/>
      <c r="BC262" s="359"/>
      <c r="BD262" s="359"/>
      <c r="BE262" s="359"/>
      <c r="BF262" s="359"/>
      <c r="BG262" s="359"/>
      <c r="BH262" s="359">
        <v>12500</v>
      </c>
      <c r="BI262" s="380">
        <v>12500</v>
      </c>
      <c r="BJ262" s="359">
        <v>12500</v>
      </c>
      <c r="BK262" s="2122">
        <v>12500</v>
      </c>
      <c r="BL262" s="380"/>
      <c r="BM262" s="380"/>
      <c r="BN262" s="380"/>
      <c r="BO262" s="380"/>
      <c r="BP262" s="380"/>
      <c r="BQ262" s="2087"/>
      <c r="BR262" s="359"/>
      <c r="BS262" s="359"/>
      <c r="BT262" s="362"/>
      <c r="BU262" s="364"/>
      <c r="BV262" s="364"/>
      <c r="BW262" s="2366"/>
      <c r="BX262" s="2463"/>
      <c r="BY262" s="2543"/>
      <c r="BZ262" s="2543"/>
      <c r="CA262" s="2432">
        <f t="shared" si="295"/>
        <v>50000</v>
      </c>
      <c r="CB262" s="2377">
        <f t="shared" si="296"/>
        <v>1</v>
      </c>
      <c r="CC262" s="365">
        <f t="shared" si="297"/>
        <v>2.0000000000000002E-5</v>
      </c>
      <c r="CD262" s="366"/>
      <c r="CE262" s="343"/>
      <c r="CF262" s="343"/>
      <c r="CG262" s="340"/>
      <c r="CH262" s="367"/>
      <c r="CI262" s="368"/>
      <c r="CJ262" s="368"/>
      <c r="CK262" s="369"/>
      <c r="CL262" s="329">
        <f t="shared" si="261"/>
        <v>0</v>
      </c>
      <c r="CM262" s="330">
        <f t="shared" ca="1" si="262"/>
        <v>0</v>
      </c>
      <c r="CN262" s="331">
        <f t="shared" ca="1" si="272"/>
        <v>-50000</v>
      </c>
      <c r="CO262" s="86"/>
      <c r="CP262" s="86"/>
      <c r="CQ262" s="1641"/>
      <c r="CR262" s="86"/>
      <c r="CS262" s="86"/>
      <c r="CT262" s="86"/>
      <c r="CU262" s="86"/>
      <c r="CV262" s="86"/>
      <c r="CW262" s="86"/>
      <c r="CX262" s="86"/>
      <c r="CY262" s="86"/>
      <c r="CZ262" s="86"/>
      <c r="DA262" s="86"/>
      <c r="DB262" s="1642"/>
      <c r="DC262" s="1642"/>
      <c r="DD262" s="30"/>
      <c r="DE262" s="30"/>
      <c r="DF262" s="30"/>
      <c r="DG262" s="1642"/>
      <c r="DH262" s="1642"/>
      <c r="DI262" s="1642"/>
      <c r="DJ262" s="1642"/>
      <c r="DK262" s="1642"/>
      <c r="DL262" s="1642"/>
      <c r="DM262" s="1642"/>
      <c r="DN262" s="1642"/>
      <c r="DO262" s="1642"/>
      <c r="DP262" s="1642"/>
      <c r="DQ262" s="1642"/>
      <c r="DR262" s="1642"/>
      <c r="DS262" s="1642"/>
      <c r="DT262" s="1642"/>
      <c r="DU262" s="1642"/>
      <c r="DV262" s="1642"/>
      <c r="DW262" s="1642"/>
      <c r="DX262" s="1642"/>
      <c r="DY262" s="1642"/>
      <c r="DZ262" s="1642"/>
      <c r="EA262" s="1642"/>
      <c r="EB262" s="1642"/>
      <c r="EC262" s="1642"/>
      <c r="ED262" s="1642"/>
      <c r="EE262" s="1642"/>
      <c r="EF262" s="1642"/>
      <c r="EG262" s="1642"/>
      <c r="EH262" s="1643"/>
      <c r="EI262" s="1658"/>
      <c r="EJ262" s="1642"/>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0"/>
      <c r="HP262" s="30"/>
      <c r="HQ262" s="30"/>
      <c r="HR262" s="30"/>
      <c r="HS262" s="30"/>
      <c r="HT262" s="30"/>
      <c r="HU262" s="30"/>
      <c r="HV262" s="30"/>
      <c r="HW262" s="30"/>
      <c r="HX262" s="30"/>
      <c r="HY262" s="30"/>
      <c r="HZ262" s="30"/>
      <c r="IA262" s="30"/>
      <c r="IB262" s="30"/>
      <c r="IC262" s="30"/>
      <c r="ID262" s="30"/>
      <c r="IE262" s="30"/>
      <c r="IF262" s="30"/>
      <c r="IG262" s="30"/>
      <c r="IH262" s="30"/>
      <c r="II262" s="30"/>
      <c r="IJ262" s="30"/>
      <c r="IK262" s="30"/>
      <c r="IL262" s="30"/>
      <c r="IM262" s="30"/>
      <c r="IN262" s="30"/>
      <c r="IO262" s="30"/>
      <c r="IP262" s="30"/>
      <c r="IQ262" s="30"/>
      <c r="IR262" s="30"/>
      <c r="IS262" s="30"/>
      <c r="IT262" s="30"/>
      <c r="IU262" s="30"/>
      <c r="IV262" s="30"/>
      <c r="IW262" s="30"/>
      <c r="IX262" s="30"/>
      <c r="IY262" s="30"/>
      <c r="IZ262" s="30"/>
      <c r="JA262" s="30"/>
      <c r="JB262" s="30"/>
      <c r="JC262" s="30"/>
      <c r="JD262" s="30"/>
      <c r="JE262" s="30"/>
      <c r="JF262" s="30"/>
      <c r="JG262" s="30"/>
      <c r="JH262" s="30"/>
      <c r="JI262" s="30"/>
      <c r="JJ262" s="30"/>
      <c r="JK262" s="30"/>
      <c r="JL262" s="30"/>
      <c r="JM262" s="30"/>
      <c r="JN262" s="30"/>
      <c r="JO262" s="30"/>
      <c r="JP262" s="30"/>
      <c r="JQ262" s="30"/>
      <c r="JR262" s="30"/>
      <c r="JS262" s="30"/>
      <c r="JT262" s="30"/>
      <c r="JU262" s="30"/>
      <c r="JV262" s="30"/>
      <c r="JW262" s="30"/>
      <c r="JX262" s="30"/>
      <c r="JY262" s="30"/>
      <c r="JZ262" s="30"/>
      <c r="KA262" s="30"/>
      <c r="KB262" s="30"/>
      <c r="KC262" s="30"/>
      <c r="KD262" s="30"/>
      <c r="KE262" s="30"/>
      <c r="KF262" s="30"/>
      <c r="KG262" s="30"/>
      <c r="KH262" s="30"/>
      <c r="KI262" s="30"/>
      <c r="KJ262" s="30"/>
      <c r="KK262" s="30"/>
      <c r="KL262" s="30"/>
      <c r="KM262" s="30"/>
      <c r="KN262" s="30"/>
      <c r="KO262" s="30"/>
      <c r="KP262" s="1630"/>
    </row>
    <row r="263" spans="1:302" s="97" customFormat="1" ht="27" customHeight="1" outlineLevel="1">
      <c r="A263" s="2587" t="s">
        <v>169</v>
      </c>
      <c r="B263" s="2605"/>
      <c r="C263" s="2587" t="s">
        <v>1106</v>
      </c>
      <c r="D263" s="2587" t="s">
        <v>1123</v>
      </c>
      <c r="E263" s="376"/>
      <c r="F263" s="347"/>
      <c r="G263" s="348"/>
      <c r="H263" s="349" t="s">
        <v>26</v>
      </c>
      <c r="I263" s="2936"/>
      <c r="J263" s="362" t="s">
        <v>26</v>
      </c>
      <c r="K263" s="1745"/>
      <c r="L263" s="383"/>
      <c r="M263" s="383"/>
      <c r="N263" s="383"/>
      <c r="O263" s="1510"/>
      <c r="P263" s="383"/>
      <c r="Q263" s="383"/>
      <c r="R263" s="383"/>
      <c r="S263" s="1510">
        <f t="shared" si="274"/>
        <v>0</v>
      </c>
      <c r="T263" s="1509"/>
      <c r="U263" s="1746"/>
      <c r="V263" s="1746"/>
      <c r="W263" s="1510">
        <f t="shared" si="276"/>
        <v>0</v>
      </c>
      <c r="X263" s="362" t="s">
        <v>26</v>
      </c>
      <c r="Y263" s="1509"/>
      <c r="Z263" s="1746"/>
      <c r="AA263" s="1746"/>
      <c r="AB263" s="1744">
        <f t="shared" si="294"/>
        <v>0</v>
      </c>
      <c r="AC263" s="2704"/>
      <c r="AD263" s="1457"/>
      <c r="AE263" s="352"/>
      <c r="AF263" s="353"/>
      <c r="AG263" s="353"/>
      <c r="AH263" s="354">
        <f t="shared" si="273"/>
        <v>0</v>
      </c>
      <c r="AI263" s="355">
        <f t="shared" ca="1" si="293"/>
        <v>0</v>
      </c>
      <c r="AJ263" s="356" t="str">
        <f t="shared" si="275"/>
        <v/>
      </c>
      <c r="AK263" s="2185"/>
      <c r="AL263" s="2063"/>
      <c r="AM263" s="2262"/>
      <c r="AN263" s="2262"/>
      <c r="AO263" s="1509"/>
      <c r="AP263" s="384"/>
      <c r="AQ263" s="1509"/>
      <c r="AR263" s="362"/>
      <c r="AS263" s="362"/>
      <c r="AT263" s="385"/>
      <c r="AU263" s="359"/>
      <c r="AV263" s="359"/>
      <c r="AW263" s="377"/>
      <c r="AX263" s="359"/>
      <c r="AY263" s="360"/>
      <c r="AZ263" s="2273"/>
      <c r="BA263" s="497"/>
      <c r="BB263" s="359"/>
      <c r="BC263" s="1505"/>
      <c r="BD263" s="359"/>
      <c r="BE263" s="359"/>
      <c r="BF263" s="359"/>
      <c r="BG263" s="359"/>
      <c r="BH263" s="359"/>
      <c r="BI263" s="380"/>
      <c r="BJ263" s="359"/>
      <c r="BK263" s="2122"/>
      <c r="BL263" s="380"/>
      <c r="BM263" s="380"/>
      <c r="BN263" s="380"/>
      <c r="BO263" s="380"/>
      <c r="BP263" s="380"/>
      <c r="BQ263" s="2087"/>
      <c r="BR263" s="359"/>
      <c r="BS263" s="359"/>
      <c r="BT263" s="362"/>
      <c r="BU263" s="364"/>
      <c r="BV263" s="364"/>
      <c r="BW263" s="2366"/>
      <c r="BX263" s="2463"/>
      <c r="BY263" s="2543"/>
      <c r="BZ263" s="2543"/>
      <c r="CA263" s="2432">
        <f t="shared" si="295"/>
        <v>0</v>
      </c>
      <c r="CB263" s="2377" t="str">
        <f t="shared" si="296"/>
        <v/>
      </c>
      <c r="CC263" s="365" t="str">
        <f t="shared" si="297"/>
        <v/>
      </c>
      <c r="CD263" s="366"/>
      <c r="CE263" s="343"/>
      <c r="CF263" s="343"/>
      <c r="CG263" s="340"/>
      <c r="CH263" s="367"/>
      <c r="CI263" s="368"/>
      <c r="CJ263" s="368"/>
      <c r="CK263" s="369"/>
      <c r="CL263" s="329">
        <f t="shared" si="261"/>
        <v>0</v>
      </c>
      <c r="CM263" s="330">
        <f t="shared" ca="1" si="262"/>
        <v>0</v>
      </c>
      <c r="CN263" s="331">
        <f t="shared" ca="1" si="272"/>
        <v>0</v>
      </c>
      <c r="CO263" s="86"/>
      <c r="CP263" s="86"/>
      <c r="CQ263" s="1641"/>
      <c r="CR263" s="86"/>
      <c r="CS263" s="86"/>
      <c r="CT263" s="86"/>
      <c r="CU263" s="86"/>
      <c r="CV263" s="86"/>
      <c r="CW263" s="86"/>
      <c r="CX263" s="86"/>
      <c r="CY263" s="86"/>
      <c r="CZ263" s="86"/>
      <c r="DA263" s="86"/>
      <c r="DB263" s="1642"/>
      <c r="DC263" s="1642"/>
      <c r="DD263" s="30"/>
      <c r="DE263" s="30"/>
      <c r="DF263" s="30"/>
      <c r="DG263" s="1642"/>
      <c r="DH263" s="1642"/>
      <c r="DI263" s="1642"/>
      <c r="DJ263" s="1642"/>
      <c r="DK263" s="1642"/>
      <c r="DL263" s="1642"/>
      <c r="DM263" s="1642"/>
      <c r="DN263" s="1642"/>
      <c r="DO263" s="1642"/>
      <c r="DP263" s="1642"/>
      <c r="DQ263" s="1642"/>
      <c r="DR263" s="1642"/>
      <c r="DS263" s="1642"/>
      <c r="DT263" s="1642"/>
      <c r="DU263" s="1642"/>
      <c r="DV263" s="1642"/>
      <c r="DW263" s="1642"/>
      <c r="DX263" s="1642"/>
      <c r="DY263" s="1642"/>
      <c r="DZ263" s="1642"/>
      <c r="EA263" s="1642"/>
      <c r="EB263" s="1642"/>
      <c r="EC263" s="1642"/>
      <c r="ED263" s="1642"/>
      <c r="EE263" s="1642"/>
      <c r="EF263" s="1642"/>
      <c r="EG263" s="1642"/>
      <c r="EH263" s="1643"/>
      <c r="EI263" s="1658"/>
      <c r="EJ263" s="1642"/>
      <c r="EK263" s="30"/>
      <c r="EL263" s="30"/>
      <c r="EM263" s="30"/>
      <c r="EN263" s="30"/>
      <c r="EO263" s="30"/>
      <c r="EP263" s="30"/>
      <c r="EQ263" s="30"/>
      <c r="ER263" s="30"/>
      <c r="ES263" s="30"/>
      <c r="ET263" s="30"/>
      <c r="EU263" s="30"/>
      <c r="EV263" s="30"/>
      <c r="EW263" s="30"/>
      <c r="EX263" s="30"/>
      <c r="EY263" s="30"/>
      <c r="EZ263" s="30"/>
      <c r="FA263" s="30"/>
      <c r="FB263" s="30"/>
      <c r="FC263" s="30"/>
      <c r="FD263" s="30"/>
      <c r="FE263" s="30"/>
      <c r="FF263" s="30"/>
      <c r="FG263" s="30"/>
      <c r="FH263" s="30"/>
      <c r="FI263" s="30"/>
      <c r="FJ263" s="30"/>
      <c r="FK263" s="30"/>
      <c r="FL263" s="30"/>
      <c r="FM263" s="30"/>
      <c r="FN263" s="30"/>
      <c r="FO263" s="30"/>
      <c r="FP263" s="30"/>
      <c r="FQ263" s="30"/>
      <c r="FR263" s="30"/>
      <c r="FS263" s="30"/>
      <c r="FT263" s="30"/>
      <c r="FU263" s="30"/>
      <c r="FV263" s="30"/>
      <c r="FW263" s="30"/>
      <c r="FX263" s="30"/>
      <c r="FY263" s="30"/>
      <c r="FZ263" s="30"/>
      <c r="GA263" s="30"/>
      <c r="GB263" s="30"/>
      <c r="GC263" s="30"/>
      <c r="GD263" s="30"/>
      <c r="GE263" s="30"/>
      <c r="GF263" s="30"/>
      <c r="GG263" s="30"/>
      <c r="GH263" s="30"/>
      <c r="GI263" s="30"/>
      <c r="GJ263" s="30"/>
      <c r="GK263" s="30"/>
      <c r="GL263" s="30"/>
      <c r="GM263" s="30"/>
      <c r="GN263" s="30"/>
      <c r="GO263" s="30"/>
      <c r="GP263" s="30"/>
      <c r="GQ263" s="30"/>
      <c r="GR263" s="30"/>
      <c r="GS263" s="30"/>
      <c r="GT263" s="30"/>
      <c r="GU263" s="30"/>
      <c r="GV263" s="30"/>
      <c r="GW263" s="30"/>
      <c r="GX263" s="30"/>
      <c r="GY263" s="30"/>
      <c r="GZ263" s="30"/>
      <c r="HA263" s="30"/>
      <c r="HB263" s="30"/>
      <c r="HC263" s="30"/>
      <c r="HD263" s="30"/>
      <c r="HE263" s="30"/>
      <c r="HF263" s="30"/>
      <c r="HG263" s="30"/>
      <c r="HH263" s="30"/>
      <c r="HI263" s="30"/>
      <c r="HJ263" s="30"/>
      <c r="HK263" s="30"/>
      <c r="HL263" s="30"/>
      <c r="HM263" s="30"/>
      <c r="HN263" s="30"/>
      <c r="HO263" s="30"/>
      <c r="HP263" s="30"/>
      <c r="HQ263" s="30"/>
      <c r="HR263" s="30"/>
      <c r="HS263" s="30"/>
      <c r="HT263" s="30"/>
      <c r="HU263" s="30"/>
      <c r="HV263" s="30"/>
      <c r="HW263" s="30"/>
      <c r="HX263" s="30"/>
      <c r="HY263" s="30"/>
      <c r="HZ263" s="30"/>
      <c r="IA263" s="30"/>
      <c r="IB263" s="30"/>
      <c r="IC263" s="30"/>
      <c r="ID263" s="30"/>
      <c r="IE263" s="30"/>
      <c r="IF263" s="30"/>
      <c r="IG263" s="30"/>
      <c r="IH263" s="30"/>
      <c r="II263" s="30"/>
      <c r="IJ263" s="30"/>
      <c r="IK263" s="30"/>
      <c r="IL263" s="30"/>
      <c r="IM263" s="30"/>
      <c r="IN263" s="30"/>
      <c r="IO263" s="30"/>
      <c r="IP263" s="30"/>
      <c r="IQ263" s="30"/>
      <c r="IR263" s="30"/>
      <c r="IS263" s="30"/>
      <c r="IT263" s="30"/>
      <c r="IU263" s="30"/>
      <c r="IV263" s="30"/>
      <c r="IW263" s="30"/>
      <c r="IX263" s="30"/>
      <c r="IY263" s="30"/>
      <c r="IZ263" s="30"/>
      <c r="JA263" s="30"/>
      <c r="JB263" s="30"/>
      <c r="JC263" s="30"/>
      <c r="JD263" s="30"/>
      <c r="JE263" s="30"/>
      <c r="JF263" s="30"/>
      <c r="JG263" s="30"/>
      <c r="JH263" s="30"/>
      <c r="JI263" s="30"/>
      <c r="JJ263" s="30"/>
      <c r="JK263" s="30"/>
      <c r="JL263" s="30"/>
      <c r="JM263" s="30"/>
      <c r="JN263" s="30"/>
      <c r="JO263" s="30"/>
      <c r="JP263" s="30"/>
      <c r="JQ263" s="30"/>
      <c r="JR263" s="30"/>
      <c r="JS263" s="30"/>
      <c r="JT263" s="30"/>
      <c r="JU263" s="30"/>
      <c r="JV263" s="30"/>
      <c r="JW263" s="30"/>
      <c r="JX263" s="30"/>
      <c r="JY263" s="30"/>
      <c r="JZ263" s="30"/>
      <c r="KA263" s="30"/>
      <c r="KB263" s="30"/>
      <c r="KC263" s="30"/>
      <c r="KD263" s="30"/>
      <c r="KE263" s="30"/>
      <c r="KF263" s="30"/>
      <c r="KG263" s="30"/>
      <c r="KH263" s="30"/>
      <c r="KI263" s="30"/>
      <c r="KJ263" s="30"/>
      <c r="KK263" s="30"/>
      <c r="KL263" s="30"/>
      <c r="KM263" s="30"/>
      <c r="KN263" s="30"/>
      <c r="KO263" s="30"/>
      <c r="KP263" s="1630"/>
    </row>
    <row r="264" spans="1:302" s="97" customFormat="1" ht="29.25" customHeight="1" outlineLevel="1">
      <c r="A264" s="2582" t="s">
        <v>1094</v>
      </c>
      <c r="B264" s="2608"/>
      <c r="C264" s="2582" t="s">
        <v>1107</v>
      </c>
      <c r="D264" s="2582" t="s">
        <v>1124</v>
      </c>
      <c r="E264" s="376"/>
      <c r="F264" s="347"/>
      <c r="G264" s="348"/>
      <c r="H264" s="349" t="s">
        <v>26</v>
      </c>
      <c r="I264" s="2936"/>
      <c r="J264" s="362" t="s">
        <v>26</v>
      </c>
      <c r="K264" s="1745"/>
      <c r="L264" s="383"/>
      <c r="M264" s="383"/>
      <c r="N264" s="383"/>
      <c r="O264" s="1510">
        <v>500000</v>
      </c>
      <c r="P264" s="383"/>
      <c r="Q264" s="383"/>
      <c r="R264" s="383"/>
      <c r="S264" s="1510">
        <f t="shared" si="274"/>
        <v>0</v>
      </c>
      <c r="T264" s="1509"/>
      <c r="U264" s="1746"/>
      <c r="V264" s="1746"/>
      <c r="W264" s="1510">
        <f t="shared" si="276"/>
        <v>500000</v>
      </c>
      <c r="X264" s="362" t="s">
        <v>26</v>
      </c>
      <c r="Y264" s="1509"/>
      <c r="Z264" s="1746"/>
      <c r="AA264" s="1746"/>
      <c r="AB264" s="1744">
        <f t="shared" si="294"/>
        <v>500000</v>
      </c>
      <c r="AC264" s="2704"/>
      <c r="AD264" s="1457"/>
      <c r="AE264" s="352"/>
      <c r="AF264" s="353"/>
      <c r="AG264" s="353"/>
      <c r="AH264" s="354">
        <f t="shared" si="273"/>
        <v>0</v>
      </c>
      <c r="AI264" s="355">
        <f t="shared" ca="1" si="293"/>
        <v>0</v>
      </c>
      <c r="AJ264" s="356">
        <f t="shared" ca="1" si="275"/>
        <v>0</v>
      </c>
      <c r="AK264" s="2185"/>
      <c r="AL264" s="2063"/>
      <c r="AM264" s="2262"/>
      <c r="AN264" s="2262"/>
      <c r="AO264" s="1509"/>
      <c r="AP264" s="384"/>
      <c r="AQ264" s="1509"/>
      <c r="AR264" s="362"/>
      <c r="AS264" s="362"/>
      <c r="AT264" s="385"/>
      <c r="AU264" s="359"/>
      <c r="AV264" s="359"/>
      <c r="AW264" s="377"/>
      <c r="AX264" s="359"/>
      <c r="AY264" s="360"/>
      <c r="AZ264" s="2273"/>
      <c r="BA264" s="497"/>
      <c r="BB264" s="359"/>
      <c r="BC264" s="359"/>
      <c r="BD264" s="359"/>
      <c r="BE264" s="359"/>
      <c r="BF264" s="359"/>
      <c r="BG264" s="359"/>
      <c r="BH264" s="359">
        <v>50000</v>
      </c>
      <c r="BI264" s="380">
        <v>50000</v>
      </c>
      <c r="BJ264" s="359">
        <v>50000</v>
      </c>
      <c r="BK264" s="2122">
        <v>50000</v>
      </c>
      <c r="BL264" s="380">
        <v>50000</v>
      </c>
      <c r="BM264" s="380">
        <v>50000</v>
      </c>
      <c r="BN264" s="380">
        <v>50000</v>
      </c>
      <c r="BO264" s="380">
        <v>50000</v>
      </c>
      <c r="BP264" s="380">
        <v>50000</v>
      </c>
      <c r="BQ264" s="2087">
        <v>50000</v>
      </c>
      <c r="BR264" s="359"/>
      <c r="BS264" s="359"/>
      <c r="BT264" s="362"/>
      <c r="BU264" s="364"/>
      <c r="BV264" s="364"/>
      <c r="BW264" s="2366"/>
      <c r="BX264" s="2463"/>
      <c r="BY264" s="2543"/>
      <c r="BZ264" s="2543"/>
      <c r="CA264" s="2432">
        <f t="shared" si="295"/>
        <v>500000</v>
      </c>
      <c r="CB264" s="2377">
        <f t="shared" si="296"/>
        <v>1</v>
      </c>
      <c r="CC264" s="365">
        <f t="shared" si="297"/>
        <v>1.9999999999999999E-6</v>
      </c>
      <c r="CD264" s="366"/>
      <c r="CE264" s="343"/>
      <c r="CF264" s="343"/>
      <c r="CG264" s="340"/>
      <c r="CH264" s="367"/>
      <c r="CI264" s="368"/>
      <c r="CJ264" s="368"/>
      <c r="CK264" s="369"/>
      <c r="CL264" s="329">
        <f t="shared" si="261"/>
        <v>0</v>
      </c>
      <c r="CM264" s="330">
        <f t="shared" ca="1" si="262"/>
        <v>0</v>
      </c>
      <c r="CN264" s="331">
        <f t="shared" ca="1" si="272"/>
        <v>-500000</v>
      </c>
      <c r="CO264" s="86"/>
      <c r="CP264" s="86"/>
      <c r="CQ264" s="1641"/>
      <c r="CR264" s="86"/>
      <c r="CS264" s="86"/>
      <c r="CT264" s="86"/>
      <c r="CU264" s="86"/>
      <c r="CV264" s="86"/>
      <c r="CW264" s="86"/>
      <c r="CX264" s="86"/>
      <c r="CY264" s="86"/>
      <c r="CZ264" s="86"/>
      <c r="DA264" s="86"/>
      <c r="DB264" s="1642"/>
      <c r="DC264" s="1642"/>
      <c r="DD264" s="30"/>
      <c r="DE264" s="30"/>
      <c r="DF264" s="30"/>
      <c r="DG264" s="1642"/>
      <c r="DH264" s="1642"/>
      <c r="DI264" s="1642"/>
      <c r="DJ264" s="1642"/>
      <c r="DK264" s="1642"/>
      <c r="DL264" s="1642"/>
      <c r="DM264" s="1642"/>
      <c r="DN264" s="1642"/>
      <c r="DO264" s="1642"/>
      <c r="DP264" s="1642"/>
      <c r="DQ264" s="1642"/>
      <c r="DR264" s="1642"/>
      <c r="DS264" s="1642"/>
      <c r="DT264" s="1642"/>
      <c r="DU264" s="1642"/>
      <c r="DV264" s="1642"/>
      <c r="DW264" s="1642"/>
      <c r="DX264" s="1642"/>
      <c r="DY264" s="1642"/>
      <c r="DZ264" s="1642"/>
      <c r="EA264" s="1642"/>
      <c r="EB264" s="1642"/>
      <c r="EC264" s="1642"/>
      <c r="ED264" s="1642"/>
      <c r="EE264" s="1642"/>
      <c r="EF264" s="1642"/>
      <c r="EG264" s="1642"/>
      <c r="EH264" s="1643"/>
      <c r="EI264" s="1658"/>
      <c r="EJ264" s="1642"/>
      <c r="EK264" s="30"/>
      <c r="EL264" s="30"/>
      <c r="EM264" s="30"/>
      <c r="EN264" s="30"/>
      <c r="EO264" s="30"/>
      <c r="EP264" s="30"/>
      <c r="EQ264" s="30"/>
      <c r="ER264" s="30"/>
      <c r="ES264" s="30"/>
      <c r="ET264" s="30"/>
      <c r="EU264" s="30"/>
      <c r="EV264" s="30"/>
      <c r="EW264" s="30"/>
      <c r="EX264" s="30"/>
      <c r="EY264" s="30"/>
      <c r="EZ264" s="30"/>
      <c r="FA264" s="30"/>
      <c r="FB264" s="30"/>
      <c r="FC264" s="30"/>
      <c r="FD264" s="30"/>
      <c r="FE264" s="30"/>
      <c r="FF264" s="30"/>
      <c r="FG264" s="30"/>
      <c r="FH264" s="30"/>
      <c r="FI264" s="30"/>
      <c r="FJ264" s="30"/>
      <c r="FK264" s="30"/>
      <c r="FL264" s="30"/>
      <c r="FM264" s="30"/>
      <c r="FN264" s="30"/>
      <c r="FO264" s="30"/>
      <c r="FP264" s="30"/>
      <c r="FQ264" s="30"/>
      <c r="FR264" s="30"/>
      <c r="FS264" s="30"/>
      <c r="FT264" s="30"/>
      <c r="FU264" s="30"/>
      <c r="FV264" s="30"/>
      <c r="FW264" s="30"/>
      <c r="FX264" s="30"/>
      <c r="FY264" s="30"/>
      <c r="FZ264" s="30"/>
      <c r="GA264" s="30"/>
      <c r="GB264" s="30"/>
      <c r="GC264" s="30"/>
      <c r="GD264" s="30"/>
      <c r="GE264" s="30"/>
      <c r="GF264" s="30"/>
      <c r="GG264" s="30"/>
      <c r="GH264" s="30"/>
      <c r="GI264" s="30"/>
      <c r="GJ264" s="30"/>
      <c r="GK264" s="30"/>
      <c r="GL264" s="30"/>
      <c r="GM264" s="30"/>
      <c r="GN264" s="30"/>
      <c r="GO264" s="30"/>
      <c r="GP264" s="30"/>
      <c r="GQ264" s="30"/>
      <c r="GR264" s="30"/>
      <c r="GS264" s="30"/>
      <c r="GT264" s="30"/>
      <c r="GU264" s="30"/>
      <c r="GV264" s="30"/>
      <c r="GW264" s="30"/>
      <c r="GX264" s="30"/>
      <c r="GY264" s="30"/>
      <c r="GZ264" s="30"/>
      <c r="HA264" s="30"/>
      <c r="HB264" s="30"/>
      <c r="HC264" s="30"/>
      <c r="HD264" s="30"/>
      <c r="HE264" s="30"/>
      <c r="HF264" s="30"/>
      <c r="HG264" s="30"/>
      <c r="HH264" s="30"/>
      <c r="HI264" s="30"/>
      <c r="HJ264" s="30"/>
      <c r="HK264" s="30"/>
      <c r="HL264" s="30"/>
      <c r="HM264" s="30"/>
      <c r="HN264" s="30"/>
      <c r="HO264" s="30"/>
      <c r="HP264" s="30"/>
      <c r="HQ264" s="30"/>
      <c r="HR264" s="30"/>
      <c r="HS264" s="30"/>
      <c r="HT264" s="30"/>
      <c r="HU264" s="30"/>
      <c r="HV264" s="30"/>
      <c r="HW264" s="30"/>
      <c r="HX264" s="30"/>
      <c r="HY264" s="30"/>
      <c r="HZ264" s="30"/>
      <c r="IA264" s="30"/>
      <c r="IB264" s="30"/>
      <c r="IC264" s="30"/>
      <c r="ID264" s="30"/>
      <c r="IE264" s="30"/>
      <c r="IF264" s="30"/>
      <c r="IG264" s="30"/>
      <c r="IH264" s="30"/>
      <c r="II264" s="30"/>
      <c r="IJ264" s="30"/>
      <c r="IK264" s="30"/>
      <c r="IL264" s="30"/>
      <c r="IM264" s="30"/>
      <c r="IN264" s="30"/>
      <c r="IO264" s="30"/>
      <c r="IP264" s="30"/>
      <c r="IQ264" s="30"/>
      <c r="IR264" s="30"/>
      <c r="IS264" s="30"/>
      <c r="IT264" s="30"/>
      <c r="IU264" s="30"/>
      <c r="IV264" s="30"/>
      <c r="IW264" s="30"/>
      <c r="IX264" s="30"/>
      <c r="IY264" s="30"/>
      <c r="IZ264" s="30"/>
      <c r="JA264" s="30"/>
      <c r="JB264" s="30"/>
      <c r="JC264" s="30"/>
      <c r="JD264" s="30"/>
      <c r="JE264" s="30"/>
      <c r="JF264" s="30"/>
      <c r="JG264" s="30"/>
      <c r="JH264" s="30"/>
      <c r="JI264" s="30"/>
      <c r="JJ264" s="30"/>
      <c r="JK264" s="30"/>
      <c r="JL264" s="30"/>
      <c r="JM264" s="30"/>
      <c r="JN264" s="30"/>
      <c r="JO264" s="30"/>
      <c r="JP264" s="30"/>
      <c r="JQ264" s="30"/>
      <c r="JR264" s="30"/>
      <c r="JS264" s="30"/>
      <c r="JT264" s="30"/>
      <c r="JU264" s="30"/>
      <c r="JV264" s="30"/>
      <c r="JW264" s="30"/>
      <c r="JX264" s="30"/>
      <c r="JY264" s="30"/>
      <c r="JZ264" s="30"/>
      <c r="KA264" s="30"/>
      <c r="KB264" s="30"/>
      <c r="KC264" s="30"/>
      <c r="KD264" s="30"/>
      <c r="KE264" s="30"/>
      <c r="KF264" s="30"/>
      <c r="KG264" s="30"/>
      <c r="KH264" s="30"/>
      <c r="KI264" s="30"/>
      <c r="KJ264" s="30"/>
      <c r="KK264" s="30"/>
      <c r="KL264" s="30"/>
      <c r="KM264" s="30"/>
      <c r="KN264" s="30"/>
      <c r="KO264" s="30"/>
      <c r="KP264" s="1630"/>
    </row>
    <row r="265" spans="1:302" s="97" customFormat="1" ht="19.5" customHeight="1" outlineLevel="1">
      <c r="A265" s="2582" t="s">
        <v>1095</v>
      </c>
      <c r="B265" s="2608"/>
      <c r="C265" s="2582" t="s">
        <v>1108</v>
      </c>
      <c r="D265" s="2582" t="s">
        <v>1125</v>
      </c>
      <c r="E265" s="376"/>
      <c r="F265" s="347"/>
      <c r="G265" s="348"/>
      <c r="H265" s="349" t="s">
        <v>26</v>
      </c>
      <c r="I265" s="2936"/>
      <c r="J265" s="362" t="s">
        <v>26</v>
      </c>
      <c r="K265" s="1745"/>
      <c r="L265" s="383"/>
      <c r="M265" s="383"/>
      <c r="N265" s="383"/>
      <c r="O265" s="1510">
        <v>50000</v>
      </c>
      <c r="P265" s="383"/>
      <c r="Q265" s="383"/>
      <c r="R265" s="383"/>
      <c r="S265" s="1510">
        <f t="shared" si="274"/>
        <v>0</v>
      </c>
      <c r="T265" s="1509"/>
      <c r="U265" s="1746"/>
      <c r="V265" s="1746"/>
      <c r="W265" s="1510">
        <f t="shared" si="276"/>
        <v>50000</v>
      </c>
      <c r="X265" s="362" t="s">
        <v>26</v>
      </c>
      <c r="Y265" s="1509"/>
      <c r="Z265" s="1746"/>
      <c r="AA265" s="1746"/>
      <c r="AB265" s="1744">
        <f t="shared" si="294"/>
        <v>50000</v>
      </c>
      <c r="AC265" s="2704"/>
      <c r="AD265" s="1457"/>
      <c r="AE265" s="352"/>
      <c r="AF265" s="353"/>
      <c r="AG265" s="353"/>
      <c r="AH265" s="354">
        <f t="shared" si="273"/>
        <v>0</v>
      </c>
      <c r="AI265" s="355">
        <f t="shared" ca="1" si="293"/>
        <v>0</v>
      </c>
      <c r="AJ265" s="356">
        <f t="shared" ca="1" si="275"/>
        <v>0</v>
      </c>
      <c r="AK265" s="2185"/>
      <c r="AL265" s="2063"/>
      <c r="AM265" s="2262"/>
      <c r="AN265" s="2262"/>
      <c r="AO265" s="1509"/>
      <c r="AP265" s="384"/>
      <c r="AQ265" s="1509"/>
      <c r="AR265" s="362"/>
      <c r="AS265" s="362"/>
      <c r="AT265" s="385"/>
      <c r="AU265" s="359"/>
      <c r="AV265" s="359"/>
      <c r="AW265" s="359"/>
      <c r="AX265" s="359"/>
      <c r="AY265" s="1987"/>
      <c r="AZ265" s="2258"/>
      <c r="BA265" s="359"/>
      <c r="BB265" s="359"/>
      <c r="BC265" s="359"/>
      <c r="BD265" s="359"/>
      <c r="BE265" s="359"/>
      <c r="BF265" s="359"/>
      <c r="BG265" s="359"/>
      <c r="BH265" s="359"/>
      <c r="BI265" s="380"/>
      <c r="BJ265" s="359">
        <v>6250</v>
      </c>
      <c r="BK265" s="2122">
        <v>6250</v>
      </c>
      <c r="BL265" s="380">
        <v>6250</v>
      </c>
      <c r="BM265" s="380">
        <v>6250</v>
      </c>
      <c r="BN265" s="380">
        <v>6250</v>
      </c>
      <c r="BO265" s="380">
        <v>6250</v>
      </c>
      <c r="BP265" s="380">
        <v>6250</v>
      </c>
      <c r="BQ265" s="2087">
        <v>6250</v>
      </c>
      <c r="BR265" s="359"/>
      <c r="BS265" s="359"/>
      <c r="BT265" s="362"/>
      <c r="BU265" s="364"/>
      <c r="BV265" s="364"/>
      <c r="BW265" s="2366"/>
      <c r="BX265" s="2463"/>
      <c r="BY265" s="2543"/>
      <c r="BZ265" s="2543"/>
      <c r="CA265" s="2432">
        <f t="shared" si="295"/>
        <v>50000</v>
      </c>
      <c r="CB265" s="2377">
        <f t="shared" si="296"/>
        <v>1</v>
      </c>
      <c r="CC265" s="365">
        <f t="shared" si="297"/>
        <v>2.0000000000000002E-5</v>
      </c>
      <c r="CD265" s="366"/>
      <c r="CE265" s="343"/>
      <c r="CF265" s="343"/>
      <c r="CG265" s="340"/>
      <c r="CH265" s="367"/>
      <c r="CI265" s="368"/>
      <c r="CJ265" s="368"/>
      <c r="CK265" s="369"/>
      <c r="CL265" s="329">
        <f t="shared" si="261"/>
        <v>0</v>
      </c>
      <c r="CM265" s="330">
        <f t="shared" ca="1" si="262"/>
        <v>0</v>
      </c>
      <c r="CN265" s="331">
        <f t="shared" ca="1" si="272"/>
        <v>-50000</v>
      </c>
      <c r="CO265" s="86"/>
      <c r="CP265" s="86"/>
      <c r="CQ265" s="1641"/>
      <c r="CR265" s="86"/>
      <c r="CS265" s="86"/>
      <c r="CT265" s="86"/>
      <c r="CU265" s="86"/>
      <c r="CV265" s="86"/>
      <c r="CW265" s="86"/>
      <c r="CX265" s="86"/>
      <c r="CY265" s="86"/>
      <c r="CZ265" s="86"/>
      <c r="DA265" s="86"/>
      <c r="DB265" s="1642"/>
      <c r="DC265" s="1642"/>
      <c r="DD265" s="30"/>
      <c r="DE265" s="30"/>
      <c r="DF265" s="30"/>
      <c r="DG265" s="1642"/>
      <c r="DH265" s="1642"/>
      <c r="DI265" s="1642"/>
      <c r="DJ265" s="1642"/>
      <c r="DK265" s="1642"/>
      <c r="DL265" s="1642"/>
      <c r="DM265" s="1642"/>
      <c r="DN265" s="1642"/>
      <c r="DO265" s="1642"/>
      <c r="DP265" s="1642"/>
      <c r="DQ265" s="1642"/>
      <c r="DR265" s="1642"/>
      <c r="DS265" s="1642"/>
      <c r="DT265" s="1642"/>
      <c r="DU265" s="1642"/>
      <c r="DV265" s="1642"/>
      <c r="DW265" s="1642"/>
      <c r="DX265" s="1642"/>
      <c r="DY265" s="1642"/>
      <c r="DZ265" s="1642"/>
      <c r="EA265" s="1642"/>
      <c r="EB265" s="1642"/>
      <c r="EC265" s="1642"/>
      <c r="ED265" s="1642"/>
      <c r="EE265" s="1642"/>
      <c r="EF265" s="1642"/>
      <c r="EG265" s="1642"/>
      <c r="EH265" s="1643"/>
      <c r="EI265" s="1658"/>
      <c r="EJ265" s="1642"/>
      <c r="EK265" s="30"/>
      <c r="EL265" s="30"/>
      <c r="EM265" s="30"/>
      <c r="EN265" s="30"/>
      <c r="EO265" s="30"/>
      <c r="EP265" s="30"/>
      <c r="EQ265" s="30"/>
      <c r="ER265" s="30"/>
      <c r="ES265" s="30"/>
      <c r="ET265" s="30"/>
      <c r="EU265" s="30"/>
      <c r="EV265" s="30"/>
      <c r="EW265" s="30"/>
      <c r="EX265" s="30"/>
      <c r="EY265" s="30"/>
      <c r="EZ265" s="30"/>
      <c r="FA265" s="30"/>
      <c r="FB265" s="30"/>
      <c r="FC265" s="30"/>
      <c r="FD265" s="30"/>
      <c r="FE265" s="30"/>
      <c r="FF265" s="30"/>
      <c r="FG265" s="30"/>
      <c r="FH265" s="30"/>
      <c r="FI265" s="30"/>
      <c r="FJ265" s="30"/>
      <c r="FK265" s="30"/>
      <c r="FL265" s="30"/>
      <c r="FM265" s="30"/>
      <c r="FN265" s="30"/>
      <c r="FO265" s="30"/>
      <c r="FP265" s="30"/>
      <c r="FQ265" s="30"/>
      <c r="FR265" s="30"/>
      <c r="FS265" s="30"/>
      <c r="FT265" s="30"/>
      <c r="FU265" s="30"/>
      <c r="FV265" s="30"/>
      <c r="FW265" s="30"/>
      <c r="FX265" s="30"/>
      <c r="FY265" s="30"/>
      <c r="FZ265" s="30"/>
      <c r="GA265" s="30"/>
      <c r="GB265" s="30"/>
      <c r="GC265" s="30"/>
      <c r="GD265" s="30"/>
      <c r="GE265" s="30"/>
      <c r="GF265" s="30"/>
      <c r="GG265" s="30"/>
      <c r="GH265" s="30"/>
      <c r="GI265" s="30"/>
      <c r="GJ265" s="30"/>
      <c r="GK265" s="30"/>
      <c r="GL265" s="30"/>
      <c r="GM265" s="30"/>
      <c r="GN265" s="30"/>
      <c r="GO265" s="30"/>
      <c r="GP265" s="30"/>
      <c r="GQ265" s="30"/>
      <c r="GR265" s="30"/>
      <c r="GS265" s="30"/>
      <c r="GT265" s="30"/>
      <c r="GU265" s="30"/>
      <c r="GV265" s="30"/>
      <c r="GW265" s="30"/>
      <c r="GX265" s="30"/>
      <c r="GY265" s="30"/>
      <c r="GZ265" s="30"/>
      <c r="HA265" s="30"/>
      <c r="HB265" s="30"/>
      <c r="HC265" s="30"/>
      <c r="HD265" s="30"/>
      <c r="HE265" s="30"/>
      <c r="HF265" s="30"/>
      <c r="HG265" s="30"/>
      <c r="HH265" s="30"/>
      <c r="HI265" s="30"/>
      <c r="HJ265" s="30"/>
      <c r="HK265" s="30"/>
      <c r="HL265" s="30"/>
      <c r="HM265" s="30"/>
      <c r="HN265" s="30"/>
      <c r="HO265" s="30"/>
      <c r="HP265" s="30"/>
      <c r="HQ265" s="30"/>
      <c r="HR265" s="30"/>
      <c r="HS265" s="30"/>
      <c r="HT265" s="30"/>
      <c r="HU265" s="30"/>
      <c r="HV265" s="30"/>
      <c r="HW265" s="30"/>
      <c r="HX265" s="30"/>
      <c r="HY265" s="30"/>
      <c r="HZ265" s="30"/>
      <c r="IA265" s="30"/>
      <c r="IB265" s="30"/>
      <c r="IC265" s="30"/>
      <c r="ID265" s="30"/>
      <c r="IE265" s="30"/>
      <c r="IF265" s="30"/>
      <c r="IG265" s="30"/>
      <c r="IH265" s="30"/>
      <c r="II265" s="30"/>
      <c r="IJ265" s="30"/>
      <c r="IK265" s="30"/>
      <c r="IL265" s="30"/>
      <c r="IM265" s="30"/>
      <c r="IN265" s="30"/>
      <c r="IO265" s="30"/>
      <c r="IP265" s="30"/>
      <c r="IQ265" s="30"/>
      <c r="IR265" s="30"/>
      <c r="IS265" s="30"/>
      <c r="IT265" s="30"/>
      <c r="IU265" s="30"/>
      <c r="IV265" s="30"/>
      <c r="IW265" s="30"/>
      <c r="IX265" s="30"/>
      <c r="IY265" s="30"/>
      <c r="IZ265" s="30"/>
      <c r="JA265" s="30"/>
      <c r="JB265" s="30"/>
      <c r="JC265" s="30"/>
      <c r="JD265" s="30"/>
      <c r="JE265" s="30"/>
      <c r="JF265" s="30"/>
      <c r="JG265" s="30"/>
      <c r="JH265" s="30"/>
      <c r="JI265" s="30"/>
      <c r="JJ265" s="30"/>
      <c r="JK265" s="30"/>
      <c r="JL265" s="30"/>
      <c r="JM265" s="30"/>
      <c r="JN265" s="30"/>
      <c r="JO265" s="30"/>
      <c r="JP265" s="30"/>
      <c r="JQ265" s="30"/>
      <c r="JR265" s="30"/>
      <c r="JS265" s="30"/>
      <c r="JT265" s="30"/>
      <c r="JU265" s="30"/>
      <c r="JV265" s="30"/>
      <c r="JW265" s="30"/>
      <c r="JX265" s="30"/>
      <c r="JY265" s="30"/>
      <c r="JZ265" s="30"/>
      <c r="KA265" s="30"/>
      <c r="KB265" s="30"/>
      <c r="KC265" s="30"/>
      <c r="KD265" s="30"/>
      <c r="KE265" s="30"/>
      <c r="KF265" s="30"/>
      <c r="KG265" s="30"/>
      <c r="KH265" s="30"/>
      <c r="KI265" s="30"/>
      <c r="KJ265" s="30"/>
      <c r="KK265" s="30"/>
      <c r="KL265" s="30"/>
      <c r="KM265" s="30"/>
      <c r="KN265" s="30"/>
      <c r="KO265" s="30"/>
      <c r="KP265" s="1630"/>
    </row>
    <row r="266" spans="1:302" s="97" customFormat="1" ht="19.5" customHeight="1" outlineLevel="1">
      <c r="A266" s="2582" t="s">
        <v>1096</v>
      </c>
      <c r="B266" s="2608"/>
      <c r="C266" s="2582" t="s">
        <v>1109</v>
      </c>
      <c r="D266" s="2582" t="s">
        <v>1126</v>
      </c>
      <c r="E266" s="376"/>
      <c r="F266" s="347"/>
      <c r="G266" s="348"/>
      <c r="H266" s="349" t="s">
        <v>26</v>
      </c>
      <c r="I266" s="2936"/>
      <c r="J266" s="362" t="s">
        <v>26</v>
      </c>
      <c r="K266" s="1745"/>
      <c r="L266" s="383"/>
      <c r="M266" s="383"/>
      <c r="N266" s="383"/>
      <c r="O266" s="1510">
        <v>150000</v>
      </c>
      <c r="P266" s="383"/>
      <c r="Q266" s="383"/>
      <c r="R266" s="383"/>
      <c r="S266" s="1510">
        <f t="shared" si="274"/>
        <v>0</v>
      </c>
      <c r="T266" s="1509"/>
      <c r="U266" s="1746"/>
      <c r="V266" s="1746"/>
      <c r="W266" s="1510">
        <f t="shared" si="276"/>
        <v>150000</v>
      </c>
      <c r="X266" s="362" t="s">
        <v>26</v>
      </c>
      <c r="Y266" s="1509"/>
      <c r="Z266" s="1746"/>
      <c r="AA266" s="1746"/>
      <c r="AB266" s="1744">
        <f t="shared" si="294"/>
        <v>150000</v>
      </c>
      <c r="AC266" s="2704"/>
      <c r="AD266" s="1457"/>
      <c r="AE266" s="352"/>
      <c r="AF266" s="353"/>
      <c r="AG266" s="353"/>
      <c r="AH266" s="354">
        <f t="shared" si="273"/>
        <v>0</v>
      </c>
      <c r="AI266" s="355">
        <f t="shared" ca="1" si="293"/>
        <v>0</v>
      </c>
      <c r="AJ266" s="356">
        <f t="shared" ca="1" si="275"/>
        <v>0</v>
      </c>
      <c r="AK266" s="2185"/>
      <c r="AL266" s="2063"/>
      <c r="AM266" s="2262"/>
      <c r="AN266" s="2262"/>
      <c r="AO266" s="1509"/>
      <c r="AP266" s="384"/>
      <c r="AQ266" s="1509"/>
      <c r="AR266" s="362"/>
      <c r="AS266" s="362"/>
      <c r="AT266" s="385"/>
      <c r="AU266" s="359"/>
      <c r="AV266" s="359"/>
      <c r="AW266" s="377"/>
      <c r="AX266" s="359"/>
      <c r="AY266" s="360"/>
      <c r="AZ266" s="2273"/>
      <c r="BA266" s="497"/>
      <c r="BB266" s="359"/>
      <c r="BC266" s="359"/>
      <c r="BD266" s="359"/>
      <c r="BE266" s="359"/>
      <c r="BF266" s="359"/>
      <c r="BG266" s="359"/>
      <c r="BH266" s="359"/>
      <c r="BI266" s="380"/>
      <c r="BJ266" s="359">
        <v>18750</v>
      </c>
      <c r="BK266" s="2122">
        <v>18750</v>
      </c>
      <c r="BL266" s="380">
        <v>18750</v>
      </c>
      <c r="BM266" s="380">
        <v>18750</v>
      </c>
      <c r="BN266" s="380">
        <v>18750</v>
      </c>
      <c r="BO266" s="380">
        <v>18750</v>
      </c>
      <c r="BP266" s="380">
        <v>18750</v>
      </c>
      <c r="BQ266" s="2087">
        <v>18750</v>
      </c>
      <c r="BR266" s="359"/>
      <c r="BS266" s="359"/>
      <c r="BT266" s="362"/>
      <c r="BU266" s="364"/>
      <c r="BV266" s="364"/>
      <c r="BW266" s="2366"/>
      <c r="BX266" s="2463"/>
      <c r="BY266" s="2543"/>
      <c r="BZ266" s="2543"/>
      <c r="CA266" s="2432">
        <f t="shared" si="295"/>
        <v>150000</v>
      </c>
      <c r="CB266" s="2377">
        <f t="shared" si="296"/>
        <v>1</v>
      </c>
      <c r="CC266" s="365">
        <f t="shared" si="297"/>
        <v>6.6666666666666666E-6</v>
      </c>
      <c r="CD266" s="366"/>
      <c r="CE266" s="343"/>
      <c r="CF266" s="343"/>
      <c r="CG266" s="340"/>
      <c r="CH266" s="367"/>
      <c r="CI266" s="368"/>
      <c r="CJ266" s="368"/>
      <c r="CK266" s="369"/>
      <c r="CL266" s="329">
        <f t="shared" si="261"/>
        <v>0</v>
      </c>
      <c r="CM266" s="330">
        <f t="shared" ca="1" si="262"/>
        <v>0</v>
      </c>
      <c r="CN266" s="331">
        <f t="shared" ca="1" si="272"/>
        <v>-150000</v>
      </c>
      <c r="CO266" s="86"/>
      <c r="CP266" s="86"/>
      <c r="CQ266" s="1641"/>
      <c r="CR266" s="86"/>
      <c r="CS266" s="86"/>
      <c r="CT266" s="86"/>
      <c r="CU266" s="86"/>
      <c r="CV266" s="86"/>
      <c r="CW266" s="86"/>
      <c r="CX266" s="86"/>
      <c r="CY266" s="86"/>
      <c r="CZ266" s="86"/>
      <c r="DA266" s="86"/>
      <c r="DB266" s="1642"/>
      <c r="DC266" s="1642"/>
      <c r="DD266" s="30"/>
      <c r="DE266" s="30"/>
      <c r="DF266" s="30"/>
      <c r="DG266" s="1642"/>
      <c r="DH266" s="1642"/>
      <c r="DI266" s="1642"/>
      <c r="DJ266" s="1642"/>
      <c r="DK266" s="1642"/>
      <c r="DL266" s="1642"/>
      <c r="DM266" s="1642"/>
      <c r="DN266" s="1642"/>
      <c r="DO266" s="1642"/>
      <c r="DP266" s="1642"/>
      <c r="DQ266" s="1642"/>
      <c r="DR266" s="1642"/>
      <c r="DS266" s="1642"/>
      <c r="DT266" s="1642"/>
      <c r="DU266" s="1642"/>
      <c r="DV266" s="1642"/>
      <c r="DW266" s="1642"/>
      <c r="DX266" s="1642"/>
      <c r="DY266" s="1642"/>
      <c r="DZ266" s="1642"/>
      <c r="EA266" s="1642"/>
      <c r="EB266" s="1642"/>
      <c r="EC266" s="1642"/>
      <c r="ED266" s="1642"/>
      <c r="EE266" s="1642"/>
      <c r="EF266" s="1642"/>
      <c r="EG266" s="1642"/>
      <c r="EH266" s="1643"/>
      <c r="EI266" s="1658"/>
      <c r="EJ266" s="1642"/>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0"/>
      <c r="HP266" s="30"/>
      <c r="HQ266" s="30"/>
      <c r="HR266" s="30"/>
      <c r="HS266" s="30"/>
      <c r="HT266" s="30"/>
      <c r="HU266" s="30"/>
      <c r="HV266" s="30"/>
      <c r="HW266" s="30"/>
      <c r="HX266" s="30"/>
      <c r="HY266" s="30"/>
      <c r="HZ266" s="30"/>
      <c r="IA266" s="30"/>
      <c r="IB266" s="30"/>
      <c r="IC266" s="30"/>
      <c r="ID266" s="30"/>
      <c r="IE266" s="30"/>
      <c r="IF266" s="30"/>
      <c r="IG266" s="30"/>
      <c r="IH266" s="30"/>
      <c r="II266" s="30"/>
      <c r="IJ266" s="30"/>
      <c r="IK266" s="30"/>
      <c r="IL266" s="30"/>
      <c r="IM266" s="30"/>
      <c r="IN266" s="30"/>
      <c r="IO266" s="30"/>
      <c r="IP266" s="30"/>
      <c r="IQ266" s="30"/>
      <c r="IR266" s="30"/>
      <c r="IS266" s="30"/>
      <c r="IT266" s="30"/>
      <c r="IU266" s="30"/>
      <c r="IV266" s="30"/>
      <c r="IW266" s="30"/>
      <c r="IX266" s="30"/>
      <c r="IY266" s="30"/>
      <c r="IZ266" s="30"/>
      <c r="JA266" s="30"/>
      <c r="JB266" s="30"/>
      <c r="JC266" s="30"/>
      <c r="JD266" s="30"/>
      <c r="JE266" s="30"/>
      <c r="JF266" s="30"/>
      <c r="JG266" s="30"/>
      <c r="JH266" s="30"/>
      <c r="JI266" s="30"/>
      <c r="JJ266" s="30"/>
      <c r="JK266" s="30"/>
      <c r="JL266" s="30"/>
      <c r="JM266" s="30"/>
      <c r="JN266" s="30"/>
      <c r="JO266" s="30"/>
      <c r="JP266" s="30"/>
      <c r="JQ266" s="30"/>
      <c r="JR266" s="30"/>
      <c r="JS266" s="30"/>
      <c r="JT266" s="30"/>
      <c r="JU266" s="30"/>
      <c r="JV266" s="30"/>
      <c r="JW266" s="30"/>
      <c r="JX266" s="30"/>
      <c r="JY266" s="30"/>
      <c r="JZ266" s="30"/>
      <c r="KA266" s="30"/>
      <c r="KB266" s="30"/>
      <c r="KC266" s="30"/>
      <c r="KD266" s="30"/>
      <c r="KE266" s="30"/>
      <c r="KF266" s="30"/>
      <c r="KG266" s="30"/>
      <c r="KH266" s="30"/>
      <c r="KI266" s="30"/>
      <c r="KJ266" s="30"/>
      <c r="KK266" s="30"/>
      <c r="KL266" s="30"/>
      <c r="KM266" s="30"/>
      <c r="KN266" s="30"/>
      <c r="KO266" s="30"/>
      <c r="KP266" s="1630"/>
    </row>
    <row r="267" spans="1:302" s="97" customFormat="1" ht="13.9" outlineLevel="1">
      <c r="A267" s="2582" t="s">
        <v>1097</v>
      </c>
      <c r="B267" s="2608"/>
      <c r="C267" s="2582" t="s">
        <v>1110</v>
      </c>
      <c r="D267" s="2582" t="s">
        <v>1127</v>
      </c>
      <c r="E267" s="376"/>
      <c r="F267" s="347"/>
      <c r="G267" s="348"/>
      <c r="H267" s="349" t="s">
        <v>26</v>
      </c>
      <c r="I267" s="2936"/>
      <c r="J267" s="362" t="s">
        <v>26</v>
      </c>
      <c r="K267" s="1745"/>
      <c r="L267" s="383"/>
      <c r="M267" s="383"/>
      <c r="N267" s="383"/>
      <c r="O267" s="1510">
        <v>50000</v>
      </c>
      <c r="P267" s="383"/>
      <c r="Q267" s="383"/>
      <c r="R267" s="383"/>
      <c r="S267" s="1510">
        <f t="shared" si="274"/>
        <v>0</v>
      </c>
      <c r="T267" s="1509"/>
      <c r="U267" s="1746"/>
      <c r="V267" s="1746"/>
      <c r="W267" s="1510">
        <f t="shared" si="276"/>
        <v>50000</v>
      </c>
      <c r="X267" s="362" t="s">
        <v>26</v>
      </c>
      <c r="Y267" s="1509"/>
      <c r="Z267" s="1746"/>
      <c r="AA267" s="1746"/>
      <c r="AB267" s="1744">
        <f t="shared" si="294"/>
        <v>50000</v>
      </c>
      <c r="AC267" s="2704"/>
      <c r="AD267" s="1457"/>
      <c r="AE267" s="352"/>
      <c r="AF267" s="353"/>
      <c r="AG267" s="353"/>
      <c r="AH267" s="354">
        <f t="shared" si="273"/>
        <v>0</v>
      </c>
      <c r="AI267" s="355">
        <f t="shared" ca="1" si="293"/>
        <v>0</v>
      </c>
      <c r="AJ267" s="356">
        <f t="shared" ca="1" si="275"/>
        <v>0</v>
      </c>
      <c r="AK267" s="2185"/>
      <c r="AL267" s="2063"/>
      <c r="AM267" s="2262"/>
      <c r="AN267" s="2262"/>
      <c r="AO267" s="1509"/>
      <c r="AP267" s="384"/>
      <c r="AQ267" s="1509"/>
      <c r="AR267" s="362"/>
      <c r="AS267" s="362"/>
      <c r="AT267" s="385"/>
      <c r="AU267" s="359"/>
      <c r="AV267" s="359"/>
      <c r="AW267" s="377"/>
      <c r="AX267" s="359"/>
      <c r="AY267" s="360"/>
      <c r="AZ267" s="2273"/>
      <c r="BA267" s="497"/>
      <c r="BB267" s="359"/>
      <c r="BC267" s="359"/>
      <c r="BD267" s="359"/>
      <c r="BE267" s="359"/>
      <c r="BF267" s="359"/>
      <c r="BG267" s="359"/>
      <c r="BH267" s="359"/>
      <c r="BI267" s="380"/>
      <c r="BJ267" s="359">
        <v>6250</v>
      </c>
      <c r="BK267" s="2122">
        <v>6250</v>
      </c>
      <c r="BL267" s="380">
        <v>6250</v>
      </c>
      <c r="BM267" s="380">
        <v>6250</v>
      </c>
      <c r="BN267" s="380">
        <v>6250</v>
      </c>
      <c r="BO267" s="380">
        <v>6250</v>
      </c>
      <c r="BP267" s="380">
        <v>6250</v>
      </c>
      <c r="BQ267" s="2087">
        <v>6250</v>
      </c>
      <c r="BR267" s="359"/>
      <c r="BS267" s="359"/>
      <c r="BT267" s="362"/>
      <c r="BU267" s="364"/>
      <c r="BV267" s="364"/>
      <c r="BW267" s="2366"/>
      <c r="BX267" s="2463"/>
      <c r="BY267" s="2543"/>
      <c r="BZ267" s="2543"/>
      <c r="CA267" s="2432">
        <f t="shared" si="295"/>
        <v>50000</v>
      </c>
      <c r="CB267" s="2377">
        <f t="shared" si="296"/>
        <v>1</v>
      </c>
      <c r="CC267" s="365">
        <f t="shared" si="297"/>
        <v>2.0000000000000002E-5</v>
      </c>
      <c r="CD267" s="366"/>
      <c r="CE267" s="343"/>
      <c r="CF267" s="343"/>
      <c r="CG267" s="340"/>
      <c r="CH267" s="367"/>
      <c r="CI267" s="368"/>
      <c r="CJ267" s="368"/>
      <c r="CK267" s="369"/>
      <c r="CL267" s="329">
        <f t="shared" si="261"/>
        <v>0</v>
      </c>
      <c r="CM267" s="330">
        <f t="shared" ca="1" si="262"/>
        <v>0</v>
      </c>
      <c r="CN267" s="331">
        <f t="shared" ca="1" si="272"/>
        <v>-50000</v>
      </c>
      <c r="CO267" s="86"/>
      <c r="CP267" s="86"/>
      <c r="CQ267" s="1641"/>
      <c r="CR267" s="86"/>
      <c r="CS267" s="86"/>
      <c r="CT267" s="86"/>
      <c r="CU267" s="86"/>
      <c r="CV267" s="86"/>
      <c r="CW267" s="86"/>
      <c r="CX267" s="86"/>
      <c r="CY267" s="86"/>
      <c r="CZ267" s="86"/>
      <c r="DA267" s="86"/>
      <c r="DB267" s="1642"/>
      <c r="DC267" s="1642"/>
      <c r="DD267" s="30"/>
      <c r="DE267" s="30"/>
      <c r="DF267" s="30"/>
      <c r="DG267" s="1642"/>
      <c r="DH267" s="1642"/>
      <c r="DI267" s="1642"/>
      <c r="DJ267" s="1642"/>
      <c r="DK267" s="1642"/>
      <c r="DL267" s="1642"/>
      <c r="DM267" s="1642"/>
      <c r="DN267" s="1642"/>
      <c r="DO267" s="1642"/>
      <c r="DP267" s="1642"/>
      <c r="DQ267" s="1642"/>
      <c r="DR267" s="1642"/>
      <c r="DS267" s="1642"/>
      <c r="DT267" s="1642"/>
      <c r="DU267" s="1642"/>
      <c r="DV267" s="1642"/>
      <c r="DW267" s="1642"/>
      <c r="DX267" s="1642"/>
      <c r="DY267" s="1642"/>
      <c r="DZ267" s="1642"/>
      <c r="EA267" s="1642"/>
      <c r="EB267" s="1642"/>
      <c r="EC267" s="1642"/>
      <c r="ED267" s="1642"/>
      <c r="EE267" s="1642"/>
      <c r="EF267" s="1642"/>
      <c r="EG267" s="1642"/>
      <c r="EH267" s="1643"/>
      <c r="EI267" s="1658"/>
      <c r="EJ267" s="1642"/>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0"/>
      <c r="HP267" s="30"/>
      <c r="HQ267" s="30"/>
      <c r="HR267" s="30"/>
      <c r="HS267" s="30"/>
      <c r="HT267" s="30"/>
      <c r="HU267" s="30"/>
      <c r="HV267" s="30"/>
      <c r="HW267" s="30"/>
      <c r="HX267" s="30"/>
      <c r="HY267" s="30"/>
      <c r="HZ267" s="30"/>
      <c r="IA267" s="30"/>
      <c r="IB267" s="30"/>
      <c r="IC267" s="30"/>
      <c r="ID267" s="30"/>
      <c r="IE267" s="30"/>
      <c r="IF267" s="30"/>
      <c r="IG267" s="30"/>
      <c r="IH267" s="30"/>
      <c r="II267" s="30"/>
      <c r="IJ267" s="30"/>
      <c r="IK267" s="30"/>
      <c r="IL267" s="30"/>
      <c r="IM267" s="30"/>
      <c r="IN267" s="30"/>
      <c r="IO267" s="30"/>
      <c r="IP267" s="30"/>
      <c r="IQ267" s="30"/>
      <c r="IR267" s="30"/>
      <c r="IS267" s="30"/>
      <c r="IT267" s="30"/>
      <c r="IU267" s="30"/>
      <c r="IV267" s="30"/>
      <c r="IW267" s="30"/>
      <c r="IX267" s="30"/>
      <c r="IY267" s="30"/>
      <c r="IZ267" s="30"/>
      <c r="JA267" s="30"/>
      <c r="JB267" s="30"/>
      <c r="JC267" s="30"/>
      <c r="JD267" s="30"/>
      <c r="JE267" s="30"/>
      <c r="JF267" s="30"/>
      <c r="JG267" s="30"/>
      <c r="JH267" s="30"/>
      <c r="JI267" s="30"/>
      <c r="JJ267" s="30"/>
      <c r="JK267" s="30"/>
      <c r="JL267" s="30"/>
      <c r="JM267" s="30"/>
      <c r="JN267" s="30"/>
      <c r="JO267" s="30"/>
      <c r="JP267" s="30"/>
      <c r="JQ267" s="30"/>
      <c r="JR267" s="30"/>
      <c r="JS267" s="30"/>
      <c r="JT267" s="30"/>
      <c r="JU267" s="30"/>
      <c r="JV267" s="30"/>
      <c r="JW267" s="30"/>
      <c r="JX267" s="30"/>
      <c r="JY267" s="30"/>
      <c r="JZ267" s="30"/>
      <c r="KA267" s="30"/>
      <c r="KB267" s="30"/>
      <c r="KC267" s="30"/>
      <c r="KD267" s="30"/>
      <c r="KE267" s="30"/>
      <c r="KF267" s="30"/>
      <c r="KG267" s="30"/>
      <c r="KH267" s="30"/>
      <c r="KI267" s="30"/>
      <c r="KJ267" s="30"/>
      <c r="KK267" s="30"/>
      <c r="KL267" s="30"/>
      <c r="KM267" s="30"/>
      <c r="KN267" s="30"/>
      <c r="KO267" s="30"/>
      <c r="KP267" s="1630"/>
    </row>
    <row r="268" spans="1:302" s="237" customFormat="1" ht="13.9" outlineLevel="1">
      <c r="A268" s="2582" t="s">
        <v>1098</v>
      </c>
      <c r="B268" s="2608"/>
      <c r="C268" s="2582" t="s">
        <v>1111</v>
      </c>
      <c r="D268" s="2582" t="s">
        <v>1128</v>
      </c>
      <c r="E268" s="2220"/>
      <c r="F268" s="2214"/>
      <c r="G268" s="2215"/>
      <c r="H268" s="2216" t="s">
        <v>26</v>
      </c>
      <c r="I268" s="2936"/>
      <c r="J268" s="2203" t="s">
        <v>26</v>
      </c>
      <c r="K268" s="2217"/>
      <c r="L268" s="2218"/>
      <c r="M268" s="2218"/>
      <c r="N268" s="2218"/>
      <c r="O268" s="1510">
        <v>350000</v>
      </c>
      <c r="P268" s="2218"/>
      <c r="Q268" s="2218"/>
      <c r="R268" s="2218"/>
      <c r="S268" s="2197">
        <f t="shared" si="274"/>
        <v>0</v>
      </c>
      <c r="T268" s="2221"/>
      <c r="U268" s="2198"/>
      <c r="V268" s="2198"/>
      <c r="W268" s="1510">
        <f t="shared" si="276"/>
        <v>350000</v>
      </c>
      <c r="X268" s="2203" t="s">
        <v>26</v>
      </c>
      <c r="Y268" s="2221"/>
      <c r="Z268" s="2197"/>
      <c r="AA268" s="2197"/>
      <c r="AB268" s="1744">
        <f t="shared" si="294"/>
        <v>350000</v>
      </c>
      <c r="AC268" s="2704"/>
      <c r="AD268" s="2222"/>
      <c r="AE268" s="2223"/>
      <c r="AF268" s="2224"/>
      <c r="AG268" s="2224"/>
      <c r="AH268" s="2199">
        <f t="shared" si="273"/>
        <v>0</v>
      </c>
      <c r="AI268" s="2200">
        <f t="shared" ca="1" si="293"/>
        <v>0</v>
      </c>
      <c r="AJ268" s="2201">
        <f t="shared" ca="1" si="275"/>
        <v>0</v>
      </c>
      <c r="AK268" s="2202"/>
      <c r="AL268" s="2225"/>
      <c r="AM268" s="2263"/>
      <c r="AN268" s="2263"/>
      <c r="AO268" s="2221"/>
      <c r="AP268" s="2226"/>
      <c r="AQ268" s="2221"/>
      <c r="AR268" s="2203"/>
      <c r="AS268" s="2203"/>
      <c r="AT268" s="2227"/>
      <c r="AU268" s="2180"/>
      <c r="AV268" s="2180"/>
      <c r="AW268" s="2196"/>
      <c r="AX268" s="2180"/>
      <c r="AY268" s="2318"/>
      <c r="AZ268" s="2334"/>
      <c r="BA268" s="2180"/>
      <c r="BB268" s="2180"/>
      <c r="BC268" s="2180"/>
      <c r="BD268" s="2180"/>
      <c r="BE268" s="2180"/>
      <c r="BF268" s="2180"/>
      <c r="BG268" s="2180"/>
      <c r="BH268" s="2180"/>
      <c r="BI268" s="2180"/>
      <c r="BJ268" s="359">
        <v>43750</v>
      </c>
      <c r="BK268" s="2122">
        <v>43750</v>
      </c>
      <c r="BL268" s="380">
        <v>43750</v>
      </c>
      <c r="BM268" s="380">
        <v>43750</v>
      </c>
      <c r="BN268" s="380">
        <v>43750</v>
      </c>
      <c r="BO268" s="380">
        <v>43750</v>
      </c>
      <c r="BP268" s="380">
        <v>43750</v>
      </c>
      <c r="BQ268" s="2087">
        <v>43750</v>
      </c>
      <c r="BR268" s="2180"/>
      <c r="BS268" s="2180"/>
      <c r="BT268" s="2203"/>
      <c r="BU268" s="2219"/>
      <c r="BV268" s="2219"/>
      <c r="BW268" s="2367"/>
      <c r="BX268" s="2464"/>
      <c r="BY268" s="2544"/>
      <c r="BZ268" s="2544"/>
      <c r="CA268" s="2432">
        <f t="shared" si="295"/>
        <v>350000</v>
      </c>
      <c r="CB268" s="2377">
        <f t="shared" si="296"/>
        <v>1</v>
      </c>
      <c r="CC268" s="365">
        <f t="shared" si="297"/>
        <v>2.8571428571428573E-6</v>
      </c>
      <c r="CD268" s="2200"/>
      <c r="CE268" s="2229"/>
      <c r="CF268" s="2229"/>
      <c r="CG268" s="2228"/>
      <c r="CH268" s="2230"/>
      <c r="CI268" s="2231"/>
      <c r="CJ268" s="2231"/>
      <c r="CK268" s="2228"/>
      <c r="CL268" s="329">
        <f t="shared" si="261"/>
        <v>0</v>
      </c>
      <c r="CM268" s="330">
        <f t="shared" ca="1" si="262"/>
        <v>0</v>
      </c>
      <c r="CN268" s="331">
        <f t="shared" ca="1" si="272"/>
        <v>-350000</v>
      </c>
      <c r="CO268" s="2232"/>
      <c r="CP268" s="2232"/>
      <c r="CQ268" s="2233"/>
      <c r="CR268" s="2232"/>
      <c r="CS268" s="2232"/>
      <c r="CT268" s="1646"/>
      <c r="CU268" s="1646"/>
      <c r="CV268" s="1646"/>
      <c r="CW268" s="1646"/>
      <c r="CX268" s="1646"/>
      <c r="CY268" s="86"/>
      <c r="CZ268" s="86"/>
      <c r="DA268" s="1646"/>
      <c r="DB268" s="1647"/>
      <c r="DC268" s="1647"/>
      <c r="DD268" s="1648"/>
      <c r="DE268" s="1648"/>
      <c r="DF268" s="1648"/>
      <c r="DG268" s="1647"/>
      <c r="DH268" s="1647"/>
      <c r="DI268" s="1647"/>
      <c r="DJ268" s="1647"/>
      <c r="DK268" s="1647"/>
      <c r="DL268" s="1647"/>
      <c r="DM268" s="1647"/>
      <c r="DN268" s="1647"/>
      <c r="DO268" s="1647"/>
      <c r="DP268" s="1647"/>
      <c r="DQ268" s="1647"/>
      <c r="DR268" s="1647"/>
      <c r="DS268" s="1647"/>
      <c r="DT268" s="1647"/>
      <c r="DU268" s="1647"/>
      <c r="DV268" s="1647"/>
      <c r="DW268" s="1647"/>
      <c r="DX268" s="1647"/>
      <c r="DY268" s="1647"/>
      <c r="DZ268" s="1647"/>
      <c r="EA268" s="1647"/>
      <c r="EB268" s="1647"/>
      <c r="EC268" s="1647"/>
      <c r="ED268" s="1647"/>
      <c r="EE268" s="1647"/>
      <c r="EF268" s="1647"/>
      <c r="EG268" s="1647"/>
      <c r="EH268" s="1649"/>
      <c r="EI268" s="1658"/>
      <c r="EJ268" s="1642"/>
      <c r="EK268" s="1648"/>
      <c r="EL268" s="1648"/>
      <c r="EM268" s="1648"/>
      <c r="EN268" s="1648"/>
      <c r="EO268" s="1648"/>
      <c r="EP268" s="1648"/>
      <c r="EQ268" s="1648"/>
      <c r="ER268" s="1648"/>
      <c r="ES268" s="1648"/>
      <c r="ET268" s="1648"/>
      <c r="EU268" s="1648"/>
      <c r="EV268" s="1648"/>
      <c r="EW268" s="1648"/>
      <c r="EX268" s="1648"/>
      <c r="EY268" s="1648"/>
      <c r="EZ268" s="1648"/>
      <c r="FA268" s="1648"/>
      <c r="FB268" s="1648"/>
      <c r="FC268" s="1648"/>
      <c r="FD268" s="1648"/>
      <c r="FE268" s="1648"/>
      <c r="FF268" s="1648"/>
      <c r="FG268" s="1648"/>
      <c r="FH268" s="1648"/>
      <c r="FI268" s="1648"/>
      <c r="FJ268" s="1648"/>
      <c r="FK268" s="1648"/>
      <c r="FL268" s="1648"/>
      <c r="FM268" s="1648"/>
      <c r="FN268" s="1648"/>
      <c r="FO268" s="1648"/>
      <c r="FP268" s="1648"/>
      <c r="FQ268" s="1648"/>
      <c r="FR268" s="1648"/>
      <c r="FS268" s="1648"/>
      <c r="FT268" s="1648"/>
      <c r="FU268" s="1648"/>
      <c r="FV268" s="1648"/>
      <c r="FW268" s="1648"/>
      <c r="FX268" s="1648"/>
      <c r="FY268" s="1648"/>
      <c r="FZ268" s="1648"/>
      <c r="GA268" s="1648"/>
      <c r="GB268" s="1648"/>
      <c r="GC268" s="1648"/>
      <c r="GD268" s="1648"/>
      <c r="GE268" s="1648"/>
      <c r="GF268" s="1648"/>
      <c r="GG268" s="1648"/>
      <c r="GH268" s="1648"/>
      <c r="GI268" s="1648"/>
      <c r="GJ268" s="1648"/>
      <c r="GK268" s="1648"/>
      <c r="GL268" s="1648"/>
      <c r="GM268" s="1648"/>
      <c r="GN268" s="1648"/>
      <c r="GO268" s="1648"/>
      <c r="GP268" s="1648"/>
      <c r="GQ268" s="1648"/>
      <c r="GR268" s="1648"/>
      <c r="GS268" s="1648"/>
      <c r="GT268" s="1648"/>
      <c r="GU268" s="1648"/>
      <c r="GV268" s="1648"/>
      <c r="GW268" s="1648"/>
      <c r="GX268" s="1648"/>
      <c r="GY268" s="1648"/>
      <c r="GZ268" s="1648"/>
      <c r="HA268" s="1648"/>
      <c r="HB268" s="1648"/>
      <c r="HC268" s="1648"/>
      <c r="HD268" s="1648"/>
      <c r="HE268" s="1648"/>
      <c r="HF268" s="1648"/>
      <c r="HG268" s="1648"/>
      <c r="HH268" s="1648"/>
      <c r="HI268" s="1648"/>
      <c r="HJ268" s="1648"/>
      <c r="HK268" s="1648"/>
      <c r="HL268" s="1648"/>
      <c r="HM268" s="1648"/>
      <c r="HN268" s="1648"/>
      <c r="HO268" s="1648"/>
      <c r="HP268" s="1648"/>
      <c r="HQ268" s="1648"/>
      <c r="HR268" s="1648"/>
      <c r="HS268" s="1648"/>
      <c r="HT268" s="1648"/>
      <c r="HU268" s="1648"/>
      <c r="HV268" s="1648"/>
      <c r="HW268" s="1648"/>
      <c r="HX268" s="1648"/>
      <c r="HY268" s="1648"/>
      <c r="HZ268" s="1648"/>
      <c r="IA268" s="1648"/>
      <c r="IB268" s="1648"/>
      <c r="IC268" s="1648"/>
      <c r="ID268" s="1648"/>
      <c r="IE268" s="1648"/>
      <c r="IF268" s="1648"/>
      <c r="IG268" s="1648"/>
      <c r="IH268" s="1648"/>
      <c r="II268" s="1648"/>
      <c r="IJ268" s="1648"/>
      <c r="IK268" s="1648"/>
      <c r="IL268" s="1648"/>
      <c r="IM268" s="1648"/>
      <c r="IN268" s="1648"/>
      <c r="IO268" s="1648"/>
      <c r="IP268" s="1648"/>
      <c r="IQ268" s="1648"/>
      <c r="IR268" s="1648"/>
      <c r="IS268" s="1648"/>
      <c r="IT268" s="1648"/>
      <c r="IU268" s="1648"/>
      <c r="IV268" s="1648"/>
      <c r="IW268" s="1648"/>
      <c r="IX268" s="1648"/>
      <c r="IY268" s="1648"/>
      <c r="IZ268" s="1648"/>
      <c r="JA268" s="1648"/>
      <c r="JB268" s="1648"/>
      <c r="JC268" s="1648"/>
      <c r="JD268" s="1648"/>
      <c r="JE268" s="1648"/>
      <c r="JF268" s="1648"/>
      <c r="JG268" s="1648"/>
      <c r="JH268" s="1648"/>
      <c r="JI268" s="1648"/>
      <c r="JJ268" s="1648"/>
      <c r="JK268" s="1648"/>
      <c r="JL268" s="1648"/>
      <c r="JM268" s="1648"/>
      <c r="JN268" s="1648"/>
      <c r="JO268" s="1648"/>
      <c r="JP268" s="1648"/>
      <c r="JQ268" s="1648"/>
      <c r="JR268" s="1648"/>
      <c r="JS268" s="1648"/>
      <c r="JT268" s="1648"/>
      <c r="JU268" s="1648"/>
      <c r="JV268" s="1648"/>
      <c r="JW268" s="1648"/>
      <c r="JX268" s="1648"/>
      <c r="JY268" s="1648"/>
      <c r="JZ268" s="1648"/>
      <c r="KA268" s="1648"/>
      <c r="KB268" s="1648"/>
      <c r="KC268" s="1648"/>
      <c r="KD268" s="1648"/>
      <c r="KE268" s="1648"/>
      <c r="KF268" s="1648"/>
      <c r="KG268" s="1648"/>
      <c r="KH268" s="1648"/>
      <c r="KI268" s="1648"/>
      <c r="KJ268" s="1648"/>
      <c r="KK268" s="1648"/>
      <c r="KL268" s="1648"/>
      <c r="KM268" s="1648"/>
      <c r="KN268" s="1648"/>
      <c r="KO268" s="1648"/>
      <c r="KP268" s="1631"/>
    </row>
    <row r="269" spans="1:302" s="97" customFormat="1" ht="13.9" outlineLevel="1">
      <c r="A269" s="2582" t="s">
        <v>1099</v>
      </c>
      <c r="B269" s="2608"/>
      <c r="C269" s="2582" t="s">
        <v>1112</v>
      </c>
      <c r="D269" s="2582" t="s">
        <v>1129</v>
      </c>
      <c r="E269" s="376"/>
      <c r="F269" s="347"/>
      <c r="G269" s="348"/>
      <c r="H269" s="349" t="s">
        <v>26</v>
      </c>
      <c r="I269" s="2936"/>
      <c r="J269" s="362" t="s">
        <v>26</v>
      </c>
      <c r="K269" s="1745"/>
      <c r="L269" s="383"/>
      <c r="M269" s="383"/>
      <c r="N269" s="383"/>
      <c r="O269" s="1510">
        <v>200000</v>
      </c>
      <c r="P269" s="383"/>
      <c r="Q269" s="383"/>
      <c r="R269" s="383"/>
      <c r="S269" s="1510">
        <f t="shared" si="274"/>
        <v>0</v>
      </c>
      <c r="T269" s="1509"/>
      <c r="U269" s="1746"/>
      <c r="V269" s="1746"/>
      <c r="W269" s="1510">
        <f t="shared" si="276"/>
        <v>200000</v>
      </c>
      <c r="X269" s="362" t="s">
        <v>26</v>
      </c>
      <c r="Y269" s="1509"/>
      <c r="Z269" s="1510"/>
      <c r="AA269" s="1510"/>
      <c r="AB269" s="1744">
        <f t="shared" si="294"/>
        <v>200000</v>
      </c>
      <c r="AC269" s="2704"/>
      <c r="AD269" s="1457"/>
      <c r="AE269" s="352"/>
      <c r="AF269" s="353"/>
      <c r="AG269" s="353"/>
      <c r="AH269" s="354">
        <f t="shared" si="273"/>
        <v>0</v>
      </c>
      <c r="AI269" s="355">
        <f t="shared" ca="1" si="293"/>
        <v>0</v>
      </c>
      <c r="AJ269" s="356">
        <f t="shared" ca="1" si="275"/>
        <v>0</v>
      </c>
      <c r="AK269" s="2185"/>
      <c r="AL269" s="2063"/>
      <c r="AM269" s="2262"/>
      <c r="AN269" s="2262"/>
      <c r="AO269" s="1509"/>
      <c r="AP269" s="384"/>
      <c r="AQ269" s="1509"/>
      <c r="AR269" s="362"/>
      <c r="AS269" s="362"/>
      <c r="AT269" s="385"/>
      <c r="AU269" s="359"/>
      <c r="AV269" s="359"/>
      <c r="AW269" s="377"/>
      <c r="AX269" s="359"/>
      <c r="AY269" s="360"/>
      <c r="AZ269" s="2273"/>
      <c r="BA269" s="497"/>
      <c r="BB269" s="359"/>
      <c r="BC269" s="359"/>
      <c r="BD269" s="359"/>
      <c r="BE269" s="359"/>
      <c r="BF269" s="359"/>
      <c r="BG269" s="359"/>
      <c r="BH269" s="359"/>
      <c r="BI269" s="380"/>
      <c r="BJ269" s="359">
        <v>25000</v>
      </c>
      <c r="BK269" s="2122">
        <v>25000</v>
      </c>
      <c r="BL269" s="380">
        <v>25000</v>
      </c>
      <c r="BM269" s="380">
        <v>25000</v>
      </c>
      <c r="BN269" s="380">
        <v>25000</v>
      </c>
      <c r="BO269" s="380">
        <v>25000</v>
      </c>
      <c r="BP269" s="380">
        <v>25000</v>
      </c>
      <c r="BQ269" s="2087">
        <v>25000</v>
      </c>
      <c r="BR269" s="359"/>
      <c r="BS269" s="359"/>
      <c r="BT269" s="362"/>
      <c r="BU269" s="364"/>
      <c r="BV269" s="364"/>
      <c r="BW269" s="2366"/>
      <c r="BX269" s="2463"/>
      <c r="BY269" s="2543"/>
      <c r="BZ269" s="2543"/>
      <c r="CA269" s="2432">
        <f t="shared" si="295"/>
        <v>200000</v>
      </c>
      <c r="CB269" s="2377">
        <f t="shared" si="296"/>
        <v>1</v>
      </c>
      <c r="CC269" s="365">
        <f t="shared" si="297"/>
        <v>5.0000000000000004E-6</v>
      </c>
      <c r="CD269" s="366"/>
      <c r="CE269" s="343"/>
      <c r="CF269" s="343"/>
      <c r="CG269" s="340"/>
      <c r="CH269" s="367"/>
      <c r="CI269" s="368"/>
      <c r="CJ269" s="368"/>
      <c r="CK269" s="369"/>
      <c r="CL269" s="329">
        <f t="shared" si="261"/>
        <v>0</v>
      </c>
      <c r="CM269" s="330">
        <f t="shared" ca="1" si="262"/>
        <v>0</v>
      </c>
      <c r="CN269" s="331">
        <f t="shared" ca="1" si="272"/>
        <v>-200000</v>
      </c>
      <c r="CO269" s="1644"/>
      <c r="CP269" s="1644"/>
      <c r="CQ269" s="1645"/>
      <c r="CR269" s="1644"/>
      <c r="CS269" s="1644"/>
      <c r="CT269" s="86"/>
      <c r="CU269" s="86"/>
      <c r="CV269" s="86"/>
      <c r="CW269" s="86"/>
      <c r="CX269" s="86"/>
      <c r="CY269" s="86"/>
      <c r="CZ269" s="86"/>
      <c r="DA269" s="86"/>
      <c r="DB269" s="1642"/>
      <c r="DC269" s="1642"/>
      <c r="DD269" s="30"/>
      <c r="DE269" s="30"/>
      <c r="DF269" s="30"/>
      <c r="DG269" s="1642"/>
      <c r="DH269" s="1642"/>
      <c r="DI269" s="1642"/>
      <c r="DJ269" s="1642"/>
      <c r="DK269" s="1642"/>
      <c r="DL269" s="1642"/>
      <c r="DM269" s="1642"/>
      <c r="DN269" s="1642"/>
      <c r="DO269" s="1642"/>
      <c r="DP269" s="1642"/>
      <c r="DQ269" s="1642"/>
      <c r="DR269" s="1642"/>
      <c r="DS269" s="1642"/>
      <c r="DT269" s="1642"/>
      <c r="DU269" s="1642"/>
      <c r="DV269" s="1642"/>
      <c r="DW269" s="1642"/>
      <c r="DX269" s="1642"/>
      <c r="DY269" s="1642"/>
      <c r="DZ269" s="1642"/>
      <c r="EA269" s="1642"/>
      <c r="EB269" s="1642"/>
      <c r="EC269" s="1642"/>
      <c r="ED269" s="1642"/>
      <c r="EE269" s="1642"/>
      <c r="EF269" s="1642"/>
      <c r="EG269" s="1642"/>
      <c r="EH269" s="1643"/>
      <c r="EI269" s="1658"/>
      <c r="EJ269" s="1642"/>
      <c r="EK269" s="30"/>
      <c r="EL269" s="30"/>
      <c r="EM269" s="30"/>
      <c r="EN269" s="30"/>
      <c r="EO269" s="30"/>
      <c r="EP269" s="30"/>
      <c r="EQ269" s="30"/>
      <c r="ER269" s="30"/>
      <c r="ES269" s="30"/>
      <c r="ET269" s="30"/>
      <c r="EU269" s="30"/>
      <c r="EV269" s="30"/>
      <c r="EW269" s="30"/>
      <c r="EX269" s="30"/>
      <c r="EY269" s="30"/>
      <c r="EZ269" s="30"/>
      <c r="FA269" s="30"/>
      <c r="FB269" s="30"/>
      <c r="FC269" s="30"/>
      <c r="FD269" s="30"/>
      <c r="FE269" s="30"/>
      <c r="FF269" s="30"/>
      <c r="FG269" s="30"/>
      <c r="FH269" s="30"/>
      <c r="FI269" s="30"/>
      <c r="FJ269" s="30"/>
      <c r="FK269" s="30"/>
      <c r="FL269" s="30"/>
      <c r="FM269" s="30"/>
      <c r="FN269" s="30"/>
      <c r="FO269" s="30"/>
      <c r="FP269" s="30"/>
      <c r="FQ269" s="30"/>
      <c r="FR269" s="30"/>
      <c r="FS269" s="30"/>
      <c r="FT269" s="30"/>
      <c r="FU269" s="30"/>
      <c r="FV269" s="30"/>
      <c r="FW269" s="30"/>
      <c r="FX269" s="30"/>
      <c r="FY269" s="30"/>
      <c r="FZ269" s="30"/>
      <c r="GA269" s="30"/>
      <c r="GB269" s="30"/>
      <c r="GC269" s="30"/>
      <c r="GD269" s="30"/>
      <c r="GE269" s="30"/>
      <c r="GF269" s="30"/>
      <c r="GG269" s="30"/>
      <c r="GH269" s="30"/>
      <c r="GI269" s="30"/>
      <c r="GJ269" s="30"/>
      <c r="GK269" s="30"/>
      <c r="GL269" s="30"/>
      <c r="GM269" s="30"/>
      <c r="GN269" s="30"/>
      <c r="GO269" s="30"/>
      <c r="GP269" s="30"/>
      <c r="GQ269" s="30"/>
      <c r="GR269" s="30"/>
      <c r="GS269" s="30"/>
      <c r="GT269" s="30"/>
      <c r="GU269" s="30"/>
      <c r="GV269" s="30"/>
      <c r="GW269" s="30"/>
      <c r="GX269" s="30"/>
      <c r="GY269" s="30"/>
      <c r="GZ269" s="30"/>
      <c r="HA269" s="30"/>
      <c r="HB269" s="30"/>
      <c r="HC269" s="30"/>
      <c r="HD269" s="30"/>
      <c r="HE269" s="30"/>
      <c r="HF269" s="30"/>
      <c r="HG269" s="30"/>
      <c r="HH269" s="30"/>
      <c r="HI269" s="30"/>
      <c r="HJ269" s="30"/>
      <c r="HK269" s="30"/>
      <c r="HL269" s="30"/>
      <c r="HM269" s="30"/>
      <c r="HN269" s="30"/>
      <c r="HO269" s="30"/>
      <c r="HP269" s="30"/>
      <c r="HQ269" s="30"/>
      <c r="HR269" s="30"/>
      <c r="HS269" s="30"/>
      <c r="HT269" s="30"/>
      <c r="HU269" s="30"/>
      <c r="HV269" s="30"/>
      <c r="HW269" s="30"/>
      <c r="HX269" s="30"/>
      <c r="HY269" s="30"/>
      <c r="HZ269" s="30"/>
      <c r="IA269" s="30"/>
      <c r="IB269" s="30"/>
      <c r="IC269" s="30"/>
      <c r="ID269" s="30"/>
      <c r="IE269" s="30"/>
      <c r="IF269" s="30"/>
      <c r="IG269" s="30"/>
      <c r="IH269" s="30"/>
      <c r="II269" s="30"/>
      <c r="IJ269" s="30"/>
      <c r="IK269" s="30"/>
      <c r="IL269" s="30"/>
      <c r="IM269" s="30"/>
      <c r="IN269" s="30"/>
      <c r="IO269" s="30"/>
      <c r="IP269" s="30"/>
      <c r="IQ269" s="30"/>
      <c r="IR269" s="30"/>
      <c r="IS269" s="30"/>
      <c r="IT269" s="30"/>
      <c r="IU269" s="30"/>
      <c r="IV269" s="30"/>
      <c r="IW269" s="30"/>
      <c r="IX269" s="30"/>
      <c r="IY269" s="30"/>
      <c r="IZ269" s="30"/>
      <c r="JA269" s="30"/>
      <c r="JB269" s="30"/>
      <c r="JC269" s="30"/>
      <c r="JD269" s="30"/>
      <c r="JE269" s="30"/>
      <c r="JF269" s="30"/>
      <c r="JG269" s="30"/>
      <c r="JH269" s="30"/>
      <c r="JI269" s="30"/>
      <c r="JJ269" s="30"/>
      <c r="JK269" s="30"/>
      <c r="JL269" s="30"/>
      <c r="JM269" s="30"/>
      <c r="JN269" s="30"/>
      <c r="JO269" s="30"/>
      <c r="JP269" s="30"/>
      <c r="JQ269" s="30"/>
      <c r="JR269" s="30"/>
      <c r="JS269" s="30"/>
      <c r="JT269" s="30"/>
      <c r="JU269" s="30"/>
      <c r="JV269" s="30"/>
      <c r="JW269" s="30"/>
      <c r="JX269" s="30"/>
      <c r="JY269" s="30"/>
      <c r="JZ269" s="30"/>
      <c r="KA269" s="30"/>
      <c r="KB269" s="30"/>
      <c r="KC269" s="30"/>
      <c r="KD269" s="30"/>
      <c r="KE269" s="30"/>
      <c r="KF269" s="30"/>
      <c r="KG269" s="30"/>
      <c r="KH269" s="30"/>
      <c r="KI269" s="30"/>
      <c r="KJ269" s="30"/>
      <c r="KK269" s="30"/>
      <c r="KL269" s="30"/>
      <c r="KM269" s="30"/>
      <c r="KN269" s="30"/>
      <c r="KO269" s="30"/>
      <c r="KP269" s="1630"/>
    </row>
    <row r="270" spans="1:302" s="97" customFormat="1" ht="13.9" outlineLevel="1">
      <c r="A270" s="2582" t="s">
        <v>1100</v>
      </c>
      <c r="B270" s="2608"/>
      <c r="C270" s="2582" t="s">
        <v>1113</v>
      </c>
      <c r="D270" s="2582" t="s">
        <v>1130</v>
      </c>
      <c r="E270" s="376"/>
      <c r="F270" s="347"/>
      <c r="G270" s="348"/>
      <c r="H270" s="349" t="s">
        <v>26</v>
      </c>
      <c r="I270" s="2936"/>
      <c r="J270" s="362" t="s">
        <v>26</v>
      </c>
      <c r="K270" s="1745"/>
      <c r="L270" s="383"/>
      <c r="M270" s="383"/>
      <c r="N270" s="383"/>
      <c r="O270" s="1510">
        <v>150000</v>
      </c>
      <c r="P270" s="383"/>
      <c r="Q270" s="383"/>
      <c r="R270" s="383"/>
      <c r="S270" s="1510">
        <f t="shared" si="274"/>
        <v>0</v>
      </c>
      <c r="T270" s="1509"/>
      <c r="U270" s="1746"/>
      <c r="V270" s="1746"/>
      <c r="W270" s="1510">
        <f t="shared" si="276"/>
        <v>150000</v>
      </c>
      <c r="X270" s="362" t="s">
        <v>26</v>
      </c>
      <c r="Y270" s="1509"/>
      <c r="Z270" s="1510"/>
      <c r="AA270" s="1510"/>
      <c r="AB270" s="1744">
        <f t="shared" si="294"/>
        <v>150000</v>
      </c>
      <c r="AC270" s="2704"/>
      <c r="AD270" s="1457"/>
      <c r="AE270" s="352"/>
      <c r="AF270" s="353"/>
      <c r="AG270" s="353"/>
      <c r="AH270" s="354">
        <f t="shared" si="273"/>
        <v>0</v>
      </c>
      <c r="AI270" s="355">
        <f t="shared" ca="1" si="293"/>
        <v>0</v>
      </c>
      <c r="AJ270" s="356">
        <f t="shared" ca="1" si="275"/>
        <v>0</v>
      </c>
      <c r="AK270" s="2185"/>
      <c r="AL270" s="2063"/>
      <c r="AM270" s="2262"/>
      <c r="AN270" s="2262"/>
      <c r="AO270" s="1509"/>
      <c r="AP270" s="384"/>
      <c r="AQ270" s="1509"/>
      <c r="AR270" s="362"/>
      <c r="AS270" s="362"/>
      <c r="AT270" s="385"/>
      <c r="AU270" s="359"/>
      <c r="AV270" s="359"/>
      <c r="AW270" s="377"/>
      <c r="AX270" s="359"/>
      <c r="AY270" s="360"/>
      <c r="AZ270" s="2273"/>
      <c r="BA270" s="497"/>
      <c r="BB270" s="359"/>
      <c r="BC270" s="359"/>
      <c r="BD270" s="359"/>
      <c r="BE270" s="359"/>
      <c r="BF270" s="359"/>
      <c r="BG270" s="359"/>
      <c r="BH270" s="359">
        <v>15000</v>
      </c>
      <c r="BI270" s="380">
        <v>15000</v>
      </c>
      <c r="BJ270" s="359">
        <v>15000</v>
      </c>
      <c r="BK270" s="2122">
        <v>15000</v>
      </c>
      <c r="BL270" s="380">
        <v>15000</v>
      </c>
      <c r="BM270" s="380">
        <v>15000</v>
      </c>
      <c r="BN270" s="380">
        <v>15000</v>
      </c>
      <c r="BO270" s="380">
        <v>15000</v>
      </c>
      <c r="BP270" s="380">
        <v>15000</v>
      </c>
      <c r="BQ270" s="2087">
        <v>15000</v>
      </c>
      <c r="BR270" s="359"/>
      <c r="BS270" s="359"/>
      <c r="BT270" s="362"/>
      <c r="BU270" s="364"/>
      <c r="BV270" s="364"/>
      <c r="BW270" s="2366"/>
      <c r="BX270" s="2463"/>
      <c r="BY270" s="2543"/>
      <c r="BZ270" s="2543"/>
      <c r="CA270" s="2432">
        <f t="shared" si="295"/>
        <v>150000</v>
      </c>
      <c r="CB270" s="2377">
        <f t="shared" si="296"/>
        <v>1</v>
      </c>
      <c r="CC270" s="365">
        <f t="shared" si="297"/>
        <v>6.6666666666666666E-6</v>
      </c>
      <c r="CD270" s="2200"/>
      <c r="CE270" s="2229"/>
      <c r="CF270" s="2229"/>
      <c r="CG270" s="2228"/>
      <c r="CH270" s="2230"/>
      <c r="CI270" s="2231"/>
      <c r="CJ270" s="2231"/>
      <c r="CK270" s="2228"/>
      <c r="CL270" s="329">
        <f t="shared" ref="CL270:CL334" si="298">O270-CA270</f>
        <v>0</v>
      </c>
      <c r="CM270" s="330">
        <f t="shared" ref="CM270:CM334" ca="1" si="299">CA270+AI270-AB270</f>
        <v>0</v>
      </c>
      <c r="CN270" s="331">
        <f t="shared" ca="1" si="272"/>
        <v>-150000</v>
      </c>
      <c r="CO270" s="1644"/>
      <c r="CP270" s="1644"/>
      <c r="CQ270" s="1645"/>
      <c r="CR270" s="1644"/>
      <c r="CS270" s="1644"/>
      <c r="CT270" s="86"/>
      <c r="CU270" s="86"/>
      <c r="CV270" s="86"/>
      <c r="CW270" s="86"/>
      <c r="CX270" s="86"/>
      <c r="CY270" s="86"/>
      <c r="CZ270" s="86"/>
      <c r="DA270" s="86"/>
      <c r="DB270" s="1642"/>
      <c r="DC270" s="1642"/>
      <c r="DD270" s="30"/>
      <c r="DE270" s="30"/>
      <c r="DF270" s="30"/>
      <c r="DG270" s="1642"/>
      <c r="DH270" s="1642"/>
      <c r="DI270" s="1642"/>
      <c r="DJ270" s="1642"/>
      <c r="DK270" s="1642"/>
      <c r="DL270" s="1642"/>
      <c r="DM270" s="1642"/>
      <c r="DN270" s="1642"/>
      <c r="DO270" s="1642"/>
      <c r="DP270" s="1642"/>
      <c r="DQ270" s="1642"/>
      <c r="DR270" s="1642"/>
      <c r="DS270" s="1642"/>
      <c r="DT270" s="1642"/>
      <c r="DU270" s="1642"/>
      <c r="DV270" s="1642"/>
      <c r="DW270" s="1642"/>
      <c r="DX270" s="1642"/>
      <c r="DY270" s="1642"/>
      <c r="DZ270" s="1642"/>
      <c r="EA270" s="1642"/>
      <c r="EB270" s="1642"/>
      <c r="EC270" s="1642"/>
      <c r="ED270" s="1642"/>
      <c r="EE270" s="1642"/>
      <c r="EF270" s="1642"/>
      <c r="EG270" s="1642"/>
      <c r="EH270" s="1643"/>
      <c r="EI270" s="1658"/>
      <c r="EJ270" s="1642"/>
      <c r="EK270" s="30"/>
      <c r="EL270" s="30"/>
      <c r="EM270" s="30"/>
      <c r="EN270" s="30"/>
      <c r="EO270" s="30"/>
      <c r="EP270" s="30"/>
      <c r="EQ270" s="30"/>
      <c r="ER270" s="30"/>
      <c r="ES270" s="30"/>
      <c r="ET270" s="30"/>
      <c r="EU270" s="30"/>
      <c r="EV270" s="30"/>
      <c r="EW270" s="30"/>
      <c r="EX270" s="30"/>
      <c r="EY270" s="30"/>
      <c r="EZ270" s="30"/>
      <c r="FA270" s="30"/>
      <c r="FB270" s="30"/>
      <c r="FC270" s="30"/>
      <c r="FD270" s="30"/>
      <c r="FE270" s="30"/>
      <c r="FF270" s="30"/>
      <c r="FG270" s="30"/>
      <c r="FH270" s="30"/>
      <c r="FI270" s="30"/>
      <c r="FJ270" s="30"/>
      <c r="FK270" s="30"/>
      <c r="FL270" s="30"/>
      <c r="FM270" s="30"/>
      <c r="FN270" s="30"/>
      <c r="FO270" s="30"/>
      <c r="FP270" s="30"/>
      <c r="FQ270" s="30"/>
      <c r="FR270" s="30"/>
      <c r="FS270" s="30"/>
      <c r="FT270" s="30"/>
      <c r="FU270" s="30"/>
      <c r="FV270" s="30"/>
      <c r="FW270" s="30"/>
      <c r="FX270" s="30"/>
      <c r="FY270" s="30"/>
      <c r="FZ270" s="30"/>
      <c r="GA270" s="30"/>
      <c r="GB270" s="30"/>
      <c r="GC270" s="30"/>
      <c r="GD270" s="30"/>
      <c r="GE270" s="30"/>
      <c r="GF270" s="30"/>
      <c r="GG270" s="30"/>
      <c r="GH270" s="30"/>
      <c r="GI270" s="30"/>
      <c r="GJ270" s="30"/>
      <c r="GK270" s="30"/>
      <c r="GL270" s="30"/>
      <c r="GM270" s="30"/>
      <c r="GN270" s="30"/>
      <c r="GO270" s="30"/>
      <c r="GP270" s="30"/>
      <c r="GQ270" s="30"/>
      <c r="GR270" s="30"/>
      <c r="GS270" s="30"/>
      <c r="GT270" s="30"/>
      <c r="GU270" s="30"/>
      <c r="GV270" s="30"/>
      <c r="GW270" s="30"/>
      <c r="GX270" s="30"/>
      <c r="GY270" s="30"/>
      <c r="GZ270" s="30"/>
      <c r="HA270" s="30"/>
      <c r="HB270" s="30"/>
      <c r="HC270" s="30"/>
      <c r="HD270" s="30"/>
      <c r="HE270" s="30"/>
      <c r="HF270" s="30"/>
      <c r="HG270" s="30"/>
      <c r="HH270" s="30"/>
      <c r="HI270" s="30"/>
      <c r="HJ270" s="30"/>
      <c r="HK270" s="30"/>
      <c r="HL270" s="30"/>
      <c r="HM270" s="30"/>
      <c r="HN270" s="30"/>
      <c r="HO270" s="30"/>
      <c r="HP270" s="30"/>
      <c r="HQ270" s="30"/>
      <c r="HR270" s="30"/>
      <c r="HS270" s="30"/>
      <c r="HT270" s="30"/>
      <c r="HU270" s="30"/>
      <c r="HV270" s="30"/>
      <c r="HW270" s="30"/>
      <c r="HX270" s="30"/>
      <c r="HY270" s="30"/>
      <c r="HZ270" s="30"/>
      <c r="IA270" s="30"/>
      <c r="IB270" s="30"/>
      <c r="IC270" s="30"/>
      <c r="ID270" s="30"/>
      <c r="IE270" s="30"/>
      <c r="IF270" s="30"/>
      <c r="IG270" s="30"/>
      <c r="IH270" s="30"/>
      <c r="II270" s="30"/>
      <c r="IJ270" s="30"/>
      <c r="IK270" s="30"/>
      <c r="IL270" s="30"/>
      <c r="IM270" s="30"/>
      <c r="IN270" s="30"/>
      <c r="IO270" s="30"/>
      <c r="IP270" s="30"/>
      <c r="IQ270" s="30"/>
      <c r="IR270" s="30"/>
      <c r="IS270" s="30"/>
      <c r="IT270" s="30"/>
      <c r="IU270" s="30"/>
      <c r="IV270" s="30"/>
      <c r="IW270" s="30"/>
      <c r="IX270" s="30"/>
      <c r="IY270" s="30"/>
      <c r="IZ270" s="30"/>
      <c r="JA270" s="30"/>
      <c r="JB270" s="30"/>
      <c r="JC270" s="30"/>
      <c r="JD270" s="30"/>
      <c r="JE270" s="30"/>
      <c r="JF270" s="30"/>
      <c r="JG270" s="30"/>
      <c r="JH270" s="30"/>
      <c r="JI270" s="30"/>
      <c r="JJ270" s="30"/>
      <c r="JK270" s="30"/>
      <c r="JL270" s="30"/>
      <c r="JM270" s="30"/>
      <c r="JN270" s="30"/>
      <c r="JO270" s="30"/>
      <c r="JP270" s="30"/>
      <c r="JQ270" s="30"/>
      <c r="JR270" s="30"/>
      <c r="JS270" s="30"/>
      <c r="JT270" s="30"/>
      <c r="JU270" s="30"/>
      <c r="JV270" s="30"/>
      <c r="JW270" s="30"/>
      <c r="JX270" s="30"/>
      <c r="JY270" s="30"/>
      <c r="JZ270" s="30"/>
      <c r="KA270" s="30"/>
      <c r="KB270" s="30"/>
      <c r="KC270" s="30"/>
      <c r="KD270" s="30"/>
      <c r="KE270" s="30"/>
      <c r="KF270" s="30"/>
      <c r="KG270" s="30"/>
      <c r="KH270" s="30"/>
      <c r="KI270" s="30"/>
      <c r="KJ270" s="30"/>
      <c r="KK270" s="30"/>
      <c r="KL270" s="30"/>
      <c r="KM270" s="30"/>
      <c r="KN270" s="30"/>
      <c r="KO270" s="30"/>
      <c r="KP270" s="1630"/>
    </row>
    <row r="271" spans="1:302" s="97" customFormat="1" ht="13.9" outlineLevel="1">
      <c r="A271" s="2587" t="s">
        <v>170</v>
      </c>
      <c r="B271" s="2605"/>
      <c r="C271" s="2587" t="s">
        <v>1114</v>
      </c>
      <c r="D271" s="2587" t="s">
        <v>1131</v>
      </c>
      <c r="E271" s="254"/>
      <c r="F271" s="347"/>
      <c r="G271" s="348"/>
      <c r="H271" s="349" t="s">
        <v>26</v>
      </c>
      <c r="I271" s="2936"/>
      <c r="J271" s="362" t="s">
        <v>26</v>
      </c>
      <c r="K271" s="1745"/>
      <c r="L271" s="383"/>
      <c r="M271" s="383"/>
      <c r="N271" s="383"/>
      <c r="O271" s="1510">
        <v>500000</v>
      </c>
      <c r="P271" s="383"/>
      <c r="Q271" s="383"/>
      <c r="R271" s="383"/>
      <c r="S271" s="1510">
        <f t="shared" si="274"/>
        <v>0</v>
      </c>
      <c r="T271" s="1509"/>
      <c r="U271" s="1746"/>
      <c r="V271" s="1746"/>
      <c r="W271" s="1510">
        <f t="shared" si="276"/>
        <v>500000</v>
      </c>
      <c r="X271" s="362" t="s">
        <v>26</v>
      </c>
      <c r="Y271" s="1509"/>
      <c r="Z271" s="1510"/>
      <c r="AA271" s="1510"/>
      <c r="AB271" s="1744">
        <f t="shared" si="294"/>
        <v>499999.99979999999</v>
      </c>
      <c r="AC271" s="2704"/>
      <c r="AD271" s="1457"/>
      <c r="AE271" s="352"/>
      <c r="AF271" s="353"/>
      <c r="AG271" s="353"/>
      <c r="AH271" s="354">
        <f t="shared" si="273"/>
        <v>0</v>
      </c>
      <c r="AI271" s="355">
        <f t="shared" ca="1" si="293"/>
        <v>0</v>
      </c>
      <c r="AJ271" s="356">
        <f t="shared" ca="1" si="275"/>
        <v>0</v>
      </c>
      <c r="AK271" s="2185"/>
      <c r="AL271" s="2063"/>
      <c r="AM271" s="2262"/>
      <c r="AN271" s="2262"/>
      <c r="AO271" s="1509"/>
      <c r="AP271" s="384"/>
      <c r="AQ271" s="1509"/>
      <c r="AR271" s="362"/>
      <c r="AS271" s="362"/>
      <c r="AT271" s="385"/>
      <c r="AU271" s="1505"/>
      <c r="AV271" s="1505"/>
      <c r="AW271" s="1505"/>
      <c r="AX271" s="1505"/>
      <c r="AY271" s="1987"/>
      <c r="AZ271" s="2258"/>
      <c r="BA271" s="359"/>
      <c r="BB271" s="359"/>
      <c r="BC271" s="359"/>
      <c r="BD271" s="359"/>
      <c r="BE271" s="359"/>
      <c r="BF271" s="359"/>
      <c r="BG271" s="359"/>
      <c r="BH271" s="359"/>
      <c r="BI271" s="380">
        <v>83333.333299999998</v>
      </c>
      <c r="BJ271" s="359">
        <v>83333.333299999998</v>
      </c>
      <c r="BK271" s="2122">
        <v>83333.333299999998</v>
      </c>
      <c r="BL271" s="380">
        <v>83333.333299999998</v>
      </c>
      <c r="BM271" s="380">
        <v>83333.333299999998</v>
      </c>
      <c r="BN271" s="380">
        <v>83333.333299999998</v>
      </c>
      <c r="BO271" s="380"/>
      <c r="BP271" s="380"/>
      <c r="BQ271" s="2087"/>
      <c r="BR271" s="359"/>
      <c r="BS271" s="359"/>
      <c r="BT271" s="362"/>
      <c r="BU271" s="364"/>
      <c r="BV271" s="364"/>
      <c r="BW271" s="2366"/>
      <c r="BX271" s="2463"/>
      <c r="BY271" s="2543"/>
      <c r="BZ271" s="2543"/>
      <c r="CA271" s="2432">
        <f t="shared" si="295"/>
        <v>499999.99979999999</v>
      </c>
      <c r="CB271" s="2377">
        <f t="shared" si="296"/>
        <v>1</v>
      </c>
      <c r="CC271" s="365">
        <f t="shared" si="297"/>
        <v>2.0000000008000001E-6</v>
      </c>
      <c r="CD271" s="366"/>
      <c r="CE271" s="343"/>
      <c r="CF271" s="343"/>
      <c r="CG271" s="340"/>
      <c r="CH271" s="367"/>
      <c r="CI271" s="368"/>
      <c r="CJ271" s="368"/>
      <c r="CK271" s="369"/>
      <c r="CL271" s="329">
        <f t="shared" si="298"/>
        <v>2.0000000949949026E-4</v>
      </c>
      <c r="CM271" s="330">
        <f t="shared" ca="1" si="299"/>
        <v>0</v>
      </c>
      <c r="CN271" s="331">
        <f t="shared" ca="1" si="272"/>
        <v>-499999.99979999999</v>
      </c>
      <c r="CO271" s="1644"/>
      <c r="CP271" s="1644"/>
      <c r="CQ271" s="1645"/>
      <c r="CR271" s="1644"/>
      <c r="CS271" s="1644"/>
      <c r="CT271" s="86"/>
      <c r="CU271" s="86"/>
      <c r="CV271" s="86"/>
      <c r="CW271" s="86"/>
      <c r="CX271" s="86"/>
      <c r="CY271" s="86"/>
      <c r="CZ271" s="86"/>
      <c r="DA271" s="86"/>
      <c r="DB271" s="1642"/>
      <c r="DC271" s="1642"/>
      <c r="DD271" s="30"/>
      <c r="DE271" s="30"/>
      <c r="DF271" s="30"/>
      <c r="DG271" s="1642"/>
      <c r="DH271" s="1642"/>
      <c r="DI271" s="1642"/>
      <c r="DJ271" s="1642"/>
      <c r="DK271" s="1642"/>
      <c r="DL271" s="1642"/>
      <c r="DM271" s="1642"/>
      <c r="DN271" s="1642"/>
      <c r="DO271" s="1642"/>
      <c r="DP271" s="1642"/>
      <c r="DQ271" s="1642"/>
      <c r="DR271" s="1642"/>
      <c r="DS271" s="1642"/>
      <c r="DT271" s="1642"/>
      <c r="DU271" s="1642"/>
      <c r="DV271" s="1642"/>
      <c r="DW271" s="1642"/>
      <c r="DX271" s="1642"/>
      <c r="DY271" s="1642"/>
      <c r="DZ271" s="1642"/>
      <c r="EA271" s="1642"/>
      <c r="EB271" s="1642"/>
      <c r="EC271" s="1642"/>
      <c r="ED271" s="1642"/>
      <c r="EE271" s="1642"/>
      <c r="EF271" s="1642"/>
      <c r="EG271" s="1642"/>
      <c r="EH271" s="1643"/>
      <c r="EI271" s="1658"/>
      <c r="EJ271" s="1642"/>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0"/>
      <c r="HP271" s="30"/>
      <c r="HQ271" s="30"/>
      <c r="HR271" s="30"/>
      <c r="HS271" s="30"/>
      <c r="HT271" s="30"/>
      <c r="HU271" s="30"/>
      <c r="HV271" s="30"/>
      <c r="HW271" s="30"/>
      <c r="HX271" s="30"/>
      <c r="HY271" s="30"/>
      <c r="HZ271" s="30"/>
      <c r="IA271" s="30"/>
      <c r="IB271" s="30"/>
      <c r="IC271" s="30"/>
      <c r="ID271" s="30"/>
      <c r="IE271" s="30"/>
      <c r="IF271" s="30"/>
      <c r="IG271" s="30"/>
      <c r="IH271" s="30"/>
      <c r="II271" s="30"/>
      <c r="IJ271" s="30"/>
      <c r="IK271" s="30"/>
      <c r="IL271" s="30"/>
      <c r="IM271" s="30"/>
      <c r="IN271" s="30"/>
      <c r="IO271" s="30"/>
      <c r="IP271" s="30"/>
      <c r="IQ271" s="30"/>
      <c r="IR271" s="30"/>
      <c r="IS271" s="30"/>
      <c r="IT271" s="30"/>
      <c r="IU271" s="30"/>
      <c r="IV271" s="30"/>
      <c r="IW271" s="30"/>
      <c r="IX271" s="30"/>
      <c r="IY271" s="30"/>
      <c r="IZ271" s="30"/>
      <c r="JA271" s="30"/>
      <c r="JB271" s="30"/>
      <c r="JC271" s="30"/>
      <c r="JD271" s="30"/>
      <c r="JE271" s="30"/>
      <c r="JF271" s="30"/>
      <c r="JG271" s="30"/>
      <c r="JH271" s="30"/>
      <c r="JI271" s="30"/>
      <c r="JJ271" s="30"/>
      <c r="JK271" s="30"/>
      <c r="JL271" s="30"/>
      <c r="JM271" s="30"/>
      <c r="JN271" s="30"/>
      <c r="JO271" s="30"/>
      <c r="JP271" s="30"/>
      <c r="JQ271" s="30"/>
      <c r="JR271" s="30"/>
      <c r="JS271" s="30"/>
      <c r="JT271" s="30"/>
      <c r="JU271" s="30"/>
      <c r="JV271" s="30"/>
      <c r="JW271" s="30"/>
      <c r="JX271" s="30"/>
      <c r="JY271" s="30"/>
      <c r="JZ271" s="30"/>
      <c r="KA271" s="30"/>
      <c r="KB271" s="30"/>
      <c r="KC271" s="30"/>
      <c r="KD271" s="30"/>
      <c r="KE271" s="30"/>
      <c r="KF271" s="30"/>
      <c r="KG271" s="30"/>
      <c r="KH271" s="30"/>
      <c r="KI271" s="30"/>
      <c r="KJ271" s="30"/>
      <c r="KK271" s="30"/>
      <c r="KL271" s="30"/>
      <c r="KM271" s="30"/>
      <c r="KN271" s="30"/>
      <c r="KO271" s="30"/>
      <c r="KP271" s="1630"/>
    </row>
    <row r="272" spans="1:302" s="97" customFormat="1" ht="25.25" customHeight="1" outlineLevel="1">
      <c r="A272" s="2587" t="s">
        <v>171</v>
      </c>
      <c r="B272" s="2605"/>
      <c r="C272" s="2587" t="s">
        <v>1115</v>
      </c>
      <c r="D272" s="2587" t="s">
        <v>1132</v>
      </c>
      <c r="E272" s="254"/>
      <c r="F272" s="347"/>
      <c r="G272" s="348"/>
      <c r="H272" s="349" t="s">
        <v>26</v>
      </c>
      <c r="I272" s="2936"/>
      <c r="J272" s="362" t="s">
        <v>26</v>
      </c>
      <c r="K272" s="1745"/>
      <c r="L272" s="383"/>
      <c r="M272" s="383"/>
      <c r="N272" s="383"/>
      <c r="O272" s="1510">
        <v>500000</v>
      </c>
      <c r="P272" s="383"/>
      <c r="Q272" s="383"/>
      <c r="R272" s="383"/>
      <c r="S272" s="1510">
        <f t="shared" si="274"/>
        <v>0</v>
      </c>
      <c r="T272" s="1509"/>
      <c r="U272" s="1746"/>
      <c r="V272" s="1746"/>
      <c r="W272" s="1510">
        <f t="shared" si="276"/>
        <v>500000</v>
      </c>
      <c r="X272" s="362" t="s">
        <v>26</v>
      </c>
      <c r="Y272" s="1509"/>
      <c r="Z272" s="1510"/>
      <c r="AA272" s="1510"/>
      <c r="AB272" s="2771">
        <f t="shared" si="294"/>
        <v>399999.99840000004</v>
      </c>
      <c r="AC272" s="2704"/>
      <c r="AD272" s="1457"/>
      <c r="AE272" s="352"/>
      <c r="AF272" s="353"/>
      <c r="AG272" s="353"/>
      <c r="AH272" s="354">
        <f t="shared" si="273"/>
        <v>0</v>
      </c>
      <c r="AI272" s="355">
        <f t="shared" ca="1" si="293"/>
        <v>0</v>
      </c>
      <c r="AJ272" s="356">
        <f t="shared" ca="1" si="275"/>
        <v>0</v>
      </c>
      <c r="AK272" s="2185"/>
      <c r="AL272" s="2063"/>
      <c r="AM272" s="2262"/>
      <c r="AN272" s="2262"/>
      <c r="AO272" s="1509"/>
      <c r="AP272" s="384"/>
      <c r="AQ272" s="1509"/>
      <c r="AR272" s="362"/>
      <c r="AS272" s="362"/>
      <c r="AT272" s="385"/>
      <c r="AU272" s="1505"/>
      <c r="AV272" s="1505"/>
      <c r="AW272" s="1505"/>
      <c r="AX272" s="1505"/>
      <c r="AY272" s="1987"/>
      <c r="AZ272" s="2273"/>
      <c r="BA272" s="497"/>
      <c r="BB272" s="359"/>
      <c r="BC272" s="359"/>
      <c r="BD272" s="359"/>
      <c r="BE272" s="359"/>
      <c r="BF272" s="359"/>
      <c r="BG272" s="359"/>
      <c r="BH272" s="359"/>
      <c r="BI272" s="380"/>
      <c r="BJ272" s="359"/>
      <c r="BK272" s="2122">
        <v>71428.571400000001</v>
      </c>
      <c r="BL272" s="380"/>
      <c r="BM272" s="380">
        <v>71428.571400000001</v>
      </c>
      <c r="BN272" s="380">
        <v>71428.571400000001</v>
      </c>
      <c r="BO272" s="380">
        <v>71428.571400000001</v>
      </c>
      <c r="BP272" s="380">
        <f>71428.5714-571.43</f>
        <v>70857.141400000008</v>
      </c>
      <c r="BQ272" s="2087">
        <f>71428.5714-28000</f>
        <v>43428.571400000001</v>
      </c>
      <c r="BR272" s="359"/>
      <c r="BS272" s="359"/>
      <c r="BT272" s="362"/>
      <c r="BU272" s="364"/>
      <c r="BV272" s="364"/>
      <c r="BW272" s="2366"/>
      <c r="BX272" s="2463"/>
      <c r="BY272" s="2543"/>
      <c r="BZ272" s="2543"/>
      <c r="CA272" s="2432">
        <f t="shared" si="295"/>
        <v>399999.99840000004</v>
      </c>
      <c r="CB272" s="2377">
        <f t="shared" si="296"/>
        <v>1</v>
      </c>
      <c r="CC272" s="365">
        <f t="shared" si="297"/>
        <v>2.5000000099999996E-6</v>
      </c>
      <c r="CD272" s="2200"/>
      <c r="CE272" s="2229"/>
      <c r="CF272" s="2229"/>
      <c r="CG272" s="2228"/>
      <c r="CH272" s="2230"/>
      <c r="CI272" s="2231"/>
      <c r="CJ272" s="2231"/>
      <c r="CK272" s="2228"/>
      <c r="CL272" s="329">
        <f t="shared" si="298"/>
        <v>100000.00159999996</v>
      </c>
      <c r="CM272" s="330">
        <f t="shared" ca="1" si="299"/>
        <v>0</v>
      </c>
      <c r="CN272" s="331">
        <f t="shared" ca="1" si="272"/>
        <v>-399999.99840000004</v>
      </c>
      <c r="CO272" s="1644"/>
      <c r="CP272" s="1644"/>
      <c r="CQ272" s="1645"/>
      <c r="CR272" s="1644"/>
      <c r="CS272" s="1644"/>
      <c r="CT272" s="86"/>
      <c r="CU272" s="86"/>
      <c r="CV272" s="86"/>
      <c r="CW272" s="86"/>
      <c r="CX272" s="86"/>
      <c r="CY272" s="86"/>
      <c r="CZ272" s="86"/>
      <c r="DA272" s="86"/>
      <c r="DB272" s="1642"/>
      <c r="DC272" s="1642"/>
      <c r="DD272" s="30"/>
      <c r="DE272" s="30"/>
      <c r="DF272" s="30"/>
      <c r="DG272" s="1642"/>
      <c r="DH272" s="1642"/>
      <c r="DI272" s="1642"/>
      <c r="DJ272" s="1642"/>
      <c r="DK272" s="1642"/>
      <c r="DL272" s="1642"/>
      <c r="DM272" s="1642"/>
      <c r="DN272" s="1642"/>
      <c r="DO272" s="1642"/>
      <c r="DP272" s="1642"/>
      <c r="DQ272" s="1642"/>
      <c r="DR272" s="1642"/>
      <c r="DS272" s="1642"/>
      <c r="DT272" s="1642"/>
      <c r="DU272" s="1642"/>
      <c r="DV272" s="1642"/>
      <c r="DW272" s="1642"/>
      <c r="DX272" s="1642"/>
      <c r="DY272" s="1642"/>
      <c r="DZ272" s="1642"/>
      <c r="EA272" s="1642"/>
      <c r="EB272" s="1642"/>
      <c r="EC272" s="1642"/>
      <c r="ED272" s="1642"/>
      <c r="EE272" s="1642"/>
      <c r="EF272" s="1642"/>
      <c r="EG272" s="1642"/>
      <c r="EH272" s="1643"/>
      <c r="EI272" s="1658"/>
      <c r="EJ272" s="1642"/>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0"/>
      <c r="HP272" s="30"/>
      <c r="HQ272" s="30"/>
      <c r="HR272" s="30"/>
      <c r="HS272" s="30"/>
      <c r="HT272" s="30"/>
      <c r="HU272" s="30"/>
      <c r="HV272" s="30"/>
      <c r="HW272" s="30"/>
      <c r="HX272" s="30"/>
      <c r="HY272" s="30"/>
      <c r="HZ272" s="30"/>
      <c r="IA272" s="30"/>
      <c r="IB272" s="30"/>
      <c r="IC272" s="30"/>
      <c r="ID272" s="30"/>
      <c r="IE272" s="30"/>
      <c r="IF272" s="30"/>
      <c r="IG272" s="30"/>
      <c r="IH272" s="30"/>
      <c r="II272" s="30"/>
      <c r="IJ272" s="30"/>
      <c r="IK272" s="30"/>
      <c r="IL272" s="30"/>
      <c r="IM272" s="30"/>
      <c r="IN272" s="30"/>
      <c r="IO272" s="30"/>
      <c r="IP272" s="30"/>
      <c r="IQ272" s="30"/>
      <c r="IR272" s="30"/>
      <c r="IS272" s="30"/>
      <c r="IT272" s="30"/>
      <c r="IU272" s="30"/>
      <c r="IV272" s="30"/>
      <c r="IW272" s="30"/>
      <c r="IX272" s="30"/>
      <c r="IY272" s="30"/>
      <c r="IZ272" s="30"/>
      <c r="JA272" s="30"/>
      <c r="JB272" s="30"/>
      <c r="JC272" s="30"/>
      <c r="JD272" s="30"/>
      <c r="JE272" s="30"/>
      <c r="JF272" s="30"/>
      <c r="JG272" s="30"/>
      <c r="JH272" s="30"/>
      <c r="JI272" s="30"/>
      <c r="JJ272" s="30"/>
      <c r="JK272" s="30"/>
      <c r="JL272" s="30"/>
      <c r="JM272" s="30"/>
      <c r="JN272" s="30"/>
      <c r="JO272" s="30"/>
      <c r="JP272" s="30"/>
      <c r="JQ272" s="30"/>
      <c r="JR272" s="30"/>
      <c r="JS272" s="30"/>
      <c r="JT272" s="30"/>
      <c r="JU272" s="30"/>
      <c r="JV272" s="30"/>
      <c r="JW272" s="30"/>
      <c r="JX272" s="30"/>
      <c r="JY272" s="30"/>
      <c r="JZ272" s="30"/>
      <c r="KA272" s="30"/>
      <c r="KB272" s="30"/>
      <c r="KC272" s="30"/>
      <c r="KD272" s="30"/>
      <c r="KE272" s="30"/>
      <c r="KF272" s="30"/>
      <c r="KG272" s="30"/>
      <c r="KH272" s="30"/>
      <c r="KI272" s="30"/>
      <c r="KJ272" s="30"/>
      <c r="KK272" s="30"/>
      <c r="KL272" s="30"/>
      <c r="KM272" s="30"/>
      <c r="KN272" s="30"/>
      <c r="KO272" s="30"/>
      <c r="KP272" s="1630"/>
    </row>
    <row r="273" spans="1:302" s="237" customFormat="1" ht="21" customHeight="1" outlineLevel="1">
      <c r="A273" s="2661" t="s">
        <v>1359</v>
      </c>
      <c r="B273" s="2608"/>
      <c r="C273" s="2582" t="s">
        <v>1360</v>
      </c>
      <c r="D273" s="2582"/>
      <c r="E273" s="2220"/>
      <c r="F273" s="2214"/>
      <c r="G273" s="2215"/>
      <c r="H273" s="349" t="s">
        <v>26</v>
      </c>
      <c r="I273" s="2936"/>
      <c r="J273" s="362" t="s">
        <v>26</v>
      </c>
      <c r="K273" s="2217"/>
      <c r="L273" s="2218"/>
      <c r="M273" s="2218"/>
      <c r="N273" s="2218"/>
      <c r="O273" s="1510">
        <v>0</v>
      </c>
      <c r="P273" s="2218"/>
      <c r="Q273" s="2218"/>
      <c r="R273" s="2218"/>
      <c r="S273" s="1510">
        <f t="shared" si="274"/>
        <v>0</v>
      </c>
      <c r="T273" s="2221"/>
      <c r="U273" s="2198"/>
      <c r="V273" s="2198"/>
      <c r="W273" s="1510">
        <f t="shared" si="276"/>
        <v>0</v>
      </c>
      <c r="X273" s="362" t="s">
        <v>26</v>
      </c>
      <c r="Y273" s="2221"/>
      <c r="Z273" s="2197"/>
      <c r="AA273" s="2197"/>
      <c r="AB273" s="2766">
        <f t="shared" si="294"/>
        <v>100000</v>
      </c>
      <c r="AC273" s="1443" t="s">
        <v>1233</v>
      </c>
      <c r="AD273" s="2222"/>
      <c r="AE273" s="372" t="s">
        <v>564</v>
      </c>
      <c r="AF273" s="497">
        <v>100000</v>
      </c>
      <c r="AG273" s="2224">
        <v>1</v>
      </c>
      <c r="AH273" s="354">
        <f t="shared" ref="AH273:AH274" si="300">AF273*AG273</f>
        <v>100000</v>
      </c>
      <c r="AI273" s="355">
        <f t="shared" ref="AI273:AI274" ca="1" si="301">SUMIF($AM$10:$BZ$10,$AI$9,AM273:BT273)</f>
        <v>0</v>
      </c>
      <c r="AJ273" s="356">
        <f t="shared" ref="AJ273:AJ274" ca="1" si="302">IF($AB273&lt;&gt;0,AI273/$AB273,"")</f>
        <v>0</v>
      </c>
      <c r="AK273" s="2202"/>
      <c r="AL273" s="2225"/>
      <c r="AM273" s="2263"/>
      <c r="AN273" s="2263"/>
      <c r="AO273" s="2221"/>
      <c r="AP273" s="2226"/>
      <c r="AQ273" s="2221"/>
      <c r="AR273" s="2203"/>
      <c r="AS273" s="2203"/>
      <c r="AT273" s="2227"/>
      <c r="AU273" s="2180"/>
      <c r="AV273" s="2180"/>
      <c r="AW273" s="2196"/>
      <c r="AX273" s="2180"/>
      <c r="AY273" s="2318"/>
      <c r="AZ273" s="2334"/>
      <c r="BA273" s="2180"/>
      <c r="BB273" s="2180"/>
      <c r="BC273" s="2180"/>
      <c r="BD273" s="2180"/>
      <c r="BE273" s="2180"/>
      <c r="BF273" s="2180"/>
      <c r="BG273" s="2180"/>
      <c r="BH273" s="2180"/>
      <c r="BI273" s="2180"/>
      <c r="BJ273" s="359"/>
      <c r="BK273" s="2122">
        <v>100000</v>
      </c>
      <c r="BL273" s="380"/>
      <c r="BM273" s="380"/>
      <c r="BN273" s="380"/>
      <c r="BO273" s="380"/>
      <c r="BP273" s="380"/>
      <c r="BQ273" s="2087"/>
      <c r="BR273" s="2180"/>
      <c r="BS273" s="2180"/>
      <c r="BT273" s="2203"/>
      <c r="BU273" s="2219"/>
      <c r="BV273" s="2219"/>
      <c r="BW273" s="2367"/>
      <c r="BX273" s="2464"/>
      <c r="BY273" s="2544"/>
      <c r="BZ273" s="2544"/>
      <c r="CA273" s="2432">
        <f t="shared" si="295"/>
        <v>100000</v>
      </c>
      <c r="CB273" s="2377">
        <f t="shared" si="296"/>
        <v>1</v>
      </c>
      <c r="CC273" s="365">
        <f t="shared" si="297"/>
        <v>1.0000000000000001E-5</v>
      </c>
      <c r="CD273" s="366"/>
      <c r="CE273" s="343"/>
      <c r="CF273" s="343"/>
      <c r="CG273" s="340"/>
      <c r="CH273" s="367"/>
      <c r="CI273" s="368"/>
      <c r="CJ273" s="368"/>
      <c r="CK273" s="369"/>
      <c r="CL273" s="329">
        <f t="shared" si="298"/>
        <v>-100000</v>
      </c>
      <c r="CM273" s="330">
        <f t="shared" ca="1" si="299"/>
        <v>0</v>
      </c>
      <c r="CN273" s="331"/>
      <c r="CO273" s="2232"/>
      <c r="CP273" s="2232"/>
      <c r="CQ273" s="2233"/>
      <c r="CR273" s="2232"/>
      <c r="CS273" s="2232"/>
      <c r="CT273" s="1646"/>
      <c r="CU273" s="1646"/>
      <c r="CV273" s="1646"/>
      <c r="CW273" s="1646"/>
      <c r="CX273" s="1646"/>
      <c r="CY273" s="86"/>
      <c r="CZ273" s="86"/>
      <c r="DA273" s="1646"/>
      <c r="DB273" s="1647"/>
      <c r="DC273" s="1647"/>
      <c r="DD273" s="1648"/>
      <c r="DE273" s="1648"/>
      <c r="DF273" s="1648"/>
      <c r="DG273" s="1647"/>
      <c r="DH273" s="1647"/>
      <c r="DI273" s="1647"/>
      <c r="DJ273" s="1647"/>
      <c r="DK273" s="1647"/>
      <c r="DL273" s="1647"/>
      <c r="DM273" s="1647"/>
      <c r="DN273" s="1647"/>
      <c r="DO273" s="1647"/>
      <c r="DP273" s="1647"/>
      <c r="DQ273" s="1647"/>
      <c r="DR273" s="1647"/>
      <c r="DS273" s="1647"/>
      <c r="DT273" s="1647"/>
      <c r="DU273" s="1647"/>
      <c r="DV273" s="1647"/>
      <c r="DW273" s="1647"/>
      <c r="DX273" s="1647"/>
      <c r="DY273" s="1647"/>
      <c r="DZ273" s="1647"/>
      <c r="EA273" s="1647"/>
      <c r="EB273" s="1647"/>
      <c r="EC273" s="1647"/>
      <c r="ED273" s="1647"/>
      <c r="EE273" s="1647"/>
      <c r="EF273" s="1647"/>
      <c r="EG273" s="1647"/>
      <c r="EH273" s="1649"/>
      <c r="EI273" s="1658"/>
      <c r="EJ273" s="1642"/>
      <c r="EK273" s="1648"/>
      <c r="EL273" s="1648"/>
      <c r="EM273" s="1648"/>
      <c r="EN273" s="1648"/>
      <c r="EO273" s="1648"/>
      <c r="EP273" s="1648"/>
      <c r="EQ273" s="1648"/>
      <c r="ER273" s="1648"/>
      <c r="ES273" s="1648"/>
      <c r="ET273" s="1648"/>
      <c r="EU273" s="1648"/>
      <c r="EV273" s="1648"/>
      <c r="EW273" s="1648"/>
      <c r="EX273" s="1648"/>
      <c r="EY273" s="1648"/>
      <c r="EZ273" s="1648"/>
      <c r="FA273" s="1648"/>
      <c r="FB273" s="1648"/>
      <c r="FC273" s="1648"/>
      <c r="FD273" s="1648"/>
      <c r="FE273" s="1648"/>
      <c r="FF273" s="1648"/>
      <c r="FG273" s="1648"/>
      <c r="FH273" s="1648"/>
      <c r="FI273" s="1648"/>
      <c r="FJ273" s="1648"/>
      <c r="FK273" s="1648"/>
      <c r="FL273" s="1648"/>
      <c r="FM273" s="1648"/>
      <c r="FN273" s="1648"/>
      <c r="FO273" s="1648"/>
      <c r="FP273" s="1648"/>
      <c r="FQ273" s="1648"/>
      <c r="FR273" s="1648"/>
      <c r="FS273" s="1648"/>
      <c r="FT273" s="1648"/>
      <c r="FU273" s="1648"/>
      <c r="FV273" s="1648"/>
      <c r="FW273" s="1648"/>
      <c r="FX273" s="1648"/>
      <c r="FY273" s="1648"/>
      <c r="FZ273" s="1648"/>
      <c r="GA273" s="1648"/>
      <c r="GB273" s="1648"/>
      <c r="GC273" s="1648"/>
      <c r="GD273" s="1648"/>
      <c r="GE273" s="1648"/>
      <c r="GF273" s="1648"/>
      <c r="GG273" s="1648"/>
      <c r="GH273" s="1648"/>
      <c r="GI273" s="1648"/>
      <c r="GJ273" s="1648"/>
      <c r="GK273" s="1648"/>
      <c r="GL273" s="1648"/>
      <c r="GM273" s="1648"/>
      <c r="GN273" s="1648"/>
      <c r="GO273" s="1648"/>
      <c r="GP273" s="1648"/>
      <c r="GQ273" s="1648"/>
      <c r="GR273" s="1648"/>
      <c r="GS273" s="1648"/>
      <c r="GT273" s="1648"/>
      <c r="GU273" s="1648"/>
      <c r="GV273" s="1648"/>
      <c r="GW273" s="1648"/>
      <c r="GX273" s="1648"/>
      <c r="GY273" s="1648"/>
      <c r="GZ273" s="1648"/>
      <c r="HA273" s="1648"/>
      <c r="HB273" s="1648"/>
      <c r="HC273" s="1648"/>
      <c r="HD273" s="1648"/>
      <c r="HE273" s="1648"/>
      <c r="HF273" s="1648"/>
      <c r="HG273" s="1648"/>
      <c r="HH273" s="1648"/>
      <c r="HI273" s="1648"/>
      <c r="HJ273" s="1648"/>
      <c r="HK273" s="1648"/>
      <c r="HL273" s="1648"/>
      <c r="HM273" s="1648"/>
      <c r="HN273" s="1648"/>
      <c r="HO273" s="1648"/>
      <c r="HP273" s="1648"/>
      <c r="HQ273" s="1648"/>
      <c r="HR273" s="1648"/>
      <c r="HS273" s="1648"/>
      <c r="HT273" s="1648"/>
      <c r="HU273" s="1648"/>
      <c r="HV273" s="1648"/>
      <c r="HW273" s="1648"/>
      <c r="HX273" s="1648"/>
      <c r="HY273" s="1648"/>
      <c r="HZ273" s="1648"/>
      <c r="IA273" s="1648"/>
      <c r="IB273" s="1648"/>
      <c r="IC273" s="1648"/>
      <c r="ID273" s="1648"/>
      <c r="IE273" s="1648"/>
      <c r="IF273" s="1648"/>
      <c r="IG273" s="1648"/>
      <c r="IH273" s="1648"/>
      <c r="II273" s="1648"/>
      <c r="IJ273" s="1648"/>
      <c r="IK273" s="1648"/>
      <c r="IL273" s="1648"/>
      <c r="IM273" s="1648"/>
      <c r="IN273" s="1648"/>
      <c r="IO273" s="1648"/>
      <c r="IP273" s="1648"/>
      <c r="IQ273" s="1648"/>
      <c r="IR273" s="1648"/>
      <c r="IS273" s="1648"/>
      <c r="IT273" s="1648"/>
      <c r="IU273" s="1648"/>
      <c r="IV273" s="1648"/>
      <c r="IW273" s="1648"/>
      <c r="IX273" s="1648"/>
      <c r="IY273" s="1648"/>
      <c r="IZ273" s="1648"/>
      <c r="JA273" s="1648"/>
      <c r="JB273" s="1648"/>
      <c r="JC273" s="1648"/>
      <c r="JD273" s="1648"/>
      <c r="JE273" s="1648"/>
      <c r="JF273" s="1648"/>
      <c r="JG273" s="1648"/>
      <c r="JH273" s="1648"/>
      <c r="JI273" s="1648"/>
      <c r="JJ273" s="1648"/>
      <c r="JK273" s="1648"/>
      <c r="JL273" s="1648"/>
      <c r="JM273" s="1648"/>
      <c r="JN273" s="1648"/>
      <c r="JO273" s="1648"/>
      <c r="JP273" s="1648"/>
      <c r="JQ273" s="1648"/>
      <c r="JR273" s="1648"/>
      <c r="JS273" s="1648"/>
      <c r="JT273" s="1648"/>
      <c r="JU273" s="1648"/>
      <c r="JV273" s="1648"/>
      <c r="JW273" s="1648"/>
      <c r="JX273" s="1648"/>
      <c r="JY273" s="1648"/>
      <c r="JZ273" s="1648"/>
      <c r="KA273" s="1648"/>
      <c r="KB273" s="1648"/>
      <c r="KC273" s="1648"/>
      <c r="KD273" s="1648"/>
      <c r="KE273" s="1648"/>
      <c r="KF273" s="1648"/>
      <c r="KG273" s="1648"/>
      <c r="KH273" s="1648"/>
      <c r="KI273" s="1648"/>
      <c r="KJ273" s="1648"/>
      <c r="KK273" s="1648"/>
      <c r="KL273" s="1648"/>
      <c r="KM273" s="1648"/>
      <c r="KN273" s="1648"/>
      <c r="KO273" s="1648"/>
      <c r="KP273" s="1631"/>
    </row>
    <row r="274" spans="1:302" s="97" customFormat="1" ht="13.9" outlineLevel="1">
      <c r="A274" s="2587" t="s">
        <v>172</v>
      </c>
      <c r="B274" s="2605"/>
      <c r="C274" s="2587" t="s">
        <v>1116</v>
      </c>
      <c r="D274" s="2587" t="s">
        <v>1133</v>
      </c>
      <c r="E274" s="254"/>
      <c r="F274" s="347"/>
      <c r="G274" s="348"/>
      <c r="H274" s="349" t="s">
        <v>26</v>
      </c>
      <c r="I274" s="2936"/>
      <c r="J274" s="362" t="s">
        <v>26</v>
      </c>
      <c r="K274" s="1745"/>
      <c r="L274" s="383"/>
      <c r="M274" s="383"/>
      <c r="N274" s="383"/>
      <c r="O274" s="1510">
        <v>150000</v>
      </c>
      <c r="P274" s="383"/>
      <c r="Q274" s="383"/>
      <c r="R274" s="383"/>
      <c r="S274" s="1510">
        <f t="shared" si="274"/>
        <v>0</v>
      </c>
      <c r="T274" s="1509"/>
      <c r="U274" s="1746"/>
      <c r="V274" s="1746"/>
      <c r="W274" s="1510">
        <f t="shared" si="276"/>
        <v>150000</v>
      </c>
      <c r="X274" s="362" t="s">
        <v>26</v>
      </c>
      <c r="Y274" s="1509"/>
      <c r="Z274" s="1510"/>
      <c r="AA274" s="1510"/>
      <c r="AB274" s="1744">
        <f t="shared" si="294"/>
        <v>149999.99979999999</v>
      </c>
      <c r="AC274" s="2704"/>
      <c r="AD274" s="1457"/>
      <c r="AE274" s="352"/>
      <c r="AF274" s="353"/>
      <c r="AG274" s="353"/>
      <c r="AH274" s="354">
        <f t="shared" si="300"/>
        <v>0</v>
      </c>
      <c r="AI274" s="355">
        <f t="shared" ca="1" si="301"/>
        <v>0</v>
      </c>
      <c r="AJ274" s="356">
        <f t="shared" ca="1" si="302"/>
        <v>0</v>
      </c>
      <c r="AK274" s="2185"/>
      <c r="AL274" s="2063"/>
      <c r="AM274" s="2262"/>
      <c r="AN274" s="2262"/>
      <c r="AO274" s="1509"/>
      <c r="AP274" s="384"/>
      <c r="AQ274" s="1509"/>
      <c r="AR274" s="362"/>
      <c r="AS274" s="362"/>
      <c r="AT274" s="385"/>
      <c r="AU274" s="1505"/>
      <c r="AV274" s="1505"/>
      <c r="AW274" s="1505"/>
      <c r="AX274" s="1505"/>
      <c r="AY274" s="1987"/>
      <c r="AZ274" s="2273"/>
      <c r="BA274" s="497"/>
      <c r="BB274" s="359"/>
      <c r="BC274" s="359"/>
      <c r="BD274" s="359"/>
      <c r="BE274" s="359"/>
      <c r="BF274" s="359"/>
      <c r="BG274" s="359"/>
      <c r="BH274" s="359"/>
      <c r="BI274" s="380"/>
      <c r="BJ274" s="359"/>
      <c r="BK274" s="2122">
        <v>21428.571400000001</v>
      </c>
      <c r="BL274" s="380">
        <v>21428.571400000001</v>
      </c>
      <c r="BM274" s="380">
        <v>21428.571400000001</v>
      </c>
      <c r="BN274" s="380">
        <v>21428.571400000001</v>
      </c>
      <c r="BO274" s="380">
        <v>21428.571400000001</v>
      </c>
      <c r="BP274" s="380">
        <v>21428.571400000001</v>
      </c>
      <c r="BQ274" s="2087">
        <v>21428.571400000001</v>
      </c>
      <c r="BR274" s="359"/>
      <c r="BS274" s="359"/>
      <c r="BT274" s="362"/>
      <c r="BU274" s="364"/>
      <c r="BV274" s="364"/>
      <c r="BW274" s="2366"/>
      <c r="BX274" s="2463"/>
      <c r="BY274" s="2543"/>
      <c r="BZ274" s="2543"/>
      <c r="CA274" s="2432">
        <f t="shared" ref="CA274" si="303">SUMIF($AM$10:$BZ$10,$CA$9,AM274:BZ274)</f>
        <v>149999.99979999999</v>
      </c>
      <c r="CB274" s="2377">
        <f t="shared" ref="CB274" si="304">IF($AB274&lt;&gt;0,CA274/$AB274,"")</f>
        <v>1</v>
      </c>
      <c r="CC274" s="365">
        <f t="shared" ref="CC274" si="305">IF($AB274&lt;&gt;0,CB274/$AB274,"")</f>
        <v>6.6666666755555558E-6</v>
      </c>
      <c r="CD274" s="2200"/>
      <c r="CE274" s="2229"/>
      <c r="CF274" s="2229"/>
      <c r="CG274" s="2228"/>
      <c r="CH274" s="2230"/>
      <c r="CI274" s="2231"/>
      <c r="CJ274" s="2231"/>
      <c r="CK274" s="2228"/>
      <c r="CL274" s="329">
        <f t="shared" si="298"/>
        <v>2.0000000949949026E-4</v>
      </c>
      <c r="CM274" s="330">
        <f t="shared" ca="1" si="299"/>
        <v>0</v>
      </c>
      <c r="CN274" s="331">
        <f t="shared" ca="1" si="272"/>
        <v>-149999.99979999999</v>
      </c>
      <c r="CO274" s="1644"/>
      <c r="CP274" s="1644"/>
      <c r="CQ274" s="1645"/>
      <c r="CR274" s="1644"/>
      <c r="CS274" s="1644"/>
      <c r="CT274" s="86"/>
      <c r="CU274" s="86"/>
      <c r="CV274" s="86"/>
      <c r="CW274" s="86"/>
      <c r="CX274" s="86"/>
      <c r="CY274" s="86"/>
      <c r="CZ274" s="86"/>
      <c r="DA274" s="86"/>
      <c r="DB274" s="1642"/>
      <c r="DC274" s="1642"/>
      <c r="DD274" s="30"/>
      <c r="DE274" s="30"/>
      <c r="DF274" s="30"/>
      <c r="DG274" s="1642"/>
      <c r="DH274" s="1642"/>
      <c r="DI274" s="1642"/>
      <c r="DJ274" s="1642"/>
      <c r="DK274" s="1642"/>
      <c r="DL274" s="1642"/>
      <c r="DM274" s="1642"/>
      <c r="DN274" s="1642"/>
      <c r="DO274" s="1642"/>
      <c r="DP274" s="1642"/>
      <c r="DQ274" s="1642"/>
      <c r="DR274" s="1642"/>
      <c r="DS274" s="1642"/>
      <c r="DT274" s="1642"/>
      <c r="DU274" s="1642"/>
      <c r="DV274" s="1642"/>
      <c r="DW274" s="1642"/>
      <c r="DX274" s="1642"/>
      <c r="DY274" s="1642"/>
      <c r="DZ274" s="1642"/>
      <c r="EA274" s="1642"/>
      <c r="EB274" s="1642"/>
      <c r="EC274" s="1642"/>
      <c r="ED274" s="1642"/>
      <c r="EE274" s="1642"/>
      <c r="EF274" s="1642"/>
      <c r="EG274" s="1642"/>
      <c r="EH274" s="1643"/>
      <c r="EI274" s="1658"/>
      <c r="EJ274" s="1642"/>
      <c r="EK274" s="30"/>
      <c r="EL274" s="30"/>
      <c r="EM274" s="30"/>
      <c r="EN274" s="30"/>
      <c r="EO274" s="30"/>
      <c r="EP274" s="30"/>
      <c r="EQ274" s="30"/>
      <c r="ER274" s="30"/>
      <c r="ES274" s="30"/>
      <c r="ET274" s="30"/>
      <c r="EU274" s="30"/>
      <c r="EV274" s="30"/>
      <c r="EW274" s="30"/>
      <c r="EX274" s="30"/>
      <c r="EY274" s="30"/>
      <c r="EZ274" s="30"/>
      <c r="FA274" s="30"/>
      <c r="FB274" s="30"/>
      <c r="FC274" s="30"/>
      <c r="FD274" s="30"/>
      <c r="FE274" s="30"/>
      <c r="FF274" s="30"/>
      <c r="FG274" s="30"/>
      <c r="FH274" s="30"/>
      <c r="FI274" s="30"/>
      <c r="FJ274" s="30"/>
      <c r="FK274" s="30"/>
      <c r="FL274" s="30"/>
      <c r="FM274" s="30"/>
      <c r="FN274" s="30"/>
      <c r="FO274" s="30"/>
      <c r="FP274" s="30"/>
      <c r="FQ274" s="30"/>
      <c r="FR274" s="30"/>
      <c r="FS274" s="30"/>
      <c r="FT274" s="30"/>
      <c r="FU274" s="30"/>
      <c r="FV274" s="30"/>
      <c r="FW274" s="30"/>
      <c r="FX274" s="30"/>
      <c r="FY274" s="30"/>
      <c r="FZ274" s="30"/>
      <c r="GA274" s="30"/>
      <c r="GB274" s="30"/>
      <c r="GC274" s="30"/>
      <c r="GD274" s="30"/>
      <c r="GE274" s="30"/>
      <c r="GF274" s="30"/>
      <c r="GG274" s="30"/>
      <c r="GH274" s="30"/>
      <c r="GI274" s="30"/>
      <c r="GJ274" s="30"/>
      <c r="GK274" s="30"/>
      <c r="GL274" s="30"/>
      <c r="GM274" s="30"/>
      <c r="GN274" s="30"/>
      <c r="GO274" s="30"/>
      <c r="GP274" s="30"/>
      <c r="GQ274" s="30"/>
      <c r="GR274" s="30"/>
      <c r="GS274" s="30"/>
      <c r="GT274" s="30"/>
      <c r="GU274" s="30"/>
      <c r="GV274" s="30"/>
      <c r="GW274" s="30"/>
      <c r="GX274" s="30"/>
      <c r="GY274" s="30"/>
      <c r="GZ274" s="30"/>
      <c r="HA274" s="30"/>
      <c r="HB274" s="30"/>
      <c r="HC274" s="30"/>
      <c r="HD274" s="30"/>
      <c r="HE274" s="30"/>
      <c r="HF274" s="30"/>
      <c r="HG274" s="30"/>
      <c r="HH274" s="30"/>
      <c r="HI274" s="30"/>
      <c r="HJ274" s="30"/>
      <c r="HK274" s="30"/>
      <c r="HL274" s="30"/>
      <c r="HM274" s="30"/>
      <c r="HN274" s="30"/>
      <c r="HO274" s="30"/>
      <c r="HP274" s="30"/>
      <c r="HQ274" s="30"/>
      <c r="HR274" s="30"/>
      <c r="HS274" s="30"/>
      <c r="HT274" s="30"/>
      <c r="HU274" s="30"/>
      <c r="HV274" s="30"/>
      <c r="HW274" s="30"/>
      <c r="HX274" s="30"/>
      <c r="HY274" s="30"/>
      <c r="HZ274" s="30"/>
      <c r="IA274" s="30"/>
      <c r="IB274" s="30"/>
      <c r="IC274" s="30"/>
      <c r="ID274" s="30"/>
      <c r="IE274" s="30"/>
      <c r="IF274" s="30"/>
      <c r="IG274" s="30"/>
      <c r="IH274" s="30"/>
      <c r="II274" s="30"/>
      <c r="IJ274" s="30"/>
      <c r="IK274" s="30"/>
      <c r="IL274" s="30"/>
      <c r="IM274" s="30"/>
      <c r="IN274" s="30"/>
      <c r="IO274" s="30"/>
      <c r="IP274" s="30"/>
      <c r="IQ274" s="30"/>
      <c r="IR274" s="30"/>
      <c r="IS274" s="30"/>
      <c r="IT274" s="30"/>
      <c r="IU274" s="30"/>
      <c r="IV274" s="30"/>
      <c r="IW274" s="30"/>
      <c r="IX274" s="30"/>
      <c r="IY274" s="30"/>
      <c r="IZ274" s="30"/>
      <c r="JA274" s="30"/>
      <c r="JB274" s="30"/>
      <c r="JC274" s="30"/>
      <c r="JD274" s="30"/>
      <c r="JE274" s="30"/>
      <c r="JF274" s="30"/>
      <c r="JG274" s="30"/>
      <c r="JH274" s="30"/>
      <c r="JI274" s="30"/>
      <c r="JJ274" s="30"/>
      <c r="JK274" s="30"/>
      <c r="JL274" s="30"/>
      <c r="JM274" s="30"/>
      <c r="JN274" s="30"/>
      <c r="JO274" s="30"/>
      <c r="JP274" s="30"/>
      <c r="JQ274" s="30"/>
      <c r="JR274" s="30"/>
      <c r="JS274" s="30"/>
      <c r="JT274" s="30"/>
      <c r="JU274" s="30"/>
      <c r="JV274" s="30"/>
      <c r="JW274" s="30"/>
      <c r="JX274" s="30"/>
      <c r="JY274" s="30"/>
      <c r="JZ274" s="30"/>
      <c r="KA274" s="30"/>
      <c r="KB274" s="30"/>
      <c r="KC274" s="30"/>
      <c r="KD274" s="30"/>
      <c r="KE274" s="30"/>
      <c r="KF274" s="30"/>
      <c r="KG274" s="30"/>
      <c r="KH274" s="30"/>
      <c r="KI274" s="30"/>
      <c r="KJ274" s="30"/>
      <c r="KK274" s="30"/>
      <c r="KL274" s="30"/>
      <c r="KM274" s="30"/>
      <c r="KN274" s="30"/>
      <c r="KO274" s="30"/>
      <c r="KP274" s="1630"/>
    </row>
    <row r="275" spans="1:302" s="97" customFormat="1" ht="13.9" outlineLevel="1">
      <c r="A275" s="2587" t="s">
        <v>516</v>
      </c>
      <c r="B275" s="2605"/>
      <c r="C275" s="2587" t="s">
        <v>1117</v>
      </c>
      <c r="D275" s="2587" t="s">
        <v>1134</v>
      </c>
      <c r="E275" s="254"/>
      <c r="F275" s="347"/>
      <c r="G275" s="348"/>
      <c r="H275" s="349" t="s">
        <v>26</v>
      </c>
      <c r="I275" s="2938"/>
      <c r="J275" s="362" t="s">
        <v>26</v>
      </c>
      <c r="K275" s="1745"/>
      <c r="L275" s="383"/>
      <c r="M275" s="383"/>
      <c r="N275" s="383"/>
      <c r="O275" s="1510">
        <v>100000</v>
      </c>
      <c r="P275" s="383"/>
      <c r="Q275" s="383"/>
      <c r="R275" s="383"/>
      <c r="S275" s="1510">
        <f t="shared" si="274"/>
        <v>0</v>
      </c>
      <c r="T275" s="1509"/>
      <c r="U275" s="1746"/>
      <c r="V275" s="1746"/>
      <c r="W275" s="1510">
        <f t="shared" si="276"/>
        <v>100000</v>
      </c>
      <c r="X275" s="362" t="s">
        <v>26</v>
      </c>
      <c r="Y275" s="1509"/>
      <c r="Z275" s="1510"/>
      <c r="AA275" s="1510"/>
      <c r="AB275" s="1744">
        <f t="shared" si="294"/>
        <v>100000</v>
      </c>
      <c r="AC275" s="2704"/>
      <c r="AD275" s="1457"/>
      <c r="AE275" s="352"/>
      <c r="AF275" s="353"/>
      <c r="AG275" s="353"/>
      <c r="AH275" s="354">
        <f t="shared" si="273"/>
        <v>0</v>
      </c>
      <c r="AI275" s="355">
        <f t="shared" ca="1" si="293"/>
        <v>0</v>
      </c>
      <c r="AJ275" s="356">
        <f t="shared" ca="1" si="275"/>
        <v>0</v>
      </c>
      <c r="AK275" s="2185"/>
      <c r="AL275" s="2063"/>
      <c r="AM275" s="2262"/>
      <c r="AN275" s="2262"/>
      <c r="AO275" s="1509"/>
      <c r="AP275" s="384"/>
      <c r="AQ275" s="1509"/>
      <c r="AR275" s="362"/>
      <c r="AS275" s="362"/>
      <c r="AT275" s="385"/>
      <c r="AU275" s="359"/>
      <c r="AV275" s="359"/>
      <c r="AW275" s="377"/>
      <c r="AX275" s="1505"/>
      <c r="AY275" s="360"/>
      <c r="AZ275" s="2258"/>
      <c r="BA275" s="359"/>
      <c r="BB275" s="359"/>
      <c r="BC275" s="359"/>
      <c r="BD275" s="359"/>
      <c r="BE275" s="359"/>
      <c r="BF275" s="359"/>
      <c r="BG275" s="359"/>
      <c r="BH275" s="359"/>
      <c r="BI275" s="380"/>
      <c r="BJ275" s="359">
        <v>12500</v>
      </c>
      <c r="BK275" s="2122">
        <v>12500</v>
      </c>
      <c r="BL275" s="380">
        <v>12500</v>
      </c>
      <c r="BM275" s="380">
        <v>12500</v>
      </c>
      <c r="BN275" s="380">
        <v>12500</v>
      </c>
      <c r="BO275" s="380">
        <v>12500</v>
      </c>
      <c r="BP275" s="380">
        <v>12500</v>
      </c>
      <c r="BQ275" s="2087">
        <v>12500</v>
      </c>
      <c r="BR275" s="359"/>
      <c r="BS275" s="359"/>
      <c r="BT275" s="362"/>
      <c r="BU275" s="364"/>
      <c r="BV275" s="364"/>
      <c r="BW275" s="2366"/>
      <c r="BX275" s="2463"/>
      <c r="BY275" s="2543"/>
      <c r="BZ275" s="2543"/>
      <c r="CA275" s="2432">
        <f t="shared" ref="CA275" si="306">SUMIF($AM$10:$BZ$10,$CA$9,AM275:BZ275)</f>
        <v>100000</v>
      </c>
      <c r="CB275" s="2377">
        <f t="shared" ref="CB275" si="307">IF($AB275&lt;&gt;0,CA275/$AB275,"")</f>
        <v>1</v>
      </c>
      <c r="CC275" s="365">
        <f t="shared" ref="CC275" si="308">IF($AB275&lt;&gt;0,CB275/$AB275,"")</f>
        <v>1.0000000000000001E-5</v>
      </c>
      <c r="CD275" s="366"/>
      <c r="CE275" s="343"/>
      <c r="CF275" s="343"/>
      <c r="CG275" s="340"/>
      <c r="CH275" s="367"/>
      <c r="CI275" s="368"/>
      <c r="CJ275" s="368"/>
      <c r="CK275" s="369"/>
      <c r="CL275" s="329">
        <f t="shared" si="298"/>
        <v>0</v>
      </c>
      <c r="CM275" s="330">
        <f t="shared" ca="1" si="299"/>
        <v>0</v>
      </c>
      <c r="CN275" s="331">
        <f t="shared" ca="1" si="272"/>
        <v>-100000</v>
      </c>
      <c r="CO275" s="1644"/>
      <c r="CP275" s="1644"/>
      <c r="CQ275" s="1645"/>
      <c r="CR275" s="1644"/>
      <c r="CS275" s="1644"/>
      <c r="CT275" s="86"/>
      <c r="CU275" s="86"/>
      <c r="CV275" s="86"/>
      <c r="CW275" s="86"/>
      <c r="CX275" s="86"/>
      <c r="CY275" s="86"/>
      <c r="CZ275" s="86"/>
      <c r="DA275" s="86"/>
      <c r="DB275" s="1642"/>
      <c r="DC275" s="1642"/>
      <c r="DD275" s="30"/>
      <c r="DE275" s="30"/>
      <c r="DF275" s="30"/>
      <c r="DG275" s="1642"/>
      <c r="DH275" s="1642"/>
      <c r="DI275" s="1642"/>
      <c r="DJ275" s="1642"/>
      <c r="DK275" s="1642"/>
      <c r="DL275" s="1642"/>
      <c r="DM275" s="1642"/>
      <c r="DN275" s="1642"/>
      <c r="DO275" s="1642"/>
      <c r="DP275" s="1642"/>
      <c r="DQ275" s="1642"/>
      <c r="DR275" s="1642"/>
      <c r="DS275" s="1642"/>
      <c r="DT275" s="1642"/>
      <c r="DU275" s="1642"/>
      <c r="DV275" s="1642"/>
      <c r="DW275" s="1642"/>
      <c r="DX275" s="1642"/>
      <c r="DY275" s="1642"/>
      <c r="DZ275" s="1642"/>
      <c r="EA275" s="1642"/>
      <c r="EB275" s="1642"/>
      <c r="EC275" s="1642"/>
      <c r="ED275" s="1642"/>
      <c r="EE275" s="1642"/>
      <c r="EF275" s="1642"/>
      <c r="EG275" s="1642"/>
      <c r="EH275" s="1643"/>
      <c r="EI275" s="1658"/>
      <c r="EJ275" s="1642"/>
      <c r="EK275" s="30"/>
      <c r="EL275" s="30"/>
      <c r="EM275" s="30"/>
      <c r="EN275" s="30"/>
      <c r="EO275" s="30"/>
      <c r="EP275" s="30"/>
      <c r="EQ275" s="30"/>
      <c r="ER275" s="30"/>
      <c r="ES275" s="30"/>
      <c r="ET275" s="30"/>
      <c r="EU275" s="30"/>
      <c r="EV275" s="30"/>
      <c r="EW275" s="30"/>
      <c r="EX275" s="30"/>
      <c r="EY275" s="30"/>
      <c r="EZ275" s="30"/>
      <c r="FA275" s="30"/>
      <c r="FB275" s="30"/>
      <c r="FC275" s="30"/>
      <c r="FD275" s="30"/>
      <c r="FE275" s="30"/>
      <c r="FF275" s="30"/>
      <c r="FG275" s="30"/>
      <c r="FH275" s="30"/>
      <c r="FI275" s="30"/>
      <c r="FJ275" s="30"/>
      <c r="FK275" s="30"/>
      <c r="FL275" s="30"/>
      <c r="FM275" s="30"/>
      <c r="FN275" s="30"/>
      <c r="FO275" s="30"/>
      <c r="FP275" s="30"/>
      <c r="FQ275" s="30"/>
      <c r="FR275" s="30"/>
      <c r="FS275" s="30"/>
      <c r="FT275" s="30"/>
      <c r="FU275" s="30"/>
      <c r="FV275" s="30"/>
      <c r="FW275" s="30"/>
      <c r="FX275" s="30"/>
      <c r="FY275" s="30"/>
      <c r="FZ275" s="30"/>
      <c r="GA275" s="30"/>
      <c r="GB275" s="30"/>
      <c r="GC275" s="30"/>
      <c r="GD275" s="30"/>
      <c r="GE275" s="30"/>
      <c r="GF275" s="30"/>
      <c r="GG275" s="30"/>
      <c r="GH275" s="30"/>
      <c r="GI275" s="30"/>
      <c r="GJ275" s="30"/>
      <c r="GK275" s="30"/>
      <c r="GL275" s="30"/>
      <c r="GM275" s="30"/>
      <c r="GN275" s="30"/>
      <c r="GO275" s="30"/>
      <c r="GP275" s="30"/>
      <c r="GQ275" s="30"/>
      <c r="GR275" s="30"/>
      <c r="GS275" s="30"/>
      <c r="GT275" s="30"/>
      <c r="GU275" s="30"/>
      <c r="GV275" s="30"/>
      <c r="GW275" s="30"/>
      <c r="GX275" s="30"/>
      <c r="GY275" s="30"/>
      <c r="GZ275" s="30"/>
      <c r="HA275" s="30"/>
      <c r="HB275" s="30"/>
      <c r="HC275" s="30"/>
      <c r="HD275" s="30"/>
      <c r="HE275" s="30"/>
      <c r="HF275" s="30"/>
      <c r="HG275" s="30"/>
      <c r="HH275" s="30"/>
      <c r="HI275" s="30"/>
      <c r="HJ275" s="30"/>
      <c r="HK275" s="30"/>
      <c r="HL275" s="30"/>
      <c r="HM275" s="30"/>
      <c r="HN275" s="30"/>
      <c r="HO275" s="30"/>
      <c r="HP275" s="30"/>
      <c r="HQ275" s="30"/>
      <c r="HR275" s="30"/>
      <c r="HS275" s="30"/>
      <c r="HT275" s="30"/>
      <c r="HU275" s="30"/>
      <c r="HV275" s="30"/>
      <c r="HW275" s="30"/>
      <c r="HX275" s="30"/>
      <c r="HY275" s="30"/>
      <c r="HZ275" s="30"/>
      <c r="IA275" s="30"/>
      <c r="IB275" s="30"/>
      <c r="IC275" s="30"/>
      <c r="ID275" s="30"/>
      <c r="IE275" s="30"/>
      <c r="IF275" s="30"/>
      <c r="IG275" s="30"/>
      <c r="IH275" s="30"/>
      <c r="II275" s="30"/>
      <c r="IJ275" s="30"/>
      <c r="IK275" s="30"/>
      <c r="IL275" s="30"/>
      <c r="IM275" s="30"/>
      <c r="IN275" s="30"/>
      <c r="IO275" s="30"/>
      <c r="IP275" s="30"/>
      <c r="IQ275" s="30"/>
      <c r="IR275" s="30"/>
      <c r="IS275" s="30"/>
      <c r="IT275" s="30"/>
      <c r="IU275" s="30"/>
      <c r="IV275" s="30"/>
      <c r="IW275" s="30"/>
      <c r="IX275" s="30"/>
      <c r="IY275" s="30"/>
      <c r="IZ275" s="30"/>
      <c r="JA275" s="30"/>
      <c r="JB275" s="30"/>
      <c r="JC275" s="30"/>
      <c r="JD275" s="30"/>
      <c r="JE275" s="30"/>
      <c r="JF275" s="30"/>
      <c r="JG275" s="30"/>
      <c r="JH275" s="30"/>
      <c r="JI275" s="30"/>
      <c r="JJ275" s="30"/>
      <c r="JK275" s="30"/>
      <c r="JL275" s="30"/>
      <c r="JM275" s="30"/>
      <c r="JN275" s="30"/>
      <c r="JO275" s="30"/>
      <c r="JP275" s="30"/>
      <c r="JQ275" s="30"/>
      <c r="JR275" s="30"/>
      <c r="JS275" s="30"/>
      <c r="JT275" s="30"/>
      <c r="JU275" s="30"/>
      <c r="JV275" s="30"/>
      <c r="JW275" s="30"/>
      <c r="JX275" s="30"/>
      <c r="JY275" s="30"/>
      <c r="JZ275" s="30"/>
      <c r="KA275" s="30"/>
      <c r="KB275" s="30"/>
      <c r="KC275" s="30"/>
      <c r="KD275" s="30"/>
      <c r="KE275" s="30"/>
      <c r="KF275" s="30"/>
      <c r="KG275" s="30"/>
      <c r="KH275" s="30"/>
      <c r="KI275" s="30"/>
      <c r="KJ275" s="30"/>
      <c r="KK275" s="30"/>
      <c r="KL275" s="30"/>
      <c r="KM275" s="30"/>
      <c r="KN275" s="30"/>
      <c r="KO275" s="30"/>
      <c r="KP275" s="1630"/>
    </row>
    <row r="276" spans="1:302" s="97" customFormat="1" ht="25.25" customHeight="1">
      <c r="A276" s="2654">
        <v>7</v>
      </c>
      <c r="B276" s="332"/>
      <c r="C276" s="164" t="s">
        <v>1135</v>
      </c>
      <c r="D276" s="164" t="s">
        <v>1136</v>
      </c>
      <c r="E276" s="333"/>
      <c r="F276" s="334"/>
      <c r="G276" s="335"/>
      <c r="H276" s="334"/>
      <c r="I276" s="336">
        <f>SUM(I277)</f>
        <v>0</v>
      </c>
      <c r="J276" s="336"/>
      <c r="K276" s="336"/>
      <c r="L276" s="336"/>
      <c r="M276" s="336"/>
      <c r="N276" s="336"/>
      <c r="O276" s="336">
        <f>SUM(O277)</f>
        <v>538352</v>
      </c>
      <c r="P276" s="336">
        <f t="shared" ref="P276:W276" si="309">SUM(P277)</f>
        <v>0</v>
      </c>
      <c r="Q276" s="336">
        <f t="shared" si="309"/>
        <v>0</v>
      </c>
      <c r="R276" s="336">
        <f t="shared" si="309"/>
        <v>0</v>
      </c>
      <c r="S276" s="336">
        <f t="shared" si="309"/>
        <v>0</v>
      </c>
      <c r="T276" s="336">
        <f t="shared" si="309"/>
        <v>0</v>
      </c>
      <c r="U276" s="336">
        <f t="shared" si="309"/>
        <v>0</v>
      </c>
      <c r="V276" s="336">
        <f t="shared" si="309"/>
        <v>0</v>
      </c>
      <c r="W276" s="336">
        <f t="shared" si="309"/>
        <v>538352</v>
      </c>
      <c r="X276" s="1743"/>
      <c r="Y276" s="1742">
        <f>SUM(Y277:Y389)</f>
        <v>0</v>
      </c>
      <c r="Z276" s="1742">
        <f>SUM(Z277:Z389)</f>
        <v>0</v>
      </c>
      <c r="AA276" s="1743">
        <f>SUM(AA277:AA389)</f>
        <v>0</v>
      </c>
      <c r="AB276" s="336">
        <f>SUM(AB277:AB278)</f>
        <v>538352</v>
      </c>
      <c r="AC276" s="1440"/>
      <c r="AD276" s="1456"/>
      <c r="AE276" s="336"/>
      <c r="AF276" s="336"/>
      <c r="AG276" s="336"/>
      <c r="AH276" s="336">
        <f>SUM(AH277:AH278)</f>
        <v>322212.81</v>
      </c>
      <c r="AI276" s="336">
        <f t="shared" si="289"/>
        <v>40000</v>
      </c>
      <c r="AJ276" s="337">
        <f t="shared" si="275"/>
        <v>7.4300829197253837E-2</v>
      </c>
      <c r="AK276" s="2183"/>
      <c r="AL276" s="2064"/>
      <c r="AM276" s="2259">
        <f>SUM(AM258:AM275)</f>
        <v>0</v>
      </c>
      <c r="AN276" s="336">
        <f>SUM(AN277:AN278)</f>
        <v>20000</v>
      </c>
      <c r="AO276" s="336">
        <f t="shared" ref="AO276:BZ276" si="310">SUM(AO277:AO278)</f>
        <v>20000</v>
      </c>
      <c r="AP276" s="336">
        <f t="shared" si="310"/>
        <v>20000</v>
      </c>
      <c r="AQ276" s="336">
        <f t="shared" si="310"/>
        <v>37458.972857142857</v>
      </c>
      <c r="AR276" s="336">
        <f t="shared" si="310"/>
        <v>37458.972857142857</v>
      </c>
      <c r="AS276" s="336">
        <f t="shared" si="310"/>
        <v>37458.972857142857</v>
      </c>
      <c r="AT276" s="336">
        <f t="shared" si="310"/>
        <v>37458.972857142857</v>
      </c>
      <c r="AU276" s="336">
        <f t="shared" si="310"/>
        <v>37458.972857142857</v>
      </c>
      <c r="AV276" s="336">
        <f t="shared" si="310"/>
        <v>37458.972857142857</v>
      </c>
      <c r="AW276" s="336">
        <f t="shared" si="310"/>
        <v>37458.972857142857</v>
      </c>
      <c r="AX276" s="336">
        <f t="shared" si="310"/>
        <v>0</v>
      </c>
      <c r="AY276" s="336">
        <f t="shared" si="310"/>
        <v>0</v>
      </c>
      <c r="AZ276" s="336">
        <f t="shared" si="310"/>
        <v>0</v>
      </c>
      <c r="BA276" s="336">
        <f t="shared" si="310"/>
        <v>0</v>
      </c>
      <c r="BB276" s="336">
        <f t="shared" si="310"/>
        <v>0</v>
      </c>
      <c r="BC276" s="336">
        <f t="shared" si="310"/>
        <v>0</v>
      </c>
      <c r="BD276" s="336">
        <f t="shared" si="310"/>
        <v>0</v>
      </c>
      <c r="BE276" s="336">
        <f t="shared" si="310"/>
        <v>0</v>
      </c>
      <c r="BF276" s="336">
        <f t="shared" si="310"/>
        <v>0</v>
      </c>
      <c r="BG276" s="336">
        <f t="shared" si="310"/>
        <v>0</v>
      </c>
      <c r="BH276" s="336">
        <f t="shared" si="310"/>
        <v>0</v>
      </c>
      <c r="BI276" s="336">
        <f t="shared" si="310"/>
        <v>0</v>
      </c>
      <c r="BJ276" s="336">
        <f t="shared" si="310"/>
        <v>0</v>
      </c>
      <c r="BK276" s="336">
        <f t="shared" si="310"/>
        <v>0</v>
      </c>
      <c r="BL276" s="336">
        <f t="shared" si="310"/>
        <v>0</v>
      </c>
      <c r="BM276" s="336">
        <f t="shared" si="310"/>
        <v>0</v>
      </c>
      <c r="BN276" s="336">
        <f t="shared" si="310"/>
        <v>0</v>
      </c>
      <c r="BO276" s="336">
        <f t="shared" si="310"/>
        <v>0</v>
      </c>
      <c r="BP276" s="336">
        <f t="shared" si="310"/>
        <v>0</v>
      </c>
      <c r="BQ276" s="336">
        <f t="shared" si="310"/>
        <v>0</v>
      </c>
      <c r="BR276" s="336">
        <f t="shared" si="310"/>
        <v>0</v>
      </c>
      <c r="BS276" s="336">
        <f t="shared" si="310"/>
        <v>0</v>
      </c>
      <c r="BT276" s="336">
        <f t="shared" si="310"/>
        <v>0</v>
      </c>
      <c r="BU276" s="336">
        <f t="shared" si="310"/>
        <v>0</v>
      </c>
      <c r="BV276" s="336">
        <f t="shared" si="310"/>
        <v>0</v>
      </c>
      <c r="BW276" s="336">
        <f t="shared" si="310"/>
        <v>216139.19</v>
      </c>
      <c r="BX276" s="336">
        <f t="shared" si="310"/>
        <v>0</v>
      </c>
      <c r="BY276" s="336">
        <f t="shared" si="310"/>
        <v>0</v>
      </c>
      <c r="BZ276" s="336">
        <f t="shared" si="310"/>
        <v>0</v>
      </c>
      <c r="CA276" s="336">
        <f>SUM(CA277:CA278)</f>
        <v>498352</v>
      </c>
      <c r="CB276" s="2379">
        <f t="shared" si="291"/>
        <v>0.92569917080274611</v>
      </c>
      <c r="CC276" s="365">
        <f t="shared" si="291"/>
        <v>1.7195053994463586E-6</v>
      </c>
      <c r="CD276" s="346"/>
      <c r="CE276" s="1522"/>
      <c r="CF276" s="1518"/>
      <c r="CG276" s="448"/>
      <c r="CH276" s="1523"/>
      <c r="CI276" s="1524"/>
      <c r="CJ276" s="1524"/>
      <c r="CK276" s="346"/>
      <c r="CL276" s="329">
        <f t="shared" si="298"/>
        <v>40000</v>
      </c>
      <c r="CM276" s="330">
        <f t="shared" si="299"/>
        <v>0</v>
      </c>
      <c r="CN276" s="331">
        <f t="shared" si="272"/>
        <v>-216139.19</v>
      </c>
      <c r="CO276" s="1644"/>
      <c r="CP276" s="1644"/>
      <c r="CQ276" s="1645"/>
      <c r="CR276" s="1644"/>
      <c r="CS276" s="1644"/>
      <c r="CT276" s="86"/>
      <c r="CU276" s="86"/>
      <c r="CV276" s="86"/>
      <c r="CW276" s="86"/>
      <c r="CX276" s="86"/>
      <c r="CY276" s="86"/>
      <c r="CZ276" s="86"/>
      <c r="DA276" s="86"/>
      <c r="DB276" s="1642"/>
      <c r="DC276" s="1642"/>
      <c r="DD276" s="30"/>
      <c r="DE276" s="30"/>
      <c r="DF276" s="30"/>
      <c r="DG276" s="1642"/>
      <c r="DH276" s="1642"/>
      <c r="DI276" s="1642"/>
      <c r="DJ276" s="1642"/>
      <c r="DK276" s="1642"/>
      <c r="DL276" s="1642"/>
      <c r="DM276" s="1642"/>
      <c r="DN276" s="1642"/>
      <c r="DO276" s="1642"/>
      <c r="DP276" s="1642"/>
      <c r="DQ276" s="1642"/>
      <c r="DR276" s="1642"/>
      <c r="DS276" s="1642"/>
      <c r="DT276" s="1642"/>
      <c r="DU276" s="1642"/>
      <c r="DV276" s="1642"/>
      <c r="DW276" s="1642"/>
      <c r="DX276" s="1642"/>
      <c r="DY276" s="1642"/>
      <c r="DZ276" s="1642"/>
      <c r="EA276" s="1642"/>
      <c r="EB276" s="1642"/>
      <c r="EC276" s="1642"/>
      <c r="ED276" s="1642"/>
      <c r="EE276" s="1642"/>
      <c r="EF276" s="1642"/>
      <c r="EG276" s="1642"/>
      <c r="EH276" s="1643"/>
      <c r="EI276" s="1658"/>
      <c r="EJ276" s="1642"/>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c r="FV276" s="30"/>
      <c r="FW276" s="30"/>
      <c r="FX276" s="30"/>
      <c r="FY276" s="30"/>
      <c r="FZ276" s="30"/>
      <c r="GA276" s="30"/>
      <c r="GB276" s="30"/>
      <c r="GC276" s="30"/>
      <c r="GD276" s="30"/>
      <c r="GE276" s="30"/>
      <c r="GF276" s="30"/>
      <c r="GG276" s="30"/>
      <c r="GH276" s="30"/>
      <c r="GI276" s="30"/>
      <c r="GJ276" s="30"/>
      <c r="GK276" s="30"/>
      <c r="GL276" s="30"/>
      <c r="GM276" s="30"/>
      <c r="GN276" s="30"/>
      <c r="GO276" s="30"/>
      <c r="GP276" s="30"/>
      <c r="GQ276" s="30"/>
      <c r="GR276" s="30"/>
      <c r="GS276" s="30"/>
      <c r="GT276" s="30"/>
      <c r="GU276" s="30"/>
      <c r="GV276" s="30"/>
      <c r="GW276" s="30"/>
      <c r="GX276" s="30"/>
      <c r="GY276" s="30"/>
      <c r="GZ276" s="30"/>
      <c r="HA276" s="30"/>
      <c r="HB276" s="30"/>
      <c r="HC276" s="30"/>
      <c r="HD276" s="30"/>
      <c r="HE276" s="30"/>
      <c r="HF276" s="30"/>
      <c r="HG276" s="30"/>
      <c r="HH276" s="30"/>
      <c r="HI276" s="30"/>
      <c r="HJ276" s="30"/>
      <c r="HK276" s="30"/>
      <c r="HL276" s="30"/>
      <c r="HM276" s="30"/>
      <c r="HN276" s="30"/>
      <c r="HO276" s="30"/>
      <c r="HP276" s="30"/>
      <c r="HQ276" s="30"/>
      <c r="HR276" s="30"/>
      <c r="HS276" s="30"/>
      <c r="HT276" s="30"/>
      <c r="HU276" s="30"/>
      <c r="HV276" s="30"/>
      <c r="HW276" s="30"/>
      <c r="HX276" s="30"/>
      <c r="HY276" s="30"/>
      <c r="HZ276" s="30"/>
      <c r="IA276" s="30"/>
      <c r="IB276" s="30"/>
      <c r="IC276" s="30"/>
      <c r="ID276" s="30"/>
      <c r="IE276" s="30"/>
      <c r="IF276" s="30"/>
      <c r="IG276" s="30"/>
      <c r="IH276" s="30"/>
      <c r="II276" s="30"/>
      <c r="IJ276" s="30"/>
      <c r="IK276" s="30"/>
      <c r="IL276" s="30"/>
      <c r="IM276" s="30"/>
      <c r="IN276" s="30"/>
      <c r="IO276" s="30"/>
      <c r="IP276" s="30"/>
      <c r="IQ276" s="30"/>
      <c r="IR276" s="30"/>
      <c r="IS276" s="30"/>
      <c r="IT276" s="30"/>
      <c r="IU276" s="30"/>
      <c r="IV276" s="30"/>
      <c r="IW276" s="30"/>
      <c r="IX276" s="30"/>
      <c r="IY276" s="30"/>
      <c r="IZ276" s="30"/>
      <c r="JA276" s="30"/>
      <c r="JB276" s="30"/>
      <c r="JC276" s="30"/>
      <c r="JD276" s="30"/>
      <c r="JE276" s="30"/>
      <c r="JF276" s="30"/>
      <c r="JG276" s="30"/>
      <c r="JH276" s="30"/>
      <c r="JI276" s="30"/>
      <c r="JJ276" s="30"/>
      <c r="JK276" s="30"/>
      <c r="JL276" s="30"/>
      <c r="JM276" s="30"/>
      <c r="JN276" s="30"/>
      <c r="JO276" s="30"/>
      <c r="JP276" s="30"/>
      <c r="JQ276" s="30"/>
      <c r="JR276" s="30"/>
      <c r="JS276" s="30"/>
      <c r="JT276" s="30"/>
      <c r="JU276" s="30"/>
      <c r="JV276" s="30"/>
      <c r="JW276" s="30"/>
      <c r="JX276" s="30"/>
      <c r="JY276" s="30"/>
      <c r="JZ276" s="30"/>
      <c r="KA276" s="30"/>
      <c r="KB276" s="30"/>
      <c r="KC276" s="30"/>
      <c r="KD276" s="30"/>
      <c r="KE276" s="30"/>
      <c r="KF276" s="30"/>
      <c r="KG276" s="30"/>
      <c r="KH276" s="30"/>
      <c r="KI276" s="30"/>
      <c r="KJ276" s="30"/>
      <c r="KK276" s="30"/>
      <c r="KL276" s="30"/>
      <c r="KM276" s="30"/>
      <c r="KN276" s="30"/>
      <c r="KO276" s="30"/>
      <c r="KP276" s="1630"/>
    </row>
    <row r="277" spans="1:302" s="97" customFormat="1" ht="13.15" outlineLevel="1">
      <c r="A277" s="2720" t="s">
        <v>206</v>
      </c>
      <c r="B277" s="1692"/>
      <c r="C277" s="261"/>
      <c r="D277" s="261"/>
      <c r="E277" s="376"/>
      <c r="F277" s="347"/>
      <c r="G277" s="348"/>
      <c r="H277" s="349" t="s">
        <v>26</v>
      </c>
      <c r="I277" s="2606"/>
      <c r="J277" s="362" t="s">
        <v>26</v>
      </c>
      <c r="K277" s="1745"/>
      <c r="L277" s="383"/>
      <c r="M277" s="383"/>
      <c r="N277" s="383"/>
      <c r="O277" s="1510">
        <v>538352</v>
      </c>
      <c r="P277" s="383"/>
      <c r="Q277" s="383"/>
      <c r="R277" s="383"/>
      <c r="S277" s="1510">
        <f t="shared" ref="S277" si="311">R277*Q277</f>
        <v>0</v>
      </c>
      <c r="T277" s="1509"/>
      <c r="U277" s="1746"/>
      <c r="V277" s="1746"/>
      <c r="W277" s="1510">
        <f t="shared" ref="W277" si="312">O277+S277</f>
        <v>538352</v>
      </c>
      <c r="X277" s="362" t="s">
        <v>26</v>
      </c>
      <c r="Y277" s="1509"/>
      <c r="Z277" s="1746"/>
      <c r="AA277" s="1746"/>
      <c r="AB277" s="2722">
        <f>SUM(AM277:BZ277)</f>
        <v>216139.19</v>
      </c>
      <c r="AC277" s="2704"/>
      <c r="AD277" s="1457"/>
      <c r="AE277" s="352"/>
      <c r="AF277" s="353"/>
      <c r="AG277" s="353"/>
      <c r="AH277" s="354">
        <f t="shared" si="273"/>
        <v>0</v>
      </c>
      <c r="AI277" s="355">
        <f t="shared" ref="AI277" ca="1" si="313">SUMIF($AM$10:$BZ$10,$AI$9,AM277:BT277)</f>
        <v>0</v>
      </c>
      <c r="AJ277" s="356">
        <f t="shared" ca="1" si="275"/>
        <v>0</v>
      </c>
      <c r="AK277" s="2185"/>
      <c r="AL277" s="2063"/>
      <c r="AM277" s="2262"/>
      <c r="AN277" s="2262"/>
      <c r="AO277" s="1509"/>
      <c r="AP277" s="384"/>
      <c r="AQ277" s="1509"/>
      <c r="AR277" s="2635"/>
      <c r="AS277" s="2635"/>
      <c r="AT277" s="2636"/>
      <c r="AU277" s="2627"/>
      <c r="AV277" s="2627"/>
      <c r="AW277" s="377"/>
      <c r="AX277" s="362"/>
      <c r="AY277" s="385"/>
      <c r="AZ277" s="2273"/>
      <c r="BA277" s="497"/>
      <c r="BB277" s="359"/>
      <c r="BC277" s="359"/>
      <c r="BD277" s="359"/>
      <c r="BE277" s="359"/>
      <c r="BF277" s="359"/>
      <c r="BG277" s="362"/>
      <c r="BH277" s="362"/>
      <c r="BI277" s="414"/>
      <c r="BJ277" s="362"/>
      <c r="BK277" s="2123"/>
      <c r="BL277" s="414"/>
      <c r="BM277" s="414"/>
      <c r="BN277" s="414"/>
      <c r="BO277" s="414"/>
      <c r="BP277" s="414"/>
      <c r="BQ277" s="2399"/>
      <c r="BR277" s="362"/>
      <c r="BS277" s="362"/>
      <c r="BT277" s="362"/>
      <c r="BU277" s="364"/>
      <c r="BV277" s="364"/>
      <c r="BW277" s="2463">
        <f>338352-122212.81</f>
        <v>216139.19</v>
      </c>
      <c r="BX277" s="2463"/>
      <c r="BY277" s="2543"/>
      <c r="BZ277" s="2543"/>
      <c r="CA277" s="2432">
        <f>SUMIF($AM$10:$BZ$10,$CA$9,AM277:BZ277)</f>
        <v>216139.19</v>
      </c>
      <c r="CB277" s="2378">
        <f t="shared" si="291"/>
        <v>1</v>
      </c>
      <c r="CC277" s="365">
        <f t="shared" si="291"/>
        <v>4.6266482260806106E-6</v>
      </c>
      <c r="CD277" s="355"/>
      <c r="CE277" s="1518"/>
      <c r="CF277" s="1518"/>
      <c r="CG277" s="448"/>
      <c r="CH277" s="1519"/>
      <c r="CI277" s="1520"/>
      <c r="CJ277" s="1520"/>
      <c r="CK277" s="448"/>
      <c r="CL277" s="329">
        <f t="shared" si="298"/>
        <v>322212.81</v>
      </c>
      <c r="CM277" s="330">
        <f t="shared" ca="1" si="299"/>
        <v>0</v>
      </c>
      <c r="CN277" s="331">
        <f t="shared" ca="1" si="272"/>
        <v>-216139.19</v>
      </c>
      <c r="CO277" s="1644"/>
      <c r="CP277" s="1644"/>
      <c r="CQ277" s="1645"/>
      <c r="CR277" s="1644"/>
      <c r="CS277" s="1644"/>
      <c r="CT277" s="86"/>
      <c r="CU277" s="86"/>
      <c r="CV277" s="86"/>
      <c r="CW277" s="86"/>
      <c r="CX277" s="86"/>
      <c r="CY277" s="86"/>
      <c r="CZ277" s="86"/>
      <c r="DA277" s="86"/>
      <c r="DB277" s="1642"/>
      <c r="DC277" s="1642"/>
      <c r="DD277" s="30"/>
      <c r="DE277" s="30"/>
      <c r="DF277" s="30"/>
      <c r="DG277" s="1642"/>
      <c r="DH277" s="1642"/>
      <c r="DI277" s="1642"/>
      <c r="DJ277" s="1642"/>
      <c r="DK277" s="1642"/>
      <c r="DL277" s="1642"/>
      <c r="DM277" s="1642"/>
      <c r="DN277" s="1642"/>
      <c r="DO277" s="1642"/>
      <c r="DP277" s="1642"/>
      <c r="DQ277" s="1642"/>
      <c r="DR277" s="1642"/>
      <c r="DS277" s="1642"/>
      <c r="DT277" s="1642"/>
      <c r="DU277" s="1642"/>
      <c r="DV277" s="1642"/>
      <c r="DW277" s="1642"/>
      <c r="DX277" s="1642"/>
      <c r="DY277" s="1642"/>
      <c r="DZ277" s="1642"/>
      <c r="EA277" s="1642"/>
      <c r="EB277" s="1642"/>
      <c r="EC277" s="1642"/>
      <c r="ED277" s="1642"/>
      <c r="EE277" s="1642"/>
      <c r="EF277" s="1642"/>
      <c r="EG277" s="1642"/>
      <c r="EH277" s="1643"/>
      <c r="EI277" s="1658"/>
      <c r="EJ277" s="30"/>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0"/>
      <c r="HP277" s="30"/>
      <c r="HQ277" s="30"/>
      <c r="HR277" s="30"/>
      <c r="HS277" s="30"/>
      <c r="HT277" s="30"/>
      <c r="HU277" s="30"/>
      <c r="HV277" s="30"/>
      <c r="HW277" s="30"/>
      <c r="HX277" s="30"/>
      <c r="HY277" s="30"/>
      <c r="HZ277" s="30"/>
      <c r="IA277" s="30"/>
      <c r="IB277" s="30"/>
      <c r="IC277" s="30"/>
      <c r="ID277" s="30"/>
      <c r="IE277" s="30"/>
      <c r="IF277" s="30"/>
      <c r="IG277" s="30"/>
      <c r="IH277" s="30"/>
      <c r="II277" s="30"/>
      <c r="IJ277" s="30"/>
      <c r="IK277" s="30"/>
      <c r="IL277" s="30"/>
      <c r="IM277" s="30"/>
      <c r="IN277" s="30"/>
      <c r="IO277" s="30"/>
      <c r="IP277" s="30"/>
      <c r="IQ277" s="30"/>
      <c r="IR277" s="30"/>
      <c r="IS277" s="30"/>
      <c r="IT277" s="30"/>
      <c r="IU277" s="30"/>
      <c r="IV277" s="30"/>
      <c r="IW277" s="30"/>
      <c r="IX277" s="30"/>
      <c r="IY277" s="30"/>
      <c r="IZ277" s="30"/>
      <c r="JA277" s="30"/>
      <c r="JB277" s="30"/>
      <c r="JC277" s="30"/>
      <c r="JD277" s="30"/>
      <c r="JE277" s="30"/>
      <c r="JF277" s="30"/>
      <c r="JG277" s="30"/>
      <c r="JH277" s="30"/>
      <c r="JI277" s="30"/>
      <c r="JJ277" s="30"/>
      <c r="JK277" s="30"/>
      <c r="JL277" s="30"/>
      <c r="JM277" s="30"/>
      <c r="JN277" s="30"/>
      <c r="JO277" s="30"/>
      <c r="JP277" s="30"/>
      <c r="JQ277" s="30"/>
      <c r="JR277" s="30"/>
      <c r="JS277" s="30"/>
      <c r="JT277" s="30"/>
      <c r="JU277" s="30"/>
      <c r="JV277" s="30"/>
      <c r="JW277" s="30"/>
      <c r="JX277" s="30"/>
      <c r="JY277" s="30"/>
      <c r="JZ277" s="30"/>
      <c r="KA277" s="30"/>
      <c r="KB277" s="30"/>
      <c r="KC277" s="30"/>
      <c r="KD277" s="30"/>
      <c r="KE277" s="30"/>
      <c r="KF277" s="30"/>
      <c r="KG277" s="30"/>
      <c r="KH277" s="30"/>
      <c r="KI277" s="30"/>
      <c r="KJ277" s="30"/>
      <c r="KK277" s="30"/>
      <c r="KL277" s="30"/>
      <c r="KM277" s="30"/>
      <c r="KN277" s="30"/>
      <c r="KO277" s="30"/>
      <c r="KP277" s="1630"/>
    </row>
    <row r="278" spans="1:302" s="97" customFormat="1" ht="13.15" outlineLevel="1">
      <c r="A278" s="1692" t="s">
        <v>148</v>
      </c>
      <c r="B278" s="1692"/>
      <c r="C278" s="261" t="s">
        <v>1312</v>
      </c>
      <c r="D278" s="261"/>
      <c r="E278" s="376"/>
      <c r="F278" s="347"/>
      <c r="G278" s="348"/>
      <c r="H278" s="349" t="s">
        <v>26</v>
      </c>
      <c r="I278" s="2606"/>
      <c r="J278" s="362" t="s">
        <v>26</v>
      </c>
      <c r="K278" s="1745"/>
      <c r="L278" s="383"/>
      <c r="M278" s="383"/>
      <c r="N278" s="383"/>
      <c r="O278" s="1510"/>
      <c r="P278" s="383"/>
      <c r="Q278" s="383"/>
      <c r="R278" s="383"/>
      <c r="S278" s="1510"/>
      <c r="T278" s="1509"/>
      <c r="U278" s="1746"/>
      <c r="V278" s="1746"/>
      <c r="W278" s="1510"/>
      <c r="X278" s="362" t="s">
        <v>26</v>
      </c>
      <c r="Y278" s="1509"/>
      <c r="Z278" s="1746"/>
      <c r="AA278" s="1746"/>
      <c r="AB278" s="2897">
        <f>SUM(AM278:BZ278)</f>
        <v>322212.81</v>
      </c>
      <c r="AC278" s="2896" t="s">
        <v>740</v>
      </c>
      <c r="AD278" s="1680">
        <v>4502939064</v>
      </c>
      <c r="AE278" s="352"/>
      <c r="AF278" s="497">
        <v>322212.81</v>
      </c>
      <c r="AG278" s="1396">
        <v>1</v>
      </c>
      <c r="AH278" s="354">
        <f t="shared" ref="AH278" si="314">AF278*AG278</f>
        <v>322212.81</v>
      </c>
      <c r="AI278" s="355">
        <f>SUMIF($AM$10:$BZ$10,$AI$9,AM278:BZ278)</f>
        <v>40000</v>
      </c>
      <c r="AJ278" s="356">
        <f t="shared" si="275"/>
        <v>0.12414155725217753</v>
      </c>
      <c r="AK278" s="2185"/>
      <c r="AL278" s="260"/>
      <c r="AM278" s="2262"/>
      <c r="AN278" s="2777">
        <v>20000</v>
      </c>
      <c r="AO278" s="2825">
        <v>20000</v>
      </c>
      <c r="AP278" s="2825">
        <v>20000</v>
      </c>
      <c r="AQ278" s="2262">
        <f>262212.81/7</f>
        <v>37458.972857142857</v>
      </c>
      <c r="AR278" s="2262">
        <v>37458.972857142857</v>
      </c>
      <c r="AS278" s="2262">
        <v>37458.972857142857</v>
      </c>
      <c r="AT278" s="2262">
        <v>37458.972857142857</v>
      </c>
      <c r="AU278" s="2262">
        <v>37458.972857142857</v>
      </c>
      <c r="AV278" s="2262">
        <v>37458.972857142857</v>
      </c>
      <c r="AW278" s="2262">
        <v>37458.972857142857</v>
      </c>
      <c r="AX278" s="384"/>
      <c r="AY278" s="385"/>
      <c r="AZ278" s="2333"/>
      <c r="BA278" s="497"/>
      <c r="BB278" s="359"/>
      <c r="BC278" s="359"/>
      <c r="BD278" s="359"/>
      <c r="BE278" s="359"/>
      <c r="BF278" s="359"/>
      <c r="BG278" s="362"/>
      <c r="BH278" s="362"/>
      <c r="BI278" s="414"/>
      <c r="BJ278" s="362"/>
      <c r="BK278" s="2123"/>
      <c r="BL278" s="414"/>
      <c r="BM278" s="414"/>
      <c r="BN278" s="414"/>
      <c r="BO278" s="414"/>
      <c r="BP278" s="414"/>
      <c r="BQ278" s="2399"/>
      <c r="BR278" s="362"/>
      <c r="BS278" s="362"/>
      <c r="BT278" s="362"/>
      <c r="BU278" s="364"/>
      <c r="BV278" s="364"/>
      <c r="BW278" s="2366"/>
      <c r="BX278" s="2463"/>
      <c r="BY278" s="2543"/>
      <c r="BZ278" s="2543"/>
      <c r="CA278" s="2432">
        <f>SUMIF($AM$10:$BZ$10,$CA$9,AM278:BZ278)</f>
        <v>282212.81</v>
      </c>
      <c r="CB278" s="2378">
        <f t="shared" si="291"/>
        <v>0.87585844274782243</v>
      </c>
      <c r="CC278" s="365">
        <f t="shared" si="291"/>
        <v>2.7182607753795461E-6</v>
      </c>
      <c r="CD278" s="355"/>
      <c r="CE278" s="1518"/>
      <c r="CF278" s="1518"/>
      <c r="CG278" s="448"/>
      <c r="CH278" s="1519"/>
      <c r="CI278" s="1520"/>
      <c r="CJ278" s="1520"/>
      <c r="CK278" s="448"/>
      <c r="CL278" s="329">
        <f t="shared" si="298"/>
        <v>-282212.81</v>
      </c>
      <c r="CM278" s="330">
        <f t="shared" si="299"/>
        <v>0</v>
      </c>
      <c r="CN278" s="331">
        <f t="shared" si="272"/>
        <v>0</v>
      </c>
      <c r="CO278" s="2378">
        <f t="shared" ref="CO278" si="315">IF($AB278&lt;&gt;0,CN278/$AB278,"")</f>
        <v>0</v>
      </c>
      <c r="CP278" s="365">
        <f t="shared" ref="CP278" si="316">IF($AB278&lt;&gt;0,CO278/$AB278,"")</f>
        <v>0</v>
      </c>
      <c r="CQ278" s="355"/>
      <c r="CR278" s="1773"/>
      <c r="CS278" s="2747"/>
      <c r="CT278" s="2748"/>
      <c r="CU278" s="2749"/>
      <c r="CV278" s="2750"/>
      <c r="CW278" s="2750"/>
      <c r="CX278" s="2748"/>
      <c r="CY278" s="86"/>
      <c r="CZ278" s="86"/>
      <c r="DA278" s="86"/>
      <c r="DB278" s="1642"/>
      <c r="DC278" s="1642"/>
      <c r="DD278" s="30"/>
      <c r="DE278" s="30"/>
      <c r="DF278" s="30"/>
      <c r="DG278" s="1642"/>
      <c r="DH278" s="1642"/>
      <c r="DI278" s="1642"/>
      <c r="DJ278" s="1642"/>
      <c r="DK278" s="1642"/>
      <c r="DL278" s="1642"/>
      <c r="DM278" s="1642"/>
      <c r="DN278" s="1642"/>
      <c r="DO278" s="1642"/>
      <c r="DP278" s="1642"/>
      <c r="DQ278" s="1642"/>
      <c r="DR278" s="1642"/>
      <c r="DS278" s="1642"/>
      <c r="DT278" s="1642"/>
      <c r="DU278" s="1642"/>
      <c r="DV278" s="1642"/>
      <c r="DW278" s="1642"/>
      <c r="DX278" s="1642"/>
      <c r="DY278" s="1642"/>
      <c r="DZ278" s="1642"/>
      <c r="EA278" s="1642"/>
      <c r="EB278" s="1642"/>
      <c r="EC278" s="1642"/>
      <c r="ED278" s="1642"/>
      <c r="EE278" s="1642"/>
      <c r="EF278" s="1642"/>
      <c r="EG278" s="1642"/>
      <c r="EH278" s="1643"/>
      <c r="EI278" s="1658"/>
      <c r="EJ278" s="30"/>
      <c r="EK278" s="30"/>
      <c r="EL278" s="30"/>
      <c r="EM278" s="30"/>
      <c r="EN278" s="30"/>
      <c r="EO278" s="30"/>
      <c r="EP278" s="30"/>
      <c r="EQ278" s="30"/>
      <c r="ER278" s="30"/>
      <c r="ES278" s="30"/>
      <c r="ET278" s="30"/>
      <c r="EU278" s="30"/>
      <c r="EV278" s="30"/>
      <c r="EW278" s="30"/>
      <c r="EX278" s="30"/>
      <c r="EY278" s="30"/>
      <c r="EZ278" s="30"/>
      <c r="FA278" s="30"/>
      <c r="FB278" s="30"/>
      <c r="FC278" s="30"/>
      <c r="FD278" s="30"/>
      <c r="FE278" s="30"/>
      <c r="FF278" s="30"/>
      <c r="FG278" s="30"/>
      <c r="FH278" s="30"/>
      <c r="FI278" s="30"/>
      <c r="FJ278" s="30"/>
      <c r="FK278" s="30"/>
      <c r="FL278" s="30"/>
      <c r="FM278" s="30"/>
      <c r="FN278" s="30"/>
      <c r="FO278" s="30"/>
      <c r="FP278" s="30"/>
      <c r="FQ278" s="30"/>
      <c r="FR278" s="30"/>
      <c r="FS278" s="30"/>
      <c r="FT278" s="30"/>
      <c r="FU278" s="30"/>
      <c r="FV278" s="30"/>
      <c r="FW278" s="30"/>
      <c r="FX278" s="30"/>
      <c r="FY278" s="30"/>
      <c r="FZ278" s="30"/>
      <c r="GA278" s="30"/>
      <c r="GB278" s="30"/>
      <c r="GC278" s="30"/>
      <c r="GD278" s="30"/>
      <c r="GE278" s="30"/>
      <c r="GF278" s="30"/>
      <c r="GG278" s="30"/>
      <c r="GH278" s="30"/>
      <c r="GI278" s="30"/>
      <c r="GJ278" s="30"/>
      <c r="GK278" s="30"/>
      <c r="GL278" s="30"/>
      <c r="GM278" s="30"/>
      <c r="GN278" s="30"/>
      <c r="GO278" s="30"/>
      <c r="GP278" s="30"/>
      <c r="GQ278" s="30"/>
      <c r="GR278" s="30"/>
      <c r="GS278" s="30"/>
      <c r="GT278" s="30"/>
      <c r="GU278" s="30"/>
      <c r="GV278" s="30"/>
      <c r="GW278" s="30"/>
      <c r="GX278" s="30"/>
      <c r="GY278" s="30"/>
      <c r="GZ278" s="30"/>
      <c r="HA278" s="30"/>
      <c r="HB278" s="30"/>
      <c r="HC278" s="30"/>
      <c r="HD278" s="30"/>
      <c r="HE278" s="30"/>
      <c r="HF278" s="30"/>
      <c r="HG278" s="30"/>
      <c r="HH278" s="30"/>
      <c r="HI278" s="30"/>
      <c r="HJ278" s="30"/>
      <c r="HK278" s="30"/>
      <c r="HL278" s="30"/>
      <c r="HM278" s="30"/>
      <c r="HN278" s="30"/>
      <c r="HO278" s="30"/>
      <c r="HP278" s="30"/>
      <c r="HQ278" s="30"/>
      <c r="HR278" s="30"/>
      <c r="HS278" s="30"/>
      <c r="HT278" s="30"/>
      <c r="HU278" s="30"/>
      <c r="HV278" s="30"/>
      <c r="HW278" s="30"/>
      <c r="HX278" s="30"/>
      <c r="HY278" s="30"/>
      <c r="HZ278" s="30"/>
      <c r="IA278" s="30"/>
      <c r="IB278" s="30"/>
      <c r="IC278" s="30"/>
      <c r="ID278" s="30"/>
      <c r="IE278" s="30"/>
      <c r="IF278" s="30"/>
      <c r="IG278" s="30"/>
      <c r="IH278" s="30"/>
      <c r="II278" s="30"/>
      <c r="IJ278" s="30"/>
      <c r="IK278" s="30"/>
      <c r="IL278" s="30"/>
      <c r="IM278" s="30"/>
      <c r="IN278" s="30"/>
      <c r="IO278" s="30"/>
      <c r="IP278" s="30"/>
      <c r="IQ278" s="30"/>
      <c r="IR278" s="30"/>
      <c r="IS278" s="30"/>
      <c r="IT278" s="30"/>
      <c r="IU278" s="30"/>
      <c r="IV278" s="30"/>
      <c r="IW278" s="30"/>
      <c r="IX278" s="30"/>
      <c r="IY278" s="30"/>
      <c r="IZ278" s="30"/>
      <c r="JA278" s="30"/>
      <c r="JB278" s="30"/>
      <c r="JC278" s="30"/>
      <c r="JD278" s="30"/>
      <c r="JE278" s="30"/>
      <c r="JF278" s="30"/>
      <c r="JG278" s="30"/>
      <c r="JH278" s="30"/>
      <c r="JI278" s="30"/>
      <c r="JJ278" s="30"/>
      <c r="JK278" s="30"/>
      <c r="JL278" s="30"/>
      <c r="JM278" s="30"/>
      <c r="JN278" s="30"/>
      <c r="JO278" s="30"/>
      <c r="JP278" s="30"/>
      <c r="JQ278" s="30"/>
      <c r="JR278" s="30"/>
      <c r="JS278" s="30"/>
      <c r="JT278" s="30"/>
      <c r="JU278" s="30"/>
      <c r="JV278" s="30"/>
      <c r="JW278" s="30"/>
      <c r="JX278" s="30"/>
      <c r="JY278" s="30"/>
      <c r="JZ278" s="30"/>
      <c r="KA278" s="30"/>
      <c r="KB278" s="30"/>
      <c r="KC278" s="30"/>
      <c r="KD278" s="30"/>
      <c r="KE278" s="30"/>
      <c r="KF278" s="30"/>
      <c r="KG278" s="30"/>
      <c r="KH278" s="30"/>
      <c r="KI278" s="30"/>
      <c r="KJ278" s="30"/>
      <c r="KK278" s="30"/>
      <c r="KL278" s="30"/>
      <c r="KM278" s="30"/>
      <c r="KN278" s="30"/>
      <c r="KO278" s="30"/>
      <c r="KP278" s="1630"/>
    </row>
    <row r="279" spans="1:302" s="97" customFormat="1" ht="25.25" customHeight="1">
      <c r="A279" s="2654">
        <v>8</v>
      </c>
      <c r="B279" s="332"/>
      <c r="C279" s="164" t="s">
        <v>453</v>
      </c>
      <c r="D279" s="164"/>
      <c r="E279" s="333"/>
      <c r="F279" s="334"/>
      <c r="G279" s="335"/>
      <c r="H279" s="334"/>
      <c r="I279" s="336">
        <f>SUM(I282:I282)</f>
        <v>0</v>
      </c>
      <c r="J279" s="336"/>
      <c r="K279" s="336"/>
      <c r="L279" s="336"/>
      <c r="M279" s="336"/>
      <c r="N279" s="336"/>
      <c r="O279" s="336">
        <f>SUM(O280:O282)</f>
        <v>414429</v>
      </c>
      <c r="P279" s="1749"/>
      <c r="Q279" s="1749"/>
      <c r="R279" s="1749"/>
      <c r="S279" s="336">
        <f>SUM(S282:S282)</f>
        <v>0</v>
      </c>
      <c r="T279" s="1749"/>
      <c r="U279" s="335"/>
      <c r="V279" s="335"/>
      <c r="W279" s="336">
        <f>SUM(W282:W282)</f>
        <v>0</v>
      </c>
      <c r="X279" s="335"/>
      <c r="Y279" s="1749">
        <f>SUM(Y280:Y392)</f>
        <v>0</v>
      </c>
      <c r="Z279" s="1749">
        <f>SUM(Z280:Z392)</f>
        <v>0</v>
      </c>
      <c r="AA279" s="335">
        <f>SUM(AA280:AA392)</f>
        <v>0</v>
      </c>
      <c r="AB279" s="336">
        <f>SUM(AB280:AB282)</f>
        <v>414429</v>
      </c>
      <c r="AC279" s="1456"/>
      <c r="AD279" s="1456"/>
      <c r="AE279" s="336"/>
      <c r="AF279" s="336"/>
      <c r="AG279" s="336"/>
      <c r="AH279" s="336">
        <f>SUM(AH282:AH282)</f>
        <v>400000</v>
      </c>
      <c r="AI279" s="336">
        <f ca="1">SUM(AI282:AI282)</f>
        <v>0</v>
      </c>
      <c r="AJ279" s="337">
        <f t="shared" ca="1" si="275"/>
        <v>0</v>
      </c>
      <c r="AK279" s="2183"/>
      <c r="AL279" s="1331"/>
      <c r="AM279" s="2259"/>
      <c r="AN279" s="2259">
        <f>SUM(AN280:AN282)</f>
        <v>0</v>
      </c>
      <c r="AO279" s="2259">
        <f t="shared" ref="AO279:BZ279" si="317">SUM(AO280:AO282)</f>
        <v>0</v>
      </c>
      <c r="AP279" s="2259">
        <f t="shared" si="317"/>
        <v>0</v>
      </c>
      <c r="AQ279" s="2259">
        <f t="shared" si="317"/>
        <v>950</v>
      </c>
      <c r="AR279" s="2259">
        <f t="shared" si="317"/>
        <v>0</v>
      </c>
      <c r="AS279" s="2259">
        <f t="shared" si="317"/>
        <v>0</v>
      </c>
      <c r="AT279" s="2259">
        <f t="shared" si="317"/>
        <v>13479</v>
      </c>
      <c r="AU279" s="2259">
        <f t="shared" si="317"/>
        <v>0</v>
      </c>
      <c r="AV279" s="2259">
        <f t="shared" si="317"/>
        <v>0</v>
      </c>
      <c r="AW279" s="2259">
        <f t="shared" si="317"/>
        <v>0</v>
      </c>
      <c r="AX279" s="2259">
        <f t="shared" si="317"/>
        <v>0</v>
      </c>
      <c r="AY279" s="2259">
        <f t="shared" si="317"/>
        <v>0</v>
      </c>
      <c r="AZ279" s="2259">
        <f t="shared" si="317"/>
        <v>0</v>
      </c>
      <c r="BA279" s="2259">
        <f t="shared" si="317"/>
        <v>0</v>
      </c>
      <c r="BB279" s="2259">
        <f t="shared" si="317"/>
        <v>0</v>
      </c>
      <c r="BC279" s="2259">
        <f t="shared" si="317"/>
        <v>0</v>
      </c>
      <c r="BD279" s="2259">
        <f t="shared" si="317"/>
        <v>0</v>
      </c>
      <c r="BE279" s="2259">
        <f t="shared" si="317"/>
        <v>0</v>
      </c>
      <c r="BF279" s="2259">
        <f t="shared" si="317"/>
        <v>0</v>
      </c>
      <c r="BG279" s="2259">
        <f t="shared" si="317"/>
        <v>0</v>
      </c>
      <c r="BH279" s="2259">
        <f t="shared" si="317"/>
        <v>0</v>
      </c>
      <c r="BI279" s="2259">
        <f t="shared" si="317"/>
        <v>0</v>
      </c>
      <c r="BJ279" s="2259">
        <f t="shared" si="317"/>
        <v>0</v>
      </c>
      <c r="BK279" s="2259">
        <f t="shared" si="317"/>
        <v>0</v>
      </c>
      <c r="BL279" s="2259">
        <f t="shared" si="317"/>
        <v>0</v>
      </c>
      <c r="BM279" s="2259">
        <f t="shared" si="317"/>
        <v>0</v>
      </c>
      <c r="BN279" s="2259">
        <f t="shared" si="317"/>
        <v>0</v>
      </c>
      <c r="BO279" s="2259">
        <f t="shared" si="317"/>
        <v>0</v>
      </c>
      <c r="BP279" s="2259">
        <f t="shared" si="317"/>
        <v>0</v>
      </c>
      <c r="BQ279" s="2259">
        <f t="shared" si="317"/>
        <v>226000</v>
      </c>
      <c r="BR279" s="2259">
        <f t="shared" si="317"/>
        <v>0</v>
      </c>
      <c r="BS279" s="2259">
        <f t="shared" si="317"/>
        <v>0</v>
      </c>
      <c r="BT279" s="2259">
        <f t="shared" si="317"/>
        <v>174000</v>
      </c>
      <c r="BU279" s="2259">
        <f t="shared" si="317"/>
        <v>0</v>
      </c>
      <c r="BV279" s="2259">
        <f t="shared" si="317"/>
        <v>0</v>
      </c>
      <c r="BW279" s="2259">
        <f t="shared" si="317"/>
        <v>0</v>
      </c>
      <c r="BX279" s="2259">
        <f t="shared" si="317"/>
        <v>0</v>
      </c>
      <c r="BY279" s="2259">
        <f t="shared" si="317"/>
        <v>0</v>
      </c>
      <c r="BZ279" s="2259">
        <f t="shared" si="317"/>
        <v>0</v>
      </c>
      <c r="CA279" s="2431">
        <f>SUMIF($AM$10:$BZ$10,$CA$9,AM279:BZ279)</f>
        <v>414429</v>
      </c>
      <c r="CB279" s="2379">
        <f t="shared" ref="CB279:CC282" si="318">IF($AB279&lt;&gt;0,CA279/$AB279,"")</f>
        <v>1</v>
      </c>
      <c r="CC279" s="365">
        <f t="shared" si="318"/>
        <v>2.412958552610942E-6</v>
      </c>
      <c r="CD279" s="341"/>
      <c r="CE279" s="342"/>
      <c r="CF279" s="343"/>
      <c r="CG279" s="340"/>
      <c r="CH279" s="344"/>
      <c r="CI279" s="345"/>
      <c r="CJ279" s="345"/>
      <c r="CK279" s="346"/>
      <c r="CL279" s="329">
        <f t="shared" si="298"/>
        <v>0</v>
      </c>
      <c r="CM279" s="330">
        <f t="shared" ca="1" si="299"/>
        <v>0</v>
      </c>
      <c r="CN279" s="331">
        <f t="shared" ca="1" si="272"/>
        <v>-400000</v>
      </c>
      <c r="CO279" s="86"/>
      <c r="CP279" s="86">
        <f t="shared" ref="CP279:CP295" si="319">I279-O279</f>
        <v>-414429</v>
      </c>
      <c r="CQ279" s="1641"/>
      <c r="CR279" s="86"/>
      <c r="CS279" s="86"/>
      <c r="CT279" s="86"/>
      <c r="CU279" s="86"/>
      <c r="CV279" s="86"/>
      <c r="CW279" s="86"/>
      <c r="CX279" s="86"/>
      <c r="CY279" s="86"/>
      <c r="CZ279" s="86"/>
      <c r="DA279" s="86"/>
      <c r="DB279" s="1642"/>
      <c r="DC279" s="1642"/>
      <c r="DD279" s="30"/>
      <c r="DE279" s="30"/>
      <c r="DF279" s="30"/>
      <c r="DG279" s="1642"/>
      <c r="DH279" s="1642"/>
      <c r="DI279" s="1642"/>
      <c r="DJ279" s="1642"/>
      <c r="DK279" s="1642"/>
      <c r="DL279" s="1642"/>
      <c r="DM279" s="1642"/>
      <c r="DN279" s="1642"/>
      <c r="DO279" s="1642"/>
      <c r="DP279" s="1642"/>
      <c r="DQ279" s="1642"/>
      <c r="DR279" s="1642"/>
      <c r="DS279" s="1642"/>
      <c r="DT279" s="1642"/>
      <c r="DU279" s="1642"/>
      <c r="DV279" s="1642"/>
      <c r="DW279" s="1642"/>
      <c r="DX279" s="1642"/>
      <c r="DY279" s="1642"/>
      <c r="DZ279" s="1642"/>
      <c r="EA279" s="1642"/>
      <c r="EB279" s="1642"/>
      <c r="EC279" s="1642"/>
      <c r="ED279" s="1642"/>
      <c r="EE279" s="1642"/>
      <c r="EF279" s="1642"/>
      <c r="EG279" s="1642"/>
      <c r="EH279" s="1643"/>
      <c r="EI279" s="1658"/>
      <c r="EJ279" s="30"/>
      <c r="EK279" s="30"/>
      <c r="EL279" s="30"/>
      <c r="EM279" s="30"/>
      <c r="EN279" s="30"/>
      <c r="EO279" s="30"/>
      <c r="EP279" s="30"/>
      <c r="EQ279" s="30"/>
      <c r="ER279" s="30"/>
      <c r="ES279" s="30"/>
      <c r="ET279" s="30"/>
      <c r="EU279" s="30"/>
      <c r="EV279" s="30"/>
      <c r="EW279" s="30"/>
      <c r="EX279" s="30"/>
      <c r="EY279" s="30"/>
      <c r="EZ279" s="30"/>
      <c r="FA279" s="30"/>
      <c r="FB279" s="30"/>
      <c r="FC279" s="30"/>
      <c r="FD279" s="30"/>
      <c r="FE279" s="30"/>
      <c r="FF279" s="30"/>
      <c r="FG279" s="30"/>
      <c r="FH279" s="30"/>
      <c r="FI279" s="30"/>
      <c r="FJ279" s="30"/>
      <c r="FK279" s="30"/>
      <c r="FL279" s="30"/>
      <c r="FM279" s="30"/>
      <c r="FN279" s="30"/>
      <c r="FO279" s="30"/>
      <c r="FP279" s="30"/>
      <c r="FQ279" s="30"/>
      <c r="FR279" s="30"/>
      <c r="FS279" s="30"/>
      <c r="FT279" s="30"/>
      <c r="FU279" s="30"/>
      <c r="FV279" s="30"/>
      <c r="FW279" s="30"/>
      <c r="FX279" s="30"/>
      <c r="FY279" s="30"/>
      <c r="FZ279" s="30"/>
      <c r="GA279" s="30"/>
      <c r="GB279" s="30"/>
      <c r="GC279" s="30"/>
      <c r="GD279" s="30"/>
      <c r="GE279" s="30"/>
      <c r="GF279" s="30"/>
      <c r="GG279" s="30"/>
      <c r="GH279" s="30"/>
      <c r="GI279" s="30"/>
      <c r="GJ279" s="30"/>
      <c r="GK279" s="30"/>
      <c r="GL279" s="30"/>
      <c r="GM279" s="30"/>
      <c r="GN279" s="30"/>
      <c r="GO279" s="30"/>
      <c r="GP279" s="30"/>
      <c r="GQ279" s="30"/>
      <c r="GR279" s="30"/>
      <c r="GS279" s="30"/>
      <c r="GT279" s="30"/>
      <c r="GU279" s="30"/>
      <c r="GV279" s="30"/>
      <c r="GW279" s="30"/>
      <c r="GX279" s="30"/>
      <c r="GY279" s="30"/>
      <c r="GZ279" s="30"/>
      <c r="HA279" s="30"/>
      <c r="HB279" s="30"/>
      <c r="HC279" s="30"/>
      <c r="HD279" s="30"/>
      <c r="HE279" s="30"/>
      <c r="HF279" s="30"/>
      <c r="HG279" s="30"/>
      <c r="HH279" s="30"/>
      <c r="HI279" s="30"/>
      <c r="HJ279" s="30"/>
      <c r="HK279" s="30"/>
      <c r="HL279" s="30"/>
      <c r="HM279" s="30"/>
      <c r="HN279" s="30"/>
      <c r="HO279" s="30"/>
      <c r="HP279" s="30"/>
      <c r="HQ279" s="30"/>
      <c r="HR279" s="30"/>
      <c r="HS279" s="30"/>
      <c r="HT279" s="30"/>
      <c r="HU279" s="30"/>
      <c r="HV279" s="30"/>
      <c r="HW279" s="30"/>
      <c r="HX279" s="30"/>
      <c r="HY279" s="30"/>
      <c r="HZ279" s="30"/>
      <c r="IA279" s="30"/>
      <c r="IB279" s="30"/>
      <c r="IC279" s="30"/>
      <c r="ID279" s="30"/>
      <c r="IE279" s="30"/>
      <c r="IF279" s="30"/>
      <c r="IG279" s="30"/>
      <c r="IH279" s="30"/>
      <c r="II279" s="30"/>
      <c r="IJ279" s="30"/>
      <c r="IK279" s="30"/>
      <c r="IL279" s="30"/>
      <c r="IM279" s="30"/>
      <c r="IN279" s="30"/>
      <c r="IO279" s="30"/>
      <c r="IP279" s="30"/>
      <c r="IQ279" s="30"/>
      <c r="IR279" s="30"/>
      <c r="IS279" s="30"/>
      <c r="IT279" s="30"/>
      <c r="IU279" s="30"/>
      <c r="IV279" s="30"/>
      <c r="IW279" s="30"/>
      <c r="IX279" s="30"/>
      <c r="IY279" s="30"/>
      <c r="IZ279" s="30"/>
      <c r="JA279" s="30"/>
      <c r="JB279" s="30"/>
      <c r="JC279" s="30"/>
      <c r="JD279" s="30"/>
      <c r="JE279" s="30"/>
      <c r="JF279" s="30"/>
      <c r="JG279" s="30"/>
      <c r="JH279" s="30"/>
      <c r="JI279" s="30"/>
      <c r="JJ279" s="30"/>
      <c r="JK279" s="30"/>
      <c r="JL279" s="30"/>
      <c r="JM279" s="30"/>
      <c r="JN279" s="30"/>
      <c r="JO279" s="30"/>
      <c r="JP279" s="30"/>
      <c r="JQ279" s="30"/>
      <c r="JR279" s="30"/>
      <c r="JS279" s="30"/>
      <c r="JT279" s="30"/>
      <c r="JU279" s="30"/>
      <c r="JV279" s="30"/>
      <c r="JW279" s="30"/>
      <c r="JX279" s="30"/>
      <c r="JY279" s="30"/>
      <c r="JZ279" s="30"/>
      <c r="KA279" s="30"/>
      <c r="KB279" s="30"/>
      <c r="KC279" s="30"/>
      <c r="KD279" s="30"/>
      <c r="KE279" s="30"/>
      <c r="KF279" s="30"/>
      <c r="KG279" s="30"/>
      <c r="KH279" s="30"/>
      <c r="KI279" s="30"/>
      <c r="KJ279" s="30"/>
      <c r="KK279" s="30"/>
      <c r="KL279" s="30"/>
      <c r="KM279" s="30"/>
      <c r="KN279" s="30"/>
      <c r="KO279" s="30"/>
      <c r="KP279" s="1630"/>
    </row>
    <row r="280" spans="1:302" s="97" customFormat="1" ht="29.1" customHeight="1" outlineLevel="1" thickBot="1">
      <c r="A280" s="2723" t="s">
        <v>1236</v>
      </c>
      <c r="B280" s="2614"/>
      <c r="C280" s="238"/>
      <c r="D280" s="238"/>
      <c r="E280" s="415"/>
      <c r="F280" s="416"/>
      <c r="G280" s="417"/>
      <c r="H280" s="410" t="s">
        <v>26</v>
      </c>
      <c r="I280" s="409">
        <v>414429</v>
      </c>
      <c r="J280" s="1750" t="s">
        <v>26</v>
      </c>
      <c r="K280" s="1751"/>
      <c r="L280" s="1752"/>
      <c r="M280" s="1753"/>
      <c r="N280" s="1753"/>
      <c r="O280" s="1754">
        <v>414429</v>
      </c>
      <c r="P280" s="1752"/>
      <c r="Q280" s="1753"/>
      <c r="R280" s="1753"/>
      <c r="S280" s="1755">
        <f>R280*Q280</f>
        <v>0</v>
      </c>
      <c r="T280" s="1756"/>
      <c r="U280" s="1757"/>
      <c r="V280" s="1757"/>
      <c r="W280" s="1758">
        <f>O280+S280</f>
        <v>414429</v>
      </c>
      <c r="X280" s="1750" t="s">
        <v>26</v>
      </c>
      <c r="Y280" s="1756"/>
      <c r="Z280" s="1757"/>
      <c r="AA280" s="1757"/>
      <c r="AB280" s="2767">
        <f>SUM(AM280:BZ280)</f>
        <v>13479</v>
      </c>
      <c r="AC280" s="1444"/>
      <c r="AD280" s="1461"/>
      <c r="AE280" s="418"/>
      <c r="AF280" s="419"/>
      <c r="AG280" s="419"/>
      <c r="AH280" s="420">
        <f t="shared" ref="AH280" si="320">AF280*AG280</f>
        <v>0</v>
      </c>
      <c r="AI280" s="411">
        <f t="shared" ref="AI280" ca="1" si="321">SUMIF($AM$10:$BZ$10,$AI$9,AM280:BT280)</f>
        <v>0</v>
      </c>
      <c r="AJ280" s="413">
        <f t="shared" ref="AJ280" ca="1" si="322">IF($AB280&lt;&gt;0,AI280/$AB280,"")</f>
        <v>0</v>
      </c>
      <c r="AK280" s="2186"/>
      <c r="AL280" s="1332"/>
      <c r="AM280" s="2266"/>
      <c r="AN280" s="2266"/>
      <c r="AO280" s="421"/>
      <c r="AP280" s="421"/>
      <c r="AQ280" s="421"/>
      <c r="AR280" s="2637"/>
      <c r="AS280" s="2637"/>
      <c r="AT280" s="2638">
        <f>14429-950</f>
        <v>13479</v>
      </c>
      <c r="AU280" s="2639"/>
      <c r="AV280" s="2639"/>
      <c r="AW280" s="1349"/>
      <c r="AX280" s="1349"/>
      <c r="AY280" s="2319"/>
      <c r="AZ280" s="2273"/>
      <c r="BA280" s="497"/>
      <c r="BB280" s="421"/>
      <c r="BC280" s="421"/>
      <c r="BD280" s="421"/>
      <c r="BE280" s="421"/>
      <c r="BF280" s="421"/>
      <c r="BG280" s="421"/>
      <c r="BH280" s="412"/>
      <c r="BI280" s="422"/>
      <c r="BJ280" s="412"/>
      <c r="BK280" s="2127"/>
      <c r="BL280" s="422"/>
      <c r="BM280" s="422"/>
      <c r="BN280" s="422"/>
      <c r="BO280" s="422"/>
      <c r="BP280" s="422"/>
      <c r="BQ280" s="2484"/>
      <c r="BR280" s="412"/>
      <c r="BS280" s="412"/>
      <c r="BT280" s="412"/>
      <c r="BU280" s="423"/>
      <c r="BV280" s="423"/>
      <c r="BW280" s="2370"/>
      <c r="BX280" s="2467"/>
      <c r="BY280" s="2547"/>
      <c r="BZ280" s="2547"/>
      <c r="CA280" s="2431">
        <f t="shared" ref="CA280:CA282" si="323">SUMIF($AM$10:$BZ$10,$CA$9,AM280:BZ280)</f>
        <v>13479</v>
      </c>
      <c r="CB280" s="2379">
        <f t="shared" ref="CB280:CB282" si="324">IF($AB280&lt;&gt;0,CA280/$AB280,"")</f>
        <v>1</v>
      </c>
      <c r="CC280" s="365">
        <f t="shared" si="318"/>
        <v>7.4189479931745676E-5</v>
      </c>
      <c r="CD280" s="366"/>
      <c r="CE280" s="343"/>
      <c r="CF280" s="343"/>
      <c r="CG280" s="340"/>
      <c r="CH280" s="367"/>
      <c r="CI280" s="368"/>
      <c r="CJ280" s="368"/>
      <c r="CK280" s="369"/>
      <c r="CL280" s="329">
        <f t="shared" si="298"/>
        <v>400950</v>
      </c>
      <c r="CM280" s="330">
        <f t="shared" ca="1" si="299"/>
        <v>0</v>
      </c>
      <c r="CN280" s="331">
        <f t="shared" ca="1" si="272"/>
        <v>0</v>
      </c>
      <c r="CO280" s="86"/>
      <c r="CP280" s="86"/>
      <c r="CQ280" s="1641"/>
      <c r="CR280" s="86"/>
      <c r="CS280" s="86"/>
      <c r="CT280" s="86"/>
      <c r="CU280" s="86"/>
      <c r="CV280" s="86"/>
      <c r="CW280" s="86"/>
      <c r="CX280" s="86"/>
      <c r="CY280" s="86"/>
      <c r="CZ280" s="86"/>
      <c r="DA280" s="86"/>
      <c r="DB280" s="1642"/>
      <c r="DC280" s="1642"/>
      <c r="DD280" s="30"/>
      <c r="DE280" s="30"/>
      <c r="DF280" s="30"/>
      <c r="DG280" s="1642"/>
      <c r="DH280" s="1642"/>
      <c r="DI280" s="1642"/>
      <c r="DJ280" s="1642"/>
      <c r="DK280" s="1642"/>
      <c r="DL280" s="1642"/>
      <c r="DM280" s="1642"/>
      <c r="DN280" s="1642"/>
      <c r="DO280" s="1642"/>
      <c r="DP280" s="1642"/>
      <c r="DQ280" s="1642"/>
      <c r="DR280" s="1642"/>
      <c r="DS280" s="1642"/>
      <c r="DT280" s="1642"/>
      <c r="DU280" s="1642"/>
      <c r="DV280" s="1642"/>
      <c r="DW280" s="1642"/>
      <c r="DX280" s="1642"/>
      <c r="DY280" s="1642"/>
      <c r="DZ280" s="1642"/>
      <c r="EA280" s="1642"/>
      <c r="EB280" s="1642"/>
      <c r="EC280" s="1642"/>
      <c r="ED280" s="1642"/>
      <c r="EE280" s="1642"/>
      <c r="EF280" s="1642"/>
      <c r="EG280" s="1642"/>
      <c r="EH280" s="1643"/>
      <c r="EI280" s="1658"/>
      <c r="EJ280" s="30"/>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c r="FV280" s="30"/>
      <c r="FW280" s="30"/>
      <c r="FX280" s="30"/>
      <c r="FY280" s="30"/>
      <c r="FZ280" s="30"/>
      <c r="GA280" s="30"/>
      <c r="GB280" s="30"/>
      <c r="GC280" s="30"/>
      <c r="GD280" s="30"/>
      <c r="GE280" s="30"/>
      <c r="GF280" s="30"/>
      <c r="GG280" s="30"/>
      <c r="GH280" s="30"/>
      <c r="GI280" s="30"/>
      <c r="GJ280" s="30"/>
      <c r="GK280" s="30"/>
      <c r="GL280" s="30"/>
      <c r="GM280" s="30"/>
      <c r="GN280" s="30"/>
      <c r="GO280" s="30"/>
      <c r="GP280" s="30"/>
      <c r="GQ280" s="30"/>
      <c r="GR280" s="30"/>
      <c r="GS280" s="30"/>
      <c r="GT280" s="30"/>
      <c r="GU280" s="30"/>
      <c r="GV280" s="30"/>
      <c r="GW280" s="30"/>
      <c r="GX280" s="30"/>
      <c r="GY280" s="30"/>
      <c r="GZ280" s="30"/>
      <c r="HA280" s="30"/>
      <c r="HB280" s="30"/>
      <c r="HC280" s="30"/>
      <c r="HD280" s="30"/>
      <c r="HE280" s="30"/>
      <c r="HF280" s="30"/>
      <c r="HG280" s="30"/>
      <c r="HH280" s="30"/>
      <c r="HI280" s="30"/>
      <c r="HJ280" s="30"/>
      <c r="HK280" s="30"/>
      <c r="HL280" s="30"/>
      <c r="HM280" s="30"/>
      <c r="HN280" s="30"/>
      <c r="HO280" s="30"/>
      <c r="HP280" s="30"/>
      <c r="HQ280" s="30"/>
      <c r="HR280" s="30"/>
      <c r="HS280" s="30"/>
      <c r="HT280" s="30"/>
      <c r="HU280" s="30"/>
      <c r="HV280" s="30"/>
      <c r="HW280" s="30"/>
      <c r="HX280" s="30"/>
      <c r="HY280" s="30"/>
      <c r="HZ280" s="30"/>
      <c r="IA280" s="30"/>
      <c r="IB280" s="30"/>
      <c r="IC280" s="30"/>
      <c r="ID280" s="30"/>
      <c r="IE280" s="30"/>
      <c r="IF280" s="30"/>
      <c r="IG280" s="30"/>
      <c r="IH280" s="30"/>
      <c r="II280" s="30"/>
      <c r="IJ280" s="30"/>
      <c r="IK280" s="30"/>
      <c r="IL280" s="30"/>
      <c r="IM280" s="30"/>
      <c r="IN280" s="30"/>
      <c r="IO280" s="30"/>
      <c r="IP280" s="30"/>
      <c r="IQ280" s="30"/>
      <c r="IR280" s="30"/>
      <c r="IS280" s="30"/>
      <c r="IT280" s="30"/>
      <c r="IU280" s="30"/>
      <c r="IV280" s="30"/>
      <c r="IW280" s="30"/>
      <c r="IX280" s="30"/>
      <c r="IY280" s="30"/>
      <c r="IZ280" s="30"/>
      <c r="JA280" s="30"/>
      <c r="JB280" s="30"/>
      <c r="JC280" s="30"/>
      <c r="JD280" s="30"/>
      <c r="JE280" s="30"/>
      <c r="JF280" s="30"/>
      <c r="JG280" s="30"/>
      <c r="JH280" s="30"/>
      <c r="JI280" s="30"/>
      <c r="JJ280" s="30"/>
      <c r="JK280" s="30"/>
      <c r="JL280" s="30"/>
      <c r="JM280" s="30"/>
      <c r="JN280" s="30"/>
      <c r="JO280" s="30"/>
      <c r="JP280" s="30"/>
      <c r="JQ280" s="30"/>
      <c r="JR280" s="30"/>
      <c r="JS280" s="30"/>
      <c r="JT280" s="30"/>
      <c r="JU280" s="30"/>
      <c r="JV280" s="30"/>
      <c r="JW280" s="30"/>
      <c r="JX280" s="30"/>
      <c r="JY280" s="30"/>
      <c r="JZ280" s="30"/>
      <c r="KA280" s="30"/>
      <c r="KB280" s="30"/>
      <c r="KC280" s="30"/>
      <c r="KD280" s="30"/>
      <c r="KE280" s="30"/>
      <c r="KF280" s="30"/>
      <c r="KG280" s="30"/>
      <c r="KH280" s="30"/>
      <c r="KI280" s="30"/>
      <c r="KJ280" s="30"/>
      <c r="KK280" s="30"/>
      <c r="KL280" s="30"/>
      <c r="KM280" s="30"/>
      <c r="KN280" s="30"/>
      <c r="KO280" s="30"/>
      <c r="KP280" s="1630"/>
    </row>
    <row r="281" spans="1:302" s="97" customFormat="1" ht="29.1" customHeight="1" outlineLevel="1" thickBot="1">
      <c r="A281" s="2723"/>
      <c r="B281" s="2614"/>
      <c r="C281" s="238" t="s">
        <v>1355</v>
      </c>
      <c r="D281" s="238"/>
      <c r="E281" s="415"/>
      <c r="F281" s="416"/>
      <c r="G281" s="417"/>
      <c r="H281" s="410" t="s">
        <v>26</v>
      </c>
      <c r="I281" s="409"/>
      <c r="J281" s="1750" t="s">
        <v>26</v>
      </c>
      <c r="K281" s="1751"/>
      <c r="L281" s="1752"/>
      <c r="M281" s="1753"/>
      <c r="N281" s="1753"/>
      <c r="O281" s="1754"/>
      <c r="P281" s="1752"/>
      <c r="Q281" s="1753"/>
      <c r="R281" s="1753"/>
      <c r="S281" s="1755">
        <f>R281*Q281</f>
        <v>0</v>
      </c>
      <c r="T281" s="1756"/>
      <c r="U281" s="1757"/>
      <c r="V281" s="1757"/>
      <c r="W281" s="1758">
        <f t="shared" ref="W281:W282" si="325">O281+S281</f>
        <v>0</v>
      </c>
      <c r="X281" s="1750" t="s">
        <v>26</v>
      </c>
      <c r="Y281" s="1756"/>
      <c r="Z281" s="1757"/>
      <c r="AA281" s="1757"/>
      <c r="AB281" s="2767">
        <f>SUM(AM281:BZ281)</f>
        <v>950</v>
      </c>
      <c r="AC281" s="1444" t="s">
        <v>1350</v>
      </c>
      <c r="AD281" s="1680">
        <v>4502971480</v>
      </c>
      <c r="AE281" s="418"/>
      <c r="AF281" s="419">
        <v>950</v>
      </c>
      <c r="AG281" s="419">
        <v>1</v>
      </c>
      <c r="AH281" s="420">
        <f t="shared" ref="AH281:AH282" si="326">AF281*AG281</f>
        <v>950</v>
      </c>
      <c r="AI281" s="411">
        <f t="shared" ref="AI281:AI282" ca="1" si="327">SUMIF($AM$10:$BZ$10,$AI$9,AM281:BT281)</f>
        <v>0</v>
      </c>
      <c r="AJ281" s="413">
        <f t="shared" ref="AJ281:AJ282" ca="1" si="328">IF($AB281&lt;&gt;0,AI281/$AB281,"")</f>
        <v>0</v>
      </c>
      <c r="AK281" s="2186"/>
      <c r="AL281" s="1332"/>
      <c r="AM281" s="2266"/>
      <c r="AN281" s="2266"/>
      <c r="AO281" s="421"/>
      <c r="AP281" s="421"/>
      <c r="AQ281" s="421">
        <v>950</v>
      </c>
      <c r="AR281" s="2637"/>
      <c r="AS281" s="2637"/>
      <c r="AT281" s="2638"/>
      <c r="AU281" s="2639"/>
      <c r="AV281" s="2639"/>
      <c r="AW281" s="1349"/>
      <c r="AX281" s="1349"/>
      <c r="AY281" s="2319"/>
      <c r="AZ281" s="2273"/>
      <c r="BA281" s="497"/>
      <c r="BB281" s="421"/>
      <c r="BC281" s="421"/>
      <c r="BD281" s="421"/>
      <c r="BE281" s="421"/>
      <c r="BF281" s="421"/>
      <c r="BG281" s="421"/>
      <c r="BH281" s="412"/>
      <c r="BI281" s="422"/>
      <c r="BJ281" s="412"/>
      <c r="BK281" s="2127"/>
      <c r="BL281" s="422"/>
      <c r="BM281" s="422"/>
      <c r="BN281" s="422"/>
      <c r="BO281" s="422"/>
      <c r="BP281" s="422"/>
      <c r="BQ281" s="2484"/>
      <c r="BR281" s="412"/>
      <c r="BS281" s="412"/>
      <c r="BT281" s="412"/>
      <c r="BU281" s="423"/>
      <c r="BV281" s="423"/>
      <c r="BW281" s="2370"/>
      <c r="BX281" s="2467"/>
      <c r="BY281" s="2547"/>
      <c r="BZ281" s="2547"/>
      <c r="CA281" s="2431">
        <f t="shared" ref="CA281" si="329">SUMIF($AM$10:$BZ$10,$CA$9,AM281:BZ281)</f>
        <v>950</v>
      </c>
      <c r="CB281" s="2379">
        <f t="shared" ref="CB281" si="330">IF($AB281&lt;&gt;0,CA281/$AB281,"")</f>
        <v>1</v>
      </c>
      <c r="CC281" s="365">
        <f t="shared" ref="CC281" si="331">IF($AB281&lt;&gt;0,CB281/$AB281,"")</f>
        <v>1.0526315789473684E-3</v>
      </c>
      <c r="CD281" s="366"/>
      <c r="CE281" s="343"/>
      <c r="CF281" s="343"/>
      <c r="CG281" s="340"/>
      <c r="CH281" s="367"/>
      <c r="CI281" s="368"/>
      <c r="CJ281" s="368"/>
      <c r="CK281" s="369"/>
      <c r="CL281" s="329">
        <f t="shared" si="298"/>
        <v>-950</v>
      </c>
      <c r="CM281" s="330">
        <f t="shared" ca="1" si="299"/>
        <v>0</v>
      </c>
      <c r="CN281" s="331"/>
      <c r="CO281" s="86"/>
      <c r="CP281" s="86"/>
      <c r="CQ281" s="1641"/>
      <c r="CR281" s="86"/>
      <c r="CS281" s="86"/>
      <c r="CT281" s="86"/>
      <c r="CU281" s="86"/>
      <c r="CV281" s="86"/>
      <c r="CW281" s="86"/>
      <c r="CX281" s="86"/>
      <c r="CY281" s="86"/>
      <c r="CZ281" s="86"/>
      <c r="DA281" s="86"/>
      <c r="DB281" s="1642"/>
      <c r="DC281" s="1642"/>
      <c r="DD281" s="30"/>
      <c r="DE281" s="30"/>
      <c r="DF281" s="30"/>
      <c r="DG281" s="1642"/>
      <c r="DH281" s="1642"/>
      <c r="DI281" s="1642"/>
      <c r="DJ281" s="1642"/>
      <c r="DK281" s="1642"/>
      <c r="DL281" s="1642"/>
      <c r="DM281" s="1642"/>
      <c r="DN281" s="1642"/>
      <c r="DO281" s="1642"/>
      <c r="DP281" s="1642"/>
      <c r="DQ281" s="1642"/>
      <c r="DR281" s="1642"/>
      <c r="DS281" s="1642"/>
      <c r="DT281" s="1642"/>
      <c r="DU281" s="1642"/>
      <c r="DV281" s="1642"/>
      <c r="DW281" s="1642"/>
      <c r="DX281" s="1642"/>
      <c r="DY281" s="1642"/>
      <c r="DZ281" s="1642"/>
      <c r="EA281" s="1642"/>
      <c r="EB281" s="1642"/>
      <c r="EC281" s="1642"/>
      <c r="ED281" s="1642"/>
      <c r="EE281" s="1642"/>
      <c r="EF281" s="1642"/>
      <c r="EG281" s="1642"/>
      <c r="EH281" s="1643"/>
      <c r="EI281" s="1658"/>
      <c r="EJ281" s="30"/>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c r="FV281" s="30"/>
      <c r="FW281" s="30"/>
      <c r="FX281" s="30"/>
      <c r="FY281" s="30"/>
      <c r="FZ281" s="30"/>
      <c r="GA281" s="30"/>
      <c r="GB281" s="30"/>
      <c r="GC281" s="30"/>
      <c r="GD281" s="30"/>
      <c r="GE281" s="30"/>
      <c r="GF281" s="30"/>
      <c r="GG281" s="30"/>
      <c r="GH281" s="30"/>
      <c r="GI281" s="30"/>
      <c r="GJ281" s="30"/>
      <c r="GK281" s="30"/>
      <c r="GL281" s="30"/>
      <c r="GM281" s="30"/>
      <c r="GN281" s="30"/>
      <c r="GO281" s="30"/>
      <c r="GP281" s="30"/>
      <c r="GQ281" s="30"/>
      <c r="GR281" s="30"/>
      <c r="GS281" s="30"/>
      <c r="GT281" s="30"/>
      <c r="GU281" s="30"/>
      <c r="GV281" s="30"/>
      <c r="GW281" s="30"/>
      <c r="GX281" s="30"/>
      <c r="GY281" s="30"/>
      <c r="GZ281" s="30"/>
      <c r="HA281" s="30"/>
      <c r="HB281" s="30"/>
      <c r="HC281" s="30"/>
      <c r="HD281" s="30"/>
      <c r="HE281" s="30"/>
      <c r="HF281" s="30"/>
      <c r="HG281" s="30"/>
      <c r="HH281" s="30"/>
      <c r="HI281" s="30"/>
      <c r="HJ281" s="30"/>
      <c r="HK281" s="30"/>
      <c r="HL281" s="30"/>
      <c r="HM281" s="30"/>
      <c r="HN281" s="30"/>
      <c r="HO281" s="30"/>
      <c r="HP281" s="30"/>
      <c r="HQ281" s="30"/>
      <c r="HR281" s="30"/>
      <c r="HS281" s="30"/>
      <c r="HT281" s="30"/>
      <c r="HU281" s="30"/>
      <c r="HV281" s="30"/>
      <c r="HW281" s="30"/>
      <c r="HX281" s="30"/>
      <c r="HY281" s="30"/>
      <c r="HZ281" s="30"/>
      <c r="IA281" s="30"/>
      <c r="IB281" s="30"/>
      <c r="IC281" s="30"/>
      <c r="ID281" s="30"/>
      <c r="IE281" s="30"/>
      <c r="IF281" s="30"/>
      <c r="IG281" s="30"/>
      <c r="IH281" s="30"/>
      <c r="II281" s="30"/>
      <c r="IJ281" s="30"/>
      <c r="IK281" s="30"/>
      <c r="IL281" s="30"/>
      <c r="IM281" s="30"/>
      <c r="IN281" s="30"/>
      <c r="IO281" s="30"/>
      <c r="IP281" s="30"/>
      <c r="IQ281" s="30"/>
      <c r="IR281" s="30"/>
      <c r="IS281" s="30"/>
      <c r="IT281" s="30"/>
      <c r="IU281" s="30"/>
      <c r="IV281" s="30"/>
      <c r="IW281" s="30"/>
      <c r="IX281" s="30"/>
      <c r="IY281" s="30"/>
      <c r="IZ281" s="30"/>
      <c r="JA281" s="30"/>
      <c r="JB281" s="30"/>
      <c r="JC281" s="30"/>
      <c r="JD281" s="30"/>
      <c r="JE281" s="30"/>
      <c r="JF281" s="30"/>
      <c r="JG281" s="30"/>
      <c r="JH281" s="30"/>
      <c r="JI281" s="30"/>
      <c r="JJ281" s="30"/>
      <c r="JK281" s="30"/>
      <c r="JL281" s="30"/>
      <c r="JM281" s="30"/>
      <c r="JN281" s="30"/>
      <c r="JO281" s="30"/>
      <c r="JP281" s="30"/>
      <c r="JQ281" s="30"/>
      <c r="JR281" s="30"/>
      <c r="JS281" s="30"/>
      <c r="JT281" s="30"/>
      <c r="JU281" s="30"/>
      <c r="JV281" s="30"/>
      <c r="JW281" s="30"/>
      <c r="JX281" s="30"/>
      <c r="JY281" s="30"/>
      <c r="JZ281" s="30"/>
      <c r="KA281" s="30"/>
      <c r="KB281" s="30"/>
      <c r="KC281" s="30"/>
      <c r="KD281" s="30"/>
      <c r="KE281" s="30"/>
      <c r="KF281" s="30"/>
      <c r="KG281" s="30"/>
      <c r="KH281" s="30"/>
      <c r="KI281" s="30"/>
      <c r="KJ281" s="30"/>
      <c r="KK281" s="30"/>
      <c r="KL281" s="30"/>
      <c r="KM281" s="30"/>
      <c r="KN281" s="30"/>
      <c r="KO281" s="30"/>
      <c r="KP281" s="1630"/>
    </row>
    <row r="282" spans="1:302" s="97" customFormat="1" ht="29.1" customHeight="1" outlineLevel="1" thickBot="1">
      <c r="A282" s="2662" t="s">
        <v>1237</v>
      </c>
      <c r="B282" s="2614"/>
      <c r="C282" s="2758" t="s">
        <v>1313</v>
      </c>
      <c r="D282" s="2758" t="s">
        <v>594</v>
      </c>
      <c r="E282" s="415"/>
      <c r="F282" s="416"/>
      <c r="G282" s="417"/>
      <c r="H282" s="410" t="s">
        <v>26</v>
      </c>
      <c r="I282" s="409"/>
      <c r="J282" s="1750" t="s">
        <v>26</v>
      </c>
      <c r="K282" s="1751"/>
      <c r="L282" s="1752"/>
      <c r="M282" s="1753"/>
      <c r="N282" s="1753"/>
      <c r="O282" s="1754"/>
      <c r="P282" s="1752"/>
      <c r="Q282" s="1753"/>
      <c r="R282" s="1753"/>
      <c r="S282" s="1755">
        <f>R282*Q282</f>
        <v>0</v>
      </c>
      <c r="T282" s="1756"/>
      <c r="U282" s="1757"/>
      <c r="V282" s="1757"/>
      <c r="W282" s="1758">
        <f t="shared" si="325"/>
        <v>0</v>
      </c>
      <c r="X282" s="1750" t="s">
        <v>26</v>
      </c>
      <c r="Y282" s="1756"/>
      <c r="Z282" s="1757"/>
      <c r="AA282" s="1757"/>
      <c r="AB282" s="1759">
        <f>SUM(AM282:BZ282)</f>
        <v>400000</v>
      </c>
      <c r="AC282" s="2788" t="s">
        <v>1235</v>
      </c>
      <c r="AD282" s="2788">
        <v>4502946461</v>
      </c>
      <c r="AE282" s="418"/>
      <c r="AF282" s="419">
        <v>400000</v>
      </c>
      <c r="AG282" s="419">
        <v>1</v>
      </c>
      <c r="AH282" s="420">
        <f t="shared" si="326"/>
        <v>400000</v>
      </c>
      <c r="AI282" s="411">
        <f t="shared" ca="1" si="327"/>
        <v>0</v>
      </c>
      <c r="AJ282" s="413">
        <f t="shared" ca="1" si="328"/>
        <v>0</v>
      </c>
      <c r="AK282" s="2186"/>
      <c r="AL282" s="1332"/>
      <c r="AM282" s="2266"/>
      <c r="AN282" s="2266"/>
      <c r="AO282" s="421"/>
      <c r="AP282" s="421"/>
      <c r="AQ282" s="421"/>
      <c r="AR282" s="2637"/>
      <c r="AS282" s="2637"/>
      <c r="AT282" s="2638"/>
      <c r="AU282" s="2637"/>
      <c r="AV282" s="2637"/>
      <c r="AW282" s="421"/>
      <c r="AX282" s="421"/>
      <c r="AY282" s="2789"/>
      <c r="AZ282" s="2790"/>
      <c r="BA282" s="2791"/>
      <c r="BB282" s="421"/>
      <c r="BC282" s="421"/>
      <c r="BD282" s="421"/>
      <c r="BE282" s="421"/>
      <c r="BF282" s="421"/>
      <c r="BG282" s="421"/>
      <c r="BH282" s="412"/>
      <c r="BI282" s="422"/>
      <c r="BJ282" s="412"/>
      <c r="BK282" s="2127"/>
      <c r="BL282" s="422"/>
      <c r="BM282" s="422"/>
      <c r="BN282" s="422"/>
      <c r="BO282" s="422"/>
      <c r="BP282" s="422"/>
      <c r="BQ282" s="2484">
        <v>226000</v>
      </c>
      <c r="BR282" s="412"/>
      <c r="BS282" s="412"/>
      <c r="BT282" s="412">
        <v>174000</v>
      </c>
      <c r="BU282" s="423"/>
      <c r="BV282" s="423"/>
      <c r="BW282" s="2370"/>
      <c r="BX282" s="2467"/>
      <c r="BY282" s="2547"/>
      <c r="BZ282" s="2547"/>
      <c r="CA282" s="2792">
        <f t="shared" si="323"/>
        <v>400000</v>
      </c>
      <c r="CB282" s="2793">
        <f t="shared" si="324"/>
        <v>1</v>
      </c>
      <c r="CC282" s="2794">
        <f t="shared" si="318"/>
        <v>2.5000000000000002E-6</v>
      </c>
      <c r="CD282" s="366"/>
      <c r="CE282" s="343"/>
      <c r="CF282" s="343"/>
      <c r="CG282" s="340"/>
      <c r="CH282" s="367"/>
      <c r="CI282" s="368"/>
      <c r="CJ282" s="368"/>
      <c r="CK282" s="369"/>
      <c r="CL282" s="329">
        <f t="shared" si="298"/>
        <v>-400000</v>
      </c>
      <c r="CM282" s="330">
        <f t="shared" ca="1" si="299"/>
        <v>0</v>
      </c>
      <c r="CN282" s="331">
        <f t="shared" ca="1" si="272"/>
        <v>-400000</v>
      </c>
      <c r="CO282" s="86"/>
      <c r="CP282" s="86">
        <f t="shared" si="319"/>
        <v>0</v>
      </c>
      <c r="CQ282" s="1641"/>
      <c r="CR282" s="86"/>
      <c r="CS282" s="86"/>
      <c r="CT282" s="86"/>
      <c r="CU282" s="86"/>
      <c r="CV282" s="86"/>
      <c r="CW282" s="86"/>
      <c r="CX282" s="86"/>
      <c r="CY282" s="86"/>
      <c r="CZ282" s="86"/>
      <c r="DA282" s="86"/>
      <c r="DB282" s="1642"/>
      <c r="DC282" s="1642"/>
      <c r="DD282" s="30"/>
      <c r="DE282" s="30"/>
      <c r="DF282" s="30"/>
      <c r="DG282" s="1642"/>
      <c r="DH282" s="1642"/>
      <c r="DI282" s="1642"/>
      <c r="DJ282" s="1642"/>
      <c r="DK282" s="1642"/>
      <c r="DL282" s="1642"/>
      <c r="DM282" s="1642"/>
      <c r="DN282" s="1642"/>
      <c r="DO282" s="1642"/>
      <c r="DP282" s="1642"/>
      <c r="DQ282" s="1642"/>
      <c r="DR282" s="1642"/>
      <c r="DS282" s="1642"/>
      <c r="DT282" s="1642"/>
      <c r="DU282" s="1642"/>
      <c r="DV282" s="1642"/>
      <c r="DW282" s="1642"/>
      <c r="DX282" s="1642"/>
      <c r="DY282" s="1642"/>
      <c r="DZ282" s="1642"/>
      <c r="EA282" s="1642"/>
      <c r="EB282" s="1642"/>
      <c r="EC282" s="1642"/>
      <c r="ED282" s="1642"/>
      <c r="EE282" s="1642"/>
      <c r="EF282" s="1642"/>
      <c r="EG282" s="1642"/>
      <c r="EH282" s="1643"/>
      <c r="EI282" s="1658"/>
      <c r="EJ282" s="30"/>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0"/>
      <c r="HP282" s="30"/>
      <c r="HQ282" s="30"/>
      <c r="HR282" s="30"/>
      <c r="HS282" s="30"/>
      <c r="HT282" s="30"/>
      <c r="HU282" s="30"/>
      <c r="HV282" s="30"/>
      <c r="HW282" s="30"/>
      <c r="HX282" s="30"/>
      <c r="HY282" s="30"/>
      <c r="HZ282" s="30"/>
      <c r="IA282" s="30"/>
      <c r="IB282" s="30"/>
      <c r="IC282" s="30"/>
      <c r="ID282" s="30"/>
      <c r="IE282" s="30"/>
      <c r="IF282" s="30"/>
      <c r="IG282" s="30"/>
      <c r="IH282" s="30"/>
      <c r="II282" s="30"/>
      <c r="IJ282" s="30"/>
      <c r="IK282" s="30"/>
      <c r="IL282" s="30"/>
      <c r="IM282" s="30"/>
      <c r="IN282" s="30"/>
      <c r="IO282" s="30"/>
      <c r="IP282" s="30"/>
      <c r="IQ282" s="30"/>
      <c r="IR282" s="30"/>
      <c r="IS282" s="30"/>
      <c r="IT282" s="30"/>
      <c r="IU282" s="30"/>
      <c r="IV282" s="30"/>
      <c r="IW282" s="30"/>
      <c r="IX282" s="30"/>
      <c r="IY282" s="30"/>
      <c r="IZ282" s="30"/>
      <c r="JA282" s="30"/>
      <c r="JB282" s="30"/>
      <c r="JC282" s="30"/>
      <c r="JD282" s="30"/>
      <c r="JE282" s="30"/>
      <c r="JF282" s="30"/>
      <c r="JG282" s="30"/>
      <c r="JH282" s="30"/>
      <c r="JI282" s="30"/>
      <c r="JJ282" s="30"/>
      <c r="JK282" s="30"/>
      <c r="JL282" s="30"/>
      <c r="JM282" s="30"/>
      <c r="JN282" s="30"/>
      <c r="JO282" s="30"/>
      <c r="JP282" s="30"/>
      <c r="JQ282" s="30"/>
      <c r="JR282" s="30"/>
      <c r="JS282" s="30"/>
      <c r="JT282" s="30"/>
      <c r="JU282" s="30"/>
      <c r="JV282" s="30"/>
      <c r="JW282" s="30"/>
      <c r="JX282" s="30"/>
      <c r="JY282" s="30"/>
      <c r="JZ282" s="30"/>
      <c r="KA282" s="30"/>
      <c r="KB282" s="30"/>
      <c r="KC282" s="30"/>
      <c r="KD282" s="30"/>
      <c r="KE282" s="30"/>
      <c r="KF282" s="30"/>
      <c r="KG282" s="30"/>
      <c r="KH282" s="30"/>
      <c r="KI282" s="30"/>
      <c r="KJ282" s="30"/>
      <c r="KK282" s="30"/>
      <c r="KL282" s="30"/>
      <c r="KM282" s="30"/>
      <c r="KN282" s="30"/>
      <c r="KO282" s="30"/>
      <c r="KP282" s="1630"/>
    </row>
    <row r="283" spans="1:302" s="33" customFormat="1" ht="25.25" customHeight="1" thickBot="1">
      <c r="A283" s="2663">
        <v>1</v>
      </c>
      <c r="B283" s="1584"/>
      <c r="C283" s="1585" t="s">
        <v>191</v>
      </c>
      <c r="D283" s="1585"/>
      <c r="E283" s="150"/>
      <c r="F283" s="424"/>
      <c r="G283" s="425"/>
      <c r="H283" s="426"/>
      <c r="I283" s="427">
        <f>I284+I285+I286+I287+I288</f>
        <v>505757853</v>
      </c>
      <c r="J283" s="1760"/>
      <c r="K283" s="428"/>
      <c r="L283" s="1761"/>
      <c r="M283" s="1762"/>
      <c r="N283" s="1762"/>
      <c r="O283" s="429">
        <f ca="1">O284+O285+O286+O287+O288</f>
        <v>501457853</v>
      </c>
      <c r="P283" s="430"/>
      <c r="Q283" s="430"/>
      <c r="R283" s="430"/>
      <c r="S283" s="431">
        <f>S284+S285+S286+S287+S288</f>
        <v>0</v>
      </c>
      <c r="T283" s="431">
        <f>T284+T285+T286+T287+T288</f>
        <v>0</v>
      </c>
      <c r="U283" s="431">
        <f>U284+U285+U286+U287+U288</f>
        <v>0</v>
      </c>
      <c r="V283" s="431">
        <f>V284+V285+V286+V287+V288</f>
        <v>0</v>
      </c>
      <c r="W283" s="431">
        <f>W284+W285+W286+W287+W288</f>
        <v>501457853</v>
      </c>
      <c r="X283" s="1763"/>
      <c r="Y283" s="1764"/>
      <c r="Z283" s="1765"/>
      <c r="AA283" s="2787"/>
      <c r="AB283" s="2807">
        <f>AB284+AB285+AB286+AB287+AB288</f>
        <v>501457852.99120355</v>
      </c>
      <c r="AC283" s="2099">
        <f t="shared" ref="AC283:AG283" si="332">AC284+AC285+AC286+AC287+AC288</f>
        <v>0</v>
      </c>
      <c r="AD283" s="2099">
        <f t="shared" si="332"/>
        <v>0</v>
      </c>
      <c r="AE283" s="431">
        <f t="shared" si="332"/>
        <v>0</v>
      </c>
      <c r="AF283" s="431">
        <f t="shared" si="332"/>
        <v>0</v>
      </c>
      <c r="AG283" s="431">
        <f t="shared" si="332"/>
        <v>0</v>
      </c>
      <c r="AH283" s="431">
        <f>AH284+AH285+AH286+AH287+AH288</f>
        <v>237007837.96000001</v>
      </c>
      <c r="AI283" s="2783">
        <f ca="1">AI284+AI285+AI286+AI287+AI288</f>
        <v>12323042.799999999</v>
      </c>
      <c r="AJ283" s="1198" t="e">
        <f ca="1">AJ284+AJ285+AJ286+AJ287+AJ288</f>
        <v>#VALUE!</v>
      </c>
      <c r="AK283" s="1198"/>
      <c r="AL283" s="2784"/>
      <c r="AM283" s="2282">
        <f>AM284+AM285+AM286+AM287+AM288</f>
        <v>6199140</v>
      </c>
      <c r="AN283" s="2282">
        <f>AN284+AN285+AN286+AN287+AN288</f>
        <v>1209845.03</v>
      </c>
      <c r="AO283" s="2785">
        <f t="shared" ref="AO283:AQ283" si="333">AO284+AO285+AO286+AO287+AO288</f>
        <v>4914057.7699999996</v>
      </c>
      <c r="AP283" s="2786">
        <f t="shared" si="333"/>
        <v>5765471.9427805152</v>
      </c>
      <c r="AQ283" s="2808">
        <f t="shared" si="333"/>
        <v>6905734.0930985492</v>
      </c>
      <c r="AR283" s="2785">
        <f t="shared" ref="AR283:AY283" si="334">AR284+AR285+AR286+AR287+AR288</f>
        <v>8873827.1469670646</v>
      </c>
      <c r="AS283" s="2785">
        <f>AS284+AS285+AS286+AS287+AS288</f>
        <v>10285632.293248262</v>
      </c>
      <c r="AT283" s="2786">
        <f t="shared" si="334"/>
        <v>10740381.93769237</v>
      </c>
      <c r="AU283" s="2785">
        <f>AU284+AU285+AU286+AU287+AU288</f>
        <v>11563023.063171899</v>
      </c>
      <c r="AV283" s="2785">
        <f t="shared" si="334"/>
        <v>16961088.660946671</v>
      </c>
      <c r="AW283" s="2785">
        <f t="shared" si="334"/>
        <v>20646901.925930187</v>
      </c>
      <c r="AX283" s="2785">
        <f t="shared" si="334"/>
        <v>16967267.571273327</v>
      </c>
      <c r="AY283" s="2809">
        <f t="shared" si="334"/>
        <v>19654432.332606655</v>
      </c>
      <c r="AZ283" s="2810">
        <f t="shared" ref="AZ283:BT283" si="335">AZ284+AZ285+AZ286+AZ287+AZ288</f>
        <v>27037107.253422659</v>
      </c>
      <c r="BA283" s="2785">
        <f t="shared" si="335"/>
        <v>31052003.954989325</v>
      </c>
      <c r="BB283" s="2785">
        <f t="shared" si="335"/>
        <v>37364643.970983341</v>
      </c>
      <c r="BC283" s="2785">
        <f t="shared" si="335"/>
        <v>32844839.101250634</v>
      </c>
      <c r="BD283" s="2785">
        <f t="shared" si="335"/>
        <v>34135803.948472857</v>
      </c>
      <c r="BE283" s="2785">
        <f t="shared" si="335"/>
        <v>28870543.176995076</v>
      </c>
      <c r="BF283" s="2785">
        <f t="shared" si="335"/>
        <v>25137377.52638055</v>
      </c>
      <c r="BG283" s="2785">
        <f t="shared" si="335"/>
        <v>19034792.32649231</v>
      </c>
      <c r="BH283" s="2785">
        <f t="shared" si="335"/>
        <v>24283221.761225644</v>
      </c>
      <c r="BI283" s="2808">
        <f t="shared" si="335"/>
        <v>12421394.062247865</v>
      </c>
      <c r="BJ283" s="2785">
        <f t="shared" si="335"/>
        <v>10204106.982658977</v>
      </c>
      <c r="BK283" s="2811">
        <f t="shared" si="335"/>
        <v>18501734.790647864</v>
      </c>
      <c r="BL283" s="2808">
        <f t="shared" si="335"/>
        <v>5817816.9662033143</v>
      </c>
      <c r="BM283" s="2808">
        <f t="shared" si="335"/>
        <v>3279069.2331922031</v>
      </c>
      <c r="BN283" s="2808">
        <f t="shared" si="335"/>
        <v>2859802.3871922032</v>
      </c>
      <c r="BO283" s="2808">
        <f t="shared" si="335"/>
        <v>308626.92642707535</v>
      </c>
      <c r="BP283" s="2808">
        <f t="shared" si="335"/>
        <v>3335488.4408715195</v>
      </c>
      <c r="BQ283" s="2812">
        <f t="shared" si="335"/>
        <v>966685.07383448281</v>
      </c>
      <c r="BR283" s="2785">
        <f t="shared" si="335"/>
        <v>0</v>
      </c>
      <c r="BS283" s="2785">
        <f t="shared" si="335"/>
        <v>0</v>
      </c>
      <c r="BT283" s="2785">
        <f t="shared" si="335"/>
        <v>174000</v>
      </c>
      <c r="BU283" s="2785">
        <f t="shared" ref="BU283:BX283" si="336">BU284+BU285+BU286+BU287+BU288</f>
        <v>0</v>
      </c>
      <c r="BV283" s="2785">
        <f t="shared" si="336"/>
        <v>0</v>
      </c>
      <c r="BW283" s="2809">
        <f t="shared" si="336"/>
        <v>42828572.339999996</v>
      </c>
      <c r="BX283" s="2813">
        <f t="shared" si="336"/>
        <v>313419</v>
      </c>
      <c r="BY283" s="2813">
        <f t="shared" ref="BY283:BZ283" si="337">BY284+BY285+BY286+BY287+BY288</f>
        <v>0</v>
      </c>
      <c r="BZ283" s="2813">
        <f t="shared" si="337"/>
        <v>0</v>
      </c>
      <c r="CA283" s="2814">
        <f t="shared" ref="CA283:CA289" si="338">SUMIF($AM$10:$BZ$10,$CA$9,AM283:BZ283)</f>
        <v>489134810.19120342</v>
      </c>
      <c r="CB283" s="2815">
        <f t="shared" ref="CB283:CB289" si="339">IF($AB283&lt;&gt;0,CA283/$AB283,"")</f>
        <v>0.9754255662235759</v>
      </c>
      <c r="CC283" s="2816">
        <f t="shared" ref="CC283:CC289" si="340">IF($AB283&lt;&gt;0,CB283/$AB283,"")</f>
        <v>1.9451795607649735E-9</v>
      </c>
      <c r="CD283" s="433"/>
      <c r="CE283" s="434"/>
      <c r="CF283" s="435"/>
      <c r="CG283" s="436"/>
      <c r="CH283" s="437"/>
      <c r="CI283" s="438"/>
      <c r="CJ283" s="439"/>
      <c r="CK283" s="440"/>
      <c r="CL283" s="329">
        <f t="shared" ca="1" si="298"/>
        <v>12323042.808796585</v>
      </c>
      <c r="CM283" s="330">
        <f t="shared" ca="1" si="299"/>
        <v>0</v>
      </c>
      <c r="CN283" s="331">
        <f t="shared" ca="1" si="272"/>
        <v>-366970189.22348791</v>
      </c>
      <c r="CO283" s="86"/>
      <c r="CP283" s="86">
        <f t="shared" ca="1" si="319"/>
        <v>4300000</v>
      </c>
      <c r="CQ283" s="86"/>
      <c r="CR283" s="86"/>
      <c r="CS283" s="86"/>
      <c r="CT283" s="86"/>
      <c r="CU283" s="86"/>
      <c r="CV283" s="86"/>
      <c r="CW283" s="86"/>
      <c r="CX283" s="86"/>
      <c r="CY283" s="86"/>
      <c r="CZ283" s="86"/>
      <c r="DA283" s="86"/>
      <c r="DB283" s="1658"/>
      <c r="DC283" s="1658"/>
      <c r="EI283" s="2742"/>
    </row>
    <row r="284" spans="1:302" s="33" customFormat="1" ht="25.25" customHeight="1">
      <c r="A284" s="2664"/>
      <c r="B284" s="441"/>
      <c r="C284" s="111" t="s">
        <v>25</v>
      </c>
      <c r="D284" s="111" t="s">
        <v>218</v>
      </c>
      <c r="E284" s="151"/>
      <c r="F284" s="442"/>
      <c r="G284" s="443"/>
      <c r="H284" s="444"/>
      <c r="I284" s="1766">
        <f>SUMIF($J13:$J$282,$C284,I13:I282)</f>
        <v>0</v>
      </c>
      <c r="J284" s="1767">
        <f>SUMIF($J9:$J$282,$C284,J9:J282)</f>
        <v>0</v>
      </c>
      <c r="K284" s="1768">
        <f>SUMIF($J9:$J$282,$C284,K9:K282)</f>
        <v>0</v>
      </c>
      <c r="L284" s="1768">
        <f>SUMIF($J9:$J$282,$C284,L9:L282)</f>
        <v>0</v>
      </c>
      <c r="M284" s="1768">
        <f>SUMIF($J9:$J$282,$C284,M9:M282)</f>
        <v>0</v>
      </c>
      <c r="N284" s="1769">
        <f>SUMIF($J9:$J$282,$C284,N9:N282)</f>
        <v>0</v>
      </c>
      <c r="O284" s="1770">
        <f ca="1">SUMIF($J9:$J$282,$C284,O13:O282)</f>
        <v>0</v>
      </c>
      <c r="P284" s="1767">
        <f>SUMIF($J9:$J$282,$C284,P9:P282)</f>
        <v>0</v>
      </c>
      <c r="Q284" s="1768">
        <f>SUMIF($J9:$J$282,$C284,Q9:Q282)</f>
        <v>0</v>
      </c>
      <c r="R284" s="1768">
        <f>SUMIF($J9:$J$282,$C284,R9:R282)</f>
        <v>0</v>
      </c>
      <c r="S284" s="1768">
        <f>SUMIF($J9:$J$282,$C284,S9:S282)</f>
        <v>0</v>
      </c>
      <c r="T284" s="1768">
        <f>SUMIF($J9:$J$282,$C284,T9:T282)</f>
        <v>0</v>
      </c>
      <c r="U284" s="1768">
        <f>SUMIF($J9:$J$282,$C284,U9:U282)</f>
        <v>0</v>
      </c>
      <c r="V284" s="1768">
        <f>SUMIF($J9:$J$282,$C284,V9:V282)</f>
        <v>0</v>
      </c>
      <c r="W284" s="1771">
        <f>SUMIF($X$13:$X$282,$C284,W$13:W$282)</f>
        <v>0</v>
      </c>
      <c r="X284" s="1767">
        <f>SUMIF($J12:$J$282,$C284,X12:X282)</f>
        <v>0</v>
      </c>
      <c r="Y284" s="1768">
        <f>SUMIF($J12:$J$282,$C284,Y12:Y282)</f>
        <v>0</v>
      </c>
      <c r="Z284" s="1768">
        <f>SUMIF($J12:$J$282,$C284,Z12:Z282)</f>
        <v>0</v>
      </c>
      <c r="AA284" s="1768"/>
      <c r="AB284" s="2795">
        <f>SUMIF($X$13:$X$282,$C284,AB$13:AB$282)</f>
        <v>0</v>
      </c>
      <c r="AC284" s="2796"/>
      <c r="AD284" s="2797"/>
      <c r="AE284" s="2798"/>
      <c r="AF284" s="2798"/>
      <c r="AG284" s="2798"/>
      <c r="AH284" s="2799">
        <f>SUMIF($X12:$X$282,$C284,AH12:AH282)</f>
        <v>0</v>
      </c>
      <c r="AI284" s="2779">
        <f>SUMIF($X13:$X$282,$C284,AI13:AI282)</f>
        <v>0</v>
      </c>
      <c r="AJ284" s="2780" t="str">
        <f t="shared" ref="AJ284:AJ286" si="341">IF($AB284&lt;&gt;0,AI284/$AB284,"")</f>
        <v/>
      </c>
      <c r="AK284" s="2781"/>
      <c r="AL284" s="2782"/>
      <c r="AM284" s="2284">
        <f t="shared" ref="AM284:AV288" si="342">SUMIF($X$13:$X$282,$C284,AM$13:AM$282)</f>
        <v>0</v>
      </c>
      <c r="AN284" s="2284">
        <f t="shared" si="342"/>
        <v>0</v>
      </c>
      <c r="AO284" s="567">
        <f t="shared" si="342"/>
        <v>0</v>
      </c>
      <c r="AP284" s="567">
        <f t="shared" si="342"/>
        <v>0</v>
      </c>
      <c r="AQ284" s="567">
        <f t="shared" si="342"/>
        <v>0</v>
      </c>
      <c r="AR284" s="567">
        <f t="shared" si="342"/>
        <v>0</v>
      </c>
      <c r="AS284" s="567">
        <f t="shared" si="342"/>
        <v>0</v>
      </c>
      <c r="AT284" s="2800">
        <f t="shared" si="342"/>
        <v>0</v>
      </c>
      <c r="AU284" s="567">
        <f t="shared" si="342"/>
        <v>0</v>
      </c>
      <c r="AV284" s="567">
        <f t="shared" si="342"/>
        <v>0</v>
      </c>
      <c r="AW284" s="567">
        <f t="shared" ref="AW284:BF288" si="343">SUMIF($X$13:$X$282,$C284,AW$13:AW$282)</f>
        <v>0</v>
      </c>
      <c r="AX284" s="567">
        <f t="shared" si="343"/>
        <v>0</v>
      </c>
      <c r="AY284" s="2045">
        <f t="shared" si="343"/>
        <v>0</v>
      </c>
      <c r="AZ284" s="2342">
        <f t="shared" si="343"/>
        <v>0</v>
      </c>
      <c r="BA284" s="567">
        <f t="shared" si="343"/>
        <v>0</v>
      </c>
      <c r="BB284" s="567">
        <f t="shared" si="343"/>
        <v>0</v>
      </c>
      <c r="BC284" s="567">
        <f t="shared" si="343"/>
        <v>0</v>
      </c>
      <c r="BD284" s="567">
        <f t="shared" si="343"/>
        <v>0</v>
      </c>
      <c r="BE284" s="567">
        <f t="shared" si="343"/>
        <v>0</v>
      </c>
      <c r="BF284" s="567">
        <f t="shared" si="343"/>
        <v>0</v>
      </c>
      <c r="BG284" s="567">
        <f t="shared" ref="BG284:BP288" si="344">SUMIF($X$13:$X$282,$C284,BG$13:BG$282)</f>
        <v>0</v>
      </c>
      <c r="BH284" s="567">
        <f t="shared" si="344"/>
        <v>0</v>
      </c>
      <c r="BI284" s="2046">
        <f t="shared" si="344"/>
        <v>0</v>
      </c>
      <c r="BJ284" s="567">
        <f t="shared" si="344"/>
        <v>0</v>
      </c>
      <c r="BK284" s="2801">
        <f t="shared" si="344"/>
        <v>0</v>
      </c>
      <c r="BL284" s="2046">
        <f t="shared" si="344"/>
        <v>0</v>
      </c>
      <c r="BM284" s="2046">
        <f t="shared" si="344"/>
        <v>0</v>
      </c>
      <c r="BN284" s="2046">
        <f t="shared" si="344"/>
        <v>0</v>
      </c>
      <c r="BO284" s="2046">
        <f t="shared" si="344"/>
        <v>0</v>
      </c>
      <c r="BP284" s="2046">
        <f t="shared" si="344"/>
        <v>0</v>
      </c>
      <c r="BQ284" s="2802">
        <f t="shared" ref="BQ284:BZ288" si="345">SUMIF($X$13:$X$282,$C284,BQ$13:BQ$282)</f>
        <v>0</v>
      </c>
      <c r="BR284" s="567">
        <f t="shared" si="345"/>
        <v>0</v>
      </c>
      <c r="BS284" s="567">
        <f t="shared" si="345"/>
        <v>0</v>
      </c>
      <c r="BT284" s="567">
        <f t="shared" si="345"/>
        <v>0</v>
      </c>
      <c r="BU284" s="567">
        <f t="shared" si="345"/>
        <v>0</v>
      </c>
      <c r="BV284" s="567">
        <f t="shared" si="345"/>
        <v>0</v>
      </c>
      <c r="BW284" s="2045">
        <f t="shared" si="345"/>
        <v>0</v>
      </c>
      <c r="BX284" s="2803">
        <f t="shared" si="345"/>
        <v>0</v>
      </c>
      <c r="BY284" s="2803">
        <f t="shared" si="345"/>
        <v>0</v>
      </c>
      <c r="BZ284" s="2803">
        <f t="shared" si="345"/>
        <v>0</v>
      </c>
      <c r="CA284" s="2804">
        <f t="shared" si="338"/>
        <v>0</v>
      </c>
      <c r="CB284" s="2805" t="str">
        <f t="shared" si="339"/>
        <v/>
      </c>
      <c r="CC284" s="2806" t="str">
        <f t="shared" si="340"/>
        <v/>
      </c>
      <c r="CD284" s="449"/>
      <c r="CE284" s="445"/>
      <c r="CF284" s="435"/>
      <c r="CG284" s="436"/>
      <c r="CH284" s="450"/>
      <c r="CI284" s="451"/>
      <c r="CJ284" s="451"/>
      <c r="CK284" s="452"/>
      <c r="CL284" s="329">
        <f t="shared" ca="1" si="298"/>
        <v>0</v>
      </c>
      <c r="CM284" s="330">
        <f t="shared" si="299"/>
        <v>0</v>
      </c>
      <c r="CN284" s="331">
        <f t="shared" si="272"/>
        <v>0</v>
      </c>
      <c r="CO284" s="86"/>
      <c r="CP284" s="86">
        <f t="shared" ca="1" si="319"/>
        <v>0</v>
      </c>
      <c r="CQ284" s="86"/>
      <c r="CR284" s="86"/>
      <c r="CS284" s="86"/>
      <c r="CT284" s="86"/>
      <c r="CU284" s="86"/>
      <c r="CV284" s="86"/>
      <c r="CW284" s="86"/>
      <c r="CX284" s="86"/>
      <c r="CY284" s="86"/>
      <c r="CZ284" s="86"/>
      <c r="DA284" s="86"/>
      <c r="DB284" s="1658"/>
      <c r="DC284" s="1658"/>
      <c r="EI284" s="1658"/>
    </row>
    <row r="285" spans="1:302" s="33" customFormat="1" ht="25.25" customHeight="1">
      <c r="A285" s="2665"/>
      <c r="B285" s="453"/>
      <c r="C285" s="112" t="s">
        <v>27</v>
      </c>
      <c r="D285" s="112" t="s">
        <v>219</v>
      </c>
      <c r="E285" s="152"/>
      <c r="F285" s="454"/>
      <c r="G285" s="455"/>
      <c r="H285" s="456"/>
      <c r="I285" s="1771">
        <f>SUMIF($J13:$J$282,$C285,I13:I282)</f>
        <v>0</v>
      </c>
      <c r="J285" s="1772">
        <f>SUMIF($J10:$J$282,$C285,J10:J282)</f>
        <v>0</v>
      </c>
      <c r="K285" s="1518">
        <f>SUMIF($J10:$J$282,$C285,K10:K282)</f>
        <v>0</v>
      </c>
      <c r="L285" s="1518">
        <f>SUMIF($J10:$J$282,$C285,L10:L282)</f>
        <v>0</v>
      </c>
      <c r="M285" s="1518">
        <f>SUMIF($J10:$J$282,$C285,M10:M282)</f>
        <v>0</v>
      </c>
      <c r="N285" s="1773">
        <f>SUMIF($J10:$J$282,$C285,N10:N282)</f>
        <v>0</v>
      </c>
      <c r="O285" s="1774">
        <f>SUMIF($J10:$J$282,$C285,O10:O282)</f>
        <v>0</v>
      </c>
      <c r="P285" s="1772">
        <f>SUMIF($J10:$J$282,$C285,P10:P282)</f>
        <v>0</v>
      </c>
      <c r="Q285" s="1518">
        <f ca="1">SUMIF($J10:$N$282,$C285,Q10:Q282)</f>
        <v>0</v>
      </c>
      <c r="R285" s="1518">
        <f>SUMIF($J10:$J$282,$C285,R10:R282)</f>
        <v>0</v>
      </c>
      <c r="S285" s="1518">
        <f>SUMIF($J10:$J$282,$C285,S10:S282)</f>
        <v>0</v>
      </c>
      <c r="T285" s="1518">
        <f>SUMIF($J10:$J$282,$C285,T10:T282)</f>
        <v>0</v>
      </c>
      <c r="U285" s="1518">
        <f>SUMIF($J10:$J$282,$C285,U10:U282)</f>
        <v>0</v>
      </c>
      <c r="V285" s="1518">
        <f>SUMIF($J10:$J$282,$C285,V10:V282)</f>
        <v>0</v>
      </c>
      <c r="W285" s="1771">
        <f>SUMIF($X$13:$X$282,$C285,W$13:W$282)</f>
        <v>0</v>
      </c>
      <c r="X285" s="1772">
        <f>SUMIF($J13:$J$282,$C285,X13:X283)</f>
        <v>0</v>
      </c>
      <c r="Y285" s="1518">
        <f>SUMIF($J13:$J$282,$C285,Y13:Y283)</f>
        <v>0</v>
      </c>
      <c r="Z285" s="1518">
        <f>SUMIF($J13:$J$282,$C285,Z13:Z283)</f>
        <v>0</v>
      </c>
      <c r="AA285" s="1518"/>
      <c r="AB285" s="1771">
        <f>SUMIF($X$13:$X$282,$C285,AB$13:AB$282)</f>
        <v>0</v>
      </c>
      <c r="AC285" s="1444"/>
      <c r="AD285" s="1463"/>
      <c r="AE285" s="458"/>
      <c r="AF285" s="458"/>
      <c r="AG285" s="458"/>
      <c r="AH285" s="459">
        <f>SUMIF($X13:$X$282,$C285,AH13:AH282)</f>
        <v>0</v>
      </c>
      <c r="AI285" s="460">
        <f>SUMIF($X13:$X$282,$C285,AI13:AI282)</f>
        <v>0</v>
      </c>
      <c r="AJ285" s="259" t="str">
        <f t="shared" si="341"/>
        <v/>
      </c>
      <c r="AK285" s="258"/>
      <c r="AL285" s="260"/>
      <c r="AM285" s="2267">
        <f t="shared" si="342"/>
        <v>0</v>
      </c>
      <c r="AN285" s="2267">
        <f t="shared" si="342"/>
        <v>0</v>
      </c>
      <c r="AO285" s="355">
        <f t="shared" si="342"/>
        <v>0</v>
      </c>
      <c r="AP285" s="355">
        <f t="shared" si="342"/>
        <v>0</v>
      </c>
      <c r="AQ285" s="355">
        <f t="shared" si="342"/>
        <v>0</v>
      </c>
      <c r="AR285" s="355">
        <f t="shared" si="342"/>
        <v>0</v>
      </c>
      <c r="AS285" s="355">
        <f t="shared" si="342"/>
        <v>0</v>
      </c>
      <c r="AT285" s="1335">
        <f t="shared" si="342"/>
        <v>0</v>
      </c>
      <c r="AU285" s="355">
        <f t="shared" si="342"/>
        <v>0</v>
      </c>
      <c r="AV285" s="355">
        <f t="shared" si="342"/>
        <v>0</v>
      </c>
      <c r="AW285" s="355">
        <f t="shared" si="343"/>
        <v>0</v>
      </c>
      <c r="AX285" s="355">
        <f t="shared" si="343"/>
        <v>0</v>
      </c>
      <c r="AY285" s="446">
        <f t="shared" si="343"/>
        <v>0</v>
      </c>
      <c r="AZ285" s="2336">
        <f t="shared" si="343"/>
        <v>0</v>
      </c>
      <c r="BA285" s="355">
        <f t="shared" si="343"/>
        <v>0</v>
      </c>
      <c r="BB285" s="355">
        <f t="shared" si="343"/>
        <v>0</v>
      </c>
      <c r="BC285" s="355">
        <f t="shared" si="343"/>
        <v>0</v>
      </c>
      <c r="BD285" s="355">
        <f t="shared" si="343"/>
        <v>0</v>
      </c>
      <c r="BE285" s="355">
        <f t="shared" si="343"/>
        <v>0</v>
      </c>
      <c r="BF285" s="355">
        <f t="shared" si="343"/>
        <v>0</v>
      </c>
      <c r="BG285" s="355">
        <f t="shared" si="344"/>
        <v>0</v>
      </c>
      <c r="BH285" s="355">
        <f t="shared" si="344"/>
        <v>0</v>
      </c>
      <c r="BI285" s="447">
        <f t="shared" si="344"/>
        <v>0</v>
      </c>
      <c r="BJ285" s="355">
        <f t="shared" si="344"/>
        <v>0</v>
      </c>
      <c r="BK285" s="2128">
        <f t="shared" si="344"/>
        <v>0</v>
      </c>
      <c r="BL285" s="447">
        <f t="shared" si="344"/>
        <v>0</v>
      </c>
      <c r="BM285" s="447">
        <f t="shared" si="344"/>
        <v>0</v>
      </c>
      <c r="BN285" s="447">
        <f t="shared" si="344"/>
        <v>0</v>
      </c>
      <c r="BO285" s="447">
        <f t="shared" si="344"/>
        <v>0</v>
      </c>
      <c r="BP285" s="447">
        <f t="shared" si="344"/>
        <v>0</v>
      </c>
      <c r="BQ285" s="2400">
        <f t="shared" si="345"/>
        <v>0</v>
      </c>
      <c r="BR285" s="355">
        <f t="shared" si="345"/>
        <v>0</v>
      </c>
      <c r="BS285" s="355">
        <f t="shared" si="345"/>
        <v>0</v>
      </c>
      <c r="BT285" s="355">
        <f t="shared" si="345"/>
        <v>0</v>
      </c>
      <c r="BU285" s="355">
        <f t="shared" si="345"/>
        <v>0</v>
      </c>
      <c r="BV285" s="355">
        <f t="shared" si="345"/>
        <v>0</v>
      </c>
      <c r="BW285" s="446">
        <f t="shared" si="345"/>
        <v>0</v>
      </c>
      <c r="BX285" s="2392">
        <f t="shared" si="345"/>
        <v>0</v>
      </c>
      <c r="BY285" s="2392">
        <f t="shared" si="345"/>
        <v>0</v>
      </c>
      <c r="BZ285" s="2392">
        <f t="shared" si="345"/>
        <v>0</v>
      </c>
      <c r="CA285" s="2433">
        <f t="shared" si="338"/>
        <v>0</v>
      </c>
      <c r="CB285" s="2380" t="str">
        <f t="shared" si="339"/>
        <v/>
      </c>
      <c r="CC285" s="365" t="str">
        <f t="shared" si="340"/>
        <v/>
      </c>
      <c r="CD285" s="461"/>
      <c r="CE285" s="457"/>
      <c r="CF285" s="435"/>
      <c r="CG285" s="436"/>
      <c r="CH285" s="462"/>
      <c r="CI285" s="463"/>
      <c r="CJ285" s="463"/>
      <c r="CK285" s="464"/>
      <c r="CL285" s="329">
        <f t="shared" si="298"/>
        <v>0</v>
      </c>
      <c r="CM285" s="330">
        <f t="shared" si="299"/>
        <v>0</v>
      </c>
      <c r="CN285" s="331">
        <f t="shared" si="272"/>
        <v>0</v>
      </c>
      <c r="CO285" s="86"/>
      <c r="CP285" s="86">
        <f t="shared" si="319"/>
        <v>0</v>
      </c>
      <c r="CQ285" s="86"/>
      <c r="CR285" s="86"/>
      <c r="CS285" s="86"/>
      <c r="CT285" s="86"/>
      <c r="CU285" s="86"/>
      <c r="CV285" s="86"/>
      <c r="CW285" s="86"/>
      <c r="CX285" s="86"/>
      <c r="CY285" s="86"/>
      <c r="CZ285" s="86"/>
      <c r="DA285" s="86"/>
      <c r="DB285" s="1658"/>
      <c r="DC285" s="1658"/>
      <c r="EI285" s="1658"/>
    </row>
    <row r="286" spans="1:302" s="33" customFormat="1" ht="25.25" customHeight="1">
      <c r="A286" s="2665"/>
      <c r="B286" s="453"/>
      <c r="C286" s="112" t="s">
        <v>28</v>
      </c>
      <c r="D286" s="112" t="s">
        <v>220</v>
      </c>
      <c r="E286" s="152"/>
      <c r="F286" s="454"/>
      <c r="G286" s="455"/>
      <c r="H286" s="456"/>
      <c r="I286" s="1771">
        <f>SUMIF($J11:$J$282,$C286,I11:I282)</f>
        <v>0</v>
      </c>
      <c r="J286" s="1772">
        <f>SUMIF($J11:$J$282,$C286,J11:J282)</f>
        <v>0</v>
      </c>
      <c r="K286" s="1518">
        <f>SUMIF($J11:$J$282,$C286,K11:K282)</f>
        <v>0</v>
      </c>
      <c r="L286" s="1518">
        <f>SUMIF($J11:$J$282,$C286,L11:L282)</f>
        <v>0</v>
      </c>
      <c r="M286" s="1518">
        <f>SUMIF($J11:$J$282,$C286,M11:M282)</f>
        <v>0</v>
      </c>
      <c r="N286" s="1773">
        <f>SUMIF($J11:$J$282,$C286,N11:N282)</f>
        <v>0</v>
      </c>
      <c r="O286" s="1774">
        <f>SUMIF($J11:$J$282,$C286,O11:O282)</f>
        <v>0</v>
      </c>
      <c r="P286" s="1772">
        <f>SUMIF($J11:$J$282,$C286,P11:P282)</f>
        <v>0</v>
      </c>
      <c r="Q286" s="1518">
        <f>SUMIF($J11:$J$282,$C286,Q11:Q282)</f>
        <v>0</v>
      </c>
      <c r="R286" s="1518">
        <f>SUMIF($J11:$J$282,$C286,R11:R282)</f>
        <v>0</v>
      </c>
      <c r="S286" s="1518">
        <f>SUMIF($J11:$J$282,$C286,S11:S282)</f>
        <v>0</v>
      </c>
      <c r="T286" s="1518">
        <f>SUMIF($J11:$J$282,$C286,T11:T282)</f>
        <v>0</v>
      </c>
      <c r="U286" s="1518">
        <f>SUMIF($J11:$J$282,$C286,U11:U282)</f>
        <v>0</v>
      </c>
      <c r="V286" s="1518">
        <f>SUMIF($J11:$J$282,$C286,V11:V282)</f>
        <v>0</v>
      </c>
      <c r="W286" s="1771">
        <f>SUMIF($X$13:$X$282,$C286,W$13:W$282)</f>
        <v>0</v>
      </c>
      <c r="X286" s="1772">
        <f>SUMIF($J13:$J$282,$C286,X13:X284)</f>
        <v>0</v>
      </c>
      <c r="Y286" s="1518">
        <f>SUMIF($J13:$J$282,$C286,Y13:Y284)</f>
        <v>0</v>
      </c>
      <c r="Z286" s="1518">
        <f>SUMIF($J13:$J$282,$C286,Z13:Z284)</f>
        <v>0</v>
      </c>
      <c r="AA286" s="1518"/>
      <c r="AB286" s="1771">
        <f>SUMIF($X$13:$X$282,$C286,AB$13:AB$282)</f>
        <v>0</v>
      </c>
      <c r="AC286" s="1444"/>
      <c r="AD286" s="1463"/>
      <c r="AE286" s="458"/>
      <c r="AF286" s="458"/>
      <c r="AG286" s="458"/>
      <c r="AH286" s="459">
        <f>SUMIF($X13:$X$282,$C286,AH13:AH282)</f>
        <v>0</v>
      </c>
      <c r="AI286" s="460">
        <f>SUMIF($X13:$X$282,$C286,AI13:AI282)</f>
        <v>0</v>
      </c>
      <c r="AJ286" s="259" t="str">
        <f t="shared" si="341"/>
        <v/>
      </c>
      <c r="AK286" s="258"/>
      <c r="AL286" s="260"/>
      <c r="AM286" s="2267">
        <f t="shared" si="342"/>
        <v>0</v>
      </c>
      <c r="AN286" s="2267">
        <f t="shared" si="342"/>
        <v>0</v>
      </c>
      <c r="AO286" s="355">
        <f t="shared" si="342"/>
        <v>0</v>
      </c>
      <c r="AP286" s="355">
        <f t="shared" si="342"/>
        <v>0</v>
      </c>
      <c r="AQ286" s="355">
        <f t="shared" si="342"/>
        <v>0</v>
      </c>
      <c r="AR286" s="355">
        <f t="shared" si="342"/>
        <v>0</v>
      </c>
      <c r="AS286" s="355">
        <f t="shared" si="342"/>
        <v>0</v>
      </c>
      <c r="AT286" s="1335">
        <f t="shared" si="342"/>
        <v>0</v>
      </c>
      <c r="AU286" s="355">
        <f t="shared" si="342"/>
        <v>0</v>
      </c>
      <c r="AV286" s="355">
        <f t="shared" si="342"/>
        <v>0</v>
      </c>
      <c r="AW286" s="355">
        <f t="shared" si="343"/>
        <v>0</v>
      </c>
      <c r="AX286" s="355">
        <f t="shared" si="343"/>
        <v>0</v>
      </c>
      <c r="AY286" s="446">
        <f t="shared" si="343"/>
        <v>0</v>
      </c>
      <c r="AZ286" s="2336">
        <f t="shared" si="343"/>
        <v>0</v>
      </c>
      <c r="BA286" s="355">
        <f t="shared" si="343"/>
        <v>0</v>
      </c>
      <c r="BB286" s="355">
        <f t="shared" si="343"/>
        <v>0</v>
      </c>
      <c r="BC286" s="355">
        <f t="shared" si="343"/>
        <v>0</v>
      </c>
      <c r="BD286" s="355">
        <f t="shared" si="343"/>
        <v>0</v>
      </c>
      <c r="BE286" s="355">
        <f t="shared" si="343"/>
        <v>0</v>
      </c>
      <c r="BF286" s="355">
        <f t="shared" si="343"/>
        <v>0</v>
      </c>
      <c r="BG286" s="355">
        <f t="shared" si="344"/>
        <v>0</v>
      </c>
      <c r="BH286" s="355">
        <f t="shared" si="344"/>
        <v>0</v>
      </c>
      <c r="BI286" s="447">
        <f t="shared" si="344"/>
        <v>0</v>
      </c>
      <c r="BJ286" s="355">
        <f t="shared" si="344"/>
        <v>0</v>
      </c>
      <c r="BK286" s="2128">
        <f t="shared" si="344"/>
        <v>0</v>
      </c>
      <c r="BL286" s="447">
        <f t="shared" si="344"/>
        <v>0</v>
      </c>
      <c r="BM286" s="447">
        <f t="shared" si="344"/>
        <v>0</v>
      </c>
      <c r="BN286" s="447">
        <f t="shared" si="344"/>
        <v>0</v>
      </c>
      <c r="BO286" s="447">
        <f t="shared" si="344"/>
        <v>0</v>
      </c>
      <c r="BP286" s="447">
        <f t="shared" si="344"/>
        <v>0</v>
      </c>
      <c r="BQ286" s="2400">
        <f t="shared" si="345"/>
        <v>0</v>
      </c>
      <c r="BR286" s="355">
        <f t="shared" si="345"/>
        <v>0</v>
      </c>
      <c r="BS286" s="355">
        <f t="shared" si="345"/>
        <v>0</v>
      </c>
      <c r="BT286" s="355">
        <f t="shared" si="345"/>
        <v>0</v>
      </c>
      <c r="BU286" s="355">
        <f t="shared" si="345"/>
        <v>0</v>
      </c>
      <c r="BV286" s="355">
        <f t="shared" si="345"/>
        <v>0</v>
      </c>
      <c r="BW286" s="446">
        <f t="shared" si="345"/>
        <v>0</v>
      </c>
      <c r="BX286" s="2392">
        <f t="shared" si="345"/>
        <v>0</v>
      </c>
      <c r="BY286" s="2392">
        <f t="shared" si="345"/>
        <v>0</v>
      </c>
      <c r="BZ286" s="2392">
        <f t="shared" si="345"/>
        <v>0</v>
      </c>
      <c r="CA286" s="2433">
        <f t="shared" si="338"/>
        <v>0</v>
      </c>
      <c r="CB286" s="2380" t="str">
        <f t="shared" si="339"/>
        <v/>
      </c>
      <c r="CC286" s="365" t="str">
        <f t="shared" si="340"/>
        <v/>
      </c>
      <c r="CD286" s="461"/>
      <c r="CE286" s="457"/>
      <c r="CF286" s="435"/>
      <c r="CG286" s="436"/>
      <c r="CH286" s="462"/>
      <c r="CI286" s="463"/>
      <c r="CJ286" s="463"/>
      <c r="CK286" s="464"/>
      <c r="CL286" s="329">
        <f t="shared" si="298"/>
        <v>0</v>
      </c>
      <c r="CM286" s="330">
        <f t="shared" si="299"/>
        <v>0</v>
      </c>
      <c r="CN286" s="331">
        <f t="shared" si="272"/>
        <v>0</v>
      </c>
      <c r="CO286" s="86"/>
      <c r="CP286" s="86">
        <f t="shared" si="319"/>
        <v>0</v>
      </c>
      <c r="CQ286" s="86"/>
      <c r="CR286" s="86"/>
      <c r="CS286" s="86"/>
      <c r="CT286" s="86"/>
      <c r="CU286" s="86"/>
      <c r="CV286" s="86"/>
      <c r="CW286" s="86"/>
      <c r="CX286" s="86"/>
      <c r="CY286" s="86"/>
      <c r="CZ286" s="86"/>
      <c r="DA286" s="86"/>
      <c r="DB286" s="1658"/>
      <c r="DC286" s="1658"/>
      <c r="EI286" s="1658"/>
    </row>
    <row r="287" spans="1:302" s="33" customFormat="1" ht="25.25" customHeight="1">
      <c r="A287" s="2665"/>
      <c r="B287" s="453"/>
      <c r="C287" s="112" t="s">
        <v>26</v>
      </c>
      <c r="D287" s="112" t="s">
        <v>221</v>
      </c>
      <c r="E287" s="152"/>
      <c r="F287" s="454"/>
      <c r="G287" s="455"/>
      <c r="H287" s="456"/>
      <c r="I287" s="1771">
        <f>SUMIF($J12:$J$282,$C287,I12:I282)</f>
        <v>505757853</v>
      </c>
      <c r="J287" s="1772">
        <f>SUMIF($J12:$J$282,$C287,J12:J282)</f>
        <v>0</v>
      </c>
      <c r="K287" s="1518">
        <f>SUMIF($J12:$J$282,$C287,K12:K282)</f>
        <v>0</v>
      </c>
      <c r="L287" s="1518">
        <f>SUMIF($J12:$J$282,$C287,L12:L282)</f>
        <v>0</v>
      </c>
      <c r="M287" s="1518">
        <f>SUMIF($J12:$J$282,$C287,M12:M282)</f>
        <v>0</v>
      </c>
      <c r="N287" s="1773">
        <f>SUMIF($J12:$J$282,$C287,N12:N283)</f>
        <v>0</v>
      </c>
      <c r="O287" s="1774">
        <f>SUMIF($J12:$J$282,$C287,O12:O282)</f>
        <v>501457853</v>
      </c>
      <c r="P287" s="1772">
        <f>SUMIF($J12:$J$282,$C287,P12:P282)</f>
        <v>0</v>
      </c>
      <c r="Q287" s="1518">
        <f>SUMIF($J12:$J$282,$C287,Q12:Q282)</f>
        <v>0</v>
      </c>
      <c r="R287" s="1518">
        <f>SUMIF($J12:$J$282,$C287,R12:R282)</f>
        <v>0</v>
      </c>
      <c r="S287" s="1518">
        <f>SUMIF($J12:$J$282,$C287,S12:S282)</f>
        <v>0</v>
      </c>
      <c r="T287" s="1518">
        <f>SUMIF($J12:$J$282,$C287,T12:T282)</f>
        <v>0</v>
      </c>
      <c r="U287" s="1518">
        <f>SUMIF($J12:$J$282,$C287,U12:U282)</f>
        <v>0</v>
      </c>
      <c r="V287" s="1518">
        <f>SUMIF($J12:$J$282,$C287,V12:V282)</f>
        <v>0</v>
      </c>
      <c r="W287" s="1771">
        <f>SUMIF($X$12:$X$282,$C287,W$12:W$282)</f>
        <v>501457853</v>
      </c>
      <c r="X287" s="1772">
        <f>SUMIF($J279:$J$282,$C287,X279:X285)</f>
        <v>0</v>
      </c>
      <c r="Y287" s="1518">
        <f>SUMIF($J279:$J$282,$C287,Y279:Y285)</f>
        <v>0</v>
      </c>
      <c r="Z287" s="1518">
        <f>SUMIF($J279:$J$282,$C287,Z279:Z285)</f>
        <v>0</v>
      </c>
      <c r="AA287" s="1518"/>
      <c r="AB287" s="1771">
        <f>SUMIF($X$13:$X$282,$C287,AB$13:AB$282)</f>
        <v>501457852.99120355</v>
      </c>
      <c r="AC287" s="1444"/>
      <c r="AD287" s="1463"/>
      <c r="AE287" s="458"/>
      <c r="AF287" s="458"/>
      <c r="AG287" s="458"/>
      <c r="AH287" s="459">
        <f>SUMIF($X13:$X$282,$C287,AH13:AH282)</f>
        <v>237007837.96000001</v>
      </c>
      <c r="AI287" s="460">
        <f ca="1">SUMIF($X13:$X$282,$C287,AI13:AI282)</f>
        <v>12323042.799999999</v>
      </c>
      <c r="AJ287" s="259">
        <f ca="1">IF($AB287&lt;&gt;0,AI287/$AB287,"")</f>
        <v>2.457443377642381E-2</v>
      </c>
      <c r="AK287" s="259"/>
      <c r="AL287" s="260"/>
      <c r="AM287" s="2267">
        <f t="shared" si="342"/>
        <v>6199140</v>
      </c>
      <c r="AN287" s="2267">
        <f t="shared" si="342"/>
        <v>1209845.03</v>
      </c>
      <c r="AO287" s="355">
        <f t="shared" si="342"/>
        <v>4914057.7699999996</v>
      </c>
      <c r="AP287" s="355">
        <f t="shared" si="342"/>
        <v>5765471.9427805152</v>
      </c>
      <c r="AQ287" s="355">
        <f t="shared" si="342"/>
        <v>6905734.0930985492</v>
      </c>
      <c r="AR287" s="355">
        <f t="shared" si="342"/>
        <v>8873827.1469670646</v>
      </c>
      <c r="AS287" s="355">
        <f t="shared" si="342"/>
        <v>10285632.293248262</v>
      </c>
      <c r="AT287" s="1335">
        <f t="shared" si="342"/>
        <v>10740381.93769237</v>
      </c>
      <c r="AU287" s="355">
        <f t="shared" si="342"/>
        <v>11563023.063171899</v>
      </c>
      <c r="AV287" s="355">
        <f t="shared" si="342"/>
        <v>16961088.660946671</v>
      </c>
      <c r="AW287" s="355">
        <f t="shared" si="343"/>
        <v>20646901.925930187</v>
      </c>
      <c r="AX287" s="355">
        <f t="shared" si="343"/>
        <v>16967267.571273327</v>
      </c>
      <c r="AY287" s="446">
        <f t="shared" si="343"/>
        <v>19654432.332606655</v>
      </c>
      <c r="AZ287" s="2336">
        <f t="shared" si="343"/>
        <v>27037107.253422659</v>
      </c>
      <c r="BA287" s="355">
        <f t="shared" si="343"/>
        <v>31052003.954989325</v>
      </c>
      <c r="BB287" s="355">
        <f t="shared" si="343"/>
        <v>37364643.970983341</v>
      </c>
      <c r="BC287" s="355">
        <f t="shared" si="343"/>
        <v>32844839.101250634</v>
      </c>
      <c r="BD287" s="355">
        <f t="shared" si="343"/>
        <v>34135803.948472857</v>
      </c>
      <c r="BE287" s="355">
        <f t="shared" si="343"/>
        <v>28870543.176995076</v>
      </c>
      <c r="BF287" s="355">
        <f t="shared" si="343"/>
        <v>25137377.52638055</v>
      </c>
      <c r="BG287" s="355">
        <f t="shared" si="344"/>
        <v>19034792.32649231</v>
      </c>
      <c r="BH287" s="355">
        <f t="shared" si="344"/>
        <v>24283221.761225644</v>
      </c>
      <c r="BI287" s="447">
        <f t="shared" si="344"/>
        <v>12421394.062247865</v>
      </c>
      <c r="BJ287" s="355">
        <f t="shared" si="344"/>
        <v>10204106.982658977</v>
      </c>
      <c r="BK287" s="2128">
        <f t="shared" si="344"/>
        <v>18501734.790647864</v>
      </c>
      <c r="BL287" s="447">
        <f t="shared" si="344"/>
        <v>5817816.9662033143</v>
      </c>
      <c r="BM287" s="447">
        <f t="shared" si="344"/>
        <v>3279069.2331922031</v>
      </c>
      <c r="BN287" s="447">
        <f t="shared" si="344"/>
        <v>2859802.3871922032</v>
      </c>
      <c r="BO287" s="447">
        <f t="shared" si="344"/>
        <v>308626.92642707535</v>
      </c>
      <c r="BP287" s="447">
        <f t="shared" si="344"/>
        <v>3335488.4408715195</v>
      </c>
      <c r="BQ287" s="2400">
        <f t="shared" si="345"/>
        <v>966685.07383448281</v>
      </c>
      <c r="BR287" s="355">
        <f t="shared" si="345"/>
        <v>0</v>
      </c>
      <c r="BS287" s="355">
        <f t="shared" si="345"/>
        <v>0</v>
      </c>
      <c r="BT287" s="355">
        <f t="shared" si="345"/>
        <v>174000</v>
      </c>
      <c r="BU287" s="355">
        <f t="shared" si="345"/>
        <v>0</v>
      </c>
      <c r="BV287" s="355">
        <f t="shared" si="345"/>
        <v>0</v>
      </c>
      <c r="BW287" s="446">
        <f t="shared" si="345"/>
        <v>42828572.339999996</v>
      </c>
      <c r="BX287" s="2392">
        <f t="shared" si="345"/>
        <v>313419</v>
      </c>
      <c r="BY287" s="2392">
        <f t="shared" si="345"/>
        <v>0</v>
      </c>
      <c r="BZ287" s="2392">
        <f t="shared" si="345"/>
        <v>0</v>
      </c>
      <c r="CA287" s="2433">
        <f t="shared" si="338"/>
        <v>489134810.19120342</v>
      </c>
      <c r="CB287" s="2380">
        <f t="shared" si="339"/>
        <v>0.9754255662235759</v>
      </c>
      <c r="CC287" s="365">
        <f t="shared" si="340"/>
        <v>1.9451795607649735E-9</v>
      </c>
      <c r="CD287" s="461"/>
      <c r="CE287" s="457"/>
      <c r="CF287" s="435"/>
      <c r="CG287" s="436"/>
      <c r="CH287" s="462"/>
      <c r="CI287" s="463"/>
      <c r="CJ287" s="463"/>
      <c r="CK287" s="464"/>
      <c r="CL287" s="329">
        <f t="shared" si="298"/>
        <v>12323042.808796585</v>
      </c>
      <c r="CM287" s="330">
        <f t="shared" ca="1" si="299"/>
        <v>0</v>
      </c>
      <c r="CN287" s="331">
        <f t="shared" ca="1" si="272"/>
        <v>-366970189.22348791</v>
      </c>
      <c r="CO287" s="86"/>
      <c r="CP287" s="86">
        <f t="shared" si="319"/>
        <v>4300000</v>
      </c>
      <c r="CQ287" s="86"/>
      <c r="CR287" s="86"/>
      <c r="CS287" s="86"/>
      <c r="CT287" s="86"/>
      <c r="CU287" s="86"/>
      <c r="CV287" s="86"/>
      <c r="CW287" s="86"/>
      <c r="CX287" s="86"/>
      <c r="CY287" s="86"/>
      <c r="CZ287" s="86"/>
      <c r="DA287" s="86"/>
      <c r="DB287" s="1658"/>
      <c r="DC287" s="1658"/>
      <c r="EI287" s="1658"/>
    </row>
    <row r="288" spans="1:302" s="33" customFormat="1" ht="25.25" customHeight="1" thickBot="1">
      <c r="A288" s="2666"/>
      <c r="B288" s="465"/>
      <c r="C288" s="249" t="s">
        <v>29</v>
      </c>
      <c r="D288" s="249" t="s">
        <v>222</v>
      </c>
      <c r="E288" s="250"/>
      <c r="F288" s="466"/>
      <c r="G288" s="467"/>
      <c r="H288" s="468"/>
      <c r="I288" s="1775">
        <f>SUMIF($J13:$J$282,$C288,I13:I282)</f>
        <v>0</v>
      </c>
      <c r="J288" s="1776">
        <f>SUMIF($J13:$J$282,$C288,J13:J282)</f>
        <v>0</v>
      </c>
      <c r="K288" s="1755">
        <f>SUMIF($J13:$J$282,$C288,K13:K282)</f>
        <v>0</v>
      </c>
      <c r="L288" s="1755">
        <f>SUMIF($J13:$J$282,$C288,L13:L282)</f>
        <v>0</v>
      </c>
      <c r="M288" s="1755">
        <f>SUMIF($J13:$J$282,$C288,M13:M282)</f>
        <v>0</v>
      </c>
      <c r="N288" s="1777">
        <f>SUMIF($J13:$J$282,$C288,N13:N282)</f>
        <v>0</v>
      </c>
      <c r="O288" s="1778">
        <f>SUMIF($J13:$J$282,$C288,O13:O282)</f>
        <v>0</v>
      </c>
      <c r="P288" s="1776">
        <f>SUMIF($J13:$J$282,$C288,P13:P282)</f>
        <v>0</v>
      </c>
      <c r="Q288" s="1755">
        <f>SUMIF($J13:$J$282,$C288,Q13:Q282)</f>
        <v>0</v>
      </c>
      <c r="R288" s="1755">
        <f>SUMIF($J13:$J$282,$C288,R13:R282)</f>
        <v>0</v>
      </c>
      <c r="S288" s="1755">
        <f>SUMIF($J13:$J$282,$C288,S13:S282)</f>
        <v>0</v>
      </c>
      <c r="T288" s="1755">
        <f>SUMIF($J13:$J$282,$C288,T13:T282)</f>
        <v>0</v>
      </c>
      <c r="U288" s="1755">
        <f>SUMIF($J13:$J$282,$C288,U13:U282)</f>
        <v>0</v>
      </c>
      <c r="V288" s="1755">
        <f>SUMIF($J13:$J$282,$C288,V13:V282)</f>
        <v>0</v>
      </c>
      <c r="W288" s="1775">
        <f>SUMIF($X$13:$X$282,$C288,W$13:W$282)</f>
        <v>0</v>
      </c>
      <c r="X288" s="1776">
        <f>SUMIF($J279:$J$282,$C288,X279:X286)</f>
        <v>0</v>
      </c>
      <c r="Y288" s="1755">
        <f>SUMIF($J279:$J$282,$C288,Y279:Y286)</f>
        <v>0</v>
      </c>
      <c r="Z288" s="1755">
        <f>SUMIF($J279:$J$282,$C288,Z279:Z286)</f>
        <v>0</v>
      </c>
      <c r="AA288" s="1755"/>
      <c r="AB288" s="1775">
        <f>SUMIF($X$13:$X$282,$C288,AB$13:AB$282)</f>
        <v>0</v>
      </c>
      <c r="AC288" s="1444"/>
      <c r="AD288" s="1464"/>
      <c r="AE288" s="469"/>
      <c r="AF288" s="469"/>
      <c r="AG288" s="469"/>
      <c r="AH288" s="470">
        <f>SUMIF($X13:$X$282,$C288,AH13:AH282)</f>
        <v>0</v>
      </c>
      <c r="AI288" s="471">
        <f>SUMIF($X13:$X$282,$C288,AI13:AI282)</f>
        <v>0</v>
      </c>
      <c r="AJ288" s="472" t="str">
        <f>IF($AB288&lt;&gt;0,AI288/$AB288,"")</f>
        <v/>
      </c>
      <c r="AK288" s="472"/>
      <c r="AL288" s="473">
        <f>SUMIF($X13:$X$282,$C288,AL13:AL282)</f>
        <v>0</v>
      </c>
      <c r="AM288" s="2268">
        <f t="shared" si="342"/>
        <v>0</v>
      </c>
      <c r="AN288" s="2268">
        <f t="shared" si="342"/>
        <v>0</v>
      </c>
      <c r="AO288" s="411">
        <f t="shared" si="342"/>
        <v>0</v>
      </c>
      <c r="AP288" s="411">
        <f t="shared" si="342"/>
        <v>0</v>
      </c>
      <c r="AQ288" s="411">
        <f t="shared" si="342"/>
        <v>0</v>
      </c>
      <c r="AR288" s="474">
        <f t="shared" si="342"/>
        <v>0</v>
      </c>
      <c r="AS288" s="474">
        <f t="shared" si="342"/>
        <v>0</v>
      </c>
      <c r="AT288" s="1336">
        <f t="shared" si="342"/>
        <v>0</v>
      </c>
      <c r="AU288" s="2089">
        <f t="shared" si="342"/>
        <v>0</v>
      </c>
      <c r="AV288" s="2089">
        <f t="shared" si="342"/>
        <v>0</v>
      </c>
      <c r="AW288" s="2089">
        <f t="shared" si="343"/>
        <v>0</v>
      </c>
      <c r="AX288" s="2089">
        <f t="shared" si="343"/>
        <v>0</v>
      </c>
      <c r="AY288" s="2320">
        <f t="shared" si="343"/>
        <v>0</v>
      </c>
      <c r="AZ288" s="2337">
        <f t="shared" si="343"/>
        <v>0</v>
      </c>
      <c r="BA288" s="2090">
        <f t="shared" si="343"/>
        <v>0</v>
      </c>
      <c r="BB288" s="2090">
        <f t="shared" si="343"/>
        <v>0</v>
      </c>
      <c r="BC288" s="2090">
        <f t="shared" si="343"/>
        <v>0</v>
      </c>
      <c r="BD288" s="2090">
        <f t="shared" si="343"/>
        <v>0</v>
      </c>
      <c r="BE288" s="2090">
        <f t="shared" si="343"/>
        <v>0</v>
      </c>
      <c r="BF288" s="2090">
        <f t="shared" si="343"/>
        <v>0</v>
      </c>
      <c r="BG288" s="2090">
        <f t="shared" si="344"/>
        <v>0</v>
      </c>
      <c r="BH288" s="2090">
        <f t="shared" si="344"/>
        <v>0</v>
      </c>
      <c r="BI288" s="2096">
        <f t="shared" si="344"/>
        <v>0</v>
      </c>
      <c r="BJ288" s="2090">
        <f t="shared" si="344"/>
        <v>0</v>
      </c>
      <c r="BK288" s="2129">
        <f t="shared" si="344"/>
        <v>0</v>
      </c>
      <c r="BL288" s="475">
        <f t="shared" si="344"/>
        <v>0</v>
      </c>
      <c r="BM288" s="475">
        <f t="shared" si="344"/>
        <v>0</v>
      </c>
      <c r="BN288" s="475">
        <f t="shared" si="344"/>
        <v>0</v>
      </c>
      <c r="BO288" s="475">
        <f t="shared" si="344"/>
        <v>0</v>
      </c>
      <c r="BP288" s="475">
        <f t="shared" si="344"/>
        <v>0</v>
      </c>
      <c r="BQ288" s="2401">
        <f t="shared" si="345"/>
        <v>0</v>
      </c>
      <c r="BR288" s="411">
        <f t="shared" si="345"/>
        <v>0</v>
      </c>
      <c r="BS288" s="411">
        <f t="shared" si="345"/>
        <v>0</v>
      </c>
      <c r="BT288" s="411">
        <f t="shared" si="345"/>
        <v>0</v>
      </c>
      <c r="BU288" s="411">
        <f t="shared" si="345"/>
        <v>0</v>
      </c>
      <c r="BV288" s="411">
        <f t="shared" si="345"/>
        <v>0</v>
      </c>
      <c r="BW288" s="2234">
        <f t="shared" si="345"/>
        <v>0</v>
      </c>
      <c r="BX288" s="2393">
        <f t="shared" si="345"/>
        <v>0</v>
      </c>
      <c r="BY288" s="2393">
        <f t="shared" si="345"/>
        <v>0</v>
      </c>
      <c r="BZ288" s="2393">
        <f t="shared" si="345"/>
        <v>0</v>
      </c>
      <c r="CA288" s="2433">
        <f t="shared" si="338"/>
        <v>0</v>
      </c>
      <c r="CB288" s="2380" t="str">
        <f t="shared" si="339"/>
        <v/>
      </c>
      <c r="CC288" s="365" t="str">
        <f t="shared" si="340"/>
        <v/>
      </c>
      <c r="CD288" s="461"/>
      <c r="CE288" s="457"/>
      <c r="CF288" s="435"/>
      <c r="CG288" s="436"/>
      <c r="CH288" s="462"/>
      <c r="CI288" s="463"/>
      <c r="CJ288" s="463"/>
      <c r="CK288" s="464"/>
      <c r="CL288" s="329">
        <f t="shared" si="298"/>
        <v>0</v>
      </c>
      <c r="CM288" s="330">
        <f t="shared" si="299"/>
        <v>0</v>
      </c>
      <c r="CN288" s="331">
        <f t="shared" si="272"/>
        <v>0</v>
      </c>
      <c r="CO288" s="86"/>
      <c r="CP288" s="86">
        <f t="shared" si="319"/>
        <v>0</v>
      </c>
      <c r="CQ288" s="86"/>
      <c r="CR288" s="86"/>
      <c r="CS288" s="86"/>
      <c r="CT288" s="86"/>
      <c r="CU288" s="86"/>
      <c r="CV288" s="86"/>
      <c r="CW288" s="86"/>
      <c r="CX288" s="86"/>
      <c r="CY288" s="86"/>
      <c r="CZ288" s="86"/>
      <c r="DA288" s="86"/>
      <c r="DB288" s="1658"/>
      <c r="DC288" s="1658"/>
      <c r="EI288" s="1658"/>
    </row>
    <row r="289" spans="1:302" s="34" customFormat="1" ht="25.25" customHeight="1" thickBot="1">
      <c r="A289" s="2667"/>
      <c r="B289" s="1364"/>
      <c r="C289" s="1365"/>
      <c r="D289" s="1366"/>
      <c r="E289" s="251"/>
      <c r="F289" s="476"/>
      <c r="G289" s="477"/>
      <c r="H289" s="478"/>
      <c r="I289" s="1779">
        <f>I284+I285+I286+I287+I288-I283</f>
        <v>0</v>
      </c>
      <c r="J289" s="480"/>
      <c r="K289" s="1780"/>
      <c r="L289" s="1781"/>
      <c r="M289" s="491"/>
      <c r="N289" s="491"/>
      <c r="O289" s="486">
        <f ca="1">O284+O285+O286+O287+O288-O283</f>
        <v>0</v>
      </c>
      <c r="P289" s="480"/>
      <c r="Q289" s="481"/>
      <c r="R289" s="481"/>
      <c r="S289" s="1782">
        <f>S284+S285+S286+S287+S288-S283</f>
        <v>0</v>
      </c>
      <c r="T289" s="481"/>
      <c r="U289" s="488"/>
      <c r="V289" s="488"/>
      <c r="W289" s="1779">
        <f>W284+W285+W286+W287+W288-W283</f>
        <v>0</v>
      </c>
      <c r="X289" s="480"/>
      <c r="Y289" s="481"/>
      <c r="Z289" s="488"/>
      <c r="AA289" s="488"/>
      <c r="AB289" s="1779">
        <f>AB284+AB285+AB286+AB287+AB288-AB283</f>
        <v>0</v>
      </c>
      <c r="AC289" s="1444"/>
      <c r="AD289" s="1465"/>
      <c r="AE289" s="482"/>
      <c r="AF289" s="483"/>
      <c r="AG289" s="484"/>
      <c r="AH289" s="485">
        <f>AH284+AH285+AH286+AH287+AH288-AH283</f>
        <v>0</v>
      </c>
      <c r="AI289" s="486">
        <f ca="1">AI284+AI285+AI286+AI287+AI288-AI283</f>
        <v>0</v>
      </c>
      <c r="AJ289" s="487"/>
      <c r="AK289" s="487"/>
      <c r="AL289" s="1372"/>
      <c r="AM289" s="2269">
        <f>AM284+AM285+AM286+AM287+AM288-AM283</f>
        <v>0</v>
      </c>
      <c r="AN289" s="2269">
        <f>AN284+AN285+AN286+AN287+AN288-AN283</f>
        <v>0</v>
      </c>
      <c r="AO289" s="488">
        <f t="shared" ref="AO289:AY289" si="346">AO284+AO285+AO286+AO287+AO288-AO283</f>
        <v>0</v>
      </c>
      <c r="AP289" s="488">
        <f t="shared" si="346"/>
        <v>0</v>
      </c>
      <c r="AQ289" s="488">
        <f t="shared" si="346"/>
        <v>0</v>
      </c>
      <c r="AR289" s="488">
        <f t="shared" si="346"/>
        <v>0</v>
      </c>
      <c r="AS289" s="488">
        <f t="shared" si="346"/>
        <v>0</v>
      </c>
      <c r="AT289" s="489">
        <f t="shared" si="346"/>
        <v>0</v>
      </c>
      <c r="AU289" s="488">
        <f t="shared" si="346"/>
        <v>0</v>
      </c>
      <c r="AV289" s="488">
        <f t="shared" si="346"/>
        <v>0</v>
      </c>
      <c r="AW289" s="488">
        <f t="shared" si="346"/>
        <v>0</v>
      </c>
      <c r="AX289" s="488">
        <f t="shared" si="346"/>
        <v>0</v>
      </c>
      <c r="AY289" s="2235">
        <f t="shared" si="346"/>
        <v>0</v>
      </c>
      <c r="AZ289" s="2338">
        <f t="shared" ref="AZ289:BR289" si="347">AZ284+AZ285+AZ286+AZ287+AZ288-AZ283</f>
        <v>0</v>
      </c>
      <c r="BA289" s="2094">
        <f t="shared" si="347"/>
        <v>0</v>
      </c>
      <c r="BB289" s="2094">
        <f t="shared" si="347"/>
        <v>0</v>
      </c>
      <c r="BC289" s="2094">
        <f t="shared" si="347"/>
        <v>0</v>
      </c>
      <c r="BD289" s="2094">
        <f t="shared" si="347"/>
        <v>0</v>
      </c>
      <c r="BE289" s="2094">
        <f t="shared" si="347"/>
        <v>0</v>
      </c>
      <c r="BF289" s="2094">
        <f t="shared" si="347"/>
        <v>0</v>
      </c>
      <c r="BG289" s="2094">
        <f t="shared" si="347"/>
        <v>0</v>
      </c>
      <c r="BH289" s="2094">
        <f t="shared" si="347"/>
        <v>0</v>
      </c>
      <c r="BI289" s="1521">
        <f t="shared" si="347"/>
        <v>0</v>
      </c>
      <c r="BJ289" s="2095">
        <f t="shared" si="347"/>
        <v>0</v>
      </c>
      <c r="BK289" s="2130">
        <f t="shared" si="347"/>
        <v>0</v>
      </c>
      <c r="BL289" s="491">
        <f t="shared" si="347"/>
        <v>0</v>
      </c>
      <c r="BM289" s="491">
        <f t="shared" si="347"/>
        <v>0</v>
      </c>
      <c r="BN289" s="491">
        <f t="shared" si="347"/>
        <v>0</v>
      </c>
      <c r="BO289" s="491">
        <f t="shared" si="347"/>
        <v>0</v>
      </c>
      <c r="BP289" s="491">
        <f t="shared" si="347"/>
        <v>0</v>
      </c>
      <c r="BQ289" s="491">
        <f t="shared" si="347"/>
        <v>0</v>
      </c>
      <c r="BR289" s="490">
        <f t="shared" si="347"/>
        <v>0</v>
      </c>
      <c r="BS289" s="490">
        <f>BS284+BS285+BS286+BS287+BS288-BS283</f>
        <v>0</v>
      </c>
      <c r="BT289" s="490">
        <f>BT284+BT285+BT286+BT287+BT288-BT283</f>
        <v>0</v>
      </c>
      <c r="BU289" s="490">
        <f t="shared" ref="BU289:BX289" si="348">BU284+BU285+BU286+BU287+BU288-BU283</f>
        <v>0</v>
      </c>
      <c r="BV289" s="490">
        <f t="shared" si="348"/>
        <v>0</v>
      </c>
      <c r="BW289" s="490">
        <f t="shared" si="348"/>
        <v>0</v>
      </c>
      <c r="BX289" s="2415">
        <f t="shared" si="348"/>
        <v>0</v>
      </c>
      <c r="BY289" s="2415">
        <f t="shared" ref="BY289:BZ289" si="349">BY284+BY285+BY286+BY287+BY288-BY283</f>
        <v>0</v>
      </c>
      <c r="BZ289" s="2415">
        <f t="shared" si="349"/>
        <v>0</v>
      </c>
      <c r="CA289" s="2434">
        <f t="shared" si="338"/>
        <v>0</v>
      </c>
      <c r="CB289" s="2380" t="str">
        <f t="shared" si="339"/>
        <v/>
      </c>
      <c r="CC289" s="365" t="str">
        <f t="shared" si="340"/>
        <v/>
      </c>
      <c r="CD289" s="1371"/>
      <c r="CE289" s="479"/>
      <c r="CF289" s="331"/>
      <c r="CG289" s="492"/>
      <c r="CH289" s="493"/>
      <c r="CI289" s="494"/>
      <c r="CJ289" s="494"/>
      <c r="CK289" s="495"/>
      <c r="CL289" s="329">
        <f t="shared" ca="1" si="298"/>
        <v>0</v>
      </c>
      <c r="CM289" s="330">
        <f t="shared" ca="1" si="299"/>
        <v>0</v>
      </c>
      <c r="CN289" s="331">
        <f t="shared" ca="1" si="272"/>
        <v>0</v>
      </c>
      <c r="CO289" s="86"/>
      <c r="CP289" s="86">
        <f t="shared" ca="1" si="319"/>
        <v>0</v>
      </c>
      <c r="CQ289" s="86"/>
      <c r="CR289" s="86"/>
      <c r="CS289" s="86"/>
      <c r="CT289" s="86"/>
      <c r="CU289" s="86"/>
      <c r="CV289" s="86"/>
      <c r="CW289" s="86"/>
      <c r="CX289" s="86"/>
      <c r="CY289" s="86"/>
      <c r="CZ289" s="86"/>
      <c r="DA289" s="86"/>
      <c r="DB289" s="1659"/>
      <c r="DC289" s="1659"/>
      <c r="EI289" s="1658"/>
    </row>
    <row r="290" spans="1:302" s="92" customFormat="1" ht="24.75" customHeight="1" outlineLevel="1">
      <c r="A290" s="2668">
        <v>1</v>
      </c>
      <c r="B290" s="1367"/>
      <c r="C290" s="1368" t="s">
        <v>92</v>
      </c>
      <c r="D290" s="1368" t="s">
        <v>278</v>
      </c>
      <c r="E290" s="1382"/>
      <c r="F290" s="1356"/>
      <c r="G290" s="1383"/>
      <c r="H290" s="1384"/>
      <c r="I290" s="1693"/>
      <c r="J290" s="1693"/>
      <c r="K290" s="1695"/>
      <c r="L290" s="1695"/>
      <c r="M290" s="1696"/>
      <c r="N290" s="1695"/>
      <c r="O290" s="1358">
        <f>M290*N290</f>
        <v>0</v>
      </c>
      <c r="P290" s="1693"/>
      <c r="Q290" s="1693"/>
      <c r="R290" s="1693"/>
      <c r="S290" s="1693"/>
      <c r="T290" s="1695"/>
      <c r="U290" s="1695"/>
      <c r="V290" s="1695"/>
      <c r="W290" s="1693">
        <f t="shared" ref="W290:W405" si="350">O290+S290</f>
        <v>0</v>
      </c>
      <c r="X290" s="1693"/>
      <c r="Y290" s="1695"/>
      <c r="Z290" s="1695"/>
      <c r="AA290" s="1695"/>
      <c r="AB290" s="1693">
        <f>SUM(AN290:BZ290)</f>
        <v>0</v>
      </c>
      <c r="AC290" s="1444"/>
      <c r="AD290" s="1466"/>
      <c r="AE290" s="1357"/>
      <c r="AF290" s="1358"/>
      <c r="AG290" s="1385"/>
      <c r="AH290" s="1358">
        <f t="shared" ref="AH290:AH410" si="351">+AF290*AG290</f>
        <v>0</v>
      </c>
      <c r="AI290" s="1386">
        <f t="shared" ref="AI290:AI326" si="352">SUMIF($AM$10:$BZ$10,$AI$9,AM290:BZ290)</f>
        <v>0</v>
      </c>
      <c r="AJ290" s="1387" t="str">
        <f t="shared" ref="AJ290:AJ348" si="353">IF($AB290&lt;&gt;0,AI290/$AB290,"")</f>
        <v/>
      </c>
      <c r="AK290" s="1387"/>
      <c r="AL290" s="1388"/>
      <c r="AM290" s="2270"/>
      <c r="AN290" s="2270"/>
      <c r="AO290" s="1358"/>
      <c r="AP290" s="1358"/>
      <c r="AQ290" s="1358"/>
      <c r="AR290" s="1358"/>
      <c r="AS290" s="1358"/>
      <c r="AT290" s="2014"/>
      <c r="AU290" s="1358"/>
      <c r="AV290" s="1358"/>
      <c r="AW290" s="1358"/>
      <c r="AX290" s="1358"/>
      <c r="AY290" s="2055"/>
      <c r="AZ290" s="2270"/>
      <c r="BA290" s="1358"/>
      <c r="BB290" s="1358"/>
      <c r="BC290" s="1358"/>
      <c r="BD290" s="1358"/>
      <c r="BE290" s="1358"/>
      <c r="BF290" s="1358"/>
      <c r="BG290" s="1358"/>
      <c r="BH290" s="1360"/>
      <c r="BI290" s="1360"/>
      <c r="BJ290" s="1360"/>
      <c r="BK290" s="2131"/>
      <c r="BL290" s="2111"/>
      <c r="BM290" s="2111"/>
      <c r="BN290" s="2111"/>
      <c r="BO290" s="2111"/>
      <c r="BP290" s="2111"/>
      <c r="BQ290" s="2485"/>
      <c r="BR290" s="1360"/>
      <c r="BS290" s="1360"/>
      <c r="BT290" s="1360"/>
      <c r="BU290" s="1360"/>
      <c r="BV290" s="1360"/>
      <c r="BW290" s="2425"/>
      <c r="BX290" s="2468"/>
      <c r="BY290" s="2548"/>
      <c r="BZ290" s="2548"/>
      <c r="CA290" s="2435">
        <f>SUMIF($AN$10:$AY$10,$CA$9,AN290:CA290)</f>
        <v>0</v>
      </c>
      <c r="CB290" s="2380" t="str">
        <f t="shared" ref="CB290:CB292" si="354">IF($AB290&lt;&gt;0,CA290/$AB290,"")</f>
        <v/>
      </c>
      <c r="CC290" s="365" t="str">
        <f t="shared" ref="CC290:CC292" si="355">IF($AB290&lt;&gt;0,CB290/$AB290,"")</f>
        <v/>
      </c>
      <c r="CD290" s="1380"/>
      <c r="CE290" s="1381"/>
      <c r="CF290" s="1381"/>
      <c r="CG290" s="501"/>
      <c r="CH290" s="502"/>
      <c r="CI290" s="503"/>
      <c r="CJ290" s="504"/>
      <c r="CK290" s="505"/>
      <c r="CL290" s="329">
        <f t="shared" si="298"/>
        <v>0</v>
      </c>
      <c r="CM290" s="330">
        <f t="shared" si="299"/>
        <v>0</v>
      </c>
      <c r="CN290" s="331">
        <f t="shared" si="272"/>
        <v>0</v>
      </c>
      <c r="CO290" s="86"/>
      <c r="CP290" s="86">
        <f t="shared" si="319"/>
        <v>0</v>
      </c>
      <c r="CQ290" s="86"/>
      <c r="CR290" s="86"/>
      <c r="CS290" s="86"/>
      <c r="CT290" s="86"/>
      <c r="CU290" s="86"/>
      <c r="CV290" s="86"/>
      <c r="CW290" s="86"/>
      <c r="CX290" s="86"/>
      <c r="CY290" s="86"/>
      <c r="CZ290" s="86"/>
      <c r="DA290" s="86"/>
      <c r="DB290" s="32" t="e">
        <f>#REF!-CA290-AI290</f>
        <v>#REF!</v>
      </c>
      <c r="DC290" s="32" t="e">
        <f>W290-#REF!</f>
        <v>#REF!</v>
      </c>
      <c r="DD290" s="1660"/>
      <c r="DE290" s="35"/>
      <c r="DF290" s="35"/>
      <c r="DG290" s="1642" t="e">
        <f>ROUND(#REF!,2)</f>
        <v>#REF!</v>
      </c>
      <c r="DH290" s="1642" t="e">
        <f>ROUND(#REF!,2)</f>
        <v>#REF!</v>
      </c>
      <c r="DI290" s="1642" t="e">
        <f>ROUND(#REF!,2)</f>
        <v>#REF!</v>
      </c>
      <c r="DJ290" s="1642" t="e">
        <f>ROUND(#REF!,2)</f>
        <v>#REF!</v>
      </c>
      <c r="DK290" s="1642" t="e">
        <f>ROUND(#REF!,2)</f>
        <v>#REF!</v>
      </c>
      <c r="DL290" s="1642" t="e">
        <f>ROUND(#REF!,2)</f>
        <v>#REF!</v>
      </c>
      <c r="DM290" s="1642" t="e">
        <f>ROUND(#REF!,2)</f>
        <v>#REF!</v>
      </c>
      <c r="DN290" s="1642" t="e">
        <f>ROUND(#REF!,2)</f>
        <v>#REF!</v>
      </c>
      <c r="DO290" s="1642" t="e">
        <f>ROUND(#REF!,2)</f>
        <v>#REF!</v>
      </c>
      <c r="DP290" s="1642">
        <f t="shared" ref="DP290:EA293" si="356">ROUND(AN290,2)</f>
        <v>0</v>
      </c>
      <c r="DQ290" s="1642">
        <f t="shared" si="356"/>
        <v>0</v>
      </c>
      <c r="DR290" s="1642">
        <f t="shared" si="356"/>
        <v>0</v>
      </c>
      <c r="DS290" s="1642">
        <f t="shared" si="356"/>
        <v>0</v>
      </c>
      <c r="DT290" s="1642">
        <f t="shared" si="356"/>
        <v>0</v>
      </c>
      <c r="DU290" s="1642">
        <f t="shared" si="356"/>
        <v>0</v>
      </c>
      <c r="DV290" s="1642">
        <f t="shared" si="356"/>
        <v>0</v>
      </c>
      <c r="DW290" s="1642">
        <f t="shared" si="356"/>
        <v>0</v>
      </c>
      <c r="DX290" s="1642">
        <f t="shared" si="356"/>
        <v>0</v>
      </c>
      <c r="DY290" s="1642">
        <f t="shared" si="356"/>
        <v>0</v>
      </c>
      <c r="DZ290" s="1642">
        <f t="shared" si="356"/>
        <v>0</v>
      </c>
      <c r="EA290" s="1642">
        <f t="shared" si="356"/>
        <v>0</v>
      </c>
      <c r="EB290" s="1642" t="e">
        <f>ROUND(#REF!,2)</f>
        <v>#REF!</v>
      </c>
      <c r="EC290" s="1642" t="e">
        <f>ROUND(#REF!,2)</f>
        <v>#REF!</v>
      </c>
      <c r="ED290" s="1642" t="e">
        <f>ROUND(#REF!,2)</f>
        <v>#REF!</v>
      </c>
      <c r="EE290" s="1642" t="e">
        <f>ROUND(#REF!,2)</f>
        <v>#REF!</v>
      </c>
      <c r="EF290" s="1642" t="e">
        <f>ROUND(#REF!,2)</f>
        <v>#REF!</v>
      </c>
      <c r="EG290" s="1642" t="e">
        <f>ROUND(#REF!,2)</f>
        <v>#REF!</v>
      </c>
      <c r="EH290" s="35"/>
      <c r="EI290" s="1658"/>
      <c r="EJ290" s="35"/>
      <c r="EK290" s="35"/>
      <c r="EL290" s="35"/>
      <c r="EM290" s="35"/>
      <c r="EN290" s="35"/>
      <c r="EO290" s="35"/>
      <c r="EP290" s="35"/>
      <c r="EQ290" s="35"/>
      <c r="ER290" s="35"/>
      <c r="ES290" s="35"/>
      <c r="ET290" s="35"/>
      <c r="EU290" s="35"/>
      <c r="EV290" s="35"/>
      <c r="EW290" s="35"/>
      <c r="EX290" s="35"/>
      <c r="EY290" s="35"/>
      <c r="EZ290" s="35"/>
      <c r="FA290" s="35"/>
      <c r="FB290" s="35"/>
      <c r="FC290" s="35"/>
      <c r="FD290" s="35"/>
      <c r="FE290" s="35"/>
      <c r="FF290" s="35"/>
      <c r="FG290" s="35"/>
      <c r="FH290" s="35"/>
      <c r="FI290" s="35"/>
      <c r="FJ290" s="35"/>
      <c r="FK290" s="35"/>
      <c r="FL290" s="35"/>
      <c r="FM290" s="35"/>
      <c r="FN290" s="35"/>
      <c r="FO290" s="35"/>
      <c r="FP290" s="35"/>
      <c r="FQ290" s="35"/>
      <c r="FR290" s="35"/>
      <c r="FS290" s="35"/>
      <c r="FT290" s="35"/>
      <c r="FU290" s="35"/>
      <c r="FV290" s="35"/>
      <c r="FW290" s="35"/>
      <c r="FX290" s="35"/>
      <c r="FY290" s="35"/>
      <c r="FZ290" s="35"/>
      <c r="GA290" s="35"/>
      <c r="GB290" s="35"/>
      <c r="GC290" s="35"/>
      <c r="GD290" s="35"/>
      <c r="GE290" s="35"/>
      <c r="GF290" s="35"/>
      <c r="GG290" s="35"/>
      <c r="GH290" s="35"/>
      <c r="GI290" s="35"/>
      <c r="GJ290" s="35"/>
      <c r="GK290" s="35"/>
      <c r="GL290" s="35"/>
      <c r="GM290" s="35"/>
      <c r="GN290" s="35"/>
      <c r="GO290" s="35"/>
      <c r="GP290" s="35"/>
      <c r="GQ290" s="35"/>
      <c r="GR290" s="35"/>
      <c r="GS290" s="35"/>
      <c r="GT290" s="35"/>
      <c r="GU290" s="35"/>
      <c r="GV290" s="35"/>
      <c r="GW290" s="35"/>
      <c r="GX290" s="35"/>
      <c r="GY290" s="35"/>
      <c r="GZ290" s="35"/>
      <c r="HA290" s="35"/>
      <c r="HB290" s="35"/>
      <c r="HC290" s="35"/>
      <c r="HD290" s="35"/>
      <c r="HE290" s="35"/>
      <c r="HF290" s="35"/>
      <c r="HG290" s="35"/>
      <c r="HH290" s="35"/>
      <c r="HI290" s="35"/>
      <c r="HJ290" s="35"/>
      <c r="HK290" s="35"/>
      <c r="HL290" s="35"/>
      <c r="HM290" s="35"/>
      <c r="HN290" s="35"/>
      <c r="HO290" s="35"/>
      <c r="HP290" s="35"/>
      <c r="HQ290" s="35"/>
      <c r="HR290" s="35"/>
      <c r="HS290" s="35"/>
      <c r="HT290" s="35"/>
      <c r="HU290" s="35"/>
      <c r="HV290" s="35"/>
      <c r="HW290" s="35"/>
      <c r="HX290" s="35"/>
      <c r="HY290" s="35"/>
      <c r="HZ290" s="35"/>
      <c r="IA290" s="35"/>
      <c r="IB290" s="35"/>
      <c r="IC290" s="35"/>
      <c r="ID290" s="35"/>
      <c r="IE290" s="35"/>
      <c r="IF290" s="35"/>
      <c r="IG290" s="35"/>
      <c r="IH290" s="35"/>
      <c r="II290" s="35"/>
      <c r="IJ290" s="35"/>
      <c r="IK290" s="35"/>
      <c r="IL290" s="35"/>
      <c r="IM290" s="35"/>
      <c r="IN290" s="35"/>
      <c r="IO290" s="35"/>
      <c r="IP290" s="35"/>
      <c r="IQ290" s="35"/>
      <c r="IR290" s="35"/>
      <c r="IS290" s="35"/>
      <c r="IT290" s="35"/>
      <c r="IU290" s="35"/>
      <c r="IV290" s="35"/>
      <c r="IW290" s="35"/>
      <c r="IX290" s="35"/>
      <c r="IY290" s="35"/>
      <c r="IZ290" s="35"/>
      <c r="JA290" s="35"/>
      <c r="JB290" s="35"/>
      <c r="JC290" s="35"/>
      <c r="JD290" s="35"/>
      <c r="JE290" s="35"/>
      <c r="JF290" s="35"/>
      <c r="JG290" s="35"/>
      <c r="JH290" s="35"/>
      <c r="JI290" s="35"/>
      <c r="JJ290" s="35"/>
      <c r="JK290" s="35"/>
      <c r="JL290" s="35"/>
      <c r="JM290" s="35"/>
      <c r="JN290" s="35"/>
      <c r="JO290" s="35"/>
      <c r="JP290" s="35"/>
      <c r="JQ290" s="35"/>
      <c r="JR290" s="35"/>
      <c r="JS290" s="35"/>
      <c r="JT290" s="35"/>
      <c r="JU290" s="35"/>
      <c r="JV290" s="35"/>
      <c r="JW290" s="35"/>
      <c r="JX290" s="35"/>
      <c r="JY290" s="35"/>
      <c r="JZ290" s="35"/>
      <c r="KA290" s="35"/>
      <c r="KB290" s="35"/>
      <c r="KC290" s="35"/>
      <c r="KD290" s="35"/>
      <c r="KE290" s="35"/>
      <c r="KF290" s="35"/>
      <c r="KG290" s="35"/>
      <c r="KH290" s="35"/>
      <c r="KI290" s="35"/>
      <c r="KJ290" s="35"/>
      <c r="KK290" s="35"/>
      <c r="KL290" s="35"/>
      <c r="KM290" s="35"/>
      <c r="KN290" s="35"/>
      <c r="KO290" s="35"/>
      <c r="KP290" s="1633"/>
    </row>
    <row r="291" spans="1:302" s="92" customFormat="1" ht="24.75" customHeight="1" outlineLevel="1">
      <c r="A291" s="1676" t="s">
        <v>68</v>
      </c>
      <c r="B291" s="1676"/>
      <c r="C291" s="1359" t="s">
        <v>433</v>
      </c>
      <c r="D291" s="1359" t="s">
        <v>435</v>
      </c>
      <c r="E291" s="1389"/>
      <c r="F291" s="506"/>
      <c r="G291" s="1390"/>
      <c r="H291" s="1391"/>
      <c r="I291" s="2574">
        <v>18824500</v>
      </c>
      <c r="J291" s="1672"/>
      <c r="K291" s="1697"/>
      <c r="L291" s="1697"/>
      <c r="M291" s="1698"/>
      <c r="N291" s="1697"/>
      <c r="O291" s="1397">
        <f>I291</f>
        <v>18824500</v>
      </c>
      <c r="P291" s="1694"/>
      <c r="Q291" s="1694"/>
      <c r="R291" s="1694"/>
      <c r="S291" s="1672"/>
      <c r="T291" s="1699"/>
      <c r="U291" s="1700"/>
      <c r="V291" s="1700"/>
      <c r="W291" s="1672">
        <f>O291+S291</f>
        <v>18824500</v>
      </c>
      <c r="X291" s="1672"/>
      <c r="Y291" s="1699"/>
      <c r="Z291" s="1700"/>
      <c r="AA291" s="1699"/>
      <c r="AB291" s="1672">
        <f>SUM(AM291:BZ291)</f>
        <v>18824500</v>
      </c>
      <c r="AC291" s="1444" t="s">
        <v>476</v>
      </c>
      <c r="AD291" s="1467"/>
      <c r="AE291" s="510"/>
      <c r="AF291" s="497">
        <v>18824500</v>
      </c>
      <c r="AG291" s="1396">
        <v>1</v>
      </c>
      <c r="AH291" s="1397">
        <f>+AF291*AG291</f>
        <v>18824500</v>
      </c>
      <c r="AI291" s="355">
        <f t="shared" si="352"/>
        <v>927500</v>
      </c>
      <c r="AJ291" s="351">
        <f t="shared" si="353"/>
        <v>4.9270896969375019E-2</v>
      </c>
      <c r="AK291" s="351"/>
      <c r="AL291" s="1398"/>
      <c r="AM291" s="2271"/>
      <c r="AN291" s="2754">
        <v>410850.8</v>
      </c>
      <c r="AO291" s="2829">
        <f>480500+36149.2</f>
        <v>516649.2</v>
      </c>
      <c r="AP291" s="1983">
        <v>508500</v>
      </c>
      <c r="AQ291" s="1983">
        <v>597500</v>
      </c>
      <c r="AR291" s="1983">
        <v>681500</v>
      </c>
      <c r="AS291" s="1983">
        <v>733500</v>
      </c>
      <c r="AT291" s="2025">
        <v>759500</v>
      </c>
      <c r="AU291" s="2080">
        <v>787500</v>
      </c>
      <c r="AV291" s="2080">
        <v>850500</v>
      </c>
      <c r="AW291" s="2080">
        <v>850500</v>
      </c>
      <c r="AX291" s="2080">
        <v>852500</v>
      </c>
      <c r="AY291" s="2321">
        <v>824500</v>
      </c>
      <c r="AZ291" s="2273">
        <v>824500</v>
      </c>
      <c r="BA291" s="2097">
        <v>824500</v>
      </c>
      <c r="BB291" s="2097">
        <v>852500</v>
      </c>
      <c r="BC291" s="2097">
        <v>824500</v>
      </c>
      <c r="BD291" s="2097">
        <v>824500</v>
      </c>
      <c r="BE291" s="2097">
        <v>768500</v>
      </c>
      <c r="BF291" s="2097">
        <v>742500</v>
      </c>
      <c r="BG291" s="2097">
        <v>742500</v>
      </c>
      <c r="BH291" s="2097">
        <v>710500</v>
      </c>
      <c r="BI291" s="2097">
        <v>710500</v>
      </c>
      <c r="BJ291" s="2097">
        <v>539500</v>
      </c>
      <c r="BK291" s="2132">
        <v>485500</v>
      </c>
      <c r="BL291" s="2112">
        <v>407500</v>
      </c>
      <c r="BM291" s="2112">
        <v>372500</v>
      </c>
      <c r="BN291" s="2112">
        <v>276000</v>
      </c>
      <c r="BO291" s="2112">
        <v>244000</v>
      </c>
      <c r="BP291" s="2112">
        <v>160000</v>
      </c>
      <c r="BQ291" s="2486">
        <v>109000</v>
      </c>
      <c r="BR291" s="2024">
        <v>16000</v>
      </c>
      <c r="BS291" s="2024">
        <v>16000</v>
      </c>
      <c r="BT291" s="497"/>
      <c r="BU291" s="497"/>
      <c r="BV291" s="497"/>
      <c r="BW291" s="2060"/>
      <c r="BX291" s="2417"/>
      <c r="BY291" s="2549"/>
      <c r="BZ291" s="2549"/>
      <c r="CA291" s="2435">
        <f>SUMIF($AM$10:$BZ$10,$CA$9,AM291:BZ291)</f>
        <v>17897000</v>
      </c>
      <c r="CB291" s="2380">
        <f t="shared" si="354"/>
        <v>0.95072910303062497</v>
      </c>
      <c r="CC291" s="365">
        <f t="shared" si="355"/>
        <v>5.0504879440655794E-8</v>
      </c>
      <c r="CD291" s="1380">
        <f t="shared" ref="CD291:CD292" si="357">IF($W291&lt;&gt;0,(CE291)/$W291,"0,00%")</f>
        <v>0</v>
      </c>
      <c r="CE291" s="1381">
        <f t="shared" ref="CE291:CE292" si="358">W291-AB291</f>
        <v>0</v>
      </c>
      <c r="CF291" s="1381"/>
      <c r="CG291" s="501"/>
      <c r="CH291" s="502"/>
      <c r="CI291" s="503"/>
      <c r="CJ291" s="504"/>
      <c r="CK291" s="505"/>
      <c r="CL291" s="329">
        <f t="shared" si="298"/>
        <v>927500</v>
      </c>
      <c r="CM291" s="330">
        <f t="shared" si="299"/>
        <v>0</v>
      </c>
      <c r="CN291" s="331">
        <f t="shared" si="272"/>
        <v>-10451000</v>
      </c>
      <c r="CO291" s="86"/>
      <c r="CP291" s="86">
        <f t="shared" si="319"/>
        <v>0</v>
      </c>
      <c r="CQ291" s="86"/>
      <c r="CR291" s="86"/>
      <c r="CS291" s="86"/>
      <c r="CT291" s="86"/>
      <c r="CU291" s="86"/>
      <c r="CV291" s="86"/>
      <c r="CW291" s="86"/>
      <c r="CX291" s="86"/>
      <c r="CY291" s="86"/>
      <c r="CZ291" s="86"/>
      <c r="DA291" s="86"/>
      <c r="DB291" s="32" t="e">
        <f>#REF!-CA291-AI291</f>
        <v>#REF!</v>
      </c>
      <c r="DC291" s="32" t="e">
        <f>W291-#REF!</f>
        <v>#REF!</v>
      </c>
      <c r="DD291" s="1660"/>
      <c r="DE291" s="35"/>
      <c r="DF291" s="35"/>
      <c r="DG291" s="1642" t="e">
        <f>ROUND(#REF!,2)</f>
        <v>#REF!</v>
      </c>
      <c r="DH291" s="1642" t="e">
        <f>ROUND(#REF!,2)</f>
        <v>#REF!</v>
      </c>
      <c r="DI291" s="1642" t="e">
        <f>ROUND(#REF!,2)</f>
        <v>#REF!</v>
      </c>
      <c r="DJ291" s="1642" t="e">
        <f>ROUND(#REF!,2)</f>
        <v>#REF!</v>
      </c>
      <c r="DK291" s="1642" t="e">
        <f>ROUND(#REF!,2)</f>
        <v>#REF!</v>
      </c>
      <c r="DL291" s="1642" t="e">
        <f>ROUND(#REF!,2)</f>
        <v>#REF!</v>
      </c>
      <c r="DM291" s="1642" t="e">
        <f>ROUND(#REF!,2)</f>
        <v>#REF!</v>
      </c>
      <c r="DN291" s="1642" t="e">
        <f>ROUND(#REF!,2)</f>
        <v>#REF!</v>
      </c>
      <c r="DO291" s="1642" t="e">
        <f>ROUND(#REF!,2)</f>
        <v>#REF!</v>
      </c>
      <c r="DP291" s="1642">
        <f t="shared" si="356"/>
        <v>410850.8</v>
      </c>
      <c r="DQ291" s="1642">
        <f t="shared" si="356"/>
        <v>516649.2</v>
      </c>
      <c r="DR291" s="1642">
        <f t="shared" si="356"/>
        <v>508500</v>
      </c>
      <c r="DS291" s="1642">
        <f t="shared" si="356"/>
        <v>597500</v>
      </c>
      <c r="DT291" s="1642">
        <f t="shared" si="356"/>
        <v>681500</v>
      </c>
      <c r="DU291" s="1642">
        <f t="shared" si="356"/>
        <v>733500</v>
      </c>
      <c r="DV291" s="1642">
        <f t="shared" si="356"/>
        <v>759500</v>
      </c>
      <c r="DW291" s="1642">
        <f t="shared" si="356"/>
        <v>787500</v>
      </c>
      <c r="DX291" s="1642">
        <f t="shared" si="356"/>
        <v>850500</v>
      </c>
      <c r="DY291" s="1642">
        <f t="shared" si="356"/>
        <v>850500</v>
      </c>
      <c r="DZ291" s="1642">
        <f t="shared" si="356"/>
        <v>852500</v>
      </c>
      <c r="EA291" s="1642">
        <f t="shared" si="356"/>
        <v>824500</v>
      </c>
      <c r="EB291" s="1642" t="e">
        <f>ROUND(#REF!,2)</f>
        <v>#REF!</v>
      </c>
      <c r="EC291" s="1642" t="e">
        <f>ROUND(#REF!,2)</f>
        <v>#REF!</v>
      </c>
      <c r="ED291" s="1642" t="e">
        <f>ROUND(#REF!,2)</f>
        <v>#REF!</v>
      </c>
      <c r="EE291" s="1642" t="e">
        <f>ROUND(#REF!,2)</f>
        <v>#REF!</v>
      </c>
      <c r="EF291" s="1642" t="e">
        <f>ROUND(#REF!,2)</f>
        <v>#REF!</v>
      </c>
      <c r="EG291" s="1642" t="e">
        <f>ROUND(#REF!,2)</f>
        <v>#REF!</v>
      </c>
      <c r="EH291" s="35"/>
      <c r="EI291" s="1658"/>
      <c r="EJ291" s="35"/>
      <c r="EK291" s="35"/>
      <c r="EL291" s="35"/>
      <c r="EM291" s="35"/>
      <c r="EN291" s="35"/>
      <c r="EO291" s="35"/>
      <c r="EP291" s="35"/>
      <c r="EQ291" s="35"/>
      <c r="ER291" s="35"/>
      <c r="ES291" s="35"/>
      <c r="ET291" s="35"/>
      <c r="EU291" s="35"/>
      <c r="EV291" s="35"/>
      <c r="EW291" s="35"/>
      <c r="EX291" s="35"/>
      <c r="EY291" s="35"/>
      <c r="EZ291" s="35"/>
      <c r="FA291" s="35"/>
      <c r="FB291" s="35"/>
      <c r="FC291" s="35"/>
      <c r="FD291" s="35"/>
      <c r="FE291" s="35"/>
      <c r="FF291" s="35"/>
      <c r="FG291" s="35"/>
      <c r="FH291" s="35"/>
      <c r="FI291" s="35"/>
      <c r="FJ291" s="35"/>
      <c r="FK291" s="35"/>
      <c r="FL291" s="35"/>
      <c r="FM291" s="35"/>
      <c r="FN291" s="35"/>
      <c r="FO291" s="35"/>
      <c r="FP291" s="35"/>
      <c r="FQ291" s="35"/>
      <c r="FR291" s="35"/>
      <c r="FS291" s="35"/>
      <c r="FT291" s="35"/>
      <c r="FU291" s="35"/>
      <c r="FV291" s="35"/>
      <c r="FW291" s="35"/>
      <c r="FX291" s="35"/>
      <c r="FY291" s="35"/>
      <c r="FZ291" s="35"/>
      <c r="GA291" s="35"/>
      <c r="GB291" s="35"/>
      <c r="GC291" s="35"/>
      <c r="GD291" s="35"/>
      <c r="GE291" s="35"/>
      <c r="GF291" s="35"/>
      <c r="GG291" s="35"/>
      <c r="GH291" s="35"/>
      <c r="GI291" s="35"/>
      <c r="GJ291" s="35"/>
      <c r="GK291" s="35"/>
      <c r="GL291" s="35"/>
      <c r="GM291" s="35"/>
      <c r="GN291" s="35"/>
      <c r="GO291" s="35"/>
      <c r="GP291" s="35"/>
      <c r="GQ291" s="35"/>
      <c r="GR291" s="35"/>
      <c r="GS291" s="35"/>
      <c r="GT291" s="35"/>
      <c r="GU291" s="35"/>
      <c r="GV291" s="35"/>
      <c r="GW291" s="35"/>
      <c r="GX291" s="35"/>
      <c r="GY291" s="35"/>
      <c r="GZ291" s="35"/>
      <c r="HA291" s="35"/>
      <c r="HB291" s="35"/>
      <c r="HC291" s="35"/>
      <c r="HD291" s="35"/>
      <c r="HE291" s="35"/>
      <c r="HF291" s="35"/>
      <c r="HG291" s="35"/>
      <c r="HH291" s="35"/>
      <c r="HI291" s="35"/>
      <c r="HJ291" s="35"/>
      <c r="HK291" s="35"/>
      <c r="HL291" s="35"/>
      <c r="HM291" s="35"/>
      <c r="HN291" s="35"/>
      <c r="HO291" s="35"/>
      <c r="HP291" s="35"/>
      <c r="HQ291" s="35"/>
      <c r="HR291" s="35"/>
      <c r="HS291" s="35"/>
      <c r="HT291" s="35"/>
      <c r="HU291" s="35"/>
      <c r="HV291" s="35"/>
      <c r="HW291" s="35"/>
      <c r="HX291" s="35"/>
      <c r="HY291" s="35"/>
      <c r="HZ291" s="35"/>
      <c r="IA291" s="35"/>
      <c r="IB291" s="35"/>
      <c r="IC291" s="35"/>
      <c r="ID291" s="35"/>
      <c r="IE291" s="35"/>
      <c r="IF291" s="35"/>
      <c r="IG291" s="35"/>
      <c r="IH291" s="35"/>
      <c r="II291" s="35"/>
      <c r="IJ291" s="35"/>
      <c r="IK291" s="35"/>
      <c r="IL291" s="35"/>
      <c r="IM291" s="35"/>
      <c r="IN291" s="35"/>
      <c r="IO291" s="35"/>
      <c r="IP291" s="35"/>
      <c r="IQ291" s="35"/>
      <c r="IR291" s="35"/>
      <c r="IS291" s="35"/>
      <c r="IT291" s="35"/>
      <c r="IU291" s="35"/>
      <c r="IV291" s="35"/>
      <c r="IW291" s="35"/>
      <c r="IX291" s="35"/>
      <c r="IY291" s="35"/>
      <c r="IZ291" s="35"/>
      <c r="JA291" s="35"/>
      <c r="JB291" s="35"/>
      <c r="JC291" s="35"/>
      <c r="JD291" s="35"/>
      <c r="JE291" s="35"/>
      <c r="JF291" s="35"/>
      <c r="JG291" s="35"/>
      <c r="JH291" s="35"/>
      <c r="JI291" s="35"/>
      <c r="JJ291" s="35"/>
      <c r="JK291" s="35"/>
      <c r="JL291" s="35"/>
      <c r="JM291" s="35"/>
      <c r="JN291" s="35"/>
      <c r="JO291" s="35"/>
      <c r="JP291" s="35"/>
      <c r="JQ291" s="35"/>
      <c r="JR291" s="35"/>
      <c r="JS291" s="35"/>
      <c r="JT291" s="35"/>
      <c r="JU291" s="35"/>
      <c r="JV291" s="35"/>
      <c r="JW291" s="35"/>
      <c r="JX291" s="35"/>
      <c r="JY291" s="35"/>
      <c r="JZ291" s="35"/>
      <c r="KA291" s="35"/>
      <c r="KB291" s="35"/>
      <c r="KC291" s="35"/>
      <c r="KD291" s="35"/>
      <c r="KE291" s="35"/>
      <c r="KF291" s="35"/>
      <c r="KG291" s="35"/>
      <c r="KH291" s="35"/>
      <c r="KI291" s="35"/>
      <c r="KJ291" s="35"/>
      <c r="KK291" s="35"/>
      <c r="KL291" s="35"/>
      <c r="KM291" s="35"/>
      <c r="KN291" s="35"/>
      <c r="KO291" s="35"/>
      <c r="KP291" s="1633"/>
    </row>
    <row r="292" spans="1:302" s="92" customFormat="1" ht="25.25" customHeight="1" outlineLevel="1">
      <c r="A292" s="1676" t="s">
        <v>30</v>
      </c>
      <c r="B292" s="1676"/>
      <c r="C292" s="1359" t="s">
        <v>434</v>
      </c>
      <c r="D292" s="1359" t="s">
        <v>436</v>
      </c>
      <c r="E292" s="1389"/>
      <c r="F292" s="506"/>
      <c r="G292" s="1390"/>
      <c r="H292" s="1391"/>
      <c r="I292" s="2574">
        <v>10232000</v>
      </c>
      <c r="J292" s="1672"/>
      <c r="K292" s="1697"/>
      <c r="L292" s="1697"/>
      <c r="M292" s="1698"/>
      <c r="N292" s="1697"/>
      <c r="O292" s="1397">
        <f>I292</f>
        <v>10232000</v>
      </c>
      <c r="P292" s="1694"/>
      <c r="Q292" s="1694"/>
      <c r="R292" s="1694"/>
      <c r="S292" s="1672"/>
      <c r="T292" s="1699"/>
      <c r="U292" s="1700"/>
      <c r="V292" s="1700"/>
      <c r="W292" s="1672">
        <f>O292+S292</f>
        <v>10232000</v>
      </c>
      <c r="X292" s="1672"/>
      <c r="Y292" s="1699"/>
      <c r="Z292" s="1700"/>
      <c r="AA292" s="1699"/>
      <c r="AB292" s="1672">
        <f>SUM(AM292:BZ292)</f>
        <v>10232000</v>
      </c>
      <c r="AC292" s="1444" t="s">
        <v>477</v>
      </c>
      <c r="AD292" s="1467"/>
      <c r="AE292" s="510"/>
      <c r="AF292" s="497">
        <v>10232000</v>
      </c>
      <c r="AG292" s="1396">
        <v>1</v>
      </c>
      <c r="AH292" s="1397">
        <f t="shared" si="351"/>
        <v>10232000</v>
      </c>
      <c r="AI292" s="355">
        <f t="shared" si="352"/>
        <v>614000</v>
      </c>
      <c r="AJ292" s="351">
        <f t="shared" si="353"/>
        <v>6.0007818608287723E-2</v>
      </c>
      <c r="AK292" s="351"/>
      <c r="AL292" s="1398"/>
      <c r="AM292" s="2271"/>
      <c r="AN292" s="2271"/>
      <c r="AO292" s="2829">
        <f>320000+294000</f>
        <v>614000</v>
      </c>
      <c r="AP292" s="1983">
        <v>320000</v>
      </c>
      <c r="AQ292" s="1983">
        <v>365000</v>
      </c>
      <c r="AR292" s="1983">
        <v>365000</v>
      </c>
      <c r="AS292" s="1983">
        <v>339000</v>
      </c>
      <c r="AT292" s="2025">
        <v>339000</v>
      </c>
      <c r="AU292" s="2080">
        <v>339000</v>
      </c>
      <c r="AV292" s="2080">
        <v>384000</v>
      </c>
      <c r="AW292" s="2080">
        <v>384000</v>
      </c>
      <c r="AX292" s="2080">
        <v>384000</v>
      </c>
      <c r="AY292" s="2322">
        <v>384000</v>
      </c>
      <c r="AZ292" s="2273">
        <v>358000</v>
      </c>
      <c r="BA292" s="2024">
        <v>358000</v>
      </c>
      <c r="BB292" s="2024">
        <v>358000</v>
      </c>
      <c r="BC292" s="2024">
        <v>313000</v>
      </c>
      <c r="BD292" s="2024">
        <v>313000</v>
      </c>
      <c r="BE292" s="2024">
        <v>313000</v>
      </c>
      <c r="BF292" s="2024">
        <v>313000</v>
      </c>
      <c r="BG292" s="2024">
        <v>255000</v>
      </c>
      <c r="BH292" s="2024">
        <v>255000</v>
      </c>
      <c r="BI292" s="2024">
        <v>255000</v>
      </c>
      <c r="BJ292" s="2024">
        <v>320000</v>
      </c>
      <c r="BK292" s="2133">
        <v>320000</v>
      </c>
      <c r="BL292" s="2112">
        <v>285000</v>
      </c>
      <c r="BM292" s="2112">
        <v>175000</v>
      </c>
      <c r="BN292" s="2112">
        <v>175000</v>
      </c>
      <c r="BO292" s="2112">
        <v>175000</v>
      </c>
      <c r="BP292" s="2112">
        <v>65000</v>
      </c>
      <c r="BQ292" s="2486">
        <v>65000</v>
      </c>
      <c r="BR292" s="2497"/>
      <c r="BS292" s="2497"/>
      <c r="BT292" s="2497"/>
      <c r="BU292" s="2497"/>
      <c r="BV292" s="2497"/>
      <c r="BW292" s="2498">
        <v>1344000</v>
      </c>
      <c r="BX292" s="2498"/>
      <c r="BY292" s="2550"/>
      <c r="BZ292" s="2550"/>
      <c r="CA292" s="2435">
        <f t="shared" ref="CA292" si="359">SUMIF($AM$10:$BZ$10,$CA$9,AM292:BZ292)</f>
        <v>9618000</v>
      </c>
      <c r="CB292" s="2380">
        <f t="shared" si="354"/>
        <v>0.93999218139171226</v>
      </c>
      <c r="CC292" s="365">
        <f t="shared" si="355"/>
        <v>9.1867883247821761E-8</v>
      </c>
      <c r="CD292" s="1380">
        <f t="shared" si="357"/>
        <v>0</v>
      </c>
      <c r="CE292" s="1381">
        <f t="shared" si="358"/>
        <v>0</v>
      </c>
      <c r="CF292" s="1381"/>
      <c r="CG292" s="501"/>
      <c r="CH292" s="502"/>
      <c r="CI292" s="503"/>
      <c r="CJ292" s="504"/>
      <c r="CK292" s="505"/>
      <c r="CL292" s="329">
        <f t="shared" si="298"/>
        <v>614000</v>
      </c>
      <c r="CM292" s="330">
        <f t="shared" si="299"/>
        <v>0</v>
      </c>
      <c r="CN292" s="331">
        <f t="shared" si="272"/>
        <v>-6015000</v>
      </c>
      <c r="CO292" s="86"/>
      <c r="CP292" s="86">
        <f t="shared" si="319"/>
        <v>0</v>
      </c>
      <c r="CQ292" s="86"/>
      <c r="CR292" s="86"/>
      <c r="CS292" s="86"/>
      <c r="CT292" s="86"/>
      <c r="CU292" s="86"/>
      <c r="CV292" s="86"/>
      <c r="CW292" s="86"/>
      <c r="CX292" s="86"/>
      <c r="CY292" s="86"/>
      <c r="CZ292" s="86"/>
      <c r="DA292" s="86"/>
      <c r="DB292" s="32" t="e">
        <f>#REF!-CA292-AI292</f>
        <v>#REF!</v>
      </c>
      <c r="DC292" s="32" t="e">
        <f>W292-#REF!</f>
        <v>#REF!</v>
      </c>
      <c r="DD292" s="1660"/>
      <c r="DE292" s="35"/>
      <c r="DF292" s="35"/>
      <c r="DG292" s="1642" t="e">
        <f>ROUND(#REF!,2)</f>
        <v>#REF!</v>
      </c>
      <c r="DH292" s="1642" t="e">
        <f>ROUND(#REF!,2)</f>
        <v>#REF!</v>
      </c>
      <c r="DI292" s="1642" t="e">
        <f>ROUND(#REF!,2)</f>
        <v>#REF!</v>
      </c>
      <c r="DJ292" s="1642" t="e">
        <f>ROUND(#REF!,2)</f>
        <v>#REF!</v>
      </c>
      <c r="DK292" s="1642" t="e">
        <f>ROUND(#REF!,2)</f>
        <v>#REF!</v>
      </c>
      <c r="DL292" s="1642" t="e">
        <f>ROUND(#REF!,2)</f>
        <v>#REF!</v>
      </c>
      <c r="DM292" s="1642" t="e">
        <f>ROUND(#REF!,2)</f>
        <v>#REF!</v>
      </c>
      <c r="DN292" s="1642" t="e">
        <f>ROUND(#REF!,2)</f>
        <v>#REF!</v>
      </c>
      <c r="DO292" s="1642" t="e">
        <f>ROUND(#REF!,2)</f>
        <v>#REF!</v>
      </c>
      <c r="DP292" s="1642">
        <f t="shared" si="356"/>
        <v>0</v>
      </c>
      <c r="DQ292" s="1642">
        <f t="shared" si="356"/>
        <v>614000</v>
      </c>
      <c r="DR292" s="1642">
        <f t="shared" si="356"/>
        <v>320000</v>
      </c>
      <c r="DS292" s="1642">
        <f t="shared" si="356"/>
        <v>365000</v>
      </c>
      <c r="DT292" s="1642">
        <f t="shared" si="356"/>
        <v>365000</v>
      </c>
      <c r="DU292" s="1642">
        <f t="shared" si="356"/>
        <v>339000</v>
      </c>
      <c r="DV292" s="1642">
        <f t="shared" si="356"/>
        <v>339000</v>
      </c>
      <c r="DW292" s="1642">
        <f t="shared" si="356"/>
        <v>339000</v>
      </c>
      <c r="DX292" s="1642">
        <f t="shared" si="356"/>
        <v>384000</v>
      </c>
      <c r="DY292" s="1642">
        <f t="shared" si="356"/>
        <v>384000</v>
      </c>
      <c r="DZ292" s="1642">
        <f t="shared" si="356"/>
        <v>384000</v>
      </c>
      <c r="EA292" s="1642">
        <f t="shared" si="356"/>
        <v>384000</v>
      </c>
      <c r="EB292" s="1642" t="e">
        <f>ROUND(#REF!,2)</f>
        <v>#REF!</v>
      </c>
      <c r="EC292" s="1642" t="e">
        <f>ROUND(#REF!,2)</f>
        <v>#REF!</v>
      </c>
      <c r="ED292" s="1642" t="e">
        <f>ROUND(#REF!,2)</f>
        <v>#REF!</v>
      </c>
      <c r="EE292" s="1642" t="e">
        <f>ROUND(#REF!,2)</f>
        <v>#REF!</v>
      </c>
      <c r="EF292" s="1642" t="e">
        <f>ROUND(#REF!,2)</f>
        <v>#REF!</v>
      </c>
      <c r="EG292" s="1642" t="e">
        <f>ROUND(#REF!,2)</f>
        <v>#REF!</v>
      </c>
      <c r="EH292" s="35"/>
      <c r="EI292" s="1658"/>
      <c r="EJ292" s="35"/>
      <c r="EK292" s="35"/>
      <c r="EL292" s="35"/>
      <c r="EM292" s="35"/>
      <c r="EN292" s="35"/>
      <c r="EO292" s="35"/>
      <c r="EP292" s="35"/>
      <c r="EQ292" s="35"/>
      <c r="ER292" s="35"/>
      <c r="ES292" s="35"/>
      <c r="ET292" s="35"/>
      <c r="EU292" s="35"/>
      <c r="EV292" s="35"/>
      <c r="EW292" s="35"/>
      <c r="EX292" s="35"/>
      <c r="EY292" s="35"/>
      <c r="EZ292" s="35"/>
      <c r="FA292" s="35"/>
      <c r="FB292" s="35"/>
      <c r="FC292" s="35"/>
      <c r="FD292" s="35"/>
      <c r="FE292" s="35"/>
      <c r="FF292" s="35"/>
      <c r="FG292" s="35"/>
      <c r="FH292" s="35"/>
      <c r="FI292" s="35"/>
      <c r="FJ292" s="35"/>
      <c r="FK292" s="35"/>
      <c r="FL292" s="35"/>
      <c r="FM292" s="35"/>
      <c r="FN292" s="35"/>
      <c r="FO292" s="35"/>
      <c r="FP292" s="35"/>
      <c r="FQ292" s="35"/>
      <c r="FR292" s="35"/>
      <c r="FS292" s="35"/>
      <c r="FT292" s="35"/>
      <c r="FU292" s="35"/>
      <c r="FV292" s="35"/>
      <c r="FW292" s="35"/>
      <c r="FX292" s="35"/>
      <c r="FY292" s="35"/>
      <c r="FZ292" s="35"/>
      <c r="GA292" s="35"/>
      <c r="GB292" s="35"/>
      <c r="GC292" s="35"/>
      <c r="GD292" s="35"/>
      <c r="GE292" s="35"/>
      <c r="GF292" s="35"/>
      <c r="GG292" s="35"/>
      <c r="GH292" s="35"/>
      <c r="GI292" s="35"/>
      <c r="GJ292" s="35"/>
      <c r="GK292" s="35"/>
      <c r="GL292" s="35"/>
      <c r="GM292" s="35"/>
      <c r="GN292" s="35"/>
      <c r="GO292" s="35"/>
      <c r="GP292" s="35"/>
      <c r="GQ292" s="35"/>
      <c r="GR292" s="35"/>
      <c r="GS292" s="35"/>
      <c r="GT292" s="35"/>
      <c r="GU292" s="35"/>
      <c r="GV292" s="35"/>
      <c r="GW292" s="35"/>
      <c r="GX292" s="35"/>
      <c r="GY292" s="35"/>
      <c r="GZ292" s="35"/>
      <c r="HA292" s="35"/>
      <c r="HB292" s="35"/>
      <c r="HC292" s="35"/>
      <c r="HD292" s="35"/>
      <c r="HE292" s="35"/>
      <c r="HF292" s="35"/>
      <c r="HG292" s="35"/>
      <c r="HH292" s="35"/>
      <c r="HI292" s="35"/>
      <c r="HJ292" s="35"/>
      <c r="HK292" s="35"/>
      <c r="HL292" s="35"/>
      <c r="HM292" s="35"/>
      <c r="HN292" s="35"/>
      <c r="HO292" s="35"/>
      <c r="HP292" s="35"/>
      <c r="HQ292" s="35"/>
      <c r="HR292" s="35"/>
      <c r="HS292" s="35"/>
      <c r="HT292" s="35"/>
      <c r="HU292" s="35"/>
      <c r="HV292" s="35"/>
      <c r="HW292" s="35"/>
      <c r="HX292" s="35"/>
      <c r="HY292" s="35"/>
      <c r="HZ292" s="35"/>
      <c r="IA292" s="35"/>
      <c r="IB292" s="35"/>
      <c r="IC292" s="35"/>
      <c r="ID292" s="35"/>
      <c r="IE292" s="35"/>
      <c r="IF292" s="35"/>
      <c r="IG292" s="35"/>
      <c r="IH292" s="35"/>
      <c r="II292" s="35"/>
      <c r="IJ292" s="35"/>
      <c r="IK292" s="35"/>
      <c r="IL292" s="35"/>
      <c r="IM292" s="35"/>
      <c r="IN292" s="35"/>
      <c r="IO292" s="35"/>
      <c r="IP292" s="35"/>
      <c r="IQ292" s="35"/>
      <c r="IR292" s="35"/>
      <c r="IS292" s="35"/>
      <c r="IT292" s="35"/>
      <c r="IU292" s="35"/>
      <c r="IV292" s="35"/>
      <c r="IW292" s="35"/>
      <c r="IX292" s="35"/>
      <c r="IY292" s="35"/>
      <c r="IZ292" s="35"/>
      <c r="JA292" s="35"/>
      <c r="JB292" s="35"/>
      <c r="JC292" s="35"/>
      <c r="JD292" s="35"/>
      <c r="JE292" s="35"/>
      <c r="JF292" s="35"/>
      <c r="JG292" s="35"/>
      <c r="JH292" s="35"/>
      <c r="JI292" s="35"/>
      <c r="JJ292" s="35"/>
      <c r="JK292" s="35"/>
      <c r="JL292" s="35"/>
      <c r="JM292" s="35"/>
      <c r="JN292" s="35"/>
      <c r="JO292" s="35"/>
      <c r="JP292" s="35"/>
      <c r="JQ292" s="35"/>
      <c r="JR292" s="35"/>
      <c r="JS292" s="35"/>
      <c r="JT292" s="35"/>
      <c r="JU292" s="35"/>
      <c r="JV292" s="35"/>
      <c r="JW292" s="35"/>
      <c r="JX292" s="35"/>
      <c r="JY292" s="35"/>
      <c r="JZ292" s="35"/>
      <c r="KA292" s="35"/>
      <c r="KB292" s="35"/>
      <c r="KC292" s="35"/>
      <c r="KD292" s="35"/>
      <c r="KE292" s="35"/>
      <c r="KF292" s="35"/>
      <c r="KG292" s="35"/>
      <c r="KH292" s="35"/>
      <c r="KI292" s="35"/>
      <c r="KJ292" s="35"/>
      <c r="KK292" s="35"/>
      <c r="KL292" s="35"/>
      <c r="KM292" s="35"/>
      <c r="KN292" s="35"/>
      <c r="KO292" s="35"/>
      <c r="KP292" s="1633"/>
    </row>
    <row r="293" spans="1:302" s="92" customFormat="1" ht="25.25" customHeight="1" outlineLevel="1">
      <c r="A293" s="2668" t="s">
        <v>193</v>
      </c>
      <c r="B293" s="1367"/>
      <c r="C293" s="1368" t="s">
        <v>277</v>
      </c>
      <c r="D293" s="1368" t="s">
        <v>279</v>
      </c>
      <c r="E293" s="1382"/>
      <c r="F293" s="1356"/>
      <c r="G293" s="1399"/>
      <c r="H293" s="1384"/>
      <c r="I293" s="2575"/>
      <c r="J293" s="1693"/>
      <c r="K293" s="1695"/>
      <c r="L293" s="1695"/>
      <c r="M293" s="1696"/>
      <c r="N293" s="1695"/>
      <c r="O293" s="1358">
        <f>M293*N293</f>
        <v>0</v>
      </c>
      <c r="P293" s="1693"/>
      <c r="Q293" s="1693"/>
      <c r="R293" s="1693"/>
      <c r="S293" s="1693"/>
      <c r="T293" s="1695"/>
      <c r="U293" s="1695"/>
      <c r="V293" s="1695"/>
      <c r="W293" s="1693">
        <f t="shared" si="350"/>
        <v>0</v>
      </c>
      <c r="X293" s="1693"/>
      <c r="Y293" s="1695"/>
      <c r="Z293" s="1695"/>
      <c r="AA293" s="1695"/>
      <c r="AB293" s="1693">
        <f>SUM(AM293:BZ293)</f>
        <v>0</v>
      </c>
      <c r="AC293" s="1444"/>
      <c r="AD293" s="1466"/>
      <c r="AE293" s="1357"/>
      <c r="AF293" s="1358"/>
      <c r="AG293" s="1385"/>
      <c r="AH293" s="1358">
        <f t="shared" si="351"/>
        <v>0</v>
      </c>
      <c r="AI293" s="1386">
        <f t="shared" si="352"/>
        <v>0</v>
      </c>
      <c r="AJ293" s="1387" t="str">
        <f t="shared" si="353"/>
        <v/>
      </c>
      <c r="AK293" s="1387"/>
      <c r="AL293" s="1388"/>
      <c r="AM293" s="2499"/>
      <c r="AN293" s="2499"/>
      <c r="AO293" s="1358"/>
      <c r="AP293" s="1358"/>
      <c r="AQ293" s="1358"/>
      <c r="AR293" s="1358"/>
      <c r="AS293" s="1358"/>
      <c r="AT293" s="2500"/>
      <c r="AU293" s="1358"/>
      <c r="AV293" s="1358"/>
      <c r="AW293" s="1358"/>
      <c r="AX293" s="1358"/>
      <c r="AY293" s="2055"/>
      <c r="AZ293" s="2270"/>
      <c r="BA293" s="1358"/>
      <c r="BB293" s="1358"/>
      <c r="BC293" s="1358"/>
      <c r="BD293" s="1358"/>
      <c r="BE293" s="1358"/>
      <c r="BF293" s="1358"/>
      <c r="BG293" s="1358"/>
      <c r="BH293" s="1358"/>
      <c r="BI293" s="1358"/>
      <c r="BJ293" s="1358"/>
      <c r="BK293" s="2134"/>
      <c r="BL293" s="2010"/>
      <c r="BM293" s="2010"/>
      <c r="BN293" s="2010"/>
      <c r="BO293" s="2010"/>
      <c r="BP293" s="2010"/>
      <c r="BQ293" s="2402"/>
      <c r="BR293" s="1358"/>
      <c r="BS293" s="1358"/>
      <c r="BT293" s="1358"/>
      <c r="BU293" s="1358"/>
      <c r="BV293" s="1358"/>
      <c r="BW293" s="2055"/>
      <c r="BX293" s="2416"/>
      <c r="BY293" s="2551"/>
      <c r="BZ293" s="2551"/>
      <c r="CA293" s="2435">
        <f t="shared" ref="CA293:CA358" si="360">SUMIF($AM$10:$BZ$10,$CA$9,AM293:BZ293)</f>
        <v>0</v>
      </c>
      <c r="CB293" s="2380" t="str">
        <f t="shared" ref="CB293:CB358" si="361">IF($AB293&lt;&gt;0,CA293/$AB293,"")</f>
        <v/>
      </c>
      <c r="CC293" s="365" t="str">
        <f t="shared" ref="CC293:CC358" si="362">IF($AB293&lt;&gt;0,CB293/$AB293,"")</f>
        <v/>
      </c>
      <c r="CD293" s="1380" t="str">
        <f t="shared" ref="CD293:CD358" si="363">IF($W293&lt;&gt;0,(CE293)/$W293,"0,00%")</f>
        <v>0,00%</v>
      </c>
      <c r="CE293" s="1381">
        <f t="shared" ref="CE293:CE358" si="364">W293-AB293</f>
        <v>0</v>
      </c>
      <c r="CF293" s="1381"/>
      <c r="CG293" s="501"/>
      <c r="CH293" s="502"/>
      <c r="CI293" s="503"/>
      <c r="CJ293" s="504"/>
      <c r="CK293" s="505"/>
      <c r="CL293" s="329">
        <f t="shared" si="298"/>
        <v>0</v>
      </c>
      <c r="CM293" s="330">
        <f t="shared" si="299"/>
        <v>0</v>
      </c>
      <c r="CN293" s="331">
        <f t="shared" si="272"/>
        <v>0</v>
      </c>
      <c r="CO293" s="86"/>
      <c r="CP293" s="86">
        <f t="shared" si="319"/>
        <v>0</v>
      </c>
      <c r="CQ293" s="86"/>
      <c r="CR293" s="86"/>
      <c r="CS293" s="86"/>
      <c r="CT293" s="86"/>
      <c r="CU293" s="86"/>
      <c r="CV293" s="86"/>
      <c r="CW293" s="86"/>
      <c r="CX293" s="86"/>
      <c r="CY293" s="86"/>
      <c r="CZ293" s="86"/>
      <c r="DA293" s="86"/>
      <c r="DB293" s="32" t="e">
        <f>#REF!-CA293-AI293</f>
        <v>#REF!</v>
      </c>
      <c r="DC293" s="32" t="e">
        <f>W293-#REF!</f>
        <v>#REF!</v>
      </c>
      <c r="DD293" s="1660"/>
      <c r="DE293" s="35"/>
      <c r="DF293" s="35"/>
      <c r="DG293" s="1642" t="e">
        <f>ROUND(#REF!,2)</f>
        <v>#REF!</v>
      </c>
      <c r="DH293" s="1642" t="e">
        <f>ROUND(#REF!,2)</f>
        <v>#REF!</v>
      </c>
      <c r="DI293" s="1642" t="e">
        <f>ROUND(#REF!,2)</f>
        <v>#REF!</v>
      </c>
      <c r="DJ293" s="1642" t="e">
        <f>ROUND(#REF!,2)</f>
        <v>#REF!</v>
      </c>
      <c r="DK293" s="1642" t="e">
        <f>ROUND(#REF!,2)</f>
        <v>#REF!</v>
      </c>
      <c r="DL293" s="1642" t="e">
        <f>ROUND(#REF!,2)</f>
        <v>#REF!</v>
      </c>
      <c r="DM293" s="1642" t="e">
        <f>ROUND(#REF!,2)</f>
        <v>#REF!</v>
      </c>
      <c r="DN293" s="1642" t="e">
        <f>ROUND(#REF!,2)</f>
        <v>#REF!</v>
      </c>
      <c r="DO293" s="1642" t="e">
        <f>ROUND(#REF!,2)</f>
        <v>#REF!</v>
      </c>
      <c r="DP293" s="1642">
        <f t="shared" si="356"/>
        <v>0</v>
      </c>
      <c r="DQ293" s="1642">
        <f t="shared" si="356"/>
        <v>0</v>
      </c>
      <c r="DR293" s="1642">
        <f t="shared" si="356"/>
        <v>0</v>
      </c>
      <c r="DS293" s="1642">
        <f t="shared" si="356"/>
        <v>0</v>
      </c>
      <c r="DT293" s="1642">
        <f t="shared" si="356"/>
        <v>0</v>
      </c>
      <c r="DU293" s="1642">
        <f t="shared" si="356"/>
        <v>0</v>
      </c>
      <c r="DV293" s="1642">
        <f t="shared" si="356"/>
        <v>0</v>
      </c>
      <c r="DW293" s="1642">
        <f t="shared" si="356"/>
        <v>0</v>
      </c>
      <c r="DX293" s="1642">
        <f t="shared" si="356"/>
        <v>0</v>
      </c>
      <c r="DY293" s="1642">
        <f t="shared" si="356"/>
        <v>0</v>
      </c>
      <c r="DZ293" s="1642">
        <f t="shared" si="356"/>
        <v>0</v>
      </c>
      <c r="EA293" s="1642">
        <f t="shared" si="356"/>
        <v>0</v>
      </c>
      <c r="EB293" s="1642" t="e">
        <f>ROUND(#REF!,2)</f>
        <v>#REF!</v>
      </c>
      <c r="EC293" s="1642" t="e">
        <f>ROUND(#REF!,2)</f>
        <v>#REF!</v>
      </c>
      <c r="ED293" s="1642" t="e">
        <f>ROUND(#REF!,2)</f>
        <v>#REF!</v>
      </c>
      <c r="EE293" s="1642" t="e">
        <f>ROUND(#REF!,2)</f>
        <v>#REF!</v>
      </c>
      <c r="EF293" s="1642" t="e">
        <f>ROUND(#REF!,2)</f>
        <v>#REF!</v>
      </c>
      <c r="EG293" s="1642" t="e">
        <f>ROUND(#REF!,2)</f>
        <v>#REF!</v>
      </c>
      <c r="EH293" s="35"/>
      <c r="EI293" s="1658"/>
      <c r="EJ293" s="35"/>
      <c r="EK293" s="35"/>
      <c r="EL293" s="35"/>
      <c r="EM293" s="35"/>
      <c r="EN293" s="35"/>
      <c r="EO293" s="35"/>
      <c r="EP293" s="35"/>
      <c r="EQ293" s="35"/>
      <c r="ER293" s="35"/>
      <c r="ES293" s="35"/>
      <c r="ET293" s="35"/>
      <c r="EU293" s="35"/>
      <c r="EV293" s="35"/>
      <c r="EW293" s="35"/>
      <c r="EX293" s="35"/>
      <c r="EY293" s="35"/>
      <c r="EZ293" s="35"/>
      <c r="FA293" s="35"/>
      <c r="FB293" s="35"/>
      <c r="FC293" s="35"/>
      <c r="FD293" s="35"/>
      <c r="FE293" s="35"/>
      <c r="FF293" s="35"/>
      <c r="FG293" s="35"/>
      <c r="FH293" s="35"/>
      <c r="FI293" s="35"/>
      <c r="FJ293" s="35"/>
      <c r="FK293" s="35"/>
      <c r="FL293" s="35"/>
      <c r="FM293" s="35"/>
      <c r="FN293" s="35"/>
      <c r="FO293" s="35"/>
      <c r="FP293" s="35"/>
      <c r="FQ293" s="35"/>
      <c r="FR293" s="35"/>
      <c r="FS293" s="35"/>
      <c r="FT293" s="35"/>
      <c r="FU293" s="35"/>
      <c r="FV293" s="35"/>
      <c r="FW293" s="35"/>
      <c r="FX293" s="35"/>
      <c r="FY293" s="35"/>
      <c r="FZ293" s="35"/>
      <c r="GA293" s="35"/>
      <c r="GB293" s="35"/>
      <c r="GC293" s="35"/>
      <c r="GD293" s="35"/>
      <c r="GE293" s="35"/>
      <c r="GF293" s="35"/>
      <c r="GG293" s="35"/>
      <c r="GH293" s="35"/>
      <c r="GI293" s="35"/>
      <c r="GJ293" s="35"/>
      <c r="GK293" s="35"/>
      <c r="GL293" s="35"/>
      <c r="GM293" s="35"/>
      <c r="GN293" s="35"/>
      <c r="GO293" s="35"/>
      <c r="GP293" s="35"/>
      <c r="GQ293" s="35"/>
      <c r="GR293" s="35"/>
      <c r="GS293" s="35"/>
      <c r="GT293" s="35"/>
      <c r="GU293" s="35"/>
      <c r="GV293" s="35"/>
      <c r="GW293" s="35"/>
      <c r="GX293" s="35"/>
      <c r="GY293" s="35"/>
      <c r="GZ293" s="35"/>
      <c r="HA293" s="35"/>
      <c r="HB293" s="35"/>
      <c r="HC293" s="35"/>
      <c r="HD293" s="35"/>
      <c r="HE293" s="35"/>
      <c r="HF293" s="35"/>
      <c r="HG293" s="35"/>
      <c r="HH293" s="35"/>
      <c r="HI293" s="35"/>
      <c r="HJ293" s="35"/>
      <c r="HK293" s="35"/>
      <c r="HL293" s="35"/>
      <c r="HM293" s="35"/>
      <c r="HN293" s="35"/>
      <c r="HO293" s="35"/>
      <c r="HP293" s="35"/>
      <c r="HQ293" s="35"/>
      <c r="HR293" s="35"/>
      <c r="HS293" s="35"/>
      <c r="HT293" s="35"/>
      <c r="HU293" s="35"/>
      <c r="HV293" s="35"/>
      <c r="HW293" s="35"/>
      <c r="HX293" s="35"/>
      <c r="HY293" s="35"/>
      <c r="HZ293" s="35"/>
      <c r="IA293" s="35"/>
      <c r="IB293" s="35"/>
      <c r="IC293" s="35"/>
      <c r="ID293" s="35"/>
      <c r="IE293" s="35"/>
      <c r="IF293" s="35"/>
      <c r="IG293" s="35"/>
      <c r="IH293" s="35"/>
      <c r="II293" s="35"/>
      <c r="IJ293" s="35"/>
      <c r="IK293" s="35"/>
      <c r="IL293" s="35"/>
      <c r="IM293" s="35"/>
      <c r="IN293" s="35"/>
      <c r="IO293" s="35"/>
      <c r="IP293" s="35"/>
      <c r="IQ293" s="35"/>
      <c r="IR293" s="35"/>
      <c r="IS293" s="35"/>
      <c r="IT293" s="35"/>
      <c r="IU293" s="35"/>
      <c r="IV293" s="35"/>
      <c r="IW293" s="35"/>
      <c r="IX293" s="35"/>
      <c r="IY293" s="35"/>
      <c r="IZ293" s="35"/>
      <c r="JA293" s="35"/>
      <c r="JB293" s="35"/>
      <c r="JC293" s="35"/>
      <c r="JD293" s="35"/>
      <c r="JE293" s="35"/>
      <c r="JF293" s="35"/>
      <c r="JG293" s="35"/>
      <c r="JH293" s="35"/>
      <c r="JI293" s="35"/>
      <c r="JJ293" s="35"/>
      <c r="JK293" s="35"/>
      <c r="JL293" s="35"/>
      <c r="JM293" s="35"/>
      <c r="JN293" s="35"/>
      <c r="JO293" s="35"/>
      <c r="JP293" s="35"/>
      <c r="JQ293" s="35"/>
      <c r="JR293" s="35"/>
      <c r="JS293" s="35"/>
      <c r="JT293" s="35"/>
      <c r="JU293" s="35"/>
      <c r="JV293" s="35"/>
      <c r="JW293" s="35"/>
      <c r="JX293" s="35"/>
      <c r="JY293" s="35"/>
      <c r="JZ293" s="35"/>
      <c r="KA293" s="35"/>
      <c r="KB293" s="35"/>
      <c r="KC293" s="35"/>
      <c r="KD293" s="35"/>
      <c r="KE293" s="35"/>
      <c r="KF293" s="35"/>
      <c r="KG293" s="35"/>
      <c r="KH293" s="35"/>
      <c r="KI293" s="35"/>
      <c r="KJ293" s="35"/>
      <c r="KK293" s="35"/>
      <c r="KL293" s="35"/>
      <c r="KM293" s="35"/>
      <c r="KN293" s="35"/>
      <c r="KO293" s="35"/>
      <c r="KP293" s="1633"/>
    </row>
    <row r="294" spans="1:302" s="256" customFormat="1" ht="29.45" customHeight="1" outlineLevel="1">
      <c r="A294" s="2621" t="s">
        <v>120</v>
      </c>
      <c r="B294" s="2622" t="s">
        <v>1148</v>
      </c>
      <c r="C294" s="1359" t="s">
        <v>93</v>
      </c>
      <c r="D294" s="1359" t="s">
        <v>223</v>
      </c>
      <c r="E294" s="1400"/>
      <c r="F294" s="506"/>
      <c r="G294" s="506"/>
      <c r="H294" s="1391"/>
      <c r="I294" s="2573">
        <v>96000</v>
      </c>
      <c r="J294" s="1672"/>
      <c r="K294" s="1697"/>
      <c r="L294" s="1697"/>
      <c r="M294" s="1698">
        <v>3000</v>
      </c>
      <c r="N294" s="1697">
        <v>32</v>
      </c>
      <c r="O294" s="1397">
        <f>I294</f>
        <v>96000</v>
      </c>
      <c r="P294" s="1694"/>
      <c r="Q294" s="1694"/>
      <c r="R294" s="1694"/>
      <c r="S294" s="1672"/>
      <c r="T294" s="1699"/>
      <c r="U294" s="1700"/>
      <c r="V294" s="1700"/>
      <c r="W294" s="1672">
        <f>O294+S294</f>
        <v>96000</v>
      </c>
      <c r="X294" s="1672"/>
      <c r="Y294" s="1699"/>
      <c r="Z294" s="1700"/>
      <c r="AA294" s="1699"/>
      <c r="AB294" s="2571">
        <f>SUM(AM294:BZ294)</f>
        <v>96000</v>
      </c>
      <c r="AC294" s="1444"/>
      <c r="AD294" s="1444"/>
      <c r="AE294" s="512"/>
      <c r="AF294" s="497"/>
      <c r="AG294" s="1396">
        <v>1</v>
      </c>
      <c r="AH294" s="1397">
        <f t="shared" si="351"/>
        <v>0</v>
      </c>
      <c r="AI294" s="355">
        <f t="shared" si="352"/>
        <v>0</v>
      </c>
      <c r="AJ294" s="351">
        <f t="shared" si="353"/>
        <v>0</v>
      </c>
      <c r="AK294" s="351"/>
      <c r="AL294" s="1398"/>
      <c r="AM294" s="2272"/>
      <c r="AN294" s="2272"/>
      <c r="AO294" s="513"/>
      <c r="AP294" s="513"/>
      <c r="AQ294" s="513">
        <v>3000</v>
      </c>
      <c r="AR294" s="513">
        <f>3000+3238.69</f>
        <v>6238.6900000000005</v>
      </c>
      <c r="AS294" s="513">
        <v>3000</v>
      </c>
      <c r="AT294" s="2016">
        <v>6000</v>
      </c>
      <c r="AU294" s="513">
        <v>3000</v>
      </c>
      <c r="AV294" s="513">
        <v>3000</v>
      </c>
      <c r="AW294" s="513">
        <v>3000</v>
      </c>
      <c r="AX294" s="513">
        <v>3000</v>
      </c>
      <c r="AY294" s="2236">
        <v>3000</v>
      </c>
      <c r="AZ294" s="2273">
        <f>3000+2761.31</f>
        <v>5761.3099999999995</v>
      </c>
      <c r="BA294" s="497">
        <v>3000</v>
      </c>
      <c r="BB294" s="513">
        <v>3000</v>
      </c>
      <c r="BC294" s="513">
        <v>3000</v>
      </c>
      <c r="BD294" s="513">
        <v>3000</v>
      </c>
      <c r="BE294" s="513">
        <v>3000</v>
      </c>
      <c r="BF294" s="513">
        <v>3000</v>
      </c>
      <c r="BG294" s="513">
        <v>3000</v>
      </c>
      <c r="BH294" s="513">
        <v>3000</v>
      </c>
      <c r="BI294" s="513">
        <v>3000</v>
      </c>
      <c r="BJ294" s="513">
        <v>3000</v>
      </c>
      <c r="BK294" s="2135">
        <v>3000</v>
      </c>
      <c r="BL294" s="2113">
        <v>3000</v>
      </c>
      <c r="BM294" s="2113">
        <v>3000</v>
      </c>
      <c r="BN294" s="2113">
        <v>3000</v>
      </c>
      <c r="BO294" s="2113">
        <v>3000</v>
      </c>
      <c r="BP294" s="2113">
        <v>3000</v>
      </c>
      <c r="BQ294" s="2404">
        <v>3000</v>
      </c>
      <c r="BR294" s="513">
        <v>3000</v>
      </c>
      <c r="BS294" s="513">
        <v>3000</v>
      </c>
      <c r="BT294" s="513"/>
      <c r="BU294" s="513"/>
      <c r="BV294" s="513"/>
      <c r="BW294" s="2236"/>
      <c r="BX294" s="2418"/>
      <c r="BY294" s="2552"/>
      <c r="BZ294" s="2552"/>
      <c r="CA294" s="2435">
        <f t="shared" si="360"/>
        <v>96000</v>
      </c>
      <c r="CB294" s="2380">
        <f t="shared" si="361"/>
        <v>1</v>
      </c>
      <c r="CC294" s="365">
        <f t="shared" si="362"/>
        <v>1.0416666666666666E-5</v>
      </c>
      <c r="CD294" s="1380">
        <f t="shared" si="363"/>
        <v>0</v>
      </c>
      <c r="CE294" s="1381">
        <f t="shared" si="364"/>
        <v>0</v>
      </c>
      <c r="CF294" s="1381"/>
      <c r="CG294" s="501"/>
      <c r="CH294" s="502"/>
      <c r="CI294" s="503"/>
      <c r="CJ294" s="504"/>
      <c r="CK294" s="505"/>
      <c r="CL294" s="329">
        <f t="shared" si="298"/>
        <v>0</v>
      </c>
      <c r="CM294" s="330">
        <f t="shared" si="299"/>
        <v>0</v>
      </c>
      <c r="CN294" s="331">
        <f t="shared" si="272"/>
        <v>-62761.31</v>
      </c>
      <c r="CO294" s="86"/>
      <c r="CP294" s="86">
        <f t="shared" si="319"/>
        <v>0</v>
      </c>
      <c r="CQ294" s="1661"/>
      <c r="CR294" s="1661"/>
      <c r="CS294" s="1661"/>
      <c r="CT294" s="1661"/>
      <c r="CU294" s="1661"/>
      <c r="CV294" s="1661"/>
      <c r="CW294" s="1661"/>
      <c r="CX294" s="1661"/>
      <c r="CY294" s="1661"/>
      <c r="CZ294" s="1661"/>
      <c r="DA294" s="1661"/>
      <c r="DB294" s="235" t="e">
        <f>#REF!-CA294-AI294</f>
        <v>#REF!</v>
      </c>
      <c r="DC294" s="235" t="e">
        <f>W294-#REF!</f>
        <v>#REF!</v>
      </c>
      <c r="DD294" s="1662"/>
      <c r="DE294" s="41"/>
      <c r="DF294" s="41"/>
      <c r="DG294" s="1663" t="e">
        <f>ROUND(#REF!,2)</f>
        <v>#REF!</v>
      </c>
      <c r="DH294" s="1663" t="e">
        <f>ROUND(#REF!,2)</f>
        <v>#REF!</v>
      </c>
      <c r="DI294" s="1663" t="e">
        <f>ROUND(#REF!,2)</f>
        <v>#REF!</v>
      </c>
      <c r="DJ294" s="1663" t="e">
        <f>ROUND(#REF!,2)</f>
        <v>#REF!</v>
      </c>
      <c r="DK294" s="1663" t="e">
        <f>ROUND(#REF!,2)</f>
        <v>#REF!</v>
      </c>
      <c r="DL294" s="1663" t="e">
        <f>ROUND(#REF!,2)</f>
        <v>#REF!</v>
      </c>
      <c r="DM294" s="1663" t="e">
        <f>ROUND(#REF!,2)</f>
        <v>#REF!</v>
      </c>
      <c r="DN294" s="1663" t="e">
        <f>ROUND(#REF!,2)</f>
        <v>#REF!</v>
      </c>
      <c r="DO294" s="1663" t="e">
        <f>ROUND(#REF!,2)</f>
        <v>#REF!</v>
      </c>
      <c r="DP294" s="1663">
        <f t="shared" ref="DP294:DY294" si="365">ROUND(AN294,2)</f>
        <v>0</v>
      </c>
      <c r="DQ294" s="1663">
        <f t="shared" si="365"/>
        <v>0</v>
      </c>
      <c r="DR294" s="1663">
        <f t="shared" si="365"/>
        <v>0</v>
      </c>
      <c r="DS294" s="1663">
        <f t="shared" si="365"/>
        <v>3000</v>
      </c>
      <c r="DT294" s="1663">
        <f t="shared" si="365"/>
        <v>6238.69</v>
      </c>
      <c r="DU294" s="1663">
        <f t="shared" si="365"/>
        <v>3000</v>
      </c>
      <c r="DV294" s="1663">
        <f t="shared" si="365"/>
        <v>6000</v>
      </c>
      <c r="DW294" s="1663">
        <f t="shared" si="365"/>
        <v>3000</v>
      </c>
      <c r="DX294" s="1663">
        <f t="shared" si="365"/>
        <v>3000</v>
      </c>
      <c r="DY294" s="1663">
        <f t="shared" si="365"/>
        <v>3000</v>
      </c>
      <c r="DZ294" s="1663" t="e">
        <f>ROUND(#REF!,2)</f>
        <v>#REF!</v>
      </c>
      <c r="EA294" s="1663" t="e">
        <f>ROUND(#REF!,2)</f>
        <v>#REF!</v>
      </c>
      <c r="EB294" s="1663" t="e">
        <f>ROUND(#REF!,2)</f>
        <v>#REF!</v>
      </c>
      <c r="EC294" s="1663" t="e">
        <f>ROUND(#REF!,2)</f>
        <v>#REF!</v>
      </c>
      <c r="ED294" s="1663" t="e">
        <f>ROUND(#REF!,2)</f>
        <v>#REF!</v>
      </c>
      <c r="EE294" s="1663" t="e">
        <f>ROUND(#REF!,2)</f>
        <v>#REF!</v>
      </c>
      <c r="EF294" s="1663" t="e">
        <f>ROUND(#REF!,2)</f>
        <v>#REF!</v>
      </c>
      <c r="EG294" s="1663" t="e">
        <f>ROUND(#REF!,2)</f>
        <v>#REF!</v>
      </c>
      <c r="EH294" s="41"/>
      <c r="EI294" s="1658"/>
      <c r="EJ294" s="41"/>
      <c r="EK294" s="41"/>
      <c r="EL294" s="41"/>
      <c r="EM294" s="41"/>
      <c r="EN294" s="41"/>
      <c r="EO294" s="41"/>
      <c r="EP294" s="41"/>
      <c r="EQ294" s="41"/>
      <c r="ER294" s="41"/>
      <c r="ES294" s="41"/>
      <c r="ET294" s="41"/>
      <c r="EU294" s="41"/>
      <c r="EV294" s="41"/>
      <c r="EW294" s="41"/>
      <c r="EX294" s="41"/>
      <c r="EY294" s="41"/>
      <c r="EZ294" s="41"/>
      <c r="FA294" s="41"/>
      <c r="FB294" s="41"/>
      <c r="FC294" s="41"/>
      <c r="FD294" s="41"/>
      <c r="FE294" s="41"/>
      <c r="FF294" s="41"/>
      <c r="FG294" s="41"/>
      <c r="FH294" s="41"/>
      <c r="FI294" s="41"/>
      <c r="FJ294" s="41"/>
      <c r="FK294" s="41"/>
      <c r="FL294" s="41"/>
      <c r="FM294" s="41"/>
      <c r="FN294" s="41"/>
      <c r="FO294" s="41"/>
      <c r="FP294" s="41"/>
      <c r="FQ294" s="41"/>
      <c r="FR294" s="41"/>
      <c r="FS294" s="41"/>
      <c r="FT294" s="41"/>
      <c r="FU294" s="41"/>
      <c r="FV294" s="41"/>
      <c r="FW294" s="41"/>
      <c r="FX294" s="41"/>
      <c r="FY294" s="41"/>
      <c r="FZ294" s="41"/>
      <c r="GA294" s="41"/>
      <c r="GB294" s="41"/>
      <c r="GC294" s="41"/>
      <c r="GD294" s="41"/>
      <c r="GE294" s="41"/>
      <c r="GF294" s="41"/>
      <c r="GG294" s="41"/>
      <c r="GH294" s="41"/>
      <c r="GI294" s="41"/>
      <c r="GJ294" s="41"/>
      <c r="GK294" s="41"/>
      <c r="GL294" s="41"/>
      <c r="GM294" s="41"/>
      <c r="GN294" s="41"/>
      <c r="GO294" s="41"/>
      <c r="GP294" s="41"/>
      <c r="GQ294" s="41"/>
      <c r="GR294" s="41"/>
      <c r="GS294" s="41"/>
      <c r="GT294" s="41"/>
      <c r="GU294" s="41"/>
      <c r="GV294" s="41"/>
      <c r="GW294" s="41"/>
      <c r="GX294" s="41"/>
      <c r="GY294" s="41"/>
      <c r="GZ294" s="41"/>
      <c r="HA294" s="41"/>
      <c r="HB294" s="41"/>
      <c r="HC294" s="41"/>
      <c r="HD294" s="41"/>
      <c r="HE294" s="41"/>
      <c r="HF294" s="41"/>
      <c r="HG294" s="41"/>
      <c r="HH294" s="41"/>
      <c r="HI294" s="41"/>
      <c r="HJ294" s="41"/>
      <c r="HK294" s="41"/>
      <c r="HL294" s="41"/>
      <c r="HM294" s="41"/>
      <c r="HN294" s="41"/>
      <c r="HO294" s="41"/>
      <c r="HP294" s="41"/>
      <c r="HQ294" s="41"/>
      <c r="HR294" s="41"/>
      <c r="HS294" s="41"/>
      <c r="HT294" s="41"/>
      <c r="HU294" s="41"/>
      <c r="HV294" s="41"/>
      <c r="HW294" s="41"/>
      <c r="HX294" s="41"/>
      <c r="HY294" s="41"/>
      <c r="HZ294" s="41"/>
      <c r="IA294" s="41"/>
      <c r="IB294" s="41"/>
      <c r="IC294" s="41"/>
      <c r="ID294" s="41"/>
      <c r="IE294" s="41"/>
      <c r="IF294" s="41"/>
      <c r="IG294" s="41"/>
      <c r="IH294" s="41"/>
      <c r="II294" s="41"/>
      <c r="IJ294" s="41"/>
      <c r="IK294" s="41"/>
      <c r="IL294" s="41"/>
      <c r="IM294" s="41"/>
      <c r="IN294" s="41"/>
      <c r="IO294" s="41"/>
      <c r="IP294" s="41"/>
      <c r="IQ294" s="41"/>
      <c r="IR294" s="41"/>
      <c r="IS294" s="41"/>
      <c r="IT294" s="41"/>
      <c r="IU294" s="41"/>
      <c r="IV294" s="41"/>
      <c r="IW294" s="41"/>
      <c r="IX294" s="41"/>
      <c r="IY294" s="41"/>
      <c r="IZ294" s="41"/>
      <c r="JA294" s="41"/>
      <c r="JB294" s="41"/>
      <c r="JC294" s="41"/>
      <c r="JD294" s="41"/>
      <c r="JE294" s="41"/>
      <c r="JF294" s="41"/>
      <c r="JG294" s="41"/>
      <c r="JH294" s="41"/>
      <c r="JI294" s="41"/>
      <c r="JJ294" s="41"/>
      <c r="JK294" s="41"/>
      <c r="JL294" s="41"/>
      <c r="JM294" s="41"/>
      <c r="JN294" s="41"/>
      <c r="JO294" s="41"/>
      <c r="JP294" s="41"/>
      <c r="JQ294" s="41"/>
      <c r="JR294" s="41"/>
      <c r="JS294" s="41"/>
      <c r="JT294" s="41"/>
      <c r="JU294" s="41"/>
      <c r="JV294" s="41"/>
      <c r="JW294" s="41"/>
      <c r="JX294" s="41"/>
      <c r="JY294" s="41"/>
      <c r="JZ294" s="41"/>
      <c r="KA294" s="41"/>
      <c r="KB294" s="41"/>
      <c r="KC294" s="41"/>
      <c r="KD294" s="41"/>
      <c r="KE294" s="41"/>
      <c r="KF294" s="41"/>
      <c r="KG294" s="41"/>
      <c r="KH294" s="41"/>
      <c r="KI294" s="41"/>
      <c r="KJ294" s="41"/>
      <c r="KK294" s="41"/>
      <c r="KL294" s="41"/>
      <c r="KM294" s="41"/>
      <c r="KN294" s="41"/>
      <c r="KO294" s="41"/>
      <c r="KP294" s="1634"/>
    </row>
    <row r="295" spans="1:302" s="256" customFormat="1" ht="24.6" customHeight="1" outlineLevel="1">
      <c r="A295" s="2621" t="s">
        <v>121</v>
      </c>
      <c r="B295" s="2622" t="s">
        <v>1152</v>
      </c>
      <c r="C295" s="1359" t="s">
        <v>94</v>
      </c>
      <c r="D295" s="1359" t="s">
        <v>224</v>
      </c>
      <c r="E295" s="1400"/>
      <c r="F295" s="506"/>
      <c r="G295" s="506"/>
      <c r="H295" s="1391"/>
      <c r="I295" s="2573">
        <v>90000</v>
      </c>
      <c r="J295" s="1672"/>
      <c r="K295" s="1697"/>
      <c r="L295" s="1697"/>
      <c r="M295" s="1698">
        <v>3000</v>
      </c>
      <c r="N295" s="1697">
        <v>30</v>
      </c>
      <c r="O295" s="1397">
        <f t="shared" ref="O295:O312" si="366">I295</f>
        <v>90000</v>
      </c>
      <c r="P295" s="1694"/>
      <c r="Q295" s="1694"/>
      <c r="R295" s="1694"/>
      <c r="S295" s="1672"/>
      <c r="T295" s="1699"/>
      <c r="U295" s="1700"/>
      <c r="V295" s="1700"/>
      <c r="W295" s="1672">
        <f t="shared" ref="W295:W341" si="367">O295+S295</f>
        <v>90000</v>
      </c>
      <c r="X295" s="1672"/>
      <c r="Y295" s="1699"/>
      <c r="Z295" s="1700"/>
      <c r="AA295" s="1699"/>
      <c r="AB295" s="2727">
        <f t="shared" ref="AB295:AB313" si="368">SUM(AM295:BZ295)</f>
        <v>55834</v>
      </c>
      <c r="AC295" s="1444"/>
      <c r="AD295" s="1467"/>
      <c r="AE295" s="512"/>
      <c r="AF295" s="497"/>
      <c r="AG295" s="1396">
        <v>1</v>
      </c>
      <c r="AH295" s="1397">
        <f>+AF295*AG295</f>
        <v>0</v>
      </c>
      <c r="AI295" s="355">
        <f t="shared" si="352"/>
        <v>0</v>
      </c>
      <c r="AJ295" s="351">
        <f t="shared" si="353"/>
        <v>0</v>
      </c>
      <c r="AK295" s="351"/>
      <c r="AL295" s="1398"/>
      <c r="AM295" s="2272"/>
      <c r="AN295" s="2272"/>
      <c r="AO295" s="513"/>
      <c r="AP295" s="513"/>
      <c r="AQ295" s="513"/>
      <c r="AR295" s="513"/>
      <c r="AS295" s="513"/>
      <c r="AT295" s="2016"/>
      <c r="AU295" s="513"/>
      <c r="AV295" s="513"/>
      <c r="AW295" s="2023">
        <f>2334-500</f>
        <v>1834</v>
      </c>
      <c r="AX295" s="513">
        <v>3000</v>
      </c>
      <c r="AY295" s="2323">
        <v>3000</v>
      </c>
      <c r="AZ295" s="2273">
        <v>3000</v>
      </c>
      <c r="BA295" s="497">
        <v>3000</v>
      </c>
      <c r="BB295" s="513">
        <v>3000</v>
      </c>
      <c r="BC295" s="513">
        <v>3000</v>
      </c>
      <c r="BD295" s="513">
        <v>3000</v>
      </c>
      <c r="BE295" s="513">
        <v>3000</v>
      </c>
      <c r="BF295" s="513">
        <v>3000</v>
      </c>
      <c r="BG295" s="513">
        <v>3000</v>
      </c>
      <c r="BH295" s="513">
        <v>3000</v>
      </c>
      <c r="BI295" s="513">
        <v>3000</v>
      </c>
      <c r="BJ295" s="513">
        <v>3000</v>
      </c>
      <c r="BK295" s="2135">
        <v>3000</v>
      </c>
      <c r="BL295" s="2113">
        <v>3000</v>
      </c>
      <c r="BM295" s="2113">
        <v>3000</v>
      </c>
      <c r="BN295" s="2113">
        <v>3000</v>
      </c>
      <c r="BO295" s="2113">
        <v>3000</v>
      </c>
      <c r="BP295" s="2113"/>
      <c r="BQ295" s="2404"/>
      <c r="BR295" s="513"/>
      <c r="BS295" s="513"/>
      <c r="BT295" s="513"/>
      <c r="BU295" s="513"/>
      <c r="BV295" s="513"/>
      <c r="BW295" s="2236"/>
      <c r="BX295" s="2418"/>
      <c r="BY295" s="2552"/>
      <c r="BZ295" s="2552"/>
      <c r="CA295" s="2435">
        <f t="shared" si="360"/>
        <v>55834</v>
      </c>
      <c r="CB295" s="2380">
        <f t="shared" si="361"/>
        <v>1</v>
      </c>
      <c r="CC295" s="365">
        <f t="shared" si="362"/>
        <v>1.7910233907654835E-5</v>
      </c>
      <c r="CD295" s="1380">
        <f t="shared" si="363"/>
        <v>0.37962222222222225</v>
      </c>
      <c r="CE295" s="1381">
        <f t="shared" si="364"/>
        <v>34166</v>
      </c>
      <c r="CF295" s="1381"/>
      <c r="CG295" s="501"/>
      <c r="CH295" s="502"/>
      <c r="CI295" s="503"/>
      <c r="CJ295" s="504"/>
      <c r="CK295" s="505"/>
      <c r="CL295" s="329">
        <f t="shared" si="298"/>
        <v>34166</v>
      </c>
      <c r="CM295" s="330">
        <f t="shared" si="299"/>
        <v>0</v>
      </c>
      <c r="CN295" s="331">
        <f t="shared" ref="CN295:CN382" si="369">SUM(AN295:AY295)-CA295-AI295</f>
        <v>-48000</v>
      </c>
      <c r="CO295" s="86"/>
      <c r="CP295" s="86">
        <f t="shared" si="319"/>
        <v>0</v>
      </c>
      <c r="CQ295" s="1661"/>
      <c r="CR295" s="1661"/>
      <c r="CS295" s="1661"/>
      <c r="CT295" s="1661"/>
      <c r="CU295" s="1661"/>
      <c r="CV295" s="1661"/>
      <c r="CW295" s="1661"/>
      <c r="CX295" s="1661"/>
      <c r="CY295" s="1661"/>
      <c r="CZ295" s="1661"/>
      <c r="DA295" s="1661"/>
      <c r="DB295" s="235"/>
      <c r="DC295" s="235"/>
      <c r="DD295" s="1662"/>
      <c r="DE295" s="41"/>
      <c r="DF295" s="41"/>
      <c r="DG295" s="1663"/>
      <c r="DH295" s="1663"/>
      <c r="DI295" s="1663"/>
      <c r="DJ295" s="1663"/>
      <c r="DK295" s="1663"/>
      <c r="DL295" s="1663"/>
      <c r="DM295" s="1663"/>
      <c r="DN295" s="1663"/>
      <c r="DO295" s="1663"/>
      <c r="DP295" s="1663"/>
      <c r="DQ295" s="1663"/>
      <c r="DR295" s="1663"/>
      <c r="DS295" s="1663"/>
      <c r="DT295" s="1663"/>
      <c r="DU295" s="1663"/>
      <c r="DV295" s="1663"/>
      <c r="DW295" s="1663"/>
      <c r="DX295" s="1663"/>
      <c r="DY295" s="1663"/>
      <c r="DZ295" s="1663"/>
      <c r="EA295" s="1663"/>
      <c r="EB295" s="1663"/>
      <c r="EC295" s="1663"/>
      <c r="ED295" s="1663"/>
      <c r="EE295" s="1663"/>
      <c r="EF295" s="1663"/>
      <c r="EG295" s="1663"/>
      <c r="EH295" s="41"/>
      <c r="EI295" s="1658"/>
      <c r="EJ295" s="41"/>
      <c r="EK295" s="41"/>
      <c r="EL295" s="41"/>
      <c r="EM295" s="41"/>
      <c r="EN295" s="41"/>
      <c r="EO295" s="41"/>
      <c r="EP295" s="41"/>
      <c r="EQ295" s="41"/>
      <c r="ER295" s="41"/>
      <c r="ES295" s="41"/>
      <c r="ET295" s="41"/>
      <c r="EU295" s="41"/>
      <c r="EV295" s="41"/>
      <c r="EW295" s="41"/>
      <c r="EX295" s="41"/>
      <c r="EY295" s="41"/>
      <c r="EZ295" s="41"/>
      <c r="FA295" s="41"/>
      <c r="FB295" s="41"/>
      <c r="FC295" s="41"/>
      <c r="FD295" s="41"/>
      <c r="FE295" s="41"/>
      <c r="FF295" s="41"/>
      <c r="FG295" s="41"/>
      <c r="FH295" s="41"/>
      <c r="FI295" s="41"/>
      <c r="FJ295" s="41"/>
      <c r="FK295" s="41"/>
      <c r="FL295" s="41"/>
      <c r="FM295" s="41"/>
      <c r="FN295" s="41"/>
      <c r="FO295" s="41"/>
      <c r="FP295" s="41"/>
      <c r="FQ295" s="41"/>
      <c r="FR295" s="41"/>
      <c r="FS295" s="41"/>
      <c r="FT295" s="41"/>
      <c r="FU295" s="41"/>
      <c r="FV295" s="41"/>
      <c r="FW295" s="41"/>
      <c r="FX295" s="41"/>
      <c r="FY295" s="41"/>
      <c r="FZ295" s="41"/>
      <c r="GA295" s="41"/>
      <c r="GB295" s="41"/>
      <c r="GC295" s="41"/>
      <c r="GD295" s="41"/>
      <c r="GE295" s="41"/>
      <c r="GF295" s="41"/>
      <c r="GG295" s="41"/>
      <c r="GH295" s="41"/>
      <c r="GI295" s="41"/>
      <c r="GJ295" s="41"/>
      <c r="GK295" s="41"/>
      <c r="GL295" s="41"/>
      <c r="GM295" s="41"/>
      <c r="GN295" s="41"/>
      <c r="GO295" s="41"/>
      <c r="GP295" s="41"/>
      <c r="GQ295" s="41"/>
      <c r="GR295" s="41"/>
      <c r="GS295" s="41"/>
      <c r="GT295" s="41"/>
      <c r="GU295" s="41"/>
      <c r="GV295" s="41"/>
      <c r="GW295" s="41"/>
      <c r="GX295" s="41"/>
      <c r="GY295" s="41"/>
      <c r="GZ295" s="41"/>
      <c r="HA295" s="41"/>
      <c r="HB295" s="41"/>
      <c r="HC295" s="41"/>
      <c r="HD295" s="41"/>
      <c r="HE295" s="41"/>
      <c r="HF295" s="41"/>
      <c r="HG295" s="41"/>
      <c r="HH295" s="41"/>
      <c r="HI295" s="41"/>
      <c r="HJ295" s="41"/>
      <c r="HK295" s="41"/>
      <c r="HL295" s="41"/>
      <c r="HM295" s="41"/>
      <c r="HN295" s="41"/>
      <c r="HO295" s="41"/>
      <c r="HP295" s="41"/>
      <c r="HQ295" s="41"/>
      <c r="HR295" s="41"/>
      <c r="HS295" s="41"/>
      <c r="HT295" s="41"/>
      <c r="HU295" s="41"/>
      <c r="HV295" s="41"/>
      <c r="HW295" s="41"/>
      <c r="HX295" s="41"/>
      <c r="HY295" s="41"/>
      <c r="HZ295" s="41"/>
      <c r="IA295" s="41"/>
      <c r="IB295" s="41"/>
      <c r="IC295" s="41"/>
      <c r="ID295" s="41"/>
      <c r="IE295" s="41"/>
      <c r="IF295" s="41"/>
      <c r="IG295" s="41"/>
      <c r="IH295" s="41"/>
      <c r="II295" s="41"/>
      <c r="IJ295" s="41"/>
      <c r="IK295" s="41"/>
      <c r="IL295" s="41"/>
      <c r="IM295" s="41"/>
      <c r="IN295" s="41"/>
      <c r="IO295" s="41"/>
      <c r="IP295" s="41"/>
      <c r="IQ295" s="41"/>
      <c r="IR295" s="41"/>
      <c r="IS295" s="41"/>
      <c r="IT295" s="41"/>
      <c r="IU295" s="41"/>
      <c r="IV295" s="41"/>
      <c r="IW295" s="41"/>
      <c r="IX295" s="41"/>
      <c r="IY295" s="41"/>
      <c r="IZ295" s="41"/>
      <c r="JA295" s="41"/>
      <c r="JB295" s="41"/>
      <c r="JC295" s="41"/>
      <c r="JD295" s="41"/>
      <c r="JE295" s="41"/>
      <c r="JF295" s="41"/>
      <c r="JG295" s="41"/>
      <c r="JH295" s="41"/>
      <c r="JI295" s="41"/>
      <c r="JJ295" s="41"/>
      <c r="JK295" s="41"/>
      <c r="JL295" s="41"/>
      <c r="JM295" s="41"/>
      <c r="JN295" s="41"/>
      <c r="JO295" s="41"/>
      <c r="JP295" s="41"/>
      <c r="JQ295" s="41"/>
      <c r="JR295" s="41"/>
      <c r="JS295" s="41"/>
      <c r="JT295" s="41"/>
      <c r="JU295" s="41"/>
      <c r="JV295" s="41"/>
      <c r="JW295" s="41"/>
      <c r="JX295" s="41"/>
      <c r="JY295" s="41"/>
      <c r="JZ295" s="41"/>
      <c r="KA295" s="41"/>
      <c r="KB295" s="41"/>
      <c r="KC295" s="41"/>
      <c r="KD295" s="41"/>
      <c r="KE295" s="41"/>
      <c r="KF295" s="41"/>
      <c r="KG295" s="41"/>
      <c r="KH295" s="41"/>
      <c r="KI295" s="41"/>
      <c r="KJ295" s="41"/>
      <c r="KK295" s="41"/>
      <c r="KL295" s="41"/>
      <c r="KM295" s="41"/>
      <c r="KN295" s="41"/>
      <c r="KO295" s="41"/>
      <c r="KP295" s="1634"/>
    </row>
    <row r="296" spans="1:302" s="256" customFormat="1" ht="25.25" customHeight="1" outlineLevel="1">
      <c r="A296" s="2621" t="s">
        <v>556</v>
      </c>
      <c r="B296" s="2621" t="s">
        <v>1152</v>
      </c>
      <c r="C296" s="1359" t="s">
        <v>1302</v>
      </c>
      <c r="D296" s="1359" t="s">
        <v>557</v>
      </c>
      <c r="E296" s="1400"/>
      <c r="F296" s="506"/>
      <c r="G296" s="506"/>
      <c r="H296" s="1391"/>
      <c r="I296" s="2573"/>
      <c r="J296" s="1672"/>
      <c r="K296" s="1697"/>
      <c r="L296" s="1697"/>
      <c r="M296" s="1698"/>
      <c r="N296" s="1697"/>
      <c r="O296" s="1397">
        <f t="shared" si="366"/>
        <v>0</v>
      </c>
      <c r="P296" s="1694"/>
      <c r="Q296" s="1694"/>
      <c r="R296" s="1694"/>
      <c r="S296" s="1672"/>
      <c r="T296" s="1699"/>
      <c r="U296" s="1700"/>
      <c r="V296" s="1700"/>
      <c r="W296" s="1672">
        <f t="shared" si="367"/>
        <v>0</v>
      </c>
      <c r="X296" s="1672"/>
      <c r="Y296" s="1699"/>
      <c r="Z296" s="1700"/>
      <c r="AA296" s="1699"/>
      <c r="AB296" s="2571">
        <f t="shared" si="368"/>
        <v>962</v>
      </c>
      <c r="AC296" s="1444" t="s">
        <v>554</v>
      </c>
      <c r="AD296" s="1467">
        <v>4502914407</v>
      </c>
      <c r="AE296" s="512"/>
      <c r="AF296" s="497">
        <v>962</v>
      </c>
      <c r="AG296" s="1396">
        <v>1</v>
      </c>
      <c r="AH296" s="1397">
        <f t="shared" ref="AH296:AH299" si="370">+AF296*AG296</f>
        <v>962</v>
      </c>
      <c r="AI296" s="355">
        <f t="shared" si="352"/>
        <v>962</v>
      </c>
      <c r="AJ296" s="351">
        <f t="shared" ref="AJ296" si="371">IF($AB296&lt;&gt;0,AI296/$AB296,"")</f>
        <v>1</v>
      </c>
      <c r="AK296" s="351"/>
      <c r="AL296" s="1398"/>
      <c r="AM296" s="2272"/>
      <c r="AN296" s="2778">
        <v>962</v>
      </c>
      <c r="AO296" s="513"/>
      <c r="AP296" s="513"/>
      <c r="AQ296" s="513"/>
      <c r="AR296" s="513"/>
      <c r="AS296" s="513"/>
      <c r="AT296" s="2016"/>
      <c r="AU296" s="513"/>
      <c r="AV296" s="513"/>
      <c r="AW296" s="2023"/>
      <c r="AX296" s="513"/>
      <c r="AY296" s="2323"/>
      <c r="AZ296" s="2273"/>
      <c r="BA296" s="497"/>
      <c r="BB296" s="513"/>
      <c r="BC296" s="513"/>
      <c r="BD296" s="513"/>
      <c r="BE296" s="513"/>
      <c r="BF296" s="513"/>
      <c r="BG296" s="513"/>
      <c r="BH296" s="513"/>
      <c r="BI296" s="513"/>
      <c r="BJ296" s="513"/>
      <c r="BK296" s="2135"/>
      <c r="BL296" s="2113"/>
      <c r="BM296" s="2113"/>
      <c r="BN296" s="2113"/>
      <c r="BO296" s="2113"/>
      <c r="BP296" s="2113"/>
      <c r="BQ296" s="2404"/>
      <c r="BR296" s="513"/>
      <c r="BS296" s="513"/>
      <c r="BT296" s="513"/>
      <c r="BU296" s="513"/>
      <c r="BV296" s="513"/>
      <c r="BW296" s="2236"/>
      <c r="BX296" s="2418"/>
      <c r="BY296" s="2552"/>
      <c r="BZ296" s="2552"/>
      <c r="CA296" s="2435">
        <f t="shared" si="360"/>
        <v>0</v>
      </c>
      <c r="CB296" s="2380">
        <f t="shared" si="361"/>
        <v>0</v>
      </c>
      <c r="CC296" s="365">
        <f t="shared" si="362"/>
        <v>0</v>
      </c>
      <c r="CD296" s="1380" t="str">
        <f t="shared" si="363"/>
        <v>0,00%</v>
      </c>
      <c r="CE296" s="1381">
        <f t="shared" si="364"/>
        <v>-962</v>
      </c>
      <c r="CF296" s="1381"/>
      <c r="CG296" s="501"/>
      <c r="CH296" s="502"/>
      <c r="CI296" s="503"/>
      <c r="CJ296" s="504"/>
      <c r="CK296" s="505"/>
      <c r="CL296" s="329">
        <f t="shared" si="298"/>
        <v>0</v>
      </c>
      <c r="CM296" s="330">
        <f t="shared" si="299"/>
        <v>0</v>
      </c>
      <c r="CN296" s="331">
        <f t="shared" si="369"/>
        <v>0</v>
      </c>
      <c r="CO296" s="86"/>
      <c r="CP296" s="86"/>
      <c r="CQ296" s="1661"/>
      <c r="CR296" s="1661"/>
      <c r="CS296" s="1661"/>
      <c r="CT296" s="1661"/>
      <c r="CU296" s="1661"/>
      <c r="CV296" s="1661"/>
      <c r="CW296" s="1661"/>
      <c r="CX296" s="1661"/>
      <c r="CY296" s="1661"/>
      <c r="CZ296" s="1661"/>
      <c r="DA296" s="1661"/>
      <c r="DB296" s="235"/>
      <c r="DC296" s="235"/>
      <c r="DD296" s="1662"/>
      <c r="DE296" s="41"/>
      <c r="DF296" s="41"/>
      <c r="DG296" s="1663"/>
      <c r="DH296" s="1663"/>
      <c r="DI296" s="1663"/>
      <c r="DJ296" s="1663"/>
      <c r="DK296" s="1663"/>
      <c r="DL296" s="1663"/>
      <c r="DM296" s="1663"/>
      <c r="DN296" s="1663"/>
      <c r="DO296" s="1663"/>
      <c r="DP296" s="1663"/>
      <c r="DQ296" s="1663"/>
      <c r="DR296" s="1663"/>
      <c r="DS296" s="1663"/>
      <c r="DT296" s="1663"/>
      <c r="DU296" s="1663"/>
      <c r="DV296" s="1663"/>
      <c r="DW296" s="1663"/>
      <c r="DX296" s="1663"/>
      <c r="DY296" s="1663"/>
      <c r="DZ296" s="1663"/>
      <c r="EA296" s="1663"/>
      <c r="EB296" s="1663"/>
      <c r="EC296" s="1663"/>
      <c r="ED296" s="1663"/>
      <c r="EE296" s="1663"/>
      <c r="EF296" s="1663"/>
      <c r="EG296" s="1663"/>
      <c r="EH296" s="41"/>
      <c r="EI296" s="1658"/>
      <c r="EJ296" s="41"/>
      <c r="EK296" s="41"/>
      <c r="EL296" s="41"/>
      <c r="EM296" s="41"/>
      <c r="EN296" s="41"/>
      <c r="EO296" s="41"/>
      <c r="EP296" s="41"/>
      <c r="EQ296" s="41"/>
      <c r="ER296" s="41"/>
      <c r="ES296" s="41"/>
      <c r="ET296" s="41"/>
      <c r="EU296" s="41"/>
      <c r="EV296" s="41"/>
      <c r="EW296" s="41"/>
      <c r="EX296" s="41"/>
      <c r="EY296" s="41"/>
      <c r="EZ296" s="41"/>
      <c r="FA296" s="41"/>
      <c r="FB296" s="41"/>
      <c r="FC296" s="41"/>
      <c r="FD296" s="41"/>
      <c r="FE296" s="41"/>
      <c r="FF296" s="41"/>
      <c r="FG296" s="41"/>
      <c r="FH296" s="41"/>
      <c r="FI296" s="41"/>
      <c r="FJ296" s="41"/>
      <c r="FK296" s="41"/>
      <c r="FL296" s="41"/>
      <c r="FM296" s="41"/>
      <c r="FN296" s="41"/>
      <c r="FO296" s="41"/>
      <c r="FP296" s="41"/>
      <c r="FQ296" s="41"/>
      <c r="FR296" s="41"/>
      <c r="FS296" s="41"/>
      <c r="FT296" s="41"/>
      <c r="FU296" s="41"/>
      <c r="FV296" s="41"/>
      <c r="FW296" s="41"/>
      <c r="FX296" s="41"/>
      <c r="FY296" s="41"/>
      <c r="FZ296" s="41"/>
      <c r="GA296" s="41"/>
      <c r="GB296" s="41"/>
      <c r="GC296" s="41"/>
      <c r="GD296" s="41"/>
      <c r="GE296" s="41"/>
      <c r="GF296" s="41"/>
      <c r="GG296" s="41"/>
      <c r="GH296" s="41"/>
      <c r="GI296" s="41"/>
      <c r="GJ296" s="41"/>
      <c r="GK296" s="41"/>
      <c r="GL296" s="41"/>
      <c r="GM296" s="41"/>
      <c r="GN296" s="41"/>
      <c r="GO296" s="41"/>
      <c r="GP296" s="41"/>
      <c r="GQ296" s="41"/>
      <c r="GR296" s="41"/>
      <c r="GS296" s="41"/>
      <c r="GT296" s="41"/>
      <c r="GU296" s="41"/>
      <c r="GV296" s="41"/>
      <c r="GW296" s="41"/>
      <c r="GX296" s="41"/>
      <c r="GY296" s="41"/>
      <c r="GZ296" s="41"/>
      <c r="HA296" s="41"/>
      <c r="HB296" s="41"/>
      <c r="HC296" s="41"/>
      <c r="HD296" s="41"/>
      <c r="HE296" s="41"/>
      <c r="HF296" s="41"/>
      <c r="HG296" s="41"/>
      <c r="HH296" s="41"/>
      <c r="HI296" s="41"/>
      <c r="HJ296" s="41"/>
      <c r="HK296" s="41"/>
      <c r="HL296" s="41"/>
      <c r="HM296" s="41"/>
      <c r="HN296" s="41"/>
      <c r="HO296" s="41"/>
      <c r="HP296" s="41"/>
      <c r="HQ296" s="41"/>
      <c r="HR296" s="41"/>
      <c r="HS296" s="41"/>
      <c r="HT296" s="41"/>
      <c r="HU296" s="41"/>
      <c r="HV296" s="41"/>
      <c r="HW296" s="41"/>
      <c r="HX296" s="41"/>
      <c r="HY296" s="41"/>
      <c r="HZ296" s="41"/>
      <c r="IA296" s="41"/>
      <c r="IB296" s="41"/>
      <c r="IC296" s="41"/>
      <c r="ID296" s="41"/>
      <c r="IE296" s="41"/>
      <c r="IF296" s="41"/>
      <c r="IG296" s="41"/>
      <c r="IH296" s="41"/>
      <c r="II296" s="41"/>
      <c r="IJ296" s="41"/>
      <c r="IK296" s="41"/>
      <c r="IL296" s="41"/>
      <c r="IM296" s="41"/>
      <c r="IN296" s="41"/>
      <c r="IO296" s="41"/>
      <c r="IP296" s="41"/>
      <c r="IQ296" s="41"/>
      <c r="IR296" s="41"/>
      <c r="IS296" s="41"/>
      <c r="IT296" s="41"/>
      <c r="IU296" s="41"/>
      <c r="IV296" s="41"/>
      <c r="IW296" s="41"/>
      <c r="IX296" s="41"/>
      <c r="IY296" s="41"/>
      <c r="IZ296" s="41"/>
      <c r="JA296" s="41"/>
      <c r="JB296" s="41"/>
      <c r="JC296" s="41"/>
      <c r="JD296" s="41"/>
      <c r="JE296" s="41"/>
      <c r="JF296" s="41"/>
      <c r="JG296" s="41"/>
      <c r="JH296" s="41"/>
      <c r="JI296" s="41"/>
      <c r="JJ296" s="41"/>
      <c r="JK296" s="41"/>
      <c r="JL296" s="41"/>
      <c r="JM296" s="41"/>
      <c r="JN296" s="41"/>
      <c r="JO296" s="41"/>
      <c r="JP296" s="41"/>
      <c r="JQ296" s="41"/>
      <c r="JR296" s="41"/>
      <c r="JS296" s="41"/>
      <c r="JT296" s="41"/>
      <c r="JU296" s="41"/>
      <c r="JV296" s="41"/>
      <c r="JW296" s="41"/>
      <c r="JX296" s="41"/>
      <c r="JY296" s="41"/>
      <c r="JZ296" s="41"/>
      <c r="KA296" s="41"/>
      <c r="KB296" s="41"/>
      <c r="KC296" s="41"/>
      <c r="KD296" s="41"/>
      <c r="KE296" s="41"/>
      <c r="KF296" s="41"/>
      <c r="KG296" s="41"/>
      <c r="KH296" s="41"/>
      <c r="KI296" s="41"/>
      <c r="KJ296" s="41"/>
      <c r="KK296" s="41"/>
      <c r="KL296" s="41"/>
      <c r="KM296" s="41"/>
      <c r="KN296" s="41"/>
      <c r="KO296" s="41"/>
      <c r="KP296" s="1634"/>
    </row>
    <row r="297" spans="1:302" s="256" customFormat="1" ht="25.25" customHeight="1" outlineLevel="1">
      <c r="A297" s="2621" t="s">
        <v>753</v>
      </c>
      <c r="B297" s="2621"/>
      <c r="C297" s="1359" t="s">
        <v>1332</v>
      </c>
      <c r="D297" s="1359" t="s">
        <v>1260</v>
      </c>
      <c r="E297" s="1400"/>
      <c r="F297" s="506"/>
      <c r="G297" s="506"/>
      <c r="H297" s="1391"/>
      <c r="I297" s="2573"/>
      <c r="J297" s="1672"/>
      <c r="K297" s="1697"/>
      <c r="L297" s="1697"/>
      <c r="M297" s="1698"/>
      <c r="N297" s="1697"/>
      <c r="O297" s="1397">
        <f t="shared" si="366"/>
        <v>0</v>
      </c>
      <c r="P297" s="1694"/>
      <c r="Q297" s="1694"/>
      <c r="R297" s="1694"/>
      <c r="S297" s="1672"/>
      <c r="T297" s="1699"/>
      <c r="U297" s="1700"/>
      <c r="V297" s="1700"/>
      <c r="W297" s="1672">
        <f t="shared" si="367"/>
        <v>0</v>
      </c>
      <c r="X297" s="1672"/>
      <c r="Y297" s="1699"/>
      <c r="Z297" s="1700"/>
      <c r="AA297" s="1699"/>
      <c r="AB297" s="2571">
        <f t="shared" si="368"/>
        <v>2500</v>
      </c>
      <c r="AC297" s="1444" t="s">
        <v>1261</v>
      </c>
      <c r="AD297" s="1467">
        <v>4502946426</v>
      </c>
      <c r="AE297" s="512"/>
      <c r="AF297" s="497">
        <v>2500</v>
      </c>
      <c r="AG297" s="1396">
        <v>1</v>
      </c>
      <c r="AH297" s="1397">
        <f t="shared" si="370"/>
        <v>2500</v>
      </c>
      <c r="AI297" s="355">
        <f t="shared" ref="AI297" si="372">SUMIF($AM$10:$BZ$10,$AI$9,AM297:BZ297)</f>
        <v>2500</v>
      </c>
      <c r="AJ297" s="351">
        <f t="shared" ref="AJ297" si="373">IF($AB297&lt;&gt;0,AI297/$AB297,"")</f>
        <v>1</v>
      </c>
      <c r="AK297" s="351"/>
      <c r="AL297" s="1398"/>
      <c r="AM297" s="2272"/>
      <c r="AN297" s="2773">
        <v>2500</v>
      </c>
      <c r="AO297" s="513"/>
      <c r="AP297" s="513"/>
      <c r="AQ297" s="513"/>
      <c r="AR297" s="513"/>
      <c r="AS297" s="513"/>
      <c r="AT297" s="2016"/>
      <c r="AU297" s="513"/>
      <c r="AV297" s="513"/>
      <c r="AW297" s="2023"/>
      <c r="AX297" s="513"/>
      <c r="AY297" s="2323"/>
      <c r="AZ297" s="2273"/>
      <c r="BA297" s="497"/>
      <c r="BB297" s="513"/>
      <c r="BC297" s="513"/>
      <c r="BD297" s="513"/>
      <c r="BE297" s="513"/>
      <c r="BF297" s="513"/>
      <c r="BG297" s="513"/>
      <c r="BH297" s="513"/>
      <c r="BI297" s="513"/>
      <c r="BJ297" s="513"/>
      <c r="BK297" s="2135"/>
      <c r="BL297" s="2113"/>
      <c r="BM297" s="2113"/>
      <c r="BN297" s="2113"/>
      <c r="BO297" s="2113"/>
      <c r="BP297" s="2113"/>
      <c r="BQ297" s="2404"/>
      <c r="BR297" s="513"/>
      <c r="BS297" s="513"/>
      <c r="BT297" s="513"/>
      <c r="BU297" s="513"/>
      <c r="BV297" s="513"/>
      <c r="BW297" s="2236"/>
      <c r="BX297" s="2418"/>
      <c r="BY297" s="2552"/>
      <c r="BZ297" s="2552"/>
      <c r="CA297" s="2435">
        <f t="shared" si="360"/>
        <v>0</v>
      </c>
      <c r="CB297" s="2380">
        <f t="shared" si="361"/>
        <v>0</v>
      </c>
      <c r="CC297" s="365">
        <f t="shared" si="362"/>
        <v>0</v>
      </c>
      <c r="CD297" s="1380" t="str">
        <f t="shared" si="363"/>
        <v>0,00%</v>
      </c>
      <c r="CE297" s="1381">
        <f t="shared" si="364"/>
        <v>-2500</v>
      </c>
      <c r="CF297" s="1381"/>
      <c r="CG297" s="501"/>
      <c r="CH297" s="502"/>
      <c r="CI297" s="503"/>
      <c r="CJ297" s="504"/>
      <c r="CK297" s="505"/>
      <c r="CL297" s="329">
        <f t="shared" si="298"/>
        <v>0</v>
      </c>
      <c r="CM297" s="330">
        <f t="shared" si="299"/>
        <v>0</v>
      </c>
      <c r="CN297" s="331">
        <f t="shared" si="369"/>
        <v>0</v>
      </c>
      <c r="CO297" s="86"/>
      <c r="CP297" s="86"/>
      <c r="CQ297" s="1661"/>
      <c r="CR297" s="1661"/>
      <c r="CS297" s="1661"/>
      <c r="CT297" s="1661"/>
      <c r="CU297" s="1661"/>
      <c r="CV297" s="1661"/>
      <c r="CW297" s="1661"/>
      <c r="CX297" s="1661"/>
      <c r="CY297" s="1661"/>
      <c r="CZ297" s="1661"/>
      <c r="DA297" s="1661"/>
      <c r="DB297" s="235"/>
      <c r="DC297" s="235"/>
      <c r="DD297" s="1662"/>
      <c r="DE297" s="41"/>
      <c r="DF297" s="41"/>
      <c r="DG297" s="1663"/>
      <c r="DH297" s="1663"/>
      <c r="DI297" s="1663"/>
      <c r="DJ297" s="1663"/>
      <c r="DK297" s="1663"/>
      <c r="DL297" s="1663"/>
      <c r="DM297" s="1663"/>
      <c r="DN297" s="1663"/>
      <c r="DO297" s="1663"/>
      <c r="DP297" s="1663"/>
      <c r="DQ297" s="1663"/>
      <c r="DR297" s="1663"/>
      <c r="DS297" s="1663"/>
      <c r="DT297" s="1663"/>
      <c r="DU297" s="1663"/>
      <c r="DV297" s="1663"/>
      <c r="DW297" s="1663"/>
      <c r="DX297" s="1663"/>
      <c r="DY297" s="1663"/>
      <c r="DZ297" s="1663"/>
      <c r="EA297" s="1663"/>
      <c r="EB297" s="1663"/>
      <c r="EC297" s="1663"/>
      <c r="ED297" s="1663"/>
      <c r="EE297" s="1663"/>
      <c r="EF297" s="1663"/>
      <c r="EG297" s="1663"/>
      <c r="EH297" s="41"/>
      <c r="EI297" s="1658"/>
      <c r="EJ297" s="41"/>
      <c r="EK297" s="41"/>
      <c r="EL297" s="41"/>
      <c r="EM297" s="41"/>
      <c r="EN297" s="41"/>
      <c r="EO297" s="41"/>
      <c r="EP297" s="41"/>
      <c r="EQ297" s="41"/>
      <c r="ER297" s="41"/>
      <c r="ES297" s="41"/>
      <c r="ET297" s="41"/>
      <c r="EU297" s="41"/>
      <c r="EV297" s="41"/>
      <c r="EW297" s="41"/>
      <c r="EX297" s="41"/>
      <c r="EY297" s="41"/>
      <c r="EZ297" s="41"/>
      <c r="FA297" s="41"/>
      <c r="FB297" s="41"/>
      <c r="FC297" s="41"/>
      <c r="FD297" s="41"/>
      <c r="FE297" s="41"/>
      <c r="FF297" s="41"/>
      <c r="FG297" s="41"/>
      <c r="FH297" s="41"/>
      <c r="FI297" s="41"/>
      <c r="FJ297" s="41"/>
      <c r="FK297" s="41"/>
      <c r="FL297" s="41"/>
      <c r="FM297" s="41"/>
      <c r="FN297" s="41"/>
      <c r="FO297" s="41"/>
      <c r="FP297" s="41"/>
      <c r="FQ297" s="41"/>
      <c r="FR297" s="41"/>
      <c r="FS297" s="41"/>
      <c r="FT297" s="41"/>
      <c r="FU297" s="41"/>
      <c r="FV297" s="41"/>
      <c r="FW297" s="41"/>
      <c r="FX297" s="41"/>
      <c r="FY297" s="41"/>
      <c r="FZ297" s="41"/>
      <c r="GA297" s="41"/>
      <c r="GB297" s="41"/>
      <c r="GC297" s="41"/>
      <c r="GD297" s="41"/>
      <c r="GE297" s="41"/>
      <c r="GF297" s="41"/>
      <c r="GG297" s="41"/>
      <c r="GH297" s="41"/>
      <c r="GI297" s="41"/>
      <c r="GJ297" s="41"/>
      <c r="GK297" s="41"/>
      <c r="GL297" s="41"/>
      <c r="GM297" s="41"/>
      <c r="GN297" s="41"/>
      <c r="GO297" s="41"/>
      <c r="GP297" s="41"/>
      <c r="GQ297" s="41"/>
      <c r="GR297" s="41"/>
      <c r="GS297" s="41"/>
      <c r="GT297" s="41"/>
      <c r="GU297" s="41"/>
      <c r="GV297" s="41"/>
      <c r="GW297" s="41"/>
      <c r="GX297" s="41"/>
      <c r="GY297" s="41"/>
      <c r="GZ297" s="41"/>
      <c r="HA297" s="41"/>
      <c r="HB297" s="41"/>
      <c r="HC297" s="41"/>
      <c r="HD297" s="41"/>
      <c r="HE297" s="41"/>
      <c r="HF297" s="41"/>
      <c r="HG297" s="41"/>
      <c r="HH297" s="41"/>
      <c r="HI297" s="41"/>
      <c r="HJ297" s="41"/>
      <c r="HK297" s="41"/>
      <c r="HL297" s="41"/>
      <c r="HM297" s="41"/>
      <c r="HN297" s="41"/>
      <c r="HO297" s="41"/>
      <c r="HP297" s="41"/>
      <c r="HQ297" s="41"/>
      <c r="HR297" s="41"/>
      <c r="HS297" s="41"/>
      <c r="HT297" s="41"/>
      <c r="HU297" s="41"/>
      <c r="HV297" s="41"/>
      <c r="HW297" s="41"/>
      <c r="HX297" s="41"/>
      <c r="HY297" s="41"/>
      <c r="HZ297" s="41"/>
      <c r="IA297" s="41"/>
      <c r="IB297" s="41"/>
      <c r="IC297" s="41"/>
      <c r="ID297" s="41"/>
      <c r="IE297" s="41"/>
      <c r="IF297" s="41"/>
      <c r="IG297" s="41"/>
      <c r="IH297" s="41"/>
      <c r="II297" s="41"/>
      <c r="IJ297" s="41"/>
      <c r="IK297" s="41"/>
      <c r="IL297" s="41"/>
      <c r="IM297" s="41"/>
      <c r="IN297" s="41"/>
      <c r="IO297" s="41"/>
      <c r="IP297" s="41"/>
      <c r="IQ297" s="41"/>
      <c r="IR297" s="41"/>
      <c r="IS297" s="41"/>
      <c r="IT297" s="41"/>
      <c r="IU297" s="41"/>
      <c r="IV297" s="41"/>
      <c r="IW297" s="41"/>
      <c r="IX297" s="41"/>
      <c r="IY297" s="41"/>
      <c r="IZ297" s="41"/>
      <c r="JA297" s="41"/>
      <c r="JB297" s="41"/>
      <c r="JC297" s="41"/>
      <c r="JD297" s="41"/>
      <c r="JE297" s="41"/>
      <c r="JF297" s="41"/>
      <c r="JG297" s="41"/>
      <c r="JH297" s="41"/>
      <c r="JI297" s="41"/>
      <c r="JJ297" s="41"/>
      <c r="JK297" s="41"/>
      <c r="JL297" s="41"/>
      <c r="JM297" s="41"/>
      <c r="JN297" s="41"/>
      <c r="JO297" s="41"/>
      <c r="JP297" s="41"/>
      <c r="JQ297" s="41"/>
      <c r="JR297" s="41"/>
      <c r="JS297" s="41"/>
      <c r="JT297" s="41"/>
      <c r="JU297" s="41"/>
      <c r="JV297" s="41"/>
      <c r="JW297" s="41"/>
      <c r="JX297" s="41"/>
      <c r="JY297" s="41"/>
      <c r="JZ297" s="41"/>
      <c r="KA297" s="41"/>
      <c r="KB297" s="41"/>
      <c r="KC297" s="41"/>
      <c r="KD297" s="41"/>
      <c r="KE297" s="41"/>
      <c r="KF297" s="41"/>
      <c r="KG297" s="41"/>
      <c r="KH297" s="41"/>
      <c r="KI297" s="41"/>
      <c r="KJ297" s="41"/>
      <c r="KK297" s="41"/>
      <c r="KL297" s="41"/>
      <c r="KM297" s="41"/>
      <c r="KN297" s="41"/>
      <c r="KO297" s="41"/>
      <c r="KP297" s="1634"/>
    </row>
    <row r="298" spans="1:302" s="256" customFormat="1" ht="25.25" customHeight="1" outlineLevel="1">
      <c r="A298" s="2621" t="s">
        <v>754</v>
      </c>
      <c r="B298" s="2621"/>
      <c r="C298" s="1359" t="s">
        <v>1333</v>
      </c>
      <c r="D298" s="1359" t="s">
        <v>1260</v>
      </c>
      <c r="E298" s="1400"/>
      <c r="F298" s="506"/>
      <c r="G298" s="506"/>
      <c r="H298" s="1391"/>
      <c r="I298" s="2573"/>
      <c r="J298" s="1672"/>
      <c r="K298" s="1697"/>
      <c r="L298" s="1697"/>
      <c r="M298" s="1698"/>
      <c r="N298" s="1697"/>
      <c r="O298" s="1397">
        <f t="shared" si="366"/>
        <v>0</v>
      </c>
      <c r="P298" s="1694"/>
      <c r="Q298" s="1694"/>
      <c r="R298" s="1694"/>
      <c r="S298" s="1672"/>
      <c r="T298" s="1699"/>
      <c r="U298" s="1700"/>
      <c r="V298" s="1700"/>
      <c r="W298" s="1672">
        <f t="shared" si="367"/>
        <v>0</v>
      </c>
      <c r="X298" s="1672"/>
      <c r="Y298" s="1699"/>
      <c r="Z298" s="1700"/>
      <c r="AA298" s="1699"/>
      <c r="AB298" s="2571">
        <f t="shared" si="368"/>
        <v>2500</v>
      </c>
      <c r="AC298" s="1444" t="s">
        <v>1261</v>
      </c>
      <c r="AD298" s="1467">
        <v>4502946426</v>
      </c>
      <c r="AE298" s="512"/>
      <c r="AF298" s="497">
        <v>2500</v>
      </c>
      <c r="AG298" s="1396">
        <v>1</v>
      </c>
      <c r="AH298" s="1397">
        <f t="shared" si="370"/>
        <v>2500</v>
      </c>
      <c r="AI298" s="355">
        <f t="shared" ref="AI298" si="374">SUMIF($AM$10:$BZ$10,$AI$9,AM298:BZ298)</f>
        <v>2500</v>
      </c>
      <c r="AJ298" s="351">
        <f t="shared" ref="AJ298" si="375">IF($AB298&lt;&gt;0,AI298/$AB298,"")</f>
        <v>1</v>
      </c>
      <c r="AK298" s="351"/>
      <c r="AL298" s="1398"/>
      <c r="AM298" s="2272"/>
      <c r="AN298" s="2272"/>
      <c r="AO298" s="2826">
        <v>2500</v>
      </c>
      <c r="AP298" s="513"/>
      <c r="AQ298" s="513"/>
      <c r="AR298" s="513"/>
      <c r="AS298" s="513"/>
      <c r="AT298" s="2016"/>
      <c r="AU298" s="513"/>
      <c r="AV298" s="513"/>
      <c r="AW298" s="2023"/>
      <c r="AX298" s="513"/>
      <c r="AY298" s="2323"/>
      <c r="AZ298" s="2273"/>
      <c r="BA298" s="497"/>
      <c r="BB298" s="513"/>
      <c r="BC298" s="513"/>
      <c r="BD298" s="513"/>
      <c r="BE298" s="513"/>
      <c r="BF298" s="513"/>
      <c r="BG298" s="513"/>
      <c r="BH298" s="513"/>
      <c r="BI298" s="513"/>
      <c r="BJ298" s="513"/>
      <c r="BK298" s="2135"/>
      <c r="BL298" s="2113"/>
      <c r="BM298" s="2113"/>
      <c r="BN298" s="2113"/>
      <c r="BO298" s="2113"/>
      <c r="BP298" s="2113"/>
      <c r="BQ298" s="2404"/>
      <c r="BR298" s="513"/>
      <c r="BS298" s="513"/>
      <c r="BT298" s="513"/>
      <c r="BU298" s="513"/>
      <c r="BV298" s="513"/>
      <c r="BW298" s="2236"/>
      <c r="BX298" s="2418"/>
      <c r="BY298" s="2552"/>
      <c r="BZ298" s="2552"/>
      <c r="CA298" s="2435">
        <f t="shared" si="360"/>
        <v>0</v>
      </c>
      <c r="CB298" s="2380">
        <f t="shared" si="361"/>
        <v>0</v>
      </c>
      <c r="CC298" s="365">
        <f t="shared" si="362"/>
        <v>0</v>
      </c>
      <c r="CD298" s="1380" t="str">
        <f t="shared" si="363"/>
        <v>0,00%</v>
      </c>
      <c r="CE298" s="1381">
        <f t="shared" si="364"/>
        <v>-2500</v>
      </c>
      <c r="CF298" s="1381"/>
      <c r="CG298" s="501"/>
      <c r="CH298" s="502"/>
      <c r="CI298" s="503"/>
      <c r="CJ298" s="504"/>
      <c r="CK298" s="505"/>
      <c r="CL298" s="329">
        <f t="shared" si="298"/>
        <v>0</v>
      </c>
      <c r="CM298" s="330">
        <f t="shared" si="299"/>
        <v>0</v>
      </c>
      <c r="CN298" s="331"/>
      <c r="CO298" s="86"/>
      <c r="CP298" s="86"/>
      <c r="CQ298" s="1661"/>
      <c r="CR298" s="1661"/>
      <c r="CS298" s="1661"/>
      <c r="CT298" s="1661"/>
      <c r="CU298" s="1661"/>
      <c r="CV298" s="1661"/>
      <c r="CW298" s="1661"/>
      <c r="CX298" s="1661"/>
      <c r="CY298" s="1661"/>
      <c r="CZ298" s="1661"/>
      <c r="DA298" s="1661"/>
      <c r="DB298" s="235"/>
      <c r="DC298" s="235"/>
      <c r="DD298" s="1662"/>
      <c r="DE298" s="41"/>
      <c r="DF298" s="41"/>
      <c r="DG298" s="1663"/>
      <c r="DH298" s="1663"/>
      <c r="DI298" s="1663"/>
      <c r="DJ298" s="1663"/>
      <c r="DK298" s="1663"/>
      <c r="DL298" s="1663"/>
      <c r="DM298" s="1663"/>
      <c r="DN298" s="1663"/>
      <c r="DO298" s="1663"/>
      <c r="DP298" s="1663"/>
      <c r="DQ298" s="1663"/>
      <c r="DR298" s="1663"/>
      <c r="DS298" s="1663"/>
      <c r="DT298" s="1663"/>
      <c r="DU298" s="1663"/>
      <c r="DV298" s="1663"/>
      <c r="DW298" s="1663"/>
      <c r="DX298" s="1663"/>
      <c r="DY298" s="1663"/>
      <c r="DZ298" s="1663"/>
      <c r="EA298" s="1663"/>
      <c r="EB298" s="1663"/>
      <c r="EC298" s="1663"/>
      <c r="ED298" s="1663"/>
      <c r="EE298" s="1663"/>
      <c r="EF298" s="1663"/>
      <c r="EG298" s="1663"/>
      <c r="EH298" s="41"/>
      <c r="EI298" s="1658"/>
      <c r="EJ298" s="41"/>
      <c r="EK298" s="41"/>
      <c r="EL298" s="41"/>
      <c r="EM298" s="41"/>
      <c r="EN298" s="41"/>
      <c r="EO298" s="41"/>
      <c r="EP298" s="41"/>
      <c r="EQ298" s="41"/>
      <c r="ER298" s="41"/>
      <c r="ES298" s="41"/>
      <c r="ET298" s="41"/>
      <c r="EU298" s="41"/>
      <c r="EV298" s="41"/>
      <c r="EW298" s="41"/>
      <c r="EX298" s="41"/>
      <c r="EY298" s="41"/>
      <c r="EZ298" s="41"/>
      <c r="FA298" s="41"/>
      <c r="FB298" s="41"/>
      <c r="FC298" s="41"/>
      <c r="FD298" s="41"/>
      <c r="FE298" s="41"/>
      <c r="FF298" s="41"/>
      <c r="FG298" s="41"/>
      <c r="FH298" s="41"/>
      <c r="FI298" s="41"/>
      <c r="FJ298" s="41"/>
      <c r="FK298" s="41"/>
      <c r="FL298" s="41"/>
      <c r="FM298" s="41"/>
      <c r="FN298" s="41"/>
      <c r="FO298" s="41"/>
      <c r="FP298" s="41"/>
      <c r="FQ298" s="41"/>
      <c r="FR298" s="41"/>
      <c r="FS298" s="41"/>
      <c r="FT298" s="41"/>
      <c r="FU298" s="41"/>
      <c r="FV298" s="41"/>
      <c r="FW298" s="41"/>
      <c r="FX298" s="41"/>
      <c r="FY298" s="41"/>
      <c r="FZ298" s="41"/>
      <c r="GA298" s="41"/>
      <c r="GB298" s="41"/>
      <c r="GC298" s="41"/>
      <c r="GD298" s="41"/>
      <c r="GE298" s="41"/>
      <c r="GF298" s="41"/>
      <c r="GG298" s="41"/>
      <c r="GH298" s="41"/>
      <c r="GI298" s="41"/>
      <c r="GJ298" s="41"/>
      <c r="GK298" s="41"/>
      <c r="GL298" s="41"/>
      <c r="GM298" s="41"/>
      <c r="GN298" s="41"/>
      <c r="GO298" s="41"/>
      <c r="GP298" s="41"/>
      <c r="GQ298" s="41"/>
      <c r="GR298" s="41"/>
      <c r="GS298" s="41"/>
      <c r="GT298" s="41"/>
      <c r="GU298" s="41"/>
      <c r="GV298" s="41"/>
      <c r="GW298" s="41"/>
      <c r="GX298" s="41"/>
      <c r="GY298" s="41"/>
      <c r="GZ298" s="41"/>
      <c r="HA298" s="41"/>
      <c r="HB298" s="41"/>
      <c r="HC298" s="41"/>
      <c r="HD298" s="41"/>
      <c r="HE298" s="41"/>
      <c r="HF298" s="41"/>
      <c r="HG298" s="41"/>
      <c r="HH298" s="41"/>
      <c r="HI298" s="41"/>
      <c r="HJ298" s="41"/>
      <c r="HK298" s="41"/>
      <c r="HL298" s="41"/>
      <c r="HM298" s="41"/>
      <c r="HN298" s="41"/>
      <c r="HO298" s="41"/>
      <c r="HP298" s="41"/>
      <c r="HQ298" s="41"/>
      <c r="HR298" s="41"/>
      <c r="HS298" s="41"/>
      <c r="HT298" s="41"/>
      <c r="HU298" s="41"/>
      <c r="HV298" s="41"/>
      <c r="HW298" s="41"/>
      <c r="HX298" s="41"/>
      <c r="HY298" s="41"/>
      <c r="HZ298" s="41"/>
      <c r="IA298" s="41"/>
      <c r="IB298" s="41"/>
      <c r="IC298" s="41"/>
      <c r="ID298" s="41"/>
      <c r="IE298" s="41"/>
      <c r="IF298" s="41"/>
      <c r="IG298" s="41"/>
      <c r="IH298" s="41"/>
      <c r="II298" s="41"/>
      <c r="IJ298" s="41"/>
      <c r="IK298" s="41"/>
      <c r="IL298" s="41"/>
      <c r="IM298" s="41"/>
      <c r="IN298" s="41"/>
      <c r="IO298" s="41"/>
      <c r="IP298" s="41"/>
      <c r="IQ298" s="41"/>
      <c r="IR298" s="41"/>
      <c r="IS298" s="41"/>
      <c r="IT298" s="41"/>
      <c r="IU298" s="41"/>
      <c r="IV298" s="41"/>
      <c r="IW298" s="41"/>
      <c r="IX298" s="41"/>
      <c r="IY298" s="41"/>
      <c r="IZ298" s="41"/>
      <c r="JA298" s="41"/>
      <c r="JB298" s="41"/>
      <c r="JC298" s="41"/>
      <c r="JD298" s="41"/>
      <c r="JE298" s="41"/>
      <c r="JF298" s="41"/>
      <c r="JG298" s="41"/>
      <c r="JH298" s="41"/>
      <c r="JI298" s="41"/>
      <c r="JJ298" s="41"/>
      <c r="JK298" s="41"/>
      <c r="JL298" s="41"/>
      <c r="JM298" s="41"/>
      <c r="JN298" s="41"/>
      <c r="JO298" s="41"/>
      <c r="JP298" s="41"/>
      <c r="JQ298" s="41"/>
      <c r="JR298" s="41"/>
      <c r="JS298" s="41"/>
      <c r="JT298" s="41"/>
      <c r="JU298" s="41"/>
      <c r="JV298" s="41"/>
      <c r="JW298" s="41"/>
      <c r="JX298" s="41"/>
      <c r="JY298" s="41"/>
      <c r="JZ298" s="41"/>
      <c r="KA298" s="41"/>
      <c r="KB298" s="41"/>
      <c r="KC298" s="41"/>
      <c r="KD298" s="41"/>
      <c r="KE298" s="41"/>
      <c r="KF298" s="41"/>
      <c r="KG298" s="41"/>
      <c r="KH298" s="41"/>
      <c r="KI298" s="41"/>
      <c r="KJ298" s="41"/>
      <c r="KK298" s="41"/>
      <c r="KL298" s="41"/>
      <c r="KM298" s="41"/>
      <c r="KN298" s="41"/>
      <c r="KO298" s="41"/>
      <c r="KP298" s="1634"/>
    </row>
    <row r="299" spans="1:302" s="256" customFormat="1" ht="25.25" customHeight="1" outlineLevel="1">
      <c r="A299" s="2621" t="s">
        <v>1374</v>
      </c>
      <c r="B299" s="2621"/>
      <c r="C299" s="1359" t="s">
        <v>1375</v>
      </c>
      <c r="D299" s="1359" t="s">
        <v>1260</v>
      </c>
      <c r="E299" s="1400"/>
      <c r="F299" s="506"/>
      <c r="G299" s="506"/>
      <c r="H299" s="1391"/>
      <c r="I299" s="2573"/>
      <c r="J299" s="1672"/>
      <c r="K299" s="1697"/>
      <c r="L299" s="1697"/>
      <c r="M299" s="1698"/>
      <c r="N299" s="1697"/>
      <c r="O299" s="1397">
        <f t="shared" si="366"/>
        <v>0</v>
      </c>
      <c r="P299" s="1694"/>
      <c r="Q299" s="1694"/>
      <c r="R299" s="1694"/>
      <c r="S299" s="1672"/>
      <c r="T299" s="1699"/>
      <c r="U299" s="1700"/>
      <c r="V299" s="1700"/>
      <c r="W299" s="1672">
        <f t="shared" si="367"/>
        <v>0</v>
      </c>
      <c r="X299" s="1672"/>
      <c r="Y299" s="1699"/>
      <c r="Z299" s="1700"/>
      <c r="AA299" s="1699"/>
      <c r="AB299" s="2571">
        <f t="shared" si="368"/>
        <v>2400</v>
      </c>
      <c r="AC299" s="1444" t="s">
        <v>1261</v>
      </c>
      <c r="AD299" s="1467">
        <v>4502946426</v>
      </c>
      <c r="AE299" s="512"/>
      <c r="AF299" s="497">
        <v>2400</v>
      </c>
      <c r="AG299" s="1396">
        <v>1</v>
      </c>
      <c r="AH299" s="1397">
        <f t="shared" si="370"/>
        <v>2400</v>
      </c>
      <c r="AI299" s="355">
        <f t="shared" ref="AI299" si="376">SUMIF($AM$10:$BZ$10,$AI$9,AM299:BZ299)</f>
        <v>0</v>
      </c>
      <c r="AJ299" s="351">
        <f t="shared" ref="AJ299" si="377">IF($AB299&lt;&gt;0,AI299/$AB299,"")</f>
        <v>0</v>
      </c>
      <c r="AK299" s="351"/>
      <c r="AL299" s="1398"/>
      <c r="AM299" s="2272"/>
      <c r="AN299" s="2272"/>
      <c r="AO299" s="513"/>
      <c r="AP299" s="2826">
        <v>2400</v>
      </c>
      <c r="AQ299" s="513"/>
      <c r="AR299" s="513"/>
      <c r="AS299" s="513"/>
      <c r="AT299" s="2016"/>
      <c r="AU299" s="513"/>
      <c r="AV299" s="513"/>
      <c r="AW299" s="2023"/>
      <c r="AX299" s="513"/>
      <c r="AY299" s="2323"/>
      <c r="AZ299" s="2273"/>
      <c r="BA299" s="497"/>
      <c r="BB299" s="513"/>
      <c r="BC299" s="513"/>
      <c r="BD299" s="513"/>
      <c r="BE299" s="513"/>
      <c r="BF299" s="513"/>
      <c r="BG299" s="513"/>
      <c r="BH299" s="513"/>
      <c r="BI299" s="513"/>
      <c r="BJ299" s="513"/>
      <c r="BK299" s="2135"/>
      <c r="BL299" s="2113"/>
      <c r="BM299" s="2113"/>
      <c r="BN299" s="2113"/>
      <c r="BO299" s="2113"/>
      <c r="BP299" s="2113"/>
      <c r="BQ299" s="2404"/>
      <c r="BR299" s="513"/>
      <c r="BS299" s="513"/>
      <c r="BT299" s="513"/>
      <c r="BU299" s="513"/>
      <c r="BV299" s="513"/>
      <c r="BW299" s="2236"/>
      <c r="BX299" s="2418"/>
      <c r="BY299" s="2552"/>
      <c r="BZ299" s="2552"/>
      <c r="CA299" s="2435">
        <f t="shared" si="360"/>
        <v>2400</v>
      </c>
      <c r="CB299" s="2380">
        <f t="shared" si="361"/>
        <v>1</v>
      </c>
      <c r="CC299" s="365">
        <f t="shared" si="362"/>
        <v>4.1666666666666669E-4</v>
      </c>
      <c r="CD299" s="1380" t="str">
        <f t="shared" si="363"/>
        <v>0,00%</v>
      </c>
      <c r="CE299" s="1381">
        <f t="shared" si="364"/>
        <v>-2400</v>
      </c>
      <c r="CF299" s="1381"/>
      <c r="CG299" s="501"/>
      <c r="CH299" s="502"/>
      <c r="CI299" s="503"/>
      <c r="CJ299" s="504"/>
      <c r="CK299" s="505"/>
      <c r="CL299" s="329">
        <f t="shared" si="298"/>
        <v>-2400</v>
      </c>
      <c r="CM299" s="330">
        <f t="shared" si="299"/>
        <v>0</v>
      </c>
      <c r="CN299" s="331"/>
      <c r="CO299" s="86"/>
      <c r="CP299" s="86"/>
      <c r="CQ299" s="1661"/>
      <c r="CR299" s="1661"/>
      <c r="CS299" s="1661"/>
      <c r="CT299" s="1661"/>
      <c r="CU299" s="1661"/>
      <c r="CV299" s="1661"/>
      <c r="CW299" s="1661"/>
      <c r="CX299" s="1661"/>
      <c r="CY299" s="1661"/>
      <c r="CZ299" s="1661"/>
      <c r="DA299" s="1661"/>
      <c r="DB299" s="235"/>
      <c r="DC299" s="235"/>
      <c r="DD299" s="1662"/>
      <c r="DE299" s="41"/>
      <c r="DF299" s="41"/>
      <c r="DG299" s="1663"/>
      <c r="DH299" s="1663"/>
      <c r="DI299" s="1663"/>
      <c r="DJ299" s="1663"/>
      <c r="DK299" s="1663"/>
      <c r="DL299" s="1663"/>
      <c r="DM299" s="1663"/>
      <c r="DN299" s="1663"/>
      <c r="DO299" s="1663"/>
      <c r="DP299" s="1663"/>
      <c r="DQ299" s="1663"/>
      <c r="DR299" s="1663"/>
      <c r="DS299" s="1663"/>
      <c r="DT299" s="1663"/>
      <c r="DU299" s="1663"/>
      <c r="DV299" s="1663"/>
      <c r="DW299" s="1663"/>
      <c r="DX299" s="1663"/>
      <c r="DY299" s="1663"/>
      <c r="DZ299" s="1663"/>
      <c r="EA299" s="1663"/>
      <c r="EB299" s="1663"/>
      <c r="EC299" s="1663"/>
      <c r="ED299" s="1663"/>
      <c r="EE299" s="1663"/>
      <c r="EF299" s="1663"/>
      <c r="EG299" s="1663"/>
      <c r="EH299" s="41"/>
      <c r="EI299" s="1658"/>
      <c r="EJ299" s="41"/>
      <c r="EK299" s="41"/>
      <c r="EL299" s="41"/>
      <c r="EM299" s="41"/>
      <c r="EN299" s="41"/>
      <c r="EO299" s="41"/>
      <c r="EP299" s="41"/>
      <c r="EQ299" s="41"/>
      <c r="ER299" s="41"/>
      <c r="ES299" s="41"/>
      <c r="ET299" s="41"/>
      <c r="EU299" s="41"/>
      <c r="EV299" s="41"/>
      <c r="EW299" s="41"/>
      <c r="EX299" s="41"/>
      <c r="EY299" s="41"/>
      <c r="EZ299" s="41"/>
      <c r="FA299" s="41"/>
      <c r="FB299" s="41"/>
      <c r="FC299" s="41"/>
      <c r="FD299" s="41"/>
      <c r="FE299" s="41"/>
      <c r="FF299" s="41"/>
      <c r="FG299" s="41"/>
      <c r="FH299" s="41"/>
      <c r="FI299" s="41"/>
      <c r="FJ299" s="41"/>
      <c r="FK299" s="41"/>
      <c r="FL299" s="41"/>
      <c r="FM299" s="41"/>
      <c r="FN299" s="41"/>
      <c r="FO299" s="41"/>
      <c r="FP299" s="41"/>
      <c r="FQ299" s="41"/>
      <c r="FR299" s="41"/>
      <c r="FS299" s="41"/>
      <c r="FT299" s="41"/>
      <c r="FU299" s="41"/>
      <c r="FV299" s="41"/>
      <c r="FW299" s="41"/>
      <c r="FX299" s="41"/>
      <c r="FY299" s="41"/>
      <c r="FZ299" s="41"/>
      <c r="GA299" s="41"/>
      <c r="GB299" s="41"/>
      <c r="GC299" s="41"/>
      <c r="GD299" s="41"/>
      <c r="GE299" s="41"/>
      <c r="GF299" s="41"/>
      <c r="GG299" s="41"/>
      <c r="GH299" s="41"/>
      <c r="GI299" s="41"/>
      <c r="GJ299" s="41"/>
      <c r="GK299" s="41"/>
      <c r="GL299" s="41"/>
      <c r="GM299" s="41"/>
      <c r="GN299" s="41"/>
      <c r="GO299" s="41"/>
      <c r="GP299" s="41"/>
      <c r="GQ299" s="41"/>
      <c r="GR299" s="41"/>
      <c r="GS299" s="41"/>
      <c r="GT299" s="41"/>
      <c r="GU299" s="41"/>
      <c r="GV299" s="41"/>
      <c r="GW299" s="41"/>
      <c r="GX299" s="41"/>
      <c r="GY299" s="41"/>
      <c r="GZ299" s="41"/>
      <c r="HA299" s="41"/>
      <c r="HB299" s="41"/>
      <c r="HC299" s="41"/>
      <c r="HD299" s="41"/>
      <c r="HE299" s="41"/>
      <c r="HF299" s="41"/>
      <c r="HG299" s="41"/>
      <c r="HH299" s="41"/>
      <c r="HI299" s="41"/>
      <c r="HJ299" s="41"/>
      <c r="HK299" s="41"/>
      <c r="HL299" s="41"/>
      <c r="HM299" s="41"/>
      <c r="HN299" s="41"/>
      <c r="HO299" s="41"/>
      <c r="HP299" s="41"/>
      <c r="HQ299" s="41"/>
      <c r="HR299" s="41"/>
      <c r="HS299" s="41"/>
      <c r="HT299" s="41"/>
      <c r="HU299" s="41"/>
      <c r="HV299" s="41"/>
      <c r="HW299" s="41"/>
      <c r="HX299" s="41"/>
      <c r="HY299" s="41"/>
      <c r="HZ299" s="41"/>
      <c r="IA299" s="41"/>
      <c r="IB299" s="41"/>
      <c r="IC299" s="41"/>
      <c r="ID299" s="41"/>
      <c r="IE299" s="41"/>
      <c r="IF299" s="41"/>
      <c r="IG299" s="41"/>
      <c r="IH299" s="41"/>
      <c r="II299" s="41"/>
      <c r="IJ299" s="41"/>
      <c r="IK299" s="41"/>
      <c r="IL299" s="41"/>
      <c r="IM299" s="41"/>
      <c r="IN299" s="41"/>
      <c r="IO299" s="41"/>
      <c r="IP299" s="41"/>
      <c r="IQ299" s="41"/>
      <c r="IR299" s="41"/>
      <c r="IS299" s="41"/>
      <c r="IT299" s="41"/>
      <c r="IU299" s="41"/>
      <c r="IV299" s="41"/>
      <c r="IW299" s="41"/>
      <c r="IX299" s="41"/>
      <c r="IY299" s="41"/>
      <c r="IZ299" s="41"/>
      <c r="JA299" s="41"/>
      <c r="JB299" s="41"/>
      <c r="JC299" s="41"/>
      <c r="JD299" s="41"/>
      <c r="JE299" s="41"/>
      <c r="JF299" s="41"/>
      <c r="JG299" s="41"/>
      <c r="JH299" s="41"/>
      <c r="JI299" s="41"/>
      <c r="JJ299" s="41"/>
      <c r="JK299" s="41"/>
      <c r="JL299" s="41"/>
      <c r="JM299" s="41"/>
      <c r="JN299" s="41"/>
      <c r="JO299" s="41"/>
      <c r="JP299" s="41"/>
      <c r="JQ299" s="41"/>
      <c r="JR299" s="41"/>
      <c r="JS299" s="41"/>
      <c r="JT299" s="41"/>
      <c r="JU299" s="41"/>
      <c r="JV299" s="41"/>
      <c r="JW299" s="41"/>
      <c r="JX299" s="41"/>
      <c r="JY299" s="41"/>
      <c r="JZ299" s="41"/>
      <c r="KA299" s="41"/>
      <c r="KB299" s="41"/>
      <c r="KC299" s="41"/>
      <c r="KD299" s="41"/>
      <c r="KE299" s="41"/>
      <c r="KF299" s="41"/>
      <c r="KG299" s="41"/>
      <c r="KH299" s="41"/>
      <c r="KI299" s="41"/>
      <c r="KJ299" s="41"/>
      <c r="KK299" s="41"/>
      <c r="KL299" s="41"/>
      <c r="KM299" s="41"/>
      <c r="KN299" s="41"/>
      <c r="KO299" s="41"/>
      <c r="KP299" s="1634"/>
    </row>
    <row r="300" spans="1:302" s="256" customFormat="1" ht="25.25" customHeight="1" outlineLevel="1">
      <c r="A300" s="2621" t="s">
        <v>1400</v>
      </c>
      <c r="B300" s="2621"/>
      <c r="C300" s="1359" t="s">
        <v>1401</v>
      </c>
      <c r="D300" s="1359"/>
      <c r="E300" s="1400"/>
      <c r="F300" s="506"/>
      <c r="G300" s="506"/>
      <c r="H300" s="1391"/>
      <c r="I300" s="2573"/>
      <c r="J300" s="1672"/>
      <c r="K300" s="1697"/>
      <c r="L300" s="1697"/>
      <c r="M300" s="1698"/>
      <c r="N300" s="1697"/>
      <c r="O300" s="1397">
        <f t="shared" ref="O300:O302" si="378">I300</f>
        <v>0</v>
      </c>
      <c r="P300" s="1694"/>
      <c r="Q300" s="1694"/>
      <c r="R300" s="1694"/>
      <c r="S300" s="1672"/>
      <c r="T300" s="1699"/>
      <c r="U300" s="1700"/>
      <c r="V300" s="1700"/>
      <c r="W300" s="1672">
        <f t="shared" ref="W300:W302" si="379">O300+S300</f>
        <v>0</v>
      </c>
      <c r="X300" s="1672"/>
      <c r="Y300" s="1699"/>
      <c r="Z300" s="1700"/>
      <c r="AA300" s="1699"/>
      <c r="AB300" s="2571">
        <f t="shared" si="368"/>
        <v>1400</v>
      </c>
      <c r="AC300" s="1444" t="s">
        <v>1261</v>
      </c>
      <c r="AD300" s="1467">
        <v>4502946426</v>
      </c>
      <c r="AE300" s="512"/>
      <c r="AF300" s="497">
        <v>1400</v>
      </c>
      <c r="AG300" s="1396">
        <v>1</v>
      </c>
      <c r="AH300" s="1397">
        <f t="shared" ref="AH300:AH302" si="380">+AF300*AG300</f>
        <v>1400</v>
      </c>
      <c r="AI300" s="355">
        <f t="shared" ref="AI300" si="381">SUMIF($AM$10:$BZ$10,$AI$9,AM300:BZ300)</f>
        <v>0</v>
      </c>
      <c r="AJ300" s="351">
        <f t="shared" ref="AJ300" si="382">IF($AB300&lt;&gt;0,AI300/$AB300,"")</f>
        <v>0</v>
      </c>
      <c r="AK300" s="351"/>
      <c r="AL300" s="1398"/>
      <c r="AM300" s="2272"/>
      <c r="AN300" s="2272"/>
      <c r="AO300" s="513"/>
      <c r="AP300" s="2826">
        <v>1400</v>
      </c>
      <c r="AQ300" s="513"/>
      <c r="AR300" s="513"/>
      <c r="AS300" s="513"/>
      <c r="AT300" s="2016"/>
      <c r="AU300" s="513"/>
      <c r="AV300" s="513"/>
      <c r="AW300" s="2023"/>
      <c r="AX300" s="513"/>
      <c r="AY300" s="2323"/>
      <c r="AZ300" s="2273"/>
      <c r="BA300" s="497"/>
      <c r="BB300" s="513"/>
      <c r="BC300" s="513"/>
      <c r="BD300" s="513"/>
      <c r="BE300" s="513"/>
      <c r="BF300" s="513"/>
      <c r="BG300" s="513"/>
      <c r="BH300" s="513"/>
      <c r="BI300" s="513"/>
      <c r="BJ300" s="513"/>
      <c r="BK300" s="2135"/>
      <c r="BL300" s="2113"/>
      <c r="BM300" s="2113"/>
      <c r="BN300" s="2113"/>
      <c r="BO300" s="2113"/>
      <c r="BP300" s="2113"/>
      <c r="BQ300" s="2404"/>
      <c r="BR300" s="513"/>
      <c r="BS300" s="513"/>
      <c r="BT300" s="513"/>
      <c r="BU300" s="513"/>
      <c r="BV300" s="513"/>
      <c r="BW300" s="2236"/>
      <c r="BX300" s="2418"/>
      <c r="BY300" s="2552"/>
      <c r="BZ300" s="2552"/>
      <c r="CA300" s="2435">
        <f t="shared" si="360"/>
        <v>1400</v>
      </c>
      <c r="CB300" s="2380">
        <f t="shared" si="361"/>
        <v>1</v>
      </c>
      <c r="CC300" s="365">
        <f t="shared" si="362"/>
        <v>7.1428571428571429E-4</v>
      </c>
      <c r="CD300" s="1380" t="str">
        <f t="shared" si="363"/>
        <v>0,00%</v>
      </c>
      <c r="CE300" s="1381">
        <f t="shared" si="364"/>
        <v>-1400</v>
      </c>
      <c r="CF300" s="1381"/>
      <c r="CG300" s="501"/>
      <c r="CH300" s="502"/>
      <c r="CI300" s="503"/>
      <c r="CJ300" s="504"/>
      <c r="CK300" s="505"/>
      <c r="CL300" s="329">
        <f t="shared" si="298"/>
        <v>-1400</v>
      </c>
      <c r="CM300" s="330">
        <f t="shared" si="299"/>
        <v>0</v>
      </c>
      <c r="CN300" s="331"/>
      <c r="CO300" s="86"/>
      <c r="CP300" s="86"/>
      <c r="CQ300" s="1661"/>
      <c r="CR300" s="1661"/>
      <c r="CS300" s="1661"/>
      <c r="CT300" s="1661"/>
      <c r="CU300" s="1661"/>
      <c r="CV300" s="1661"/>
      <c r="CW300" s="1661"/>
      <c r="CX300" s="1661"/>
      <c r="CY300" s="1661"/>
      <c r="CZ300" s="1661"/>
      <c r="DA300" s="1661"/>
      <c r="DB300" s="235"/>
      <c r="DC300" s="235"/>
      <c r="DD300" s="1662"/>
      <c r="DE300" s="41"/>
      <c r="DF300" s="41"/>
      <c r="DG300" s="1663"/>
      <c r="DH300" s="1663"/>
      <c r="DI300" s="1663"/>
      <c r="DJ300" s="1663"/>
      <c r="DK300" s="1663"/>
      <c r="DL300" s="1663"/>
      <c r="DM300" s="1663"/>
      <c r="DN300" s="1663"/>
      <c r="DO300" s="1663"/>
      <c r="DP300" s="1663"/>
      <c r="DQ300" s="1663"/>
      <c r="DR300" s="1663"/>
      <c r="DS300" s="1663"/>
      <c r="DT300" s="1663"/>
      <c r="DU300" s="1663"/>
      <c r="DV300" s="1663"/>
      <c r="DW300" s="1663"/>
      <c r="DX300" s="1663"/>
      <c r="DY300" s="1663"/>
      <c r="DZ300" s="1663"/>
      <c r="EA300" s="1663"/>
      <c r="EB300" s="1663"/>
      <c r="EC300" s="1663"/>
      <c r="ED300" s="1663"/>
      <c r="EE300" s="1663"/>
      <c r="EF300" s="1663"/>
      <c r="EG300" s="1663"/>
      <c r="EH300" s="41"/>
      <c r="EI300" s="1658"/>
      <c r="EJ300" s="41"/>
      <c r="EK300" s="41"/>
      <c r="EL300" s="41"/>
      <c r="EM300" s="41"/>
      <c r="EN300" s="41"/>
      <c r="EO300" s="41"/>
      <c r="EP300" s="41"/>
      <c r="EQ300" s="41"/>
      <c r="ER300" s="41"/>
      <c r="ES300" s="41"/>
      <c r="ET300" s="41"/>
      <c r="EU300" s="41"/>
      <c r="EV300" s="41"/>
      <c r="EW300" s="41"/>
      <c r="EX300" s="41"/>
      <c r="EY300" s="41"/>
      <c r="EZ300" s="41"/>
      <c r="FA300" s="41"/>
      <c r="FB300" s="41"/>
      <c r="FC300" s="41"/>
      <c r="FD300" s="41"/>
      <c r="FE300" s="41"/>
      <c r="FF300" s="41"/>
      <c r="FG300" s="41"/>
      <c r="FH300" s="41"/>
      <c r="FI300" s="41"/>
      <c r="FJ300" s="41"/>
      <c r="FK300" s="41"/>
      <c r="FL300" s="41"/>
      <c r="FM300" s="41"/>
      <c r="FN300" s="41"/>
      <c r="FO300" s="41"/>
      <c r="FP300" s="41"/>
      <c r="FQ300" s="41"/>
      <c r="FR300" s="41"/>
      <c r="FS300" s="41"/>
      <c r="FT300" s="41"/>
      <c r="FU300" s="41"/>
      <c r="FV300" s="41"/>
      <c r="FW300" s="41"/>
      <c r="FX300" s="41"/>
      <c r="FY300" s="41"/>
      <c r="FZ300" s="41"/>
      <c r="GA300" s="41"/>
      <c r="GB300" s="41"/>
      <c r="GC300" s="41"/>
      <c r="GD300" s="41"/>
      <c r="GE300" s="41"/>
      <c r="GF300" s="41"/>
      <c r="GG300" s="41"/>
      <c r="GH300" s="41"/>
      <c r="GI300" s="41"/>
      <c r="GJ300" s="41"/>
      <c r="GK300" s="41"/>
      <c r="GL300" s="41"/>
      <c r="GM300" s="41"/>
      <c r="GN300" s="41"/>
      <c r="GO300" s="41"/>
      <c r="GP300" s="41"/>
      <c r="GQ300" s="41"/>
      <c r="GR300" s="41"/>
      <c r="GS300" s="41"/>
      <c r="GT300" s="41"/>
      <c r="GU300" s="41"/>
      <c r="GV300" s="41"/>
      <c r="GW300" s="41"/>
      <c r="GX300" s="41"/>
      <c r="GY300" s="41"/>
      <c r="GZ300" s="41"/>
      <c r="HA300" s="41"/>
      <c r="HB300" s="41"/>
      <c r="HC300" s="41"/>
      <c r="HD300" s="41"/>
      <c r="HE300" s="41"/>
      <c r="HF300" s="41"/>
      <c r="HG300" s="41"/>
      <c r="HH300" s="41"/>
      <c r="HI300" s="41"/>
      <c r="HJ300" s="41"/>
      <c r="HK300" s="41"/>
      <c r="HL300" s="41"/>
      <c r="HM300" s="41"/>
      <c r="HN300" s="41"/>
      <c r="HO300" s="41"/>
      <c r="HP300" s="41"/>
      <c r="HQ300" s="41"/>
      <c r="HR300" s="41"/>
      <c r="HS300" s="41"/>
      <c r="HT300" s="41"/>
      <c r="HU300" s="41"/>
      <c r="HV300" s="41"/>
      <c r="HW300" s="41"/>
      <c r="HX300" s="41"/>
      <c r="HY300" s="41"/>
      <c r="HZ300" s="41"/>
      <c r="IA300" s="41"/>
      <c r="IB300" s="41"/>
      <c r="IC300" s="41"/>
      <c r="ID300" s="41"/>
      <c r="IE300" s="41"/>
      <c r="IF300" s="41"/>
      <c r="IG300" s="41"/>
      <c r="IH300" s="41"/>
      <c r="II300" s="41"/>
      <c r="IJ300" s="41"/>
      <c r="IK300" s="41"/>
      <c r="IL300" s="41"/>
      <c r="IM300" s="41"/>
      <c r="IN300" s="41"/>
      <c r="IO300" s="41"/>
      <c r="IP300" s="41"/>
      <c r="IQ300" s="41"/>
      <c r="IR300" s="41"/>
      <c r="IS300" s="41"/>
      <c r="IT300" s="41"/>
      <c r="IU300" s="41"/>
      <c r="IV300" s="41"/>
      <c r="IW300" s="41"/>
      <c r="IX300" s="41"/>
      <c r="IY300" s="41"/>
      <c r="IZ300" s="41"/>
      <c r="JA300" s="41"/>
      <c r="JB300" s="41"/>
      <c r="JC300" s="41"/>
      <c r="JD300" s="41"/>
      <c r="JE300" s="41"/>
      <c r="JF300" s="41"/>
      <c r="JG300" s="41"/>
      <c r="JH300" s="41"/>
      <c r="JI300" s="41"/>
      <c r="JJ300" s="41"/>
      <c r="JK300" s="41"/>
      <c r="JL300" s="41"/>
      <c r="JM300" s="41"/>
      <c r="JN300" s="41"/>
      <c r="JO300" s="41"/>
      <c r="JP300" s="41"/>
      <c r="JQ300" s="41"/>
      <c r="JR300" s="41"/>
      <c r="JS300" s="41"/>
      <c r="JT300" s="41"/>
      <c r="JU300" s="41"/>
      <c r="JV300" s="41"/>
      <c r="JW300" s="41"/>
      <c r="JX300" s="41"/>
      <c r="JY300" s="41"/>
      <c r="JZ300" s="41"/>
      <c r="KA300" s="41"/>
      <c r="KB300" s="41"/>
      <c r="KC300" s="41"/>
      <c r="KD300" s="41"/>
      <c r="KE300" s="41"/>
      <c r="KF300" s="41"/>
      <c r="KG300" s="41"/>
      <c r="KH300" s="41"/>
      <c r="KI300" s="41"/>
      <c r="KJ300" s="41"/>
      <c r="KK300" s="41"/>
      <c r="KL300" s="41"/>
      <c r="KM300" s="41"/>
      <c r="KN300" s="41"/>
      <c r="KO300" s="41"/>
      <c r="KP300" s="1634"/>
    </row>
    <row r="301" spans="1:302" s="256" customFormat="1" ht="25.25" customHeight="1" outlineLevel="1">
      <c r="A301" s="2621" t="s">
        <v>1405</v>
      </c>
      <c r="B301" s="2621"/>
      <c r="C301" s="1359" t="s">
        <v>1413</v>
      </c>
      <c r="D301" s="1359"/>
      <c r="E301" s="1400"/>
      <c r="F301" s="506"/>
      <c r="G301" s="506"/>
      <c r="H301" s="1391"/>
      <c r="I301" s="2573"/>
      <c r="J301" s="1672"/>
      <c r="K301" s="1697"/>
      <c r="L301" s="1697"/>
      <c r="M301" s="1698"/>
      <c r="N301" s="1697"/>
      <c r="O301" s="1397">
        <f t="shared" si="378"/>
        <v>0</v>
      </c>
      <c r="P301" s="1694"/>
      <c r="Q301" s="1694"/>
      <c r="R301" s="1694"/>
      <c r="S301" s="1672"/>
      <c r="T301" s="1699"/>
      <c r="U301" s="1700"/>
      <c r="V301" s="1700"/>
      <c r="W301" s="1672">
        <f t="shared" si="379"/>
        <v>0</v>
      </c>
      <c r="X301" s="1672"/>
      <c r="Y301" s="1699"/>
      <c r="Z301" s="1700"/>
      <c r="AA301" s="1699"/>
      <c r="AB301" s="2571">
        <f t="shared" si="368"/>
        <v>23904</v>
      </c>
      <c r="AC301" s="1444" t="s">
        <v>1406</v>
      </c>
      <c r="AD301" s="1467">
        <v>4503007260</v>
      </c>
      <c r="AE301" s="512"/>
      <c r="AF301" s="497">
        <v>23904</v>
      </c>
      <c r="AG301" s="1396">
        <v>1</v>
      </c>
      <c r="AH301" s="1397">
        <f t="shared" si="380"/>
        <v>23904</v>
      </c>
      <c r="AI301" s="355">
        <v>0</v>
      </c>
      <c r="AJ301" s="351">
        <v>0</v>
      </c>
      <c r="AK301" s="351"/>
      <c r="AL301" s="1398"/>
      <c r="AM301" s="2272"/>
      <c r="AN301" s="2272"/>
      <c r="AO301" s="513"/>
      <c r="AP301" s="513"/>
      <c r="AQ301" s="513">
        <f>AF301/9</f>
        <v>2656</v>
      </c>
      <c r="AR301" s="513">
        <v>2656</v>
      </c>
      <c r="AS301" s="513">
        <v>2656</v>
      </c>
      <c r="AT301" s="2016">
        <v>2656</v>
      </c>
      <c r="AU301" s="513">
        <v>2656</v>
      </c>
      <c r="AV301" s="513">
        <v>2656</v>
      </c>
      <c r="AW301" s="2023">
        <v>2656</v>
      </c>
      <c r="AX301" s="513">
        <v>2656</v>
      </c>
      <c r="AY301" s="2323">
        <v>2656</v>
      </c>
      <c r="AZ301" s="2273"/>
      <c r="BA301" s="497"/>
      <c r="BB301" s="513"/>
      <c r="BC301" s="513"/>
      <c r="BD301" s="513"/>
      <c r="BE301" s="513"/>
      <c r="BF301" s="513"/>
      <c r="BG301" s="513"/>
      <c r="BH301" s="513"/>
      <c r="BI301" s="513"/>
      <c r="BJ301" s="513"/>
      <c r="BK301" s="2135"/>
      <c r="BL301" s="2113"/>
      <c r="BM301" s="2113"/>
      <c r="BN301" s="2113"/>
      <c r="BO301" s="2113"/>
      <c r="BP301" s="2113"/>
      <c r="BQ301" s="2404"/>
      <c r="BR301" s="513"/>
      <c r="BS301" s="513"/>
      <c r="BT301" s="513"/>
      <c r="BU301" s="513"/>
      <c r="BV301" s="513"/>
      <c r="BW301" s="2236"/>
      <c r="BX301" s="2418"/>
      <c r="BY301" s="2552"/>
      <c r="BZ301" s="2552"/>
      <c r="CA301" s="2435">
        <f t="shared" ref="CA301:CA307" si="383">SUMIF($AM$10:$BZ$10,$CA$9,AM301:BZ301)</f>
        <v>23904</v>
      </c>
      <c r="CB301" s="2380">
        <f t="shared" ref="CB301:CB307" si="384">IF($AB301&lt;&gt;0,CA301/$AB301,"")</f>
        <v>1</v>
      </c>
      <c r="CC301" s="365">
        <f t="shared" ref="CC301:CC307" si="385">IF($AB301&lt;&gt;0,CB301/$AB301,"")</f>
        <v>4.183400267737617E-5</v>
      </c>
      <c r="CD301" s="1380" t="str">
        <f t="shared" ref="CD301:CD307" si="386">IF($W301&lt;&gt;0,(CE301)/$W301,"0,00%")</f>
        <v>0,00%</v>
      </c>
      <c r="CE301" s="1381">
        <f t="shared" ref="CE301:CE307" si="387">W301-AB301</f>
        <v>-23904</v>
      </c>
      <c r="CF301" s="1381"/>
      <c r="CG301" s="501"/>
      <c r="CH301" s="502"/>
      <c r="CI301" s="503"/>
      <c r="CJ301" s="504"/>
      <c r="CK301" s="505"/>
      <c r="CL301" s="329">
        <f t="shared" si="298"/>
        <v>-23904</v>
      </c>
      <c r="CM301" s="330">
        <f t="shared" si="299"/>
        <v>0</v>
      </c>
      <c r="CN301" s="331"/>
      <c r="CO301" s="86"/>
      <c r="CP301" s="86"/>
      <c r="CQ301" s="1661"/>
      <c r="CR301" s="1661"/>
      <c r="CS301" s="1661"/>
      <c r="CT301" s="1661"/>
      <c r="CU301" s="1661"/>
      <c r="CV301" s="1661"/>
      <c r="CW301" s="1661"/>
      <c r="CX301" s="1661"/>
      <c r="CY301" s="1661"/>
      <c r="CZ301" s="1661"/>
      <c r="DA301" s="1661"/>
      <c r="DB301" s="235"/>
      <c r="DC301" s="235"/>
      <c r="DD301" s="1662"/>
      <c r="DE301" s="41"/>
      <c r="DF301" s="41"/>
      <c r="DG301" s="1663"/>
      <c r="DH301" s="1663"/>
      <c r="DI301" s="1663"/>
      <c r="DJ301" s="1663"/>
      <c r="DK301" s="1663"/>
      <c r="DL301" s="1663"/>
      <c r="DM301" s="1663"/>
      <c r="DN301" s="1663"/>
      <c r="DO301" s="1663"/>
      <c r="DP301" s="1663"/>
      <c r="DQ301" s="1663"/>
      <c r="DR301" s="1663"/>
      <c r="DS301" s="1663"/>
      <c r="DT301" s="1663"/>
      <c r="DU301" s="1663"/>
      <c r="DV301" s="1663"/>
      <c r="DW301" s="1663"/>
      <c r="DX301" s="1663"/>
      <c r="DY301" s="1663"/>
      <c r="DZ301" s="1663"/>
      <c r="EA301" s="1663"/>
      <c r="EB301" s="1663"/>
      <c r="EC301" s="1663"/>
      <c r="ED301" s="1663"/>
      <c r="EE301" s="1663"/>
      <c r="EF301" s="1663"/>
      <c r="EG301" s="1663"/>
      <c r="EH301" s="41"/>
      <c r="EI301" s="1658"/>
      <c r="EJ301" s="41"/>
      <c r="EK301" s="41"/>
      <c r="EL301" s="41"/>
      <c r="EM301" s="41"/>
      <c r="EN301" s="41"/>
      <c r="EO301" s="41"/>
      <c r="EP301" s="41"/>
      <c r="EQ301" s="41"/>
      <c r="ER301" s="41"/>
      <c r="ES301" s="41"/>
      <c r="ET301" s="41"/>
      <c r="EU301" s="41"/>
      <c r="EV301" s="41"/>
      <c r="EW301" s="41"/>
      <c r="EX301" s="41"/>
      <c r="EY301" s="41"/>
      <c r="EZ301" s="41"/>
      <c r="FA301" s="41"/>
      <c r="FB301" s="41"/>
      <c r="FC301" s="41"/>
      <c r="FD301" s="41"/>
      <c r="FE301" s="41"/>
      <c r="FF301" s="41"/>
      <c r="FG301" s="41"/>
      <c r="FH301" s="41"/>
      <c r="FI301" s="41"/>
      <c r="FJ301" s="41"/>
      <c r="FK301" s="41"/>
      <c r="FL301" s="41"/>
      <c r="FM301" s="41"/>
      <c r="FN301" s="41"/>
      <c r="FO301" s="41"/>
      <c r="FP301" s="41"/>
      <c r="FQ301" s="41"/>
      <c r="FR301" s="41"/>
      <c r="FS301" s="41"/>
      <c r="FT301" s="41"/>
      <c r="FU301" s="41"/>
      <c r="FV301" s="41"/>
      <c r="FW301" s="41"/>
      <c r="FX301" s="41"/>
      <c r="FY301" s="41"/>
      <c r="FZ301" s="41"/>
      <c r="GA301" s="41"/>
      <c r="GB301" s="41"/>
      <c r="GC301" s="41"/>
      <c r="GD301" s="41"/>
      <c r="GE301" s="41"/>
      <c r="GF301" s="41"/>
      <c r="GG301" s="41"/>
      <c r="GH301" s="41"/>
      <c r="GI301" s="41"/>
      <c r="GJ301" s="41"/>
      <c r="GK301" s="41"/>
      <c r="GL301" s="41"/>
      <c r="GM301" s="41"/>
      <c r="GN301" s="41"/>
      <c r="GO301" s="41"/>
      <c r="GP301" s="41"/>
      <c r="GQ301" s="41"/>
      <c r="GR301" s="41"/>
      <c r="GS301" s="41"/>
      <c r="GT301" s="41"/>
      <c r="GU301" s="41"/>
      <c r="GV301" s="41"/>
      <c r="GW301" s="41"/>
      <c r="GX301" s="41"/>
      <c r="GY301" s="41"/>
      <c r="GZ301" s="41"/>
      <c r="HA301" s="41"/>
      <c r="HB301" s="41"/>
      <c r="HC301" s="41"/>
      <c r="HD301" s="41"/>
      <c r="HE301" s="41"/>
      <c r="HF301" s="41"/>
      <c r="HG301" s="41"/>
      <c r="HH301" s="41"/>
      <c r="HI301" s="41"/>
      <c r="HJ301" s="41"/>
      <c r="HK301" s="41"/>
      <c r="HL301" s="41"/>
      <c r="HM301" s="41"/>
      <c r="HN301" s="41"/>
      <c r="HO301" s="41"/>
      <c r="HP301" s="41"/>
      <c r="HQ301" s="41"/>
      <c r="HR301" s="41"/>
      <c r="HS301" s="41"/>
      <c r="HT301" s="41"/>
      <c r="HU301" s="41"/>
      <c r="HV301" s="41"/>
      <c r="HW301" s="41"/>
      <c r="HX301" s="41"/>
      <c r="HY301" s="41"/>
      <c r="HZ301" s="41"/>
      <c r="IA301" s="41"/>
      <c r="IB301" s="41"/>
      <c r="IC301" s="41"/>
      <c r="ID301" s="41"/>
      <c r="IE301" s="41"/>
      <c r="IF301" s="41"/>
      <c r="IG301" s="41"/>
      <c r="IH301" s="41"/>
      <c r="II301" s="41"/>
      <c r="IJ301" s="41"/>
      <c r="IK301" s="41"/>
      <c r="IL301" s="41"/>
      <c r="IM301" s="41"/>
      <c r="IN301" s="41"/>
      <c r="IO301" s="41"/>
      <c r="IP301" s="41"/>
      <c r="IQ301" s="41"/>
      <c r="IR301" s="41"/>
      <c r="IS301" s="41"/>
      <c r="IT301" s="41"/>
      <c r="IU301" s="41"/>
      <c r="IV301" s="41"/>
      <c r="IW301" s="41"/>
      <c r="IX301" s="41"/>
      <c r="IY301" s="41"/>
      <c r="IZ301" s="41"/>
      <c r="JA301" s="41"/>
      <c r="JB301" s="41"/>
      <c r="JC301" s="41"/>
      <c r="JD301" s="41"/>
      <c r="JE301" s="41"/>
      <c r="JF301" s="41"/>
      <c r="JG301" s="41"/>
      <c r="JH301" s="41"/>
      <c r="JI301" s="41"/>
      <c r="JJ301" s="41"/>
      <c r="JK301" s="41"/>
      <c r="JL301" s="41"/>
      <c r="JM301" s="41"/>
      <c r="JN301" s="41"/>
      <c r="JO301" s="41"/>
      <c r="JP301" s="41"/>
      <c r="JQ301" s="41"/>
      <c r="JR301" s="41"/>
      <c r="JS301" s="41"/>
      <c r="JT301" s="41"/>
      <c r="JU301" s="41"/>
      <c r="JV301" s="41"/>
      <c r="JW301" s="41"/>
      <c r="JX301" s="41"/>
      <c r="JY301" s="41"/>
      <c r="JZ301" s="41"/>
      <c r="KA301" s="41"/>
      <c r="KB301" s="41"/>
      <c r="KC301" s="41"/>
      <c r="KD301" s="41"/>
      <c r="KE301" s="41"/>
      <c r="KF301" s="41"/>
      <c r="KG301" s="41"/>
      <c r="KH301" s="41"/>
      <c r="KI301" s="41"/>
      <c r="KJ301" s="41"/>
      <c r="KK301" s="41"/>
      <c r="KL301" s="41"/>
      <c r="KM301" s="41"/>
      <c r="KN301" s="41"/>
      <c r="KO301" s="41"/>
      <c r="KP301" s="1634"/>
    </row>
    <row r="302" spans="1:302" s="256" customFormat="1" ht="25.25" customHeight="1" outlineLevel="1">
      <c r="A302" s="2622" t="s">
        <v>1414</v>
      </c>
      <c r="B302" s="2621"/>
      <c r="C302" s="1359" t="s">
        <v>1415</v>
      </c>
      <c r="D302" s="1359"/>
      <c r="E302" s="1400"/>
      <c r="F302" s="506"/>
      <c r="G302" s="506"/>
      <c r="H302" s="1391"/>
      <c r="I302" s="2573"/>
      <c r="J302" s="1672"/>
      <c r="K302" s="1697"/>
      <c r="L302" s="1697"/>
      <c r="M302" s="1698"/>
      <c r="N302" s="1697"/>
      <c r="O302" s="1397">
        <f t="shared" si="378"/>
        <v>0</v>
      </c>
      <c r="P302" s="1694"/>
      <c r="Q302" s="1694"/>
      <c r="R302" s="1694"/>
      <c r="S302" s="1672"/>
      <c r="T302" s="1699"/>
      <c r="U302" s="1700"/>
      <c r="V302" s="1700"/>
      <c r="W302" s="1672">
        <f t="shared" si="379"/>
        <v>0</v>
      </c>
      <c r="X302" s="1672"/>
      <c r="Y302" s="1699"/>
      <c r="Z302" s="1700"/>
      <c r="AA302" s="1699"/>
      <c r="AB302" s="2571">
        <f t="shared" si="368"/>
        <v>500</v>
      </c>
      <c r="AC302" s="1444" t="s">
        <v>1261</v>
      </c>
      <c r="AD302" s="1467">
        <v>4502946426</v>
      </c>
      <c r="AE302" s="512"/>
      <c r="AF302" s="497">
        <v>500</v>
      </c>
      <c r="AG302" s="1396">
        <v>1</v>
      </c>
      <c r="AH302" s="1397">
        <f t="shared" si="380"/>
        <v>500</v>
      </c>
      <c r="AI302" s="355">
        <v>0</v>
      </c>
      <c r="AJ302" s="351">
        <v>0</v>
      </c>
      <c r="AK302" s="351"/>
      <c r="AL302" s="1398"/>
      <c r="AM302" s="2272"/>
      <c r="AN302" s="2272"/>
      <c r="AO302" s="513"/>
      <c r="AP302" s="2826">
        <v>500</v>
      </c>
      <c r="AQ302" s="513"/>
      <c r="AR302" s="513"/>
      <c r="AS302" s="513"/>
      <c r="AT302" s="2016"/>
      <c r="AU302" s="513"/>
      <c r="AV302" s="513"/>
      <c r="AW302" s="2023"/>
      <c r="AX302" s="513"/>
      <c r="AY302" s="2323"/>
      <c r="AZ302" s="2273"/>
      <c r="BA302" s="497"/>
      <c r="BB302" s="513"/>
      <c r="BC302" s="513"/>
      <c r="BD302" s="513"/>
      <c r="BE302" s="513"/>
      <c r="BF302" s="513"/>
      <c r="BG302" s="513"/>
      <c r="BH302" s="513"/>
      <c r="BI302" s="513"/>
      <c r="BJ302" s="513"/>
      <c r="BK302" s="2135"/>
      <c r="BL302" s="2113"/>
      <c r="BM302" s="2113"/>
      <c r="BN302" s="2113"/>
      <c r="BO302" s="2113"/>
      <c r="BP302" s="2113"/>
      <c r="BQ302" s="2404"/>
      <c r="BR302" s="513"/>
      <c r="BS302" s="513"/>
      <c r="BT302" s="513"/>
      <c r="BU302" s="513"/>
      <c r="BV302" s="513"/>
      <c r="BW302" s="2236"/>
      <c r="BX302" s="2418"/>
      <c r="BY302" s="2552"/>
      <c r="BZ302" s="2552"/>
      <c r="CA302" s="2435">
        <f t="shared" si="383"/>
        <v>500</v>
      </c>
      <c r="CB302" s="2380">
        <f t="shared" si="384"/>
        <v>1</v>
      </c>
      <c r="CC302" s="365">
        <f t="shared" si="385"/>
        <v>2E-3</v>
      </c>
      <c r="CD302" s="1380" t="str">
        <f t="shared" si="386"/>
        <v>0,00%</v>
      </c>
      <c r="CE302" s="1381">
        <f t="shared" si="387"/>
        <v>-500</v>
      </c>
      <c r="CF302" s="1381"/>
      <c r="CG302" s="501"/>
      <c r="CH302" s="502"/>
      <c r="CI302" s="503"/>
      <c r="CJ302" s="504"/>
      <c r="CK302" s="505"/>
      <c r="CL302" s="329">
        <f t="shared" si="298"/>
        <v>-500</v>
      </c>
      <c r="CM302" s="330">
        <f t="shared" si="299"/>
        <v>0</v>
      </c>
      <c r="CN302" s="331"/>
      <c r="CO302" s="86"/>
      <c r="CP302" s="86"/>
      <c r="CQ302" s="1661"/>
      <c r="CR302" s="1661"/>
      <c r="CS302" s="1661"/>
      <c r="CT302" s="1661"/>
      <c r="CU302" s="1661"/>
      <c r="CV302" s="1661"/>
      <c r="CW302" s="1661"/>
      <c r="CX302" s="1661"/>
      <c r="CY302" s="1661"/>
      <c r="CZ302" s="1661"/>
      <c r="DA302" s="1661"/>
      <c r="DB302" s="235"/>
      <c r="DC302" s="235"/>
      <c r="DD302" s="1662"/>
      <c r="DE302" s="41"/>
      <c r="DF302" s="41"/>
      <c r="DG302" s="1663"/>
      <c r="DH302" s="1663"/>
      <c r="DI302" s="1663"/>
      <c r="DJ302" s="1663"/>
      <c r="DK302" s="1663"/>
      <c r="DL302" s="1663"/>
      <c r="DM302" s="1663"/>
      <c r="DN302" s="1663"/>
      <c r="DO302" s="1663"/>
      <c r="DP302" s="1663"/>
      <c r="DQ302" s="1663"/>
      <c r="DR302" s="1663"/>
      <c r="DS302" s="1663"/>
      <c r="DT302" s="1663"/>
      <c r="DU302" s="1663"/>
      <c r="DV302" s="1663"/>
      <c r="DW302" s="1663"/>
      <c r="DX302" s="1663"/>
      <c r="DY302" s="1663"/>
      <c r="DZ302" s="1663"/>
      <c r="EA302" s="1663"/>
      <c r="EB302" s="1663"/>
      <c r="EC302" s="1663"/>
      <c r="ED302" s="1663"/>
      <c r="EE302" s="1663"/>
      <c r="EF302" s="1663"/>
      <c r="EG302" s="1663"/>
      <c r="EH302" s="41"/>
      <c r="EI302" s="1658"/>
      <c r="EJ302" s="41"/>
      <c r="EK302" s="41"/>
      <c r="EL302" s="41"/>
      <c r="EM302" s="41"/>
      <c r="EN302" s="41"/>
      <c r="EO302" s="41"/>
      <c r="EP302" s="41"/>
      <c r="EQ302" s="41"/>
      <c r="ER302" s="41"/>
      <c r="ES302" s="41"/>
      <c r="ET302" s="41"/>
      <c r="EU302" s="41"/>
      <c r="EV302" s="41"/>
      <c r="EW302" s="41"/>
      <c r="EX302" s="41"/>
      <c r="EY302" s="41"/>
      <c r="EZ302" s="41"/>
      <c r="FA302" s="41"/>
      <c r="FB302" s="41"/>
      <c r="FC302" s="41"/>
      <c r="FD302" s="41"/>
      <c r="FE302" s="41"/>
      <c r="FF302" s="41"/>
      <c r="FG302" s="41"/>
      <c r="FH302" s="41"/>
      <c r="FI302" s="41"/>
      <c r="FJ302" s="41"/>
      <c r="FK302" s="41"/>
      <c r="FL302" s="41"/>
      <c r="FM302" s="41"/>
      <c r="FN302" s="41"/>
      <c r="FO302" s="41"/>
      <c r="FP302" s="41"/>
      <c r="FQ302" s="41"/>
      <c r="FR302" s="41"/>
      <c r="FS302" s="41"/>
      <c r="FT302" s="41"/>
      <c r="FU302" s="41"/>
      <c r="FV302" s="41"/>
      <c r="FW302" s="41"/>
      <c r="FX302" s="41"/>
      <c r="FY302" s="41"/>
      <c r="FZ302" s="41"/>
      <c r="GA302" s="41"/>
      <c r="GB302" s="41"/>
      <c r="GC302" s="41"/>
      <c r="GD302" s="41"/>
      <c r="GE302" s="41"/>
      <c r="GF302" s="41"/>
      <c r="GG302" s="41"/>
      <c r="GH302" s="41"/>
      <c r="GI302" s="41"/>
      <c r="GJ302" s="41"/>
      <c r="GK302" s="41"/>
      <c r="GL302" s="41"/>
      <c r="GM302" s="41"/>
      <c r="GN302" s="41"/>
      <c r="GO302" s="41"/>
      <c r="GP302" s="41"/>
      <c r="GQ302" s="41"/>
      <c r="GR302" s="41"/>
      <c r="GS302" s="41"/>
      <c r="GT302" s="41"/>
      <c r="GU302" s="41"/>
      <c r="GV302" s="41"/>
      <c r="GW302" s="41"/>
      <c r="GX302" s="41"/>
      <c r="GY302" s="41"/>
      <c r="GZ302" s="41"/>
      <c r="HA302" s="41"/>
      <c r="HB302" s="41"/>
      <c r="HC302" s="41"/>
      <c r="HD302" s="41"/>
      <c r="HE302" s="41"/>
      <c r="HF302" s="41"/>
      <c r="HG302" s="41"/>
      <c r="HH302" s="41"/>
      <c r="HI302" s="41"/>
      <c r="HJ302" s="41"/>
      <c r="HK302" s="41"/>
      <c r="HL302" s="41"/>
      <c r="HM302" s="41"/>
      <c r="HN302" s="41"/>
      <c r="HO302" s="41"/>
      <c r="HP302" s="41"/>
      <c r="HQ302" s="41"/>
      <c r="HR302" s="41"/>
      <c r="HS302" s="41"/>
      <c r="HT302" s="41"/>
      <c r="HU302" s="41"/>
      <c r="HV302" s="41"/>
      <c r="HW302" s="41"/>
      <c r="HX302" s="41"/>
      <c r="HY302" s="41"/>
      <c r="HZ302" s="41"/>
      <c r="IA302" s="41"/>
      <c r="IB302" s="41"/>
      <c r="IC302" s="41"/>
      <c r="ID302" s="41"/>
      <c r="IE302" s="41"/>
      <c r="IF302" s="41"/>
      <c r="IG302" s="41"/>
      <c r="IH302" s="41"/>
      <c r="II302" s="41"/>
      <c r="IJ302" s="41"/>
      <c r="IK302" s="41"/>
      <c r="IL302" s="41"/>
      <c r="IM302" s="41"/>
      <c r="IN302" s="41"/>
      <c r="IO302" s="41"/>
      <c r="IP302" s="41"/>
      <c r="IQ302" s="41"/>
      <c r="IR302" s="41"/>
      <c r="IS302" s="41"/>
      <c r="IT302" s="41"/>
      <c r="IU302" s="41"/>
      <c r="IV302" s="41"/>
      <c r="IW302" s="41"/>
      <c r="IX302" s="41"/>
      <c r="IY302" s="41"/>
      <c r="IZ302" s="41"/>
      <c r="JA302" s="41"/>
      <c r="JB302" s="41"/>
      <c r="JC302" s="41"/>
      <c r="JD302" s="41"/>
      <c r="JE302" s="41"/>
      <c r="JF302" s="41"/>
      <c r="JG302" s="41"/>
      <c r="JH302" s="41"/>
      <c r="JI302" s="41"/>
      <c r="JJ302" s="41"/>
      <c r="JK302" s="41"/>
      <c r="JL302" s="41"/>
      <c r="JM302" s="41"/>
      <c r="JN302" s="41"/>
      <c r="JO302" s="41"/>
      <c r="JP302" s="41"/>
      <c r="JQ302" s="41"/>
      <c r="JR302" s="41"/>
      <c r="JS302" s="41"/>
      <c r="JT302" s="41"/>
      <c r="JU302" s="41"/>
      <c r="JV302" s="41"/>
      <c r="JW302" s="41"/>
      <c r="JX302" s="41"/>
      <c r="JY302" s="41"/>
      <c r="JZ302" s="41"/>
      <c r="KA302" s="41"/>
      <c r="KB302" s="41"/>
      <c r="KC302" s="41"/>
      <c r="KD302" s="41"/>
      <c r="KE302" s="41"/>
      <c r="KF302" s="41"/>
      <c r="KG302" s="41"/>
      <c r="KH302" s="41"/>
      <c r="KI302" s="41"/>
      <c r="KJ302" s="41"/>
      <c r="KK302" s="41"/>
      <c r="KL302" s="41"/>
      <c r="KM302" s="41"/>
      <c r="KN302" s="41"/>
      <c r="KO302" s="41"/>
      <c r="KP302" s="1634"/>
    </row>
    <row r="303" spans="1:302" s="256" customFormat="1" ht="25.25" customHeight="1" outlineLevel="1">
      <c r="A303" s="2622" t="s">
        <v>1431</v>
      </c>
      <c r="B303" s="2621"/>
      <c r="C303" s="1359"/>
      <c r="D303" s="1359"/>
      <c r="E303" s="1400"/>
      <c r="F303" s="506"/>
      <c r="G303" s="506"/>
      <c r="H303" s="1391"/>
      <c r="I303" s="2573"/>
      <c r="J303" s="1672"/>
      <c r="K303" s="1697"/>
      <c r="L303" s="1697"/>
      <c r="M303" s="1698"/>
      <c r="N303" s="1697"/>
      <c r="O303" s="1397"/>
      <c r="P303" s="1694"/>
      <c r="Q303" s="1694"/>
      <c r="R303" s="1694"/>
      <c r="S303" s="1672"/>
      <c r="T303" s="1699"/>
      <c r="U303" s="1700"/>
      <c r="V303" s="1700"/>
      <c r="W303" s="1672"/>
      <c r="X303" s="1672"/>
      <c r="Y303" s="1699"/>
      <c r="Z303" s="1700"/>
      <c r="AA303" s="1699"/>
      <c r="AB303" s="2571"/>
      <c r="AC303" s="1444"/>
      <c r="AD303" s="1467"/>
      <c r="AE303" s="512"/>
      <c r="AF303" s="497"/>
      <c r="AG303" s="1396"/>
      <c r="AH303" s="1397"/>
      <c r="AI303" s="355"/>
      <c r="AJ303" s="351"/>
      <c r="AK303" s="351"/>
      <c r="AL303" s="1398"/>
      <c r="AM303" s="2272"/>
      <c r="AN303" s="2272"/>
      <c r="AO303" s="513"/>
      <c r="AP303" s="2826"/>
      <c r="AQ303" s="513"/>
      <c r="AR303" s="513"/>
      <c r="AS303" s="513"/>
      <c r="AT303" s="2016"/>
      <c r="AU303" s="513"/>
      <c r="AV303" s="513"/>
      <c r="AW303" s="2023"/>
      <c r="AX303" s="513"/>
      <c r="AY303" s="2323"/>
      <c r="AZ303" s="2273"/>
      <c r="BA303" s="497"/>
      <c r="BB303" s="513"/>
      <c r="BC303" s="513"/>
      <c r="BD303" s="513"/>
      <c r="BE303" s="513"/>
      <c r="BF303" s="513"/>
      <c r="BG303" s="513"/>
      <c r="BH303" s="513"/>
      <c r="BI303" s="513"/>
      <c r="BJ303" s="513"/>
      <c r="BK303" s="2135"/>
      <c r="BL303" s="2113"/>
      <c r="BM303" s="2113"/>
      <c r="BN303" s="2113"/>
      <c r="BO303" s="2113"/>
      <c r="BP303" s="2113"/>
      <c r="BQ303" s="2404"/>
      <c r="BR303" s="513"/>
      <c r="BS303" s="513"/>
      <c r="BT303" s="513"/>
      <c r="BU303" s="513"/>
      <c r="BV303" s="513"/>
      <c r="BW303" s="2404"/>
      <c r="BX303" s="2418"/>
      <c r="BY303" s="2552"/>
      <c r="BZ303" s="2552"/>
      <c r="CA303" s="2435"/>
      <c r="CB303" s="2380"/>
      <c r="CC303" s="365"/>
      <c r="CD303" s="1380"/>
      <c r="CE303" s="1381"/>
      <c r="CF303" s="1381"/>
      <c r="CG303" s="501"/>
      <c r="CH303" s="502"/>
      <c r="CI303" s="503"/>
      <c r="CJ303" s="504"/>
      <c r="CK303" s="505"/>
      <c r="CL303" s="329"/>
      <c r="CM303" s="330"/>
      <c r="CN303" s="331"/>
      <c r="CO303" s="86"/>
      <c r="CP303" s="86"/>
      <c r="CQ303" s="1661"/>
      <c r="CR303" s="1661"/>
      <c r="CS303" s="1661"/>
      <c r="CT303" s="1661"/>
      <c r="CU303" s="1661"/>
      <c r="CV303" s="1661"/>
      <c r="CW303" s="1661"/>
      <c r="CX303" s="1661"/>
      <c r="CY303" s="1661"/>
      <c r="CZ303" s="1661"/>
      <c r="DA303" s="1661"/>
      <c r="DB303" s="235"/>
      <c r="DC303" s="235"/>
      <c r="DD303" s="1662"/>
      <c r="DE303" s="41"/>
      <c r="DF303" s="41"/>
      <c r="DG303" s="1663"/>
      <c r="DH303" s="1663"/>
      <c r="DI303" s="1663"/>
      <c r="DJ303" s="1663"/>
      <c r="DK303" s="1663"/>
      <c r="DL303" s="1663"/>
      <c r="DM303" s="1663"/>
      <c r="DN303" s="1663"/>
      <c r="DO303" s="1663"/>
      <c r="DP303" s="1663"/>
      <c r="DQ303" s="1663"/>
      <c r="DR303" s="1663"/>
      <c r="DS303" s="1663"/>
      <c r="DT303" s="1663"/>
      <c r="DU303" s="1663"/>
      <c r="DV303" s="1663"/>
      <c r="DW303" s="1663"/>
      <c r="DX303" s="1663"/>
      <c r="DY303" s="1663"/>
      <c r="DZ303" s="1663"/>
      <c r="EA303" s="1663"/>
      <c r="EB303" s="1663"/>
      <c r="EC303" s="1663"/>
      <c r="ED303" s="1663"/>
      <c r="EE303" s="1663"/>
      <c r="EF303" s="1663"/>
      <c r="EG303" s="1663"/>
      <c r="EH303" s="41"/>
      <c r="EI303" s="1658"/>
      <c r="EJ303" s="41"/>
      <c r="EK303" s="41"/>
      <c r="EL303" s="41"/>
      <c r="EM303" s="41"/>
      <c r="EN303" s="41"/>
      <c r="EO303" s="41"/>
      <c r="EP303" s="41"/>
      <c r="EQ303" s="41"/>
      <c r="ER303" s="41"/>
      <c r="ES303" s="41"/>
      <c r="ET303" s="41"/>
      <c r="EU303" s="41"/>
      <c r="EV303" s="41"/>
      <c r="EW303" s="41"/>
      <c r="EX303" s="41"/>
      <c r="EY303" s="41"/>
      <c r="EZ303" s="41"/>
      <c r="FA303" s="41"/>
      <c r="FB303" s="41"/>
      <c r="FC303" s="41"/>
      <c r="FD303" s="41"/>
      <c r="FE303" s="41"/>
      <c r="FF303" s="41"/>
      <c r="FG303" s="41"/>
      <c r="FH303" s="41"/>
      <c r="FI303" s="41"/>
      <c r="FJ303" s="41"/>
      <c r="FK303" s="41"/>
      <c r="FL303" s="41"/>
      <c r="FM303" s="41"/>
      <c r="FN303" s="41"/>
      <c r="FO303" s="41"/>
      <c r="FP303" s="41"/>
      <c r="FQ303" s="41"/>
      <c r="FR303" s="41"/>
      <c r="FS303" s="41"/>
      <c r="FT303" s="41"/>
      <c r="FU303" s="41"/>
      <c r="FV303" s="41"/>
      <c r="FW303" s="41"/>
      <c r="FX303" s="41"/>
      <c r="FY303" s="41"/>
      <c r="FZ303" s="41"/>
      <c r="GA303" s="41"/>
      <c r="GB303" s="41"/>
      <c r="GC303" s="41"/>
      <c r="GD303" s="41"/>
      <c r="GE303" s="41"/>
      <c r="GF303" s="41"/>
      <c r="GG303" s="41"/>
      <c r="GH303" s="41"/>
      <c r="GI303" s="41"/>
      <c r="GJ303" s="41"/>
      <c r="GK303" s="41"/>
      <c r="GL303" s="41"/>
      <c r="GM303" s="41"/>
      <c r="GN303" s="41"/>
      <c r="GO303" s="41"/>
      <c r="GP303" s="41"/>
      <c r="GQ303" s="41"/>
      <c r="GR303" s="41"/>
      <c r="GS303" s="41"/>
      <c r="GT303" s="41"/>
      <c r="GU303" s="41"/>
      <c r="GV303" s="41"/>
      <c r="GW303" s="41"/>
      <c r="GX303" s="41"/>
      <c r="GY303" s="41"/>
      <c r="GZ303" s="41"/>
      <c r="HA303" s="41"/>
      <c r="HB303" s="41"/>
      <c r="HC303" s="41"/>
      <c r="HD303" s="41"/>
      <c r="HE303" s="41"/>
      <c r="HF303" s="41"/>
      <c r="HG303" s="41"/>
      <c r="HH303" s="41"/>
      <c r="HI303" s="41"/>
      <c r="HJ303" s="41"/>
      <c r="HK303" s="41"/>
      <c r="HL303" s="41"/>
      <c r="HM303" s="41"/>
      <c r="HN303" s="41"/>
      <c r="HO303" s="41"/>
      <c r="HP303" s="41"/>
      <c r="HQ303" s="41"/>
      <c r="HR303" s="41"/>
      <c r="HS303" s="41"/>
      <c r="HT303" s="41"/>
      <c r="HU303" s="41"/>
      <c r="HV303" s="41"/>
      <c r="HW303" s="41"/>
      <c r="HX303" s="41"/>
      <c r="HY303" s="41"/>
      <c r="HZ303" s="41"/>
      <c r="IA303" s="41"/>
      <c r="IB303" s="41"/>
      <c r="IC303" s="41"/>
      <c r="ID303" s="41"/>
      <c r="IE303" s="41"/>
      <c r="IF303" s="41"/>
      <c r="IG303" s="41"/>
      <c r="IH303" s="41"/>
      <c r="II303" s="41"/>
      <c r="IJ303" s="41"/>
      <c r="IK303" s="41"/>
      <c r="IL303" s="41"/>
      <c r="IM303" s="41"/>
      <c r="IN303" s="41"/>
      <c r="IO303" s="41"/>
      <c r="IP303" s="41"/>
      <c r="IQ303" s="41"/>
      <c r="IR303" s="41"/>
      <c r="IS303" s="41"/>
      <c r="IT303" s="41"/>
      <c r="IU303" s="41"/>
      <c r="IV303" s="41"/>
      <c r="IW303" s="41"/>
      <c r="IX303" s="41"/>
      <c r="IY303" s="41"/>
      <c r="IZ303" s="41"/>
      <c r="JA303" s="41"/>
      <c r="JB303" s="41"/>
      <c r="JC303" s="41"/>
      <c r="JD303" s="41"/>
      <c r="JE303" s="41"/>
      <c r="JF303" s="41"/>
      <c r="JG303" s="41"/>
      <c r="JH303" s="41"/>
      <c r="JI303" s="41"/>
      <c r="JJ303" s="41"/>
      <c r="JK303" s="41"/>
      <c r="JL303" s="41"/>
      <c r="JM303" s="41"/>
      <c r="JN303" s="41"/>
      <c r="JO303" s="41"/>
      <c r="JP303" s="41"/>
      <c r="JQ303" s="41"/>
      <c r="JR303" s="41"/>
      <c r="JS303" s="41"/>
      <c r="JT303" s="41"/>
      <c r="JU303" s="41"/>
      <c r="JV303" s="41"/>
      <c r="JW303" s="41"/>
      <c r="JX303" s="41"/>
      <c r="JY303" s="41"/>
      <c r="JZ303" s="41"/>
      <c r="KA303" s="41"/>
      <c r="KB303" s="41"/>
      <c r="KC303" s="41"/>
      <c r="KD303" s="41"/>
      <c r="KE303" s="41"/>
      <c r="KF303" s="41"/>
      <c r="KG303" s="41"/>
      <c r="KH303" s="41"/>
      <c r="KI303" s="41"/>
      <c r="KJ303" s="41"/>
      <c r="KK303" s="41"/>
      <c r="KL303" s="41"/>
      <c r="KM303" s="41"/>
      <c r="KN303" s="41"/>
      <c r="KO303" s="41"/>
      <c r="KP303" s="1634"/>
    </row>
    <row r="304" spans="1:302" s="256" customFormat="1" ht="25.25" customHeight="1" outlineLevel="1">
      <c r="A304" s="2621" t="s">
        <v>124</v>
      </c>
      <c r="B304" s="2622" t="s">
        <v>1153</v>
      </c>
      <c r="C304" s="1359" t="s">
        <v>280</v>
      </c>
      <c r="D304" s="1359" t="s">
        <v>281</v>
      </c>
      <c r="E304" s="1400"/>
      <c r="F304" s="506"/>
      <c r="G304" s="506"/>
      <c r="H304" s="1401"/>
      <c r="I304" s="2573">
        <v>314000</v>
      </c>
      <c r="J304" s="1672"/>
      <c r="K304" s="1697"/>
      <c r="L304" s="1697"/>
      <c r="M304" s="1698">
        <v>31400</v>
      </c>
      <c r="N304" s="1697">
        <v>10</v>
      </c>
      <c r="O304" s="1397">
        <f t="shared" si="366"/>
        <v>314000</v>
      </c>
      <c r="P304" s="1694"/>
      <c r="Q304" s="1694"/>
      <c r="R304" s="1694"/>
      <c r="S304" s="1672"/>
      <c r="T304" s="1699"/>
      <c r="U304" s="1700"/>
      <c r="V304" s="1700"/>
      <c r="W304" s="1672">
        <f t="shared" si="367"/>
        <v>314000</v>
      </c>
      <c r="X304" s="1672"/>
      <c r="Y304" s="1699"/>
      <c r="Z304" s="1700"/>
      <c r="AA304" s="1699"/>
      <c r="AB304" s="2727">
        <f t="shared" si="368"/>
        <v>123833</v>
      </c>
      <c r="AC304" s="1444"/>
      <c r="AD304" s="1444"/>
      <c r="AE304" s="512"/>
      <c r="AF304" s="497"/>
      <c r="AG304" s="1396">
        <v>1</v>
      </c>
      <c r="AH304" s="1397">
        <f t="shared" si="351"/>
        <v>0</v>
      </c>
      <c r="AI304" s="355">
        <f t="shared" si="352"/>
        <v>0</v>
      </c>
      <c r="AJ304" s="351">
        <f t="shared" si="353"/>
        <v>0</v>
      </c>
      <c r="AK304" s="351"/>
      <c r="AL304" s="1398"/>
      <c r="AM304" s="2272"/>
      <c r="AN304" s="2272"/>
      <c r="AO304" s="513"/>
      <c r="AP304" s="513"/>
      <c r="AQ304" s="513"/>
      <c r="AR304" s="1996"/>
      <c r="AS304" s="2729"/>
      <c r="AT304" s="2751"/>
      <c r="AU304" s="2752"/>
      <c r="AV304" s="2729"/>
      <c r="AW304" s="2752"/>
      <c r="AX304" s="2729"/>
      <c r="AY304" s="2753"/>
      <c r="AZ304" s="2754"/>
      <c r="BA304" s="2729"/>
      <c r="BB304" s="2729"/>
      <c r="BC304" s="513"/>
      <c r="BD304" s="513"/>
      <c r="BE304" s="513"/>
      <c r="BF304" s="513"/>
      <c r="BG304" s="513"/>
      <c r="BH304" s="513"/>
      <c r="BI304" s="513"/>
      <c r="BJ304" s="513"/>
      <c r="BK304" s="2135"/>
      <c r="BL304" s="2113"/>
      <c r="BM304" s="2113"/>
      <c r="BN304" s="2113"/>
      <c r="BO304" s="2113"/>
      <c r="BP304" s="2113"/>
      <c r="BQ304" s="2404"/>
      <c r="BR304" s="513"/>
      <c r="BS304" s="513"/>
      <c r="BT304" s="513"/>
      <c r="BU304" s="513"/>
      <c r="BV304" s="513"/>
      <c r="BW304" s="2418">
        <f>123833</f>
        <v>123833</v>
      </c>
      <c r="BX304" s="2418"/>
      <c r="BY304" s="2552"/>
      <c r="BZ304" s="2552"/>
      <c r="CA304" s="2435">
        <f t="shared" si="383"/>
        <v>123833</v>
      </c>
      <c r="CB304" s="2380">
        <f t="shared" si="384"/>
        <v>1</v>
      </c>
      <c r="CC304" s="365">
        <f t="shared" si="385"/>
        <v>8.0753918583899288E-6</v>
      </c>
      <c r="CD304" s="1380">
        <f t="shared" si="386"/>
        <v>0.60562738853503184</v>
      </c>
      <c r="CE304" s="1381">
        <f t="shared" si="387"/>
        <v>190167</v>
      </c>
      <c r="CF304" s="1381"/>
      <c r="CG304" s="501"/>
      <c r="CH304" s="502"/>
      <c r="CI304" s="503"/>
      <c r="CJ304" s="504"/>
      <c r="CK304" s="505"/>
      <c r="CL304" s="329">
        <f t="shared" si="298"/>
        <v>190167</v>
      </c>
      <c r="CM304" s="330">
        <f t="shared" si="299"/>
        <v>0</v>
      </c>
      <c r="CN304" s="331">
        <f t="shared" si="369"/>
        <v>-123833</v>
      </c>
      <c r="CO304" s="86"/>
      <c r="CP304" s="86">
        <f>I304-O304</f>
        <v>0</v>
      </c>
      <c r="CQ304" s="1661"/>
      <c r="CR304" s="1661"/>
      <c r="CS304" s="1661"/>
      <c r="CT304" s="1661"/>
      <c r="CU304" s="1661"/>
      <c r="CV304" s="1661"/>
      <c r="CW304" s="1661"/>
      <c r="CX304" s="1661"/>
      <c r="CY304" s="1661"/>
      <c r="CZ304" s="1661"/>
      <c r="DA304" s="1661"/>
      <c r="DB304" s="235"/>
      <c r="DC304" s="235"/>
      <c r="DD304" s="1662"/>
      <c r="DE304" s="41"/>
      <c r="DF304" s="41"/>
      <c r="DG304" s="1663"/>
      <c r="DH304" s="1663"/>
      <c r="DI304" s="1663"/>
      <c r="DJ304" s="1663"/>
      <c r="DK304" s="1663"/>
      <c r="DL304" s="1663"/>
      <c r="DM304" s="1663"/>
      <c r="DN304" s="1663"/>
      <c r="DO304" s="1663"/>
      <c r="DP304" s="1663"/>
      <c r="DQ304" s="1663"/>
      <c r="DR304" s="1663"/>
      <c r="DS304" s="1663"/>
      <c r="DT304" s="1663"/>
      <c r="DU304" s="1663"/>
      <c r="DV304" s="1663"/>
      <c r="DW304" s="1663"/>
      <c r="DX304" s="1663"/>
      <c r="DY304" s="1663"/>
      <c r="DZ304" s="1663"/>
      <c r="EA304" s="1663"/>
      <c r="EB304" s="1663"/>
      <c r="EC304" s="1663"/>
      <c r="ED304" s="1663"/>
      <c r="EE304" s="1663"/>
      <c r="EF304" s="1663"/>
      <c r="EG304" s="1663"/>
      <c r="EH304" s="41"/>
      <c r="EI304" s="1658"/>
      <c r="EJ304" s="41"/>
      <c r="EK304" s="41"/>
      <c r="EL304" s="41"/>
      <c r="EM304" s="41"/>
      <c r="EN304" s="41"/>
      <c r="EO304" s="41"/>
      <c r="EP304" s="41"/>
      <c r="EQ304" s="41"/>
      <c r="ER304" s="41"/>
      <c r="ES304" s="41"/>
      <c r="ET304" s="41"/>
      <c r="EU304" s="41"/>
      <c r="EV304" s="41"/>
      <c r="EW304" s="41"/>
      <c r="EX304" s="41"/>
      <c r="EY304" s="41"/>
      <c r="EZ304" s="41"/>
      <c r="FA304" s="41"/>
      <c r="FB304" s="41"/>
      <c r="FC304" s="41"/>
      <c r="FD304" s="41"/>
      <c r="FE304" s="41"/>
      <c r="FF304" s="41"/>
      <c r="FG304" s="41"/>
      <c r="FH304" s="41"/>
      <c r="FI304" s="41"/>
      <c r="FJ304" s="41"/>
      <c r="FK304" s="41"/>
      <c r="FL304" s="41"/>
      <c r="FM304" s="41"/>
      <c r="FN304" s="41"/>
      <c r="FO304" s="41"/>
      <c r="FP304" s="41"/>
      <c r="FQ304" s="41"/>
      <c r="FR304" s="41"/>
      <c r="FS304" s="41"/>
      <c r="FT304" s="41"/>
      <c r="FU304" s="41"/>
      <c r="FV304" s="41"/>
      <c r="FW304" s="41"/>
      <c r="FX304" s="41"/>
      <c r="FY304" s="41"/>
      <c r="FZ304" s="41"/>
      <c r="GA304" s="41"/>
      <c r="GB304" s="41"/>
      <c r="GC304" s="41"/>
      <c r="GD304" s="41"/>
      <c r="GE304" s="41"/>
      <c r="GF304" s="41"/>
      <c r="GG304" s="41"/>
      <c r="GH304" s="41"/>
      <c r="GI304" s="41"/>
      <c r="GJ304" s="41"/>
      <c r="GK304" s="41"/>
      <c r="GL304" s="41"/>
      <c r="GM304" s="41"/>
      <c r="GN304" s="41"/>
      <c r="GO304" s="41"/>
      <c r="GP304" s="41"/>
      <c r="GQ304" s="41"/>
      <c r="GR304" s="41"/>
      <c r="GS304" s="41"/>
      <c r="GT304" s="41"/>
      <c r="GU304" s="41"/>
      <c r="GV304" s="41"/>
      <c r="GW304" s="41"/>
      <c r="GX304" s="41"/>
      <c r="GY304" s="41"/>
      <c r="GZ304" s="41"/>
      <c r="HA304" s="41"/>
      <c r="HB304" s="41"/>
      <c r="HC304" s="41"/>
      <c r="HD304" s="41"/>
      <c r="HE304" s="41"/>
      <c r="HF304" s="41"/>
      <c r="HG304" s="41"/>
      <c r="HH304" s="41"/>
      <c r="HI304" s="41"/>
      <c r="HJ304" s="41"/>
      <c r="HK304" s="41"/>
      <c r="HL304" s="41"/>
      <c r="HM304" s="41"/>
      <c r="HN304" s="41"/>
      <c r="HO304" s="41"/>
      <c r="HP304" s="41"/>
      <c r="HQ304" s="41"/>
      <c r="HR304" s="41"/>
      <c r="HS304" s="41"/>
      <c r="HT304" s="41"/>
      <c r="HU304" s="41"/>
      <c r="HV304" s="41"/>
      <c r="HW304" s="41"/>
      <c r="HX304" s="41"/>
      <c r="HY304" s="41"/>
      <c r="HZ304" s="41"/>
      <c r="IA304" s="41"/>
      <c r="IB304" s="41"/>
      <c r="IC304" s="41"/>
      <c r="ID304" s="41"/>
      <c r="IE304" s="41"/>
      <c r="IF304" s="41"/>
      <c r="IG304" s="41"/>
      <c r="IH304" s="41"/>
      <c r="II304" s="41"/>
      <c r="IJ304" s="41"/>
      <c r="IK304" s="41"/>
      <c r="IL304" s="41"/>
      <c r="IM304" s="41"/>
      <c r="IN304" s="41"/>
      <c r="IO304" s="41"/>
      <c r="IP304" s="41"/>
      <c r="IQ304" s="41"/>
      <c r="IR304" s="41"/>
      <c r="IS304" s="41"/>
      <c r="IT304" s="41"/>
      <c r="IU304" s="41"/>
      <c r="IV304" s="41"/>
      <c r="IW304" s="41"/>
      <c r="IX304" s="41"/>
      <c r="IY304" s="41"/>
      <c r="IZ304" s="41"/>
      <c r="JA304" s="41"/>
      <c r="JB304" s="41"/>
      <c r="JC304" s="41"/>
      <c r="JD304" s="41"/>
      <c r="JE304" s="41"/>
      <c r="JF304" s="41"/>
      <c r="JG304" s="41"/>
      <c r="JH304" s="41"/>
      <c r="JI304" s="41"/>
      <c r="JJ304" s="41"/>
      <c r="JK304" s="41"/>
      <c r="JL304" s="41"/>
      <c r="JM304" s="41"/>
      <c r="JN304" s="41"/>
      <c r="JO304" s="41"/>
      <c r="JP304" s="41"/>
      <c r="JQ304" s="41"/>
      <c r="JR304" s="41"/>
      <c r="JS304" s="41"/>
      <c r="JT304" s="41"/>
      <c r="JU304" s="41"/>
      <c r="JV304" s="41"/>
      <c r="JW304" s="41"/>
      <c r="JX304" s="41"/>
      <c r="JY304" s="41"/>
      <c r="JZ304" s="41"/>
      <c r="KA304" s="41"/>
      <c r="KB304" s="41"/>
      <c r="KC304" s="41"/>
      <c r="KD304" s="41"/>
      <c r="KE304" s="41"/>
      <c r="KF304" s="41"/>
      <c r="KG304" s="41"/>
      <c r="KH304" s="41"/>
      <c r="KI304" s="41"/>
      <c r="KJ304" s="41"/>
      <c r="KK304" s="41"/>
      <c r="KL304" s="41"/>
      <c r="KM304" s="41"/>
      <c r="KN304" s="41"/>
      <c r="KO304" s="41"/>
      <c r="KP304" s="1634"/>
    </row>
    <row r="305" spans="1:302" s="256" customFormat="1" ht="25.25" customHeight="1" outlineLevel="1">
      <c r="A305" s="2622" t="s">
        <v>1267</v>
      </c>
      <c r="B305" s="2622"/>
      <c r="C305" s="1359" t="s">
        <v>1301</v>
      </c>
      <c r="D305" s="1359" t="s">
        <v>1269</v>
      </c>
      <c r="E305" s="1400"/>
      <c r="F305" s="506"/>
      <c r="G305" s="506"/>
      <c r="H305" s="1401"/>
      <c r="I305" s="2573">
        <v>0</v>
      </c>
      <c r="J305" s="1672"/>
      <c r="K305" s="1697"/>
      <c r="L305" s="1697"/>
      <c r="M305" s="1698"/>
      <c r="N305" s="1697"/>
      <c r="O305" s="1397">
        <f t="shared" si="366"/>
        <v>0</v>
      </c>
      <c r="P305" s="1694"/>
      <c r="Q305" s="1694"/>
      <c r="R305" s="1694"/>
      <c r="S305" s="1672"/>
      <c r="T305" s="1699"/>
      <c r="U305" s="1700"/>
      <c r="V305" s="1700"/>
      <c r="W305" s="1672">
        <f t="shared" si="367"/>
        <v>0</v>
      </c>
      <c r="X305" s="1672"/>
      <c r="Y305" s="1699"/>
      <c r="Z305" s="1700"/>
      <c r="AA305" s="1699"/>
      <c r="AB305" s="2571">
        <f t="shared" si="368"/>
        <v>50000.003103448274</v>
      </c>
      <c r="AC305" s="1444" t="s">
        <v>1232</v>
      </c>
      <c r="AD305" s="1444">
        <v>4502950515</v>
      </c>
      <c r="AE305" s="512"/>
      <c r="AF305" s="497">
        <v>50000</v>
      </c>
      <c r="AG305" s="1396">
        <v>1</v>
      </c>
      <c r="AH305" s="1397">
        <f t="shared" ref="AH305:AH307" si="388">+AF305*AG305</f>
        <v>50000</v>
      </c>
      <c r="AI305" s="355">
        <f t="shared" ref="AI305:AI306" si="389">SUMIF($AM$10:$BZ$10,$AI$9,AM305:BZ305)</f>
        <v>12816.52</v>
      </c>
      <c r="AJ305" s="351">
        <f t="shared" ref="AJ305:AJ306" si="390">IF($AB305&lt;&gt;0,AI305/$AB305,"")</f>
        <v>0.25633038408983827</v>
      </c>
      <c r="AK305" s="351"/>
      <c r="AL305" s="1398"/>
      <c r="AM305" s="2272"/>
      <c r="AN305" s="2762"/>
      <c r="AO305" s="2826">
        <v>12816.52</v>
      </c>
      <c r="AP305" s="2826">
        <v>7248.94</v>
      </c>
      <c r="AQ305" s="513">
        <v>1724.1379310344828</v>
      </c>
      <c r="AR305" s="1996">
        <v>1724.1379310344828</v>
      </c>
      <c r="AS305" s="2831">
        <v>1724.1379310344828</v>
      </c>
      <c r="AT305" s="2832">
        <v>1724.1379310344828</v>
      </c>
      <c r="AU305" s="2831">
        <v>1724.1379310344828</v>
      </c>
      <c r="AV305" s="2831">
        <v>1724.1379310344828</v>
      </c>
      <c r="AW305" s="2831">
        <v>1724.1379310344828</v>
      </c>
      <c r="AX305" s="2831">
        <v>1724.1379310344828</v>
      </c>
      <c r="AY305" s="2833">
        <v>1724.1379310344828</v>
      </c>
      <c r="AZ305" s="2273">
        <f>1724.13793103448+6149</f>
        <v>7873.1379310344801</v>
      </c>
      <c r="BA305" s="497">
        <v>1724.1379310344828</v>
      </c>
      <c r="BB305" s="513">
        <v>1724.1379310344828</v>
      </c>
      <c r="BC305" s="513">
        <v>1724.1379310344828</v>
      </c>
      <c r="BD305" s="513">
        <v>1371.75</v>
      </c>
      <c r="BE305" s="513"/>
      <c r="BF305" s="513"/>
      <c r="BG305" s="513"/>
      <c r="BH305" s="513"/>
      <c r="BI305" s="513"/>
      <c r="BJ305" s="513"/>
      <c r="BK305" s="2135"/>
      <c r="BL305" s="2113"/>
      <c r="BM305" s="2113"/>
      <c r="BN305" s="2113"/>
      <c r="BO305" s="2113"/>
      <c r="BP305" s="2113"/>
      <c r="BQ305" s="2404"/>
      <c r="BR305" s="513"/>
      <c r="BS305" s="513"/>
      <c r="BT305" s="513"/>
      <c r="BU305" s="513"/>
      <c r="BV305" s="513"/>
      <c r="BW305" s="2418"/>
      <c r="BX305" s="2418"/>
      <c r="BY305" s="2552"/>
      <c r="BZ305" s="2552"/>
      <c r="CA305" s="2435">
        <f t="shared" si="383"/>
        <v>37183.48310344827</v>
      </c>
      <c r="CB305" s="2380">
        <f t="shared" si="384"/>
        <v>0.74366961591016167</v>
      </c>
      <c r="CC305" s="365">
        <f t="shared" si="385"/>
        <v>1.4873391395027216E-5</v>
      </c>
      <c r="CD305" s="1380" t="str">
        <f t="shared" si="386"/>
        <v>0,00%</v>
      </c>
      <c r="CE305" s="1381">
        <f t="shared" si="387"/>
        <v>-50000.003103448274</v>
      </c>
      <c r="CF305" s="1381"/>
      <c r="CG305" s="501"/>
      <c r="CH305" s="502"/>
      <c r="CI305" s="503"/>
      <c r="CJ305" s="504"/>
      <c r="CK305" s="505"/>
      <c r="CL305" s="329">
        <f t="shared" si="298"/>
        <v>-37183.48310344827</v>
      </c>
      <c r="CM305" s="330">
        <f t="shared" si="299"/>
        <v>0</v>
      </c>
      <c r="CN305" s="331"/>
      <c r="CO305" s="86"/>
      <c r="CP305" s="86"/>
      <c r="CQ305" s="1661"/>
      <c r="CR305" s="1661"/>
      <c r="CS305" s="1661"/>
      <c r="CT305" s="1661"/>
      <c r="CU305" s="1661"/>
      <c r="CV305" s="1661"/>
      <c r="CW305" s="1661"/>
      <c r="CX305" s="1661"/>
      <c r="CY305" s="1661"/>
      <c r="CZ305" s="1661"/>
      <c r="DA305" s="1661"/>
      <c r="DB305" s="235"/>
      <c r="DC305" s="235"/>
      <c r="DD305" s="1662"/>
      <c r="DE305" s="41"/>
      <c r="DF305" s="41"/>
      <c r="DG305" s="1663"/>
      <c r="DH305" s="1663"/>
      <c r="DI305" s="1663"/>
      <c r="DJ305" s="1663"/>
      <c r="DK305" s="1663"/>
      <c r="DL305" s="1663"/>
      <c r="DM305" s="1663"/>
      <c r="DN305" s="1663"/>
      <c r="DO305" s="1663"/>
      <c r="DP305" s="1663"/>
      <c r="DQ305" s="1663"/>
      <c r="DR305" s="1663"/>
      <c r="DS305" s="1663"/>
      <c r="DT305" s="1663"/>
      <c r="DU305" s="1663"/>
      <c r="DV305" s="1663"/>
      <c r="DW305" s="1663"/>
      <c r="DX305" s="1663"/>
      <c r="DY305" s="1663"/>
      <c r="DZ305" s="1663"/>
      <c r="EA305" s="1663"/>
      <c r="EB305" s="1663"/>
      <c r="EC305" s="1663"/>
      <c r="ED305" s="1663"/>
      <c r="EE305" s="1663"/>
      <c r="EF305" s="1663"/>
      <c r="EG305" s="1663"/>
      <c r="EH305" s="41"/>
      <c r="EI305" s="1658"/>
      <c r="EJ305" s="41"/>
      <c r="EK305" s="41"/>
      <c r="EL305" s="41"/>
      <c r="EM305" s="41"/>
      <c r="EN305" s="41"/>
      <c r="EO305" s="41"/>
      <c r="EP305" s="41"/>
      <c r="EQ305" s="41"/>
      <c r="ER305" s="41"/>
      <c r="ES305" s="41"/>
      <c r="ET305" s="41"/>
      <c r="EU305" s="41"/>
      <c r="EV305" s="41"/>
      <c r="EW305" s="41"/>
      <c r="EX305" s="41"/>
      <c r="EY305" s="41"/>
      <c r="EZ305" s="41"/>
      <c r="FA305" s="41"/>
      <c r="FB305" s="41"/>
      <c r="FC305" s="41"/>
      <c r="FD305" s="41"/>
      <c r="FE305" s="41"/>
      <c r="FF305" s="41"/>
      <c r="FG305" s="41"/>
      <c r="FH305" s="41"/>
      <c r="FI305" s="41"/>
      <c r="FJ305" s="41"/>
      <c r="FK305" s="41"/>
      <c r="FL305" s="41"/>
      <c r="FM305" s="41"/>
      <c r="FN305" s="41"/>
      <c r="FO305" s="41"/>
      <c r="FP305" s="41"/>
      <c r="FQ305" s="41"/>
      <c r="FR305" s="41"/>
      <c r="FS305" s="41"/>
      <c r="FT305" s="41"/>
      <c r="FU305" s="41"/>
      <c r="FV305" s="41"/>
      <c r="FW305" s="41"/>
      <c r="FX305" s="41"/>
      <c r="FY305" s="41"/>
      <c r="FZ305" s="41"/>
      <c r="GA305" s="41"/>
      <c r="GB305" s="41"/>
      <c r="GC305" s="41"/>
      <c r="GD305" s="41"/>
      <c r="GE305" s="41"/>
      <c r="GF305" s="41"/>
      <c r="GG305" s="41"/>
      <c r="GH305" s="41"/>
      <c r="GI305" s="41"/>
      <c r="GJ305" s="41"/>
      <c r="GK305" s="41"/>
      <c r="GL305" s="41"/>
      <c r="GM305" s="41"/>
      <c r="GN305" s="41"/>
      <c r="GO305" s="41"/>
      <c r="GP305" s="41"/>
      <c r="GQ305" s="41"/>
      <c r="GR305" s="41"/>
      <c r="GS305" s="41"/>
      <c r="GT305" s="41"/>
      <c r="GU305" s="41"/>
      <c r="GV305" s="41"/>
      <c r="GW305" s="41"/>
      <c r="GX305" s="41"/>
      <c r="GY305" s="41"/>
      <c r="GZ305" s="41"/>
      <c r="HA305" s="41"/>
      <c r="HB305" s="41"/>
      <c r="HC305" s="41"/>
      <c r="HD305" s="41"/>
      <c r="HE305" s="41"/>
      <c r="HF305" s="41"/>
      <c r="HG305" s="41"/>
      <c r="HH305" s="41"/>
      <c r="HI305" s="41"/>
      <c r="HJ305" s="41"/>
      <c r="HK305" s="41"/>
      <c r="HL305" s="41"/>
      <c r="HM305" s="41"/>
      <c r="HN305" s="41"/>
      <c r="HO305" s="41"/>
      <c r="HP305" s="41"/>
      <c r="HQ305" s="41"/>
      <c r="HR305" s="41"/>
      <c r="HS305" s="41"/>
      <c r="HT305" s="41"/>
      <c r="HU305" s="41"/>
      <c r="HV305" s="41"/>
      <c r="HW305" s="41"/>
      <c r="HX305" s="41"/>
      <c r="HY305" s="41"/>
      <c r="HZ305" s="41"/>
      <c r="IA305" s="41"/>
      <c r="IB305" s="41"/>
      <c r="IC305" s="41"/>
      <c r="ID305" s="41"/>
      <c r="IE305" s="41"/>
      <c r="IF305" s="41"/>
      <c r="IG305" s="41"/>
      <c r="IH305" s="41"/>
      <c r="II305" s="41"/>
      <c r="IJ305" s="41"/>
      <c r="IK305" s="41"/>
      <c r="IL305" s="41"/>
      <c r="IM305" s="41"/>
      <c r="IN305" s="41"/>
      <c r="IO305" s="41"/>
      <c r="IP305" s="41"/>
      <c r="IQ305" s="41"/>
      <c r="IR305" s="41"/>
      <c r="IS305" s="41"/>
      <c r="IT305" s="41"/>
      <c r="IU305" s="41"/>
      <c r="IV305" s="41"/>
      <c r="IW305" s="41"/>
      <c r="IX305" s="41"/>
      <c r="IY305" s="41"/>
      <c r="IZ305" s="41"/>
      <c r="JA305" s="41"/>
      <c r="JB305" s="41"/>
      <c r="JC305" s="41"/>
      <c r="JD305" s="41"/>
      <c r="JE305" s="41"/>
      <c r="JF305" s="41"/>
      <c r="JG305" s="41"/>
      <c r="JH305" s="41"/>
      <c r="JI305" s="41"/>
      <c r="JJ305" s="41"/>
      <c r="JK305" s="41"/>
      <c r="JL305" s="41"/>
      <c r="JM305" s="41"/>
      <c r="JN305" s="41"/>
      <c r="JO305" s="41"/>
      <c r="JP305" s="41"/>
      <c r="JQ305" s="41"/>
      <c r="JR305" s="41"/>
      <c r="JS305" s="41"/>
      <c r="JT305" s="41"/>
      <c r="JU305" s="41"/>
      <c r="JV305" s="41"/>
      <c r="JW305" s="41"/>
      <c r="JX305" s="41"/>
      <c r="JY305" s="41"/>
      <c r="JZ305" s="41"/>
      <c r="KA305" s="41"/>
      <c r="KB305" s="41"/>
      <c r="KC305" s="41"/>
      <c r="KD305" s="41"/>
      <c r="KE305" s="41"/>
      <c r="KF305" s="41"/>
      <c r="KG305" s="41"/>
      <c r="KH305" s="41"/>
      <c r="KI305" s="41"/>
      <c r="KJ305" s="41"/>
      <c r="KK305" s="41"/>
      <c r="KL305" s="41"/>
      <c r="KM305" s="41"/>
      <c r="KN305" s="41"/>
      <c r="KO305" s="41"/>
      <c r="KP305" s="1634"/>
    </row>
    <row r="306" spans="1:302" s="256" customFormat="1" ht="25.25" customHeight="1" outlineLevel="1">
      <c r="A306" s="2622" t="s">
        <v>1268</v>
      </c>
      <c r="B306" s="2622"/>
      <c r="C306" s="1359" t="s">
        <v>1300</v>
      </c>
      <c r="D306" s="1359" t="s">
        <v>1269</v>
      </c>
      <c r="E306" s="1400"/>
      <c r="F306" s="506"/>
      <c r="G306" s="506"/>
      <c r="H306" s="1401"/>
      <c r="I306" s="2573">
        <v>0</v>
      </c>
      <c r="J306" s="1672"/>
      <c r="K306" s="1697"/>
      <c r="L306" s="1697"/>
      <c r="M306" s="1698"/>
      <c r="N306" s="1697"/>
      <c r="O306" s="1397">
        <f t="shared" si="366"/>
        <v>0</v>
      </c>
      <c r="P306" s="1694"/>
      <c r="Q306" s="1694"/>
      <c r="R306" s="1694"/>
      <c r="S306" s="1672"/>
      <c r="T306" s="1699"/>
      <c r="U306" s="1700"/>
      <c r="V306" s="1700"/>
      <c r="W306" s="1672">
        <f t="shared" si="367"/>
        <v>0</v>
      </c>
      <c r="X306" s="1672"/>
      <c r="Y306" s="1699"/>
      <c r="Z306" s="1700"/>
      <c r="AA306" s="1699"/>
      <c r="AB306" s="2571">
        <f t="shared" si="368"/>
        <v>49999.997241379337</v>
      </c>
      <c r="AC306" s="1444" t="s">
        <v>1270</v>
      </c>
      <c r="AD306" s="1444">
        <v>4502950551</v>
      </c>
      <c r="AE306" s="512"/>
      <c r="AF306" s="497">
        <v>50000</v>
      </c>
      <c r="AG306" s="1396">
        <v>1</v>
      </c>
      <c r="AH306" s="1397">
        <f t="shared" si="388"/>
        <v>50000</v>
      </c>
      <c r="AI306" s="355">
        <f t="shared" si="389"/>
        <v>13838.35</v>
      </c>
      <c r="AJ306" s="351">
        <f t="shared" si="390"/>
        <v>0.27676701526990416</v>
      </c>
      <c r="AK306" s="351"/>
      <c r="AL306" s="1398"/>
      <c r="AM306" s="2272"/>
      <c r="AN306" s="2762">
        <v>4259.07</v>
      </c>
      <c r="AO306" s="2826">
        <v>9579.2800000000007</v>
      </c>
      <c r="AP306" s="2826">
        <v>17856.07</v>
      </c>
      <c r="AQ306" s="513">
        <v>1724.1379310344828</v>
      </c>
      <c r="AR306" s="1996">
        <v>1724.1379310344828</v>
      </c>
      <c r="AS306" s="2831">
        <v>1724.1379310344828</v>
      </c>
      <c r="AT306" s="2832">
        <v>1724.1379310344828</v>
      </c>
      <c r="AU306" s="2831">
        <v>1724.1379310344828</v>
      </c>
      <c r="AV306" s="2831">
        <v>1724.1379310344828</v>
      </c>
      <c r="AW306" s="2831">
        <v>1724.1379310344828</v>
      </c>
      <c r="AX306" s="2831">
        <v>1724.1379310344828</v>
      </c>
      <c r="AY306" s="2833">
        <v>1724.1379310344828</v>
      </c>
      <c r="AZ306" s="2273">
        <v>1724.1379310344828</v>
      </c>
      <c r="BA306" s="497">
        <f>1724.13793103448-659.94</f>
        <v>1064.19793103448</v>
      </c>
      <c r="BB306" s="513"/>
      <c r="BC306" s="513"/>
      <c r="BD306" s="513"/>
      <c r="BE306" s="513"/>
      <c r="BF306" s="513"/>
      <c r="BG306" s="513"/>
      <c r="BH306" s="513"/>
      <c r="BI306" s="513"/>
      <c r="BJ306" s="513"/>
      <c r="BK306" s="2135"/>
      <c r="BL306" s="2113"/>
      <c r="BM306" s="2113"/>
      <c r="BN306" s="2113"/>
      <c r="BO306" s="2113"/>
      <c r="BP306" s="2113"/>
      <c r="BQ306" s="2404"/>
      <c r="BR306" s="513"/>
      <c r="BS306" s="513"/>
      <c r="BT306" s="513"/>
      <c r="BU306" s="513"/>
      <c r="BV306" s="513"/>
      <c r="BW306" s="2418"/>
      <c r="BX306" s="2418"/>
      <c r="BY306" s="2552"/>
      <c r="BZ306" s="2552"/>
      <c r="CA306" s="2435">
        <f t="shared" si="383"/>
        <v>36161.647241379309</v>
      </c>
      <c r="CB306" s="2380">
        <f t="shared" si="384"/>
        <v>0.72323298473009534</v>
      </c>
      <c r="CC306" s="365">
        <f t="shared" si="385"/>
        <v>1.4464660492652134E-5</v>
      </c>
      <c r="CD306" s="1380" t="str">
        <f t="shared" si="386"/>
        <v>0,00%</v>
      </c>
      <c r="CE306" s="1381">
        <f t="shared" si="387"/>
        <v>-49999.997241379337</v>
      </c>
      <c r="CF306" s="1381"/>
      <c r="CG306" s="501"/>
      <c r="CH306" s="502"/>
      <c r="CI306" s="503"/>
      <c r="CJ306" s="504"/>
      <c r="CK306" s="505"/>
      <c r="CL306" s="329">
        <f t="shared" si="298"/>
        <v>-36161.647241379309</v>
      </c>
      <c r="CM306" s="330">
        <f t="shared" si="299"/>
        <v>0</v>
      </c>
      <c r="CN306" s="331"/>
      <c r="CO306" s="86"/>
      <c r="CP306" s="86"/>
      <c r="CQ306" s="1661"/>
      <c r="CR306" s="1661"/>
      <c r="CS306" s="1661"/>
      <c r="CT306" s="1661"/>
      <c r="CU306" s="1661"/>
      <c r="CV306" s="1661"/>
      <c r="CW306" s="1661"/>
      <c r="CX306" s="1661"/>
      <c r="CY306" s="1661"/>
      <c r="CZ306" s="1661"/>
      <c r="DA306" s="1661"/>
      <c r="DB306" s="235"/>
      <c r="DC306" s="235"/>
      <c r="DD306" s="1662"/>
      <c r="DE306" s="41"/>
      <c r="DF306" s="41"/>
      <c r="DG306" s="1663"/>
      <c r="DH306" s="1663"/>
      <c r="DI306" s="1663"/>
      <c r="DJ306" s="1663"/>
      <c r="DK306" s="1663"/>
      <c r="DL306" s="1663"/>
      <c r="DM306" s="1663"/>
      <c r="DN306" s="1663"/>
      <c r="DO306" s="1663"/>
      <c r="DP306" s="1663"/>
      <c r="DQ306" s="1663"/>
      <c r="DR306" s="1663"/>
      <c r="DS306" s="1663"/>
      <c r="DT306" s="1663"/>
      <c r="DU306" s="1663"/>
      <c r="DV306" s="1663"/>
      <c r="DW306" s="1663"/>
      <c r="DX306" s="1663"/>
      <c r="DY306" s="1663"/>
      <c r="DZ306" s="1663"/>
      <c r="EA306" s="1663"/>
      <c r="EB306" s="1663"/>
      <c r="EC306" s="1663"/>
      <c r="ED306" s="1663"/>
      <c r="EE306" s="1663"/>
      <c r="EF306" s="1663"/>
      <c r="EG306" s="1663"/>
      <c r="EH306" s="41"/>
      <c r="EI306" s="1658"/>
      <c r="EJ306" s="41"/>
      <c r="EK306" s="41"/>
      <c r="EL306" s="41"/>
      <c r="EM306" s="41"/>
      <c r="EN306" s="41"/>
      <c r="EO306" s="41"/>
      <c r="EP306" s="41"/>
      <c r="EQ306" s="41"/>
      <c r="ER306" s="41"/>
      <c r="ES306" s="41"/>
      <c r="ET306" s="41"/>
      <c r="EU306" s="41"/>
      <c r="EV306" s="41"/>
      <c r="EW306" s="41"/>
      <c r="EX306" s="41"/>
      <c r="EY306" s="41"/>
      <c r="EZ306" s="41"/>
      <c r="FA306" s="41"/>
      <c r="FB306" s="41"/>
      <c r="FC306" s="41"/>
      <c r="FD306" s="41"/>
      <c r="FE306" s="41"/>
      <c r="FF306" s="41"/>
      <c r="FG306" s="41"/>
      <c r="FH306" s="41"/>
      <c r="FI306" s="41"/>
      <c r="FJ306" s="41"/>
      <c r="FK306" s="41"/>
      <c r="FL306" s="41"/>
      <c r="FM306" s="41"/>
      <c r="FN306" s="41"/>
      <c r="FO306" s="41"/>
      <c r="FP306" s="41"/>
      <c r="FQ306" s="41"/>
      <c r="FR306" s="41"/>
      <c r="FS306" s="41"/>
      <c r="FT306" s="41"/>
      <c r="FU306" s="41"/>
      <c r="FV306" s="41"/>
      <c r="FW306" s="41"/>
      <c r="FX306" s="41"/>
      <c r="FY306" s="41"/>
      <c r="FZ306" s="41"/>
      <c r="GA306" s="41"/>
      <c r="GB306" s="41"/>
      <c r="GC306" s="41"/>
      <c r="GD306" s="41"/>
      <c r="GE306" s="41"/>
      <c r="GF306" s="41"/>
      <c r="GG306" s="41"/>
      <c r="GH306" s="41"/>
      <c r="GI306" s="41"/>
      <c r="GJ306" s="41"/>
      <c r="GK306" s="41"/>
      <c r="GL306" s="41"/>
      <c r="GM306" s="41"/>
      <c r="GN306" s="41"/>
      <c r="GO306" s="41"/>
      <c r="GP306" s="41"/>
      <c r="GQ306" s="41"/>
      <c r="GR306" s="41"/>
      <c r="GS306" s="41"/>
      <c r="GT306" s="41"/>
      <c r="GU306" s="41"/>
      <c r="GV306" s="41"/>
      <c r="GW306" s="41"/>
      <c r="GX306" s="41"/>
      <c r="GY306" s="41"/>
      <c r="GZ306" s="41"/>
      <c r="HA306" s="41"/>
      <c r="HB306" s="41"/>
      <c r="HC306" s="41"/>
      <c r="HD306" s="41"/>
      <c r="HE306" s="41"/>
      <c r="HF306" s="41"/>
      <c r="HG306" s="41"/>
      <c r="HH306" s="41"/>
      <c r="HI306" s="41"/>
      <c r="HJ306" s="41"/>
      <c r="HK306" s="41"/>
      <c r="HL306" s="41"/>
      <c r="HM306" s="41"/>
      <c r="HN306" s="41"/>
      <c r="HO306" s="41"/>
      <c r="HP306" s="41"/>
      <c r="HQ306" s="41"/>
      <c r="HR306" s="41"/>
      <c r="HS306" s="41"/>
      <c r="HT306" s="41"/>
      <c r="HU306" s="41"/>
      <c r="HV306" s="41"/>
      <c r="HW306" s="41"/>
      <c r="HX306" s="41"/>
      <c r="HY306" s="41"/>
      <c r="HZ306" s="41"/>
      <c r="IA306" s="41"/>
      <c r="IB306" s="41"/>
      <c r="IC306" s="41"/>
      <c r="ID306" s="41"/>
      <c r="IE306" s="41"/>
      <c r="IF306" s="41"/>
      <c r="IG306" s="41"/>
      <c r="IH306" s="41"/>
      <c r="II306" s="41"/>
      <c r="IJ306" s="41"/>
      <c r="IK306" s="41"/>
      <c r="IL306" s="41"/>
      <c r="IM306" s="41"/>
      <c r="IN306" s="41"/>
      <c r="IO306" s="41"/>
      <c r="IP306" s="41"/>
      <c r="IQ306" s="41"/>
      <c r="IR306" s="41"/>
      <c r="IS306" s="41"/>
      <c r="IT306" s="41"/>
      <c r="IU306" s="41"/>
      <c r="IV306" s="41"/>
      <c r="IW306" s="41"/>
      <c r="IX306" s="41"/>
      <c r="IY306" s="41"/>
      <c r="IZ306" s="41"/>
      <c r="JA306" s="41"/>
      <c r="JB306" s="41"/>
      <c r="JC306" s="41"/>
      <c r="JD306" s="41"/>
      <c r="JE306" s="41"/>
      <c r="JF306" s="41"/>
      <c r="JG306" s="41"/>
      <c r="JH306" s="41"/>
      <c r="JI306" s="41"/>
      <c r="JJ306" s="41"/>
      <c r="JK306" s="41"/>
      <c r="JL306" s="41"/>
      <c r="JM306" s="41"/>
      <c r="JN306" s="41"/>
      <c r="JO306" s="41"/>
      <c r="JP306" s="41"/>
      <c r="JQ306" s="41"/>
      <c r="JR306" s="41"/>
      <c r="JS306" s="41"/>
      <c r="JT306" s="41"/>
      <c r="JU306" s="41"/>
      <c r="JV306" s="41"/>
      <c r="JW306" s="41"/>
      <c r="JX306" s="41"/>
      <c r="JY306" s="41"/>
      <c r="JZ306" s="41"/>
      <c r="KA306" s="41"/>
      <c r="KB306" s="41"/>
      <c r="KC306" s="41"/>
      <c r="KD306" s="41"/>
      <c r="KE306" s="41"/>
      <c r="KF306" s="41"/>
      <c r="KG306" s="41"/>
      <c r="KH306" s="41"/>
      <c r="KI306" s="41"/>
      <c r="KJ306" s="41"/>
      <c r="KK306" s="41"/>
      <c r="KL306" s="41"/>
      <c r="KM306" s="41"/>
      <c r="KN306" s="41"/>
      <c r="KO306" s="41"/>
      <c r="KP306" s="1634"/>
    </row>
    <row r="307" spans="1:302" s="256" customFormat="1" ht="25.25" customHeight="1" outlineLevel="1">
      <c r="A307" s="2622" t="s">
        <v>1367</v>
      </c>
      <c r="B307" s="2622"/>
      <c r="C307" s="1359" t="s">
        <v>1366</v>
      </c>
      <c r="D307" s="1359"/>
      <c r="E307" s="1400"/>
      <c r="F307" s="506"/>
      <c r="G307" s="506"/>
      <c r="H307" s="1401"/>
      <c r="I307" s="2573"/>
      <c r="J307" s="1672"/>
      <c r="K307" s="1697"/>
      <c r="L307" s="1697"/>
      <c r="M307" s="1698"/>
      <c r="N307" s="1697"/>
      <c r="O307" s="1397">
        <f t="shared" si="366"/>
        <v>0</v>
      </c>
      <c r="P307" s="1694"/>
      <c r="Q307" s="1694"/>
      <c r="R307" s="1694"/>
      <c r="S307" s="1672"/>
      <c r="T307" s="1699"/>
      <c r="U307" s="1700"/>
      <c r="V307" s="1700"/>
      <c r="W307" s="1672">
        <f t="shared" si="367"/>
        <v>0</v>
      </c>
      <c r="X307" s="1672"/>
      <c r="Y307" s="1699"/>
      <c r="Z307" s="1700"/>
      <c r="AA307" s="1699"/>
      <c r="AB307" s="2571">
        <f t="shared" si="368"/>
        <v>90167.003684210533</v>
      </c>
      <c r="AC307" s="1444" t="s">
        <v>1365</v>
      </c>
      <c r="AD307" s="1444"/>
      <c r="AE307" s="512"/>
      <c r="AF307" s="497">
        <v>90167</v>
      </c>
      <c r="AG307" s="1396">
        <v>1</v>
      </c>
      <c r="AH307" s="1397">
        <f t="shared" si="388"/>
        <v>90167</v>
      </c>
      <c r="AI307" s="355">
        <f t="shared" ref="AI307" si="391">SUMIF($AM$10:$BZ$10,$AI$9,AM307:BZ307)</f>
        <v>0</v>
      </c>
      <c r="AJ307" s="351">
        <f t="shared" ref="AJ307" si="392">IF($AB307&lt;&gt;0,AI307/$AB307,"")</f>
        <v>0</v>
      </c>
      <c r="AK307" s="351"/>
      <c r="AL307" s="1398"/>
      <c r="AM307" s="2272"/>
      <c r="AN307" s="2762"/>
      <c r="AO307" s="513"/>
      <c r="AP307" s="513"/>
      <c r="AQ307" s="513"/>
      <c r="AR307" s="1996"/>
      <c r="AS307" s="2839">
        <v>18982.53</v>
      </c>
      <c r="AT307" s="2832">
        <v>4745.6315789473683</v>
      </c>
      <c r="AU307" s="2831">
        <v>4745.6315789473683</v>
      </c>
      <c r="AV307" s="2831">
        <v>4745.6315789473683</v>
      </c>
      <c r="AW307" s="2831">
        <v>4745.6315789473683</v>
      </c>
      <c r="AX307" s="2831">
        <v>4745.6315789473683</v>
      </c>
      <c r="AY307" s="2833">
        <v>4745.6315789473683</v>
      </c>
      <c r="AZ307" s="2273">
        <v>4745.6315789473683</v>
      </c>
      <c r="BA307" s="497">
        <v>4745.6315789473683</v>
      </c>
      <c r="BB307" s="513">
        <v>4745.6315789473683</v>
      </c>
      <c r="BC307" s="513">
        <v>4745.6315789473683</v>
      </c>
      <c r="BD307" s="513">
        <v>4745.6315789473683</v>
      </c>
      <c r="BE307" s="513">
        <v>4745.6315789473683</v>
      </c>
      <c r="BF307" s="513">
        <v>4745.6315789473683</v>
      </c>
      <c r="BG307" s="513">
        <v>4745.6315789473683</v>
      </c>
      <c r="BH307" s="513">
        <v>4745.6315789473683</v>
      </c>
      <c r="BI307" s="513"/>
      <c r="BJ307" s="513"/>
      <c r="BK307" s="2135"/>
      <c r="BL307" s="2113"/>
      <c r="BM307" s="2113"/>
      <c r="BN307" s="2113"/>
      <c r="BO307" s="2113"/>
      <c r="BP307" s="2113"/>
      <c r="BQ307" s="2404"/>
      <c r="BR307" s="513"/>
      <c r="BS307" s="513"/>
      <c r="BT307" s="513"/>
      <c r="BU307" s="513"/>
      <c r="BV307" s="513"/>
      <c r="BW307" s="2418"/>
      <c r="BX307" s="2418"/>
      <c r="BY307" s="2552"/>
      <c r="BZ307" s="2552"/>
      <c r="CA307" s="2435">
        <f t="shared" si="383"/>
        <v>90167.003684210533</v>
      </c>
      <c r="CB307" s="2380">
        <f t="shared" si="384"/>
        <v>1</v>
      </c>
      <c r="CC307" s="365">
        <f t="shared" si="385"/>
        <v>1.1090531559663145E-5</v>
      </c>
      <c r="CD307" s="1380" t="str">
        <f t="shared" si="386"/>
        <v>0,00%</v>
      </c>
      <c r="CE307" s="1381">
        <f t="shared" si="387"/>
        <v>-90167.003684210533</v>
      </c>
      <c r="CF307" s="1381"/>
      <c r="CG307" s="501"/>
      <c r="CH307" s="502"/>
      <c r="CI307" s="503"/>
      <c r="CJ307" s="504"/>
      <c r="CK307" s="505"/>
      <c r="CL307" s="329">
        <f t="shared" si="298"/>
        <v>-90167.003684210533</v>
      </c>
      <c r="CM307" s="330">
        <f t="shared" si="299"/>
        <v>0</v>
      </c>
      <c r="CN307" s="331"/>
      <c r="CO307" s="86"/>
      <c r="CP307" s="86"/>
      <c r="CQ307" s="1661"/>
      <c r="CR307" s="1661"/>
      <c r="CS307" s="1661"/>
      <c r="CT307" s="1661"/>
      <c r="CU307" s="1661"/>
      <c r="CV307" s="1661"/>
      <c r="CW307" s="1661"/>
      <c r="CX307" s="1661"/>
      <c r="CY307" s="1661"/>
      <c r="CZ307" s="1661"/>
      <c r="DA307" s="1661"/>
      <c r="DB307" s="235"/>
      <c r="DC307" s="235"/>
      <c r="DD307" s="1662"/>
      <c r="DE307" s="41"/>
      <c r="DF307" s="41"/>
      <c r="DG307" s="1663"/>
      <c r="DH307" s="1663"/>
      <c r="DI307" s="1663"/>
      <c r="DJ307" s="1663"/>
      <c r="DK307" s="1663"/>
      <c r="DL307" s="1663"/>
      <c r="DM307" s="1663"/>
      <c r="DN307" s="1663"/>
      <c r="DO307" s="1663"/>
      <c r="DP307" s="1663"/>
      <c r="DQ307" s="1663"/>
      <c r="DR307" s="1663"/>
      <c r="DS307" s="1663"/>
      <c r="DT307" s="1663"/>
      <c r="DU307" s="1663"/>
      <c r="DV307" s="1663"/>
      <c r="DW307" s="1663"/>
      <c r="DX307" s="1663"/>
      <c r="DY307" s="1663"/>
      <c r="DZ307" s="1663"/>
      <c r="EA307" s="1663"/>
      <c r="EB307" s="1663"/>
      <c r="EC307" s="1663"/>
      <c r="ED307" s="1663"/>
      <c r="EE307" s="1663"/>
      <c r="EF307" s="1663"/>
      <c r="EG307" s="1663"/>
      <c r="EH307" s="41"/>
      <c r="EI307" s="1658"/>
      <c r="EJ307" s="41"/>
      <c r="EK307" s="41"/>
      <c r="EL307" s="41"/>
      <c r="EM307" s="41"/>
      <c r="EN307" s="41"/>
      <c r="EO307" s="41"/>
      <c r="EP307" s="41"/>
      <c r="EQ307" s="41"/>
      <c r="ER307" s="41"/>
      <c r="ES307" s="41"/>
      <c r="ET307" s="41"/>
      <c r="EU307" s="41"/>
      <c r="EV307" s="41"/>
      <c r="EW307" s="41"/>
      <c r="EX307" s="41"/>
      <c r="EY307" s="41"/>
      <c r="EZ307" s="41"/>
      <c r="FA307" s="41"/>
      <c r="FB307" s="41"/>
      <c r="FC307" s="41"/>
      <c r="FD307" s="41"/>
      <c r="FE307" s="41"/>
      <c r="FF307" s="41"/>
      <c r="FG307" s="41"/>
      <c r="FH307" s="41"/>
      <c r="FI307" s="41"/>
      <c r="FJ307" s="41"/>
      <c r="FK307" s="41"/>
      <c r="FL307" s="41"/>
      <c r="FM307" s="41"/>
      <c r="FN307" s="41"/>
      <c r="FO307" s="41"/>
      <c r="FP307" s="41"/>
      <c r="FQ307" s="41"/>
      <c r="FR307" s="41"/>
      <c r="FS307" s="41"/>
      <c r="FT307" s="41"/>
      <c r="FU307" s="41"/>
      <c r="FV307" s="41"/>
      <c r="FW307" s="41"/>
      <c r="FX307" s="41"/>
      <c r="FY307" s="41"/>
      <c r="FZ307" s="41"/>
      <c r="GA307" s="41"/>
      <c r="GB307" s="41"/>
      <c r="GC307" s="41"/>
      <c r="GD307" s="41"/>
      <c r="GE307" s="41"/>
      <c r="GF307" s="41"/>
      <c r="GG307" s="41"/>
      <c r="GH307" s="41"/>
      <c r="GI307" s="41"/>
      <c r="GJ307" s="41"/>
      <c r="GK307" s="41"/>
      <c r="GL307" s="41"/>
      <c r="GM307" s="41"/>
      <c r="GN307" s="41"/>
      <c r="GO307" s="41"/>
      <c r="GP307" s="41"/>
      <c r="GQ307" s="41"/>
      <c r="GR307" s="41"/>
      <c r="GS307" s="41"/>
      <c r="GT307" s="41"/>
      <c r="GU307" s="41"/>
      <c r="GV307" s="41"/>
      <c r="GW307" s="41"/>
      <c r="GX307" s="41"/>
      <c r="GY307" s="41"/>
      <c r="GZ307" s="41"/>
      <c r="HA307" s="41"/>
      <c r="HB307" s="41"/>
      <c r="HC307" s="41"/>
      <c r="HD307" s="41"/>
      <c r="HE307" s="41"/>
      <c r="HF307" s="41"/>
      <c r="HG307" s="41"/>
      <c r="HH307" s="41"/>
      <c r="HI307" s="41"/>
      <c r="HJ307" s="41"/>
      <c r="HK307" s="41"/>
      <c r="HL307" s="41"/>
      <c r="HM307" s="41"/>
      <c r="HN307" s="41"/>
      <c r="HO307" s="41"/>
      <c r="HP307" s="41"/>
      <c r="HQ307" s="41"/>
      <c r="HR307" s="41"/>
      <c r="HS307" s="41"/>
      <c r="HT307" s="41"/>
      <c r="HU307" s="41"/>
      <c r="HV307" s="41"/>
      <c r="HW307" s="41"/>
      <c r="HX307" s="41"/>
      <c r="HY307" s="41"/>
      <c r="HZ307" s="41"/>
      <c r="IA307" s="41"/>
      <c r="IB307" s="41"/>
      <c r="IC307" s="41"/>
      <c r="ID307" s="41"/>
      <c r="IE307" s="41"/>
      <c r="IF307" s="41"/>
      <c r="IG307" s="41"/>
      <c r="IH307" s="41"/>
      <c r="II307" s="41"/>
      <c r="IJ307" s="41"/>
      <c r="IK307" s="41"/>
      <c r="IL307" s="41"/>
      <c r="IM307" s="41"/>
      <c r="IN307" s="41"/>
      <c r="IO307" s="41"/>
      <c r="IP307" s="41"/>
      <c r="IQ307" s="41"/>
      <c r="IR307" s="41"/>
      <c r="IS307" s="41"/>
      <c r="IT307" s="41"/>
      <c r="IU307" s="41"/>
      <c r="IV307" s="41"/>
      <c r="IW307" s="41"/>
      <c r="IX307" s="41"/>
      <c r="IY307" s="41"/>
      <c r="IZ307" s="41"/>
      <c r="JA307" s="41"/>
      <c r="JB307" s="41"/>
      <c r="JC307" s="41"/>
      <c r="JD307" s="41"/>
      <c r="JE307" s="41"/>
      <c r="JF307" s="41"/>
      <c r="JG307" s="41"/>
      <c r="JH307" s="41"/>
      <c r="JI307" s="41"/>
      <c r="JJ307" s="41"/>
      <c r="JK307" s="41"/>
      <c r="JL307" s="41"/>
      <c r="JM307" s="41"/>
      <c r="JN307" s="41"/>
      <c r="JO307" s="41"/>
      <c r="JP307" s="41"/>
      <c r="JQ307" s="41"/>
      <c r="JR307" s="41"/>
      <c r="JS307" s="41"/>
      <c r="JT307" s="41"/>
      <c r="JU307" s="41"/>
      <c r="JV307" s="41"/>
      <c r="JW307" s="41"/>
      <c r="JX307" s="41"/>
      <c r="JY307" s="41"/>
      <c r="JZ307" s="41"/>
      <c r="KA307" s="41"/>
      <c r="KB307" s="41"/>
      <c r="KC307" s="41"/>
      <c r="KD307" s="41"/>
      <c r="KE307" s="41"/>
      <c r="KF307" s="41"/>
      <c r="KG307" s="41"/>
      <c r="KH307" s="41"/>
      <c r="KI307" s="41"/>
      <c r="KJ307" s="41"/>
      <c r="KK307" s="41"/>
      <c r="KL307" s="41"/>
      <c r="KM307" s="41"/>
      <c r="KN307" s="41"/>
      <c r="KO307" s="41"/>
      <c r="KP307" s="1634"/>
    </row>
    <row r="308" spans="1:302" s="256" customFormat="1" ht="25.25" customHeight="1" outlineLevel="1">
      <c r="A308" s="2621" t="s">
        <v>125</v>
      </c>
      <c r="B308" s="2622" t="s">
        <v>1154</v>
      </c>
      <c r="C308" s="1359" t="s">
        <v>509</v>
      </c>
      <c r="D308" s="1359"/>
      <c r="E308" s="1400"/>
      <c r="F308" s="506"/>
      <c r="G308" s="506"/>
      <c r="H308" s="1401"/>
      <c r="I308" s="2573">
        <v>544000</v>
      </c>
      <c r="J308" s="1672"/>
      <c r="K308" s="1697"/>
      <c r="L308" s="1697"/>
      <c r="M308" s="1698">
        <v>17000</v>
      </c>
      <c r="N308" s="1697">
        <v>32</v>
      </c>
      <c r="O308" s="1397">
        <f t="shared" si="366"/>
        <v>544000</v>
      </c>
      <c r="P308" s="1694"/>
      <c r="Q308" s="1694"/>
      <c r="R308" s="1694"/>
      <c r="S308" s="1672"/>
      <c r="T308" s="1699"/>
      <c r="U308" s="1700"/>
      <c r="V308" s="1700"/>
      <c r="W308" s="1672">
        <f t="shared" si="367"/>
        <v>544000</v>
      </c>
      <c r="X308" s="1672"/>
      <c r="Y308" s="1699"/>
      <c r="Z308" s="1700"/>
      <c r="AA308" s="1699"/>
      <c r="AB308" s="2571">
        <f t="shared" si="368"/>
        <v>544000</v>
      </c>
      <c r="AC308" s="1444"/>
      <c r="AD308" s="1444"/>
      <c r="AE308" s="512"/>
      <c r="AF308" s="497"/>
      <c r="AG308" s="1396">
        <v>1</v>
      </c>
      <c r="AH308" s="1397">
        <f t="shared" ref="AH308:AH309" si="393">+AF308*AG308</f>
        <v>0</v>
      </c>
      <c r="AI308" s="355">
        <f t="shared" si="352"/>
        <v>0</v>
      </c>
      <c r="AJ308" s="351">
        <f t="shared" ref="AJ308:AJ309" si="394">IF($AB308&lt;&gt;0,AI308/$AB308,"")</f>
        <v>0</v>
      </c>
      <c r="AK308" s="351"/>
      <c r="AL308" s="1398"/>
      <c r="AM308" s="2501"/>
      <c r="AN308" s="2501"/>
      <c r="AO308" s="2502"/>
      <c r="AP308" s="2502"/>
      <c r="AQ308" s="2502"/>
      <c r="AR308" s="2503"/>
      <c r="AS308" s="2503"/>
      <c r="AT308" s="2504"/>
      <c r="AU308" s="2503"/>
      <c r="AV308" s="2503"/>
      <c r="AW308" s="2503"/>
      <c r="AX308" s="2503"/>
      <c r="AY308" s="2505"/>
      <c r="AZ308" s="2506">
        <v>17000</v>
      </c>
      <c r="BA308" s="2507">
        <v>17000</v>
      </c>
      <c r="BB308" s="2502">
        <f>17000+17000</f>
        <v>34000</v>
      </c>
      <c r="BC308" s="2502">
        <v>17000</v>
      </c>
      <c r="BD308" s="2502">
        <v>17000</v>
      </c>
      <c r="BE308" s="2502">
        <v>17000</v>
      </c>
      <c r="BF308" s="2502">
        <v>17000</v>
      </c>
      <c r="BG308" s="2502">
        <v>17000</v>
      </c>
      <c r="BH308" s="2502">
        <v>17000</v>
      </c>
      <c r="BI308" s="2502">
        <v>17000</v>
      </c>
      <c r="BJ308" s="2502">
        <v>17000</v>
      </c>
      <c r="BK308" s="2508">
        <v>17000</v>
      </c>
      <c r="BL308" s="2509">
        <v>17000</v>
      </c>
      <c r="BM308" s="2509">
        <v>17000</v>
      </c>
      <c r="BN308" s="2509">
        <v>17000</v>
      </c>
      <c r="BO308" s="2509">
        <v>17000</v>
      </c>
      <c r="BP308" s="2509">
        <v>17000</v>
      </c>
      <c r="BQ308" s="2510">
        <v>17000</v>
      </c>
      <c r="BR308" s="513">
        <v>17000</v>
      </c>
      <c r="BS308" s="513">
        <f>17000+17000</f>
        <v>34000</v>
      </c>
      <c r="BT308" s="513"/>
      <c r="BU308" s="513"/>
      <c r="BV308" s="513"/>
      <c r="BW308" s="2418">
        <v>170000</v>
      </c>
      <c r="BX308" s="2418"/>
      <c r="BY308" s="2552"/>
      <c r="BZ308" s="2552"/>
      <c r="CA308" s="2435">
        <f t="shared" si="360"/>
        <v>544000</v>
      </c>
      <c r="CB308" s="2380">
        <f t="shared" si="361"/>
        <v>1</v>
      </c>
      <c r="CC308" s="365">
        <f t="shared" si="362"/>
        <v>1.8382352941176471E-6</v>
      </c>
      <c r="CD308" s="1380">
        <f t="shared" si="363"/>
        <v>0</v>
      </c>
      <c r="CE308" s="1381">
        <f t="shared" si="364"/>
        <v>0</v>
      </c>
      <c r="CF308" s="1381"/>
      <c r="CG308" s="501"/>
      <c r="CH308" s="502"/>
      <c r="CI308" s="503"/>
      <c r="CJ308" s="504"/>
      <c r="CK308" s="505"/>
      <c r="CL308" s="329">
        <f t="shared" si="298"/>
        <v>0</v>
      </c>
      <c r="CM308" s="330">
        <f t="shared" si="299"/>
        <v>0</v>
      </c>
      <c r="CN308" s="331">
        <f t="shared" si="369"/>
        <v>-544000</v>
      </c>
      <c r="CO308" s="86"/>
      <c r="CP308" s="86">
        <f>I308-O308</f>
        <v>0</v>
      </c>
      <c r="CQ308" s="1661"/>
      <c r="CR308" s="1661"/>
      <c r="CS308" s="1661"/>
      <c r="CT308" s="1661"/>
      <c r="CU308" s="1661"/>
      <c r="CV308" s="1661"/>
      <c r="CW308" s="1661"/>
      <c r="CX308" s="1661"/>
      <c r="CY308" s="1661"/>
      <c r="CZ308" s="1661"/>
      <c r="DA308" s="1661"/>
      <c r="DB308" s="235"/>
      <c r="DC308" s="235"/>
      <c r="DD308" s="1662"/>
      <c r="DE308" s="41"/>
      <c r="DF308" s="41"/>
      <c r="DG308" s="1663"/>
      <c r="DH308" s="1663"/>
      <c r="DI308" s="1663"/>
      <c r="DJ308" s="1663"/>
      <c r="DK308" s="1663"/>
      <c r="DL308" s="1663"/>
      <c r="DM308" s="1663"/>
      <c r="DN308" s="1663"/>
      <c r="DO308" s="1663"/>
      <c r="DP308" s="1663"/>
      <c r="DQ308" s="1663"/>
      <c r="DR308" s="1663"/>
      <c r="DS308" s="1663"/>
      <c r="DT308" s="1663"/>
      <c r="DU308" s="1663"/>
      <c r="DV308" s="1663"/>
      <c r="DW308" s="1663"/>
      <c r="DX308" s="1663"/>
      <c r="DY308" s="1663"/>
      <c r="DZ308" s="1663"/>
      <c r="EA308" s="1663"/>
      <c r="EB308" s="1663"/>
      <c r="EC308" s="1663"/>
      <c r="ED308" s="1663"/>
      <c r="EE308" s="1663"/>
      <c r="EF308" s="1663"/>
      <c r="EG308" s="1663"/>
      <c r="EH308" s="41"/>
      <c r="EI308" s="1658"/>
      <c r="EJ308" s="41"/>
      <c r="EK308" s="41"/>
      <c r="EL308" s="41"/>
      <c r="EM308" s="41"/>
      <c r="EN308" s="41"/>
      <c r="EO308" s="41"/>
      <c r="EP308" s="41"/>
      <c r="EQ308" s="41"/>
      <c r="ER308" s="41"/>
      <c r="ES308" s="41"/>
      <c r="ET308" s="41"/>
      <c r="EU308" s="41"/>
      <c r="EV308" s="41"/>
      <c r="EW308" s="41"/>
      <c r="EX308" s="41"/>
      <c r="EY308" s="41"/>
      <c r="EZ308" s="41"/>
      <c r="FA308" s="41"/>
      <c r="FB308" s="41"/>
      <c r="FC308" s="41"/>
      <c r="FD308" s="41"/>
      <c r="FE308" s="41"/>
      <c r="FF308" s="41"/>
      <c r="FG308" s="41"/>
      <c r="FH308" s="41"/>
      <c r="FI308" s="41"/>
      <c r="FJ308" s="41"/>
      <c r="FK308" s="41"/>
      <c r="FL308" s="41"/>
      <c r="FM308" s="41"/>
      <c r="FN308" s="41"/>
      <c r="FO308" s="41"/>
      <c r="FP308" s="41"/>
      <c r="FQ308" s="41"/>
      <c r="FR308" s="41"/>
      <c r="FS308" s="41"/>
      <c r="FT308" s="41"/>
      <c r="FU308" s="41"/>
      <c r="FV308" s="41"/>
      <c r="FW308" s="41"/>
      <c r="FX308" s="41"/>
      <c r="FY308" s="41"/>
      <c r="FZ308" s="41"/>
      <c r="GA308" s="41"/>
      <c r="GB308" s="41"/>
      <c r="GC308" s="41"/>
      <c r="GD308" s="41"/>
      <c r="GE308" s="41"/>
      <c r="GF308" s="41"/>
      <c r="GG308" s="41"/>
      <c r="GH308" s="41"/>
      <c r="GI308" s="41"/>
      <c r="GJ308" s="41"/>
      <c r="GK308" s="41"/>
      <c r="GL308" s="41"/>
      <c r="GM308" s="41"/>
      <c r="GN308" s="41"/>
      <c r="GO308" s="41"/>
      <c r="GP308" s="41"/>
      <c r="GQ308" s="41"/>
      <c r="GR308" s="41"/>
      <c r="GS308" s="41"/>
      <c r="GT308" s="41"/>
      <c r="GU308" s="41"/>
      <c r="GV308" s="41"/>
      <c r="GW308" s="41"/>
      <c r="GX308" s="41"/>
      <c r="GY308" s="41"/>
      <c r="GZ308" s="41"/>
      <c r="HA308" s="41"/>
      <c r="HB308" s="41"/>
      <c r="HC308" s="41"/>
      <c r="HD308" s="41"/>
      <c r="HE308" s="41"/>
      <c r="HF308" s="41"/>
      <c r="HG308" s="41"/>
      <c r="HH308" s="41"/>
      <c r="HI308" s="41"/>
      <c r="HJ308" s="41"/>
      <c r="HK308" s="41"/>
      <c r="HL308" s="41"/>
      <c r="HM308" s="41"/>
      <c r="HN308" s="41"/>
      <c r="HO308" s="41"/>
      <c r="HP308" s="41"/>
      <c r="HQ308" s="41"/>
      <c r="HR308" s="41"/>
      <c r="HS308" s="41"/>
      <c r="HT308" s="41"/>
      <c r="HU308" s="41"/>
      <c r="HV308" s="41"/>
      <c r="HW308" s="41"/>
      <c r="HX308" s="41"/>
      <c r="HY308" s="41"/>
      <c r="HZ308" s="41"/>
      <c r="IA308" s="41"/>
      <c r="IB308" s="41"/>
      <c r="IC308" s="41"/>
      <c r="ID308" s="41"/>
      <c r="IE308" s="41"/>
      <c r="IF308" s="41"/>
      <c r="IG308" s="41"/>
      <c r="IH308" s="41"/>
      <c r="II308" s="41"/>
      <c r="IJ308" s="41"/>
      <c r="IK308" s="41"/>
      <c r="IL308" s="41"/>
      <c r="IM308" s="41"/>
      <c r="IN308" s="41"/>
      <c r="IO308" s="41"/>
      <c r="IP308" s="41"/>
      <c r="IQ308" s="41"/>
      <c r="IR308" s="41"/>
      <c r="IS308" s="41"/>
      <c r="IT308" s="41"/>
      <c r="IU308" s="41"/>
      <c r="IV308" s="41"/>
      <c r="IW308" s="41"/>
      <c r="IX308" s="41"/>
      <c r="IY308" s="41"/>
      <c r="IZ308" s="41"/>
      <c r="JA308" s="41"/>
      <c r="JB308" s="41"/>
      <c r="JC308" s="41"/>
      <c r="JD308" s="41"/>
      <c r="JE308" s="41"/>
      <c r="JF308" s="41"/>
      <c r="JG308" s="41"/>
      <c r="JH308" s="41"/>
      <c r="JI308" s="41"/>
      <c r="JJ308" s="41"/>
      <c r="JK308" s="41"/>
      <c r="JL308" s="41"/>
      <c r="JM308" s="41"/>
      <c r="JN308" s="41"/>
      <c r="JO308" s="41"/>
      <c r="JP308" s="41"/>
      <c r="JQ308" s="41"/>
      <c r="JR308" s="41"/>
      <c r="JS308" s="41"/>
      <c r="JT308" s="41"/>
      <c r="JU308" s="41"/>
      <c r="JV308" s="41"/>
      <c r="JW308" s="41"/>
      <c r="JX308" s="41"/>
      <c r="JY308" s="41"/>
      <c r="JZ308" s="41"/>
      <c r="KA308" s="41"/>
      <c r="KB308" s="41"/>
      <c r="KC308" s="41"/>
      <c r="KD308" s="41"/>
      <c r="KE308" s="41"/>
      <c r="KF308" s="41"/>
      <c r="KG308" s="41"/>
      <c r="KH308" s="41"/>
      <c r="KI308" s="41"/>
      <c r="KJ308" s="41"/>
      <c r="KK308" s="41"/>
      <c r="KL308" s="41"/>
      <c r="KM308" s="41"/>
      <c r="KN308" s="41"/>
      <c r="KO308" s="41"/>
      <c r="KP308" s="1634"/>
    </row>
    <row r="309" spans="1:302" s="256" customFormat="1" ht="25.25" customHeight="1" outlineLevel="1">
      <c r="A309" s="2621" t="s">
        <v>194</v>
      </c>
      <c r="B309" s="2621" t="s">
        <v>1155</v>
      </c>
      <c r="C309" s="1359" t="s">
        <v>510</v>
      </c>
      <c r="D309" s="1359" t="s">
        <v>1258</v>
      </c>
      <c r="E309" s="1400"/>
      <c r="F309" s="506"/>
      <c r="G309" s="506"/>
      <c r="H309" s="1401"/>
      <c r="I309" s="2573">
        <v>1360000</v>
      </c>
      <c r="J309" s="1672"/>
      <c r="K309" s="1697"/>
      <c r="L309" s="1697"/>
      <c r="M309" s="1698">
        <v>40000</v>
      </c>
      <c r="N309" s="1697">
        <v>34</v>
      </c>
      <c r="O309" s="1397">
        <f t="shared" si="366"/>
        <v>1360000</v>
      </c>
      <c r="P309" s="1694"/>
      <c r="Q309" s="1694"/>
      <c r="R309" s="1694"/>
      <c r="S309" s="1672"/>
      <c r="T309" s="1699"/>
      <c r="U309" s="1700"/>
      <c r="V309" s="1700"/>
      <c r="W309" s="1672">
        <f t="shared" si="367"/>
        <v>1360000</v>
      </c>
      <c r="X309" s="1672"/>
      <c r="Y309" s="1699"/>
      <c r="Z309" s="1700"/>
      <c r="AA309" s="1699"/>
      <c r="AB309" s="2727">
        <f t="shared" si="368"/>
        <v>16917</v>
      </c>
      <c r="AC309" s="1444"/>
      <c r="AD309" s="1444"/>
      <c r="AE309" s="512"/>
      <c r="AF309" s="497"/>
      <c r="AG309" s="1396">
        <v>1</v>
      </c>
      <c r="AH309" s="1397">
        <f t="shared" si="393"/>
        <v>0</v>
      </c>
      <c r="AI309" s="355">
        <f t="shared" si="352"/>
        <v>0</v>
      </c>
      <c r="AJ309" s="351">
        <f t="shared" si="394"/>
        <v>0</v>
      </c>
      <c r="AK309" s="351"/>
      <c r="AL309" s="1398"/>
      <c r="AM309" s="2272"/>
      <c r="AN309" s="2272"/>
      <c r="AO309" s="513"/>
      <c r="AP309" s="513"/>
      <c r="AQ309" s="513"/>
      <c r="AR309" s="1996"/>
      <c r="AS309" s="2502"/>
      <c r="AT309" s="2511"/>
      <c r="AU309" s="2512"/>
      <c r="AV309" s="2512"/>
      <c r="AW309" s="2512"/>
      <c r="AX309" s="2512"/>
      <c r="AY309" s="2513"/>
      <c r="AZ309" s="2506"/>
      <c r="BA309" s="2507"/>
      <c r="BB309" s="2507"/>
      <c r="BC309" s="2507"/>
      <c r="BD309" s="2507"/>
      <c r="BE309" s="2507"/>
      <c r="BF309" s="2507"/>
      <c r="BG309" s="2507"/>
      <c r="BH309" s="2502"/>
      <c r="BI309" s="2502"/>
      <c r="BJ309" s="513"/>
      <c r="BK309" s="2135"/>
      <c r="BL309" s="2113"/>
      <c r="BM309" s="2113"/>
      <c r="BN309" s="2113"/>
      <c r="BO309" s="2113"/>
      <c r="BP309" s="2113"/>
      <c r="BQ309" s="2404"/>
      <c r="BR309" s="513"/>
      <c r="BS309" s="513"/>
      <c r="BT309" s="513"/>
      <c r="BU309" s="513"/>
      <c r="BV309" s="513"/>
      <c r="BW309" s="2418">
        <f>1917+15000</f>
        <v>16917</v>
      </c>
      <c r="BX309" s="2418"/>
      <c r="BY309" s="2552"/>
      <c r="BZ309" s="2552"/>
      <c r="CA309" s="2435">
        <f t="shared" si="360"/>
        <v>16917</v>
      </c>
      <c r="CB309" s="2380">
        <f t="shared" si="361"/>
        <v>1</v>
      </c>
      <c r="CC309" s="365">
        <f t="shared" si="362"/>
        <v>5.9112135721463615E-5</v>
      </c>
      <c r="CD309" s="1380">
        <f t="shared" si="363"/>
        <v>0.98756102941176471</v>
      </c>
      <c r="CE309" s="1381">
        <f t="shared" si="364"/>
        <v>1343083</v>
      </c>
      <c r="CF309" s="1381"/>
      <c r="CG309" s="501"/>
      <c r="CH309" s="502"/>
      <c r="CI309" s="503"/>
      <c r="CJ309" s="504"/>
      <c r="CK309" s="505"/>
      <c r="CL309" s="329">
        <f t="shared" si="298"/>
        <v>1343083</v>
      </c>
      <c r="CM309" s="330">
        <f t="shared" si="299"/>
        <v>0</v>
      </c>
      <c r="CN309" s="331">
        <f t="shared" si="369"/>
        <v>-16917</v>
      </c>
      <c r="CO309" s="86"/>
      <c r="CP309" s="86">
        <f>I309-O309</f>
        <v>0</v>
      </c>
      <c r="CQ309" s="1661"/>
      <c r="CR309" s="1661"/>
      <c r="CS309" s="1661"/>
      <c r="CT309" s="1661"/>
      <c r="CU309" s="1661"/>
      <c r="CV309" s="1661"/>
      <c r="CW309" s="1661"/>
      <c r="CX309" s="1661"/>
      <c r="CY309" s="1661"/>
      <c r="CZ309" s="1661"/>
      <c r="DA309" s="1661"/>
      <c r="DB309" s="235"/>
      <c r="DC309" s="235"/>
      <c r="DD309" s="1662"/>
      <c r="DE309" s="41"/>
      <c r="DF309" s="41"/>
      <c r="DG309" s="1663"/>
      <c r="DH309" s="1663"/>
      <c r="DI309" s="1663"/>
      <c r="DJ309" s="1663"/>
      <c r="DK309" s="1663"/>
      <c r="DL309" s="1663"/>
      <c r="DM309" s="1663"/>
      <c r="DN309" s="1663"/>
      <c r="DO309" s="1663"/>
      <c r="DP309" s="1663"/>
      <c r="DQ309" s="1663"/>
      <c r="DR309" s="1663"/>
      <c r="DS309" s="1663"/>
      <c r="DT309" s="1663"/>
      <c r="DU309" s="1663"/>
      <c r="DV309" s="1663"/>
      <c r="DW309" s="1663"/>
      <c r="DX309" s="1663"/>
      <c r="DY309" s="1663"/>
      <c r="DZ309" s="1663"/>
      <c r="EA309" s="1663"/>
      <c r="EB309" s="1663"/>
      <c r="EC309" s="1663"/>
      <c r="ED309" s="1663"/>
      <c r="EE309" s="1663"/>
      <c r="EF309" s="1663"/>
      <c r="EG309" s="1663"/>
      <c r="EH309" s="41"/>
      <c r="EI309" s="1658"/>
      <c r="EJ309" s="41"/>
      <c r="EK309" s="41"/>
      <c r="EL309" s="41"/>
      <c r="EM309" s="41"/>
      <c r="EN309" s="41"/>
      <c r="EO309" s="41"/>
      <c r="EP309" s="41"/>
      <c r="EQ309" s="41"/>
      <c r="ER309" s="41"/>
      <c r="ES309" s="41"/>
      <c r="ET309" s="41"/>
      <c r="EU309" s="41"/>
      <c r="EV309" s="41"/>
      <c r="EW309" s="41"/>
      <c r="EX309" s="41"/>
      <c r="EY309" s="41"/>
      <c r="EZ309" s="41"/>
      <c r="FA309" s="41"/>
      <c r="FB309" s="41"/>
      <c r="FC309" s="41"/>
      <c r="FD309" s="41"/>
      <c r="FE309" s="41"/>
      <c r="FF309" s="41"/>
      <c r="FG309" s="41"/>
      <c r="FH309" s="41"/>
      <c r="FI309" s="41"/>
      <c r="FJ309" s="41"/>
      <c r="FK309" s="41"/>
      <c r="FL309" s="41"/>
      <c r="FM309" s="41"/>
      <c r="FN309" s="41"/>
      <c r="FO309" s="41"/>
      <c r="FP309" s="41"/>
      <c r="FQ309" s="41"/>
      <c r="FR309" s="41"/>
      <c r="FS309" s="41"/>
      <c r="FT309" s="41"/>
      <c r="FU309" s="41"/>
      <c r="FV309" s="41"/>
      <c r="FW309" s="41"/>
      <c r="FX309" s="41"/>
      <c r="FY309" s="41"/>
      <c r="FZ309" s="41"/>
      <c r="GA309" s="41"/>
      <c r="GB309" s="41"/>
      <c r="GC309" s="41"/>
      <c r="GD309" s="41"/>
      <c r="GE309" s="41"/>
      <c r="GF309" s="41"/>
      <c r="GG309" s="41"/>
      <c r="GH309" s="41"/>
      <c r="GI309" s="41"/>
      <c r="GJ309" s="41"/>
      <c r="GK309" s="41"/>
      <c r="GL309" s="41"/>
      <c r="GM309" s="41"/>
      <c r="GN309" s="41"/>
      <c r="GO309" s="41"/>
      <c r="GP309" s="41"/>
      <c r="GQ309" s="41"/>
      <c r="GR309" s="41"/>
      <c r="GS309" s="41"/>
      <c r="GT309" s="41"/>
      <c r="GU309" s="41"/>
      <c r="GV309" s="41"/>
      <c r="GW309" s="41"/>
      <c r="GX309" s="41"/>
      <c r="GY309" s="41"/>
      <c r="GZ309" s="41"/>
      <c r="HA309" s="41"/>
      <c r="HB309" s="41"/>
      <c r="HC309" s="41"/>
      <c r="HD309" s="41"/>
      <c r="HE309" s="41"/>
      <c r="HF309" s="41"/>
      <c r="HG309" s="41"/>
      <c r="HH309" s="41"/>
      <c r="HI309" s="41"/>
      <c r="HJ309" s="41"/>
      <c r="HK309" s="41"/>
      <c r="HL309" s="41"/>
      <c r="HM309" s="41"/>
      <c r="HN309" s="41"/>
      <c r="HO309" s="41"/>
      <c r="HP309" s="41"/>
      <c r="HQ309" s="41"/>
      <c r="HR309" s="41"/>
      <c r="HS309" s="41"/>
      <c r="HT309" s="41"/>
      <c r="HU309" s="41"/>
      <c r="HV309" s="41"/>
      <c r="HW309" s="41"/>
      <c r="HX309" s="41"/>
      <c r="HY309" s="41"/>
      <c r="HZ309" s="41"/>
      <c r="IA309" s="41"/>
      <c r="IB309" s="41"/>
      <c r="IC309" s="41"/>
      <c r="ID309" s="41"/>
      <c r="IE309" s="41"/>
      <c r="IF309" s="41"/>
      <c r="IG309" s="41"/>
      <c r="IH309" s="41"/>
      <c r="II309" s="41"/>
      <c r="IJ309" s="41"/>
      <c r="IK309" s="41"/>
      <c r="IL309" s="41"/>
      <c r="IM309" s="41"/>
      <c r="IN309" s="41"/>
      <c r="IO309" s="41"/>
      <c r="IP309" s="41"/>
      <c r="IQ309" s="41"/>
      <c r="IR309" s="41"/>
      <c r="IS309" s="41"/>
      <c r="IT309" s="41"/>
      <c r="IU309" s="41"/>
      <c r="IV309" s="41"/>
      <c r="IW309" s="41"/>
      <c r="IX309" s="41"/>
      <c r="IY309" s="41"/>
      <c r="IZ309" s="41"/>
      <c r="JA309" s="41"/>
      <c r="JB309" s="41"/>
      <c r="JC309" s="41"/>
      <c r="JD309" s="41"/>
      <c r="JE309" s="41"/>
      <c r="JF309" s="41"/>
      <c r="JG309" s="41"/>
      <c r="JH309" s="41"/>
      <c r="JI309" s="41"/>
      <c r="JJ309" s="41"/>
      <c r="JK309" s="41"/>
      <c r="JL309" s="41"/>
      <c r="JM309" s="41"/>
      <c r="JN309" s="41"/>
      <c r="JO309" s="41"/>
      <c r="JP309" s="41"/>
      <c r="JQ309" s="41"/>
      <c r="JR309" s="41"/>
      <c r="JS309" s="41"/>
      <c r="JT309" s="41"/>
      <c r="JU309" s="41"/>
      <c r="JV309" s="41"/>
      <c r="JW309" s="41"/>
      <c r="JX309" s="41"/>
      <c r="JY309" s="41"/>
      <c r="JZ309" s="41"/>
      <c r="KA309" s="41"/>
      <c r="KB309" s="41"/>
      <c r="KC309" s="41"/>
      <c r="KD309" s="41"/>
      <c r="KE309" s="41"/>
      <c r="KF309" s="41"/>
      <c r="KG309" s="41"/>
      <c r="KH309" s="41"/>
      <c r="KI309" s="41"/>
      <c r="KJ309" s="41"/>
      <c r="KK309" s="41"/>
      <c r="KL309" s="41"/>
      <c r="KM309" s="41"/>
      <c r="KN309" s="41"/>
      <c r="KO309" s="41"/>
      <c r="KP309" s="1634"/>
    </row>
    <row r="310" spans="1:302" s="256" customFormat="1" ht="25.25" customHeight="1" outlineLevel="1">
      <c r="A310" s="2622" t="s">
        <v>749</v>
      </c>
      <c r="B310" s="2622" t="s">
        <v>1156</v>
      </c>
      <c r="C310" s="2020" t="s">
        <v>1289</v>
      </c>
      <c r="D310" s="1363" t="s">
        <v>233</v>
      </c>
      <c r="E310" s="1400"/>
      <c r="F310" s="506"/>
      <c r="G310" s="506"/>
      <c r="H310" s="1401"/>
      <c r="I310" s="2573">
        <v>0</v>
      </c>
      <c r="J310" s="1672"/>
      <c r="K310" s="1697"/>
      <c r="L310" s="1697"/>
      <c r="M310" s="1698">
        <v>40000</v>
      </c>
      <c r="N310" s="1697">
        <v>34</v>
      </c>
      <c r="O310" s="1397">
        <f t="shared" si="366"/>
        <v>0</v>
      </c>
      <c r="P310" s="1694"/>
      <c r="Q310" s="1694"/>
      <c r="R310" s="1694"/>
      <c r="S310" s="1672"/>
      <c r="T310" s="1699"/>
      <c r="U310" s="1700"/>
      <c r="V310" s="1700"/>
      <c r="W310" s="1672">
        <f t="shared" ref="W310" si="395">O310+S310</f>
        <v>0</v>
      </c>
      <c r="X310" s="1672"/>
      <c r="Y310" s="1699"/>
      <c r="Z310" s="1700"/>
      <c r="AA310" s="1699"/>
      <c r="AB310" s="2571">
        <f t="shared" si="368"/>
        <v>101500</v>
      </c>
      <c r="AC310" s="1444" t="s">
        <v>743</v>
      </c>
      <c r="AD310" s="1444">
        <v>4502939080</v>
      </c>
      <c r="AE310" s="512" t="s">
        <v>564</v>
      </c>
      <c r="AF310" s="497">
        <v>101500</v>
      </c>
      <c r="AG310" s="1396">
        <v>1</v>
      </c>
      <c r="AH310" s="1397">
        <f t="shared" ref="AH310:AH312" si="396">+AF310*AG310</f>
        <v>101500</v>
      </c>
      <c r="AI310" s="355">
        <f t="shared" si="352"/>
        <v>101500</v>
      </c>
      <c r="AJ310" s="351">
        <f t="shared" ref="AJ310:AJ312" si="397">IF($AB310&lt;&gt;0,AI310/$AB310,"")</f>
        <v>1</v>
      </c>
      <c r="AK310" s="351"/>
      <c r="AL310" s="1398"/>
      <c r="AM310" s="2272"/>
      <c r="AN310" s="2762"/>
      <c r="AO310" s="2826">
        <v>101500</v>
      </c>
      <c r="AP310" s="513"/>
      <c r="AQ310" s="513"/>
      <c r="AR310" s="1996"/>
      <c r="AS310" s="2502"/>
      <c r="AT310" s="2511"/>
      <c r="AU310" s="2512"/>
      <c r="AV310" s="2512"/>
      <c r="AW310" s="2512"/>
      <c r="AX310" s="2512"/>
      <c r="AY310" s="2513"/>
      <c r="AZ310" s="2506"/>
      <c r="BA310" s="2507"/>
      <c r="BB310" s="2507"/>
      <c r="BC310" s="2507"/>
      <c r="BD310" s="2507"/>
      <c r="BE310" s="2507"/>
      <c r="BF310" s="2507"/>
      <c r="BG310" s="2507"/>
      <c r="BH310" s="2502"/>
      <c r="BI310" s="2502"/>
      <c r="BJ310" s="513"/>
      <c r="BK310" s="2135"/>
      <c r="BL310" s="2113"/>
      <c r="BM310" s="2113"/>
      <c r="BN310" s="2113"/>
      <c r="BO310" s="2113"/>
      <c r="BP310" s="2113"/>
      <c r="BQ310" s="2404"/>
      <c r="BR310" s="513"/>
      <c r="BS310" s="513"/>
      <c r="BT310" s="513"/>
      <c r="BU310" s="513"/>
      <c r="BV310" s="513"/>
      <c r="BW310" s="2236"/>
      <c r="BX310" s="2418"/>
      <c r="BY310" s="2552"/>
      <c r="BZ310" s="2552"/>
      <c r="CA310" s="2435">
        <f t="shared" si="360"/>
        <v>0</v>
      </c>
      <c r="CB310" s="2380">
        <f t="shared" si="361"/>
        <v>0</v>
      </c>
      <c r="CC310" s="365">
        <f t="shared" si="362"/>
        <v>0</v>
      </c>
      <c r="CD310" s="1380" t="str">
        <f t="shared" si="363"/>
        <v>0,00%</v>
      </c>
      <c r="CE310" s="1381">
        <f t="shared" si="364"/>
        <v>-101500</v>
      </c>
      <c r="CF310" s="1381"/>
      <c r="CG310" s="501"/>
      <c r="CH310" s="502"/>
      <c r="CI310" s="503"/>
      <c r="CJ310" s="504"/>
      <c r="CK310" s="505"/>
      <c r="CL310" s="329">
        <f t="shared" si="298"/>
        <v>0</v>
      </c>
      <c r="CM310" s="330">
        <f t="shared" si="299"/>
        <v>0</v>
      </c>
      <c r="CN310" s="331">
        <f t="shared" si="369"/>
        <v>0</v>
      </c>
      <c r="CO310" s="86"/>
      <c r="CP310" s="86"/>
      <c r="CQ310" s="1661"/>
      <c r="CR310" s="1661"/>
      <c r="CS310" s="1661"/>
      <c r="CT310" s="1661"/>
      <c r="CU310" s="1661"/>
      <c r="CV310" s="1661"/>
      <c r="CW310" s="1661"/>
      <c r="CX310" s="1661"/>
      <c r="CY310" s="1661"/>
      <c r="CZ310" s="1661"/>
      <c r="DA310" s="1661"/>
      <c r="DB310" s="235"/>
      <c r="DC310" s="235"/>
      <c r="DD310" s="1662"/>
      <c r="DE310" s="41"/>
      <c r="DF310" s="41"/>
      <c r="DG310" s="1663"/>
      <c r="DH310" s="1663"/>
      <c r="DI310" s="1663"/>
      <c r="DJ310" s="1663"/>
      <c r="DK310" s="1663"/>
      <c r="DL310" s="1663"/>
      <c r="DM310" s="1663"/>
      <c r="DN310" s="1663"/>
      <c r="DO310" s="1663"/>
      <c r="DP310" s="1663"/>
      <c r="DQ310" s="1663"/>
      <c r="DR310" s="1663"/>
      <c r="DS310" s="1663"/>
      <c r="DT310" s="1663"/>
      <c r="DU310" s="1663"/>
      <c r="DV310" s="1663"/>
      <c r="DW310" s="1663"/>
      <c r="DX310" s="1663"/>
      <c r="DY310" s="1663"/>
      <c r="DZ310" s="1663"/>
      <c r="EA310" s="1663"/>
      <c r="EB310" s="1663"/>
      <c r="EC310" s="1663"/>
      <c r="ED310" s="1663"/>
      <c r="EE310" s="1663"/>
      <c r="EF310" s="1663"/>
      <c r="EG310" s="1663"/>
      <c r="EH310" s="41"/>
      <c r="EI310" s="1658"/>
      <c r="EJ310" s="41"/>
      <c r="EK310" s="41"/>
      <c r="EL310" s="41"/>
      <c r="EM310" s="41"/>
      <c r="EN310" s="41"/>
      <c r="EO310" s="41"/>
      <c r="EP310" s="41"/>
      <c r="EQ310" s="41"/>
      <c r="ER310" s="41"/>
      <c r="ES310" s="41"/>
      <c r="ET310" s="41"/>
      <c r="EU310" s="41"/>
      <c r="EV310" s="41"/>
      <c r="EW310" s="41"/>
      <c r="EX310" s="41"/>
      <c r="EY310" s="41"/>
      <c r="EZ310" s="41"/>
      <c r="FA310" s="41"/>
      <c r="FB310" s="41"/>
      <c r="FC310" s="41"/>
      <c r="FD310" s="41"/>
      <c r="FE310" s="41"/>
      <c r="FF310" s="41"/>
      <c r="FG310" s="41"/>
      <c r="FH310" s="41"/>
      <c r="FI310" s="41"/>
      <c r="FJ310" s="41"/>
      <c r="FK310" s="41"/>
      <c r="FL310" s="41"/>
      <c r="FM310" s="41"/>
      <c r="FN310" s="41"/>
      <c r="FO310" s="41"/>
      <c r="FP310" s="41"/>
      <c r="FQ310" s="41"/>
      <c r="FR310" s="41"/>
      <c r="FS310" s="41"/>
      <c r="FT310" s="41"/>
      <c r="FU310" s="41"/>
      <c r="FV310" s="41"/>
      <c r="FW310" s="41"/>
      <c r="FX310" s="41"/>
      <c r="FY310" s="41"/>
      <c r="FZ310" s="41"/>
      <c r="GA310" s="41"/>
      <c r="GB310" s="41"/>
      <c r="GC310" s="41"/>
      <c r="GD310" s="41"/>
      <c r="GE310" s="41"/>
      <c r="GF310" s="41"/>
      <c r="GG310" s="41"/>
      <c r="GH310" s="41"/>
      <c r="GI310" s="41"/>
      <c r="GJ310" s="41"/>
      <c r="GK310" s="41"/>
      <c r="GL310" s="41"/>
      <c r="GM310" s="41"/>
      <c r="GN310" s="41"/>
      <c r="GO310" s="41"/>
      <c r="GP310" s="41"/>
      <c r="GQ310" s="41"/>
      <c r="GR310" s="41"/>
      <c r="GS310" s="41"/>
      <c r="GT310" s="41"/>
      <c r="GU310" s="41"/>
      <c r="GV310" s="41"/>
      <c r="GW310" s="41"/>
      <c r="GX310" s="41"/>
      <c r="GY310" s="41"/>
      <c r="GZ310" s="41"/>
      <c r="HA310" s="41"/>
      <c r="HB310" s="41"/>
      <c r="HC310" s="41"/>
      <c r="HD310" s="41"/>
      <c r="HE310" s="41"/>
      <c r="HF310" s="41"/>
      <c r="HG310" s="41"/>
      <c r="HH310" s="41"/>
      <c r="HI310" s="41"/>
      <c r="HJ310" s="41"/>
      <c r="HK310" s="41"/>
      <c r="HL310" s="41"/>
      <c r="HM310" s="41"/>
      <c r="HN310" s="41"/>
      <c r="HO310" s="41"/>
      <c r="HP310" s="41"/>
      <c r="HQ310" s="41"/>
      <c r="HR310" s="41"/>
      <c r="HS310" s="41"/>
      <c r="HT310" s="41"/>
      <c r="HU310" s="41"/>
      <c r="HV310" s="41"/>
      <c r="HW310" s="41"/>
      <c r="HX310" s="41"/>
      <c r="HY310" s="41"/>
      <c r="HZ310" s="41"/>
      <c r="IA310" s="41"/>
      <c r="IB310" s="41"/>
      <c r="IC310" s="41"/>
      <c r="ID310" s="41"/>
      <c r="IE310" s="41"/>
      <c r="IF310" s="41"/>
      <c r="IG310" s="41"/>
      <c r="IH310" s="41"/>
      <c r="II310" s="41"/>
      <c r="IJ310" s="41"/>
      <c r="IK310" s="41"/>
      <c r="IL310" s="41"/>
      <c r="IM310" s="41"/>
      <c r="IN310" s="41"/>
      <c r="IO310" s="41"/>
      <c r="IP310" s="41"/>
      <c r="IQ310" s="41"/>
      <c r="IR310" s="41"/>
      <c r="IS310" s="41"/>
      <c r="IT310" s="41"/>
      <c r="IU310" s="41"/>
      <c r="IV310" s="41"/>
      <c r="IW310" s="41"/>
      <c r="IX310" s="41"/>
      <c r="IY310" s="41"/>
      <c r="IZ310" s="41"/>
      <c r="JA310" s="41"/>
      <c r="JB310" s="41"/>
      <c r="JC310" s="41"/>
      <c r="JD310" s="41"/>
      <c r="JE310" s="41"/>
      <c r="JF310" s="41"/>
      <c r="JG310" s="41"/>
      <c r="JH310" s="41"/>
      <c r="JI310" s="41"/>
      <c r="JJ310" s="41"/>
      <c r="JK310" s="41"/>
      <c r="JL310" s="41"/>
      <c r="JM310" s="41"/>
      <c r="JN310" s="41"/>
      <c r="JO310" s="41"/>
      <c r="JP310" s="41"/>
      <c r="JQ310" s="41"/>
      <c r="JR310" s="41"/>
      <c r="JS310" s="41"/>
      <c r="JT310" s="41"/>
      <c r="JU310" s="41"/>
      <c r="JV310" s="41"/>
      <c r="JW310" s="41"/>
      <c r="JX310" s="41"/>
      <c r="JY310" s="41"/>
      <c r="JZ310" s="41"/>
      <c r="KA310" s="41"/>
      <c r="KB310" s="41"/>
      <c r="KC310" s="41"/>
      <c r="KD310" s="41"/>
      <c r="KE310" s="41"/>
      <c r="KF310" s="41"/>
      <c r="KG310" s="41"/>
      <c r="KH310" s="41"/>
      <c r="KI310" s="41"/>
      <c r="KJ310" s="41"/>
      <c r="KK310" s="41"/>
      <c r="KL310" s="41"/>
      <c r="KM310" s="41"/>
      <c r="KN310" s="41"/>
      <c r="KO310" s="41"/>
      <c r="KP310" s="1634"/>
    </row>
    <row r="311" spans="1:302" s="256" customFormat="1" ht="25.25" customHeight="1" outlineLevel="1">
      <c r="A311" s="2622" t="s">
        <v>758</v>
      </c>
      <c r="B311" s="2622"/>
      <c r="C311" s="2020" t="s">
        <v>1299</v>
      </c>
      <c r="D311" s="1363" t="s">
        <v>233</v>
      </c>
      <c r="E311" s="1400"/>
      <c r="F311" s="506"/>
      <c r="G311" s="506"/>
      <c r="H311" s="1401"/>
      <c r="I311" s="2573">
        <v>0</v>
      </c>
      <c r="J311" s="1672"/>
      <c r="K311" s="1697"/>
      <c r="L311" s="1697"/>
      <c r="M311" s="1698"/>
      <c r="N311" s="1697"/>
      <c r="O311" s="1397">
        <f t="shared" si="366"/>
        <v>0</v>
      </c>
      <c r="P311" s="1694"/>
      <c r="Q311" s="1694"/>
      <c r="R311" s="1694"/>
      <c r="S311" s="1672"/>
      <c r="T311" s="1699"/>
      <c r="U311" s="1700"/>
      <c r="V311" s="1700"/>
      <c r="W311" s="1672">
        <f t="shared" ref="W311" si="398">O311+S311</f>
        <v>0</v>
      </c>
      <c r="X311" s="1672"/>
      <c r="Y311" s="1699"/>
      <c r="Z311" s="1700"/>
      <c r="AA311" s="1699"/>
      <c r="AB311" s="2571">
        <f t="shared" si="368"/>
        <v>21000</v>
      </c>
      <c r="AC311" s="1444" t="s">
        <v>1280</v>
      </c>
      <c r="AD311" s="1444">
        <v>4502939080</v>
      </c>
      <c r="AE311" s="512" t="s">
        <v>564</v>
      </c>
      <c r="AF311" s="497">
        <v>21000</v>
      </c>
      <c r="AG311" s="1396">
        <v>1</v>
      </c>
      <c r="AH311" s="1397">
        <f t="shared" ref="AH311" si="399">+AF311*AG311</f>
        <v>21000</v>
      </c>
      <c r="AI311" s="355">
        <f t="shared" ref="AI311" si="400">SUMIF($AM$10:$BZ$10,$AI$9,AM311:BZ311)</f>
        <v>21000</v>
      </c>
      <c r="AJ311" s="351">
        <f t="shared" si="397"/>
        <v>1</v>
      </c>
      <c r="AK311" s="351"/>
      <c r="AL311" s="1398"/>
      <c r="AM311" s="2272"/>
      <c r="AN311" s="2762"/>
      <c r="AO311" s="2826">
        <v>21000</v>
      </c>
      <c r="AP311" s="513"/>
      <c r="AQ311" s="513"/>
      <c r="AR311" s="1996"/>
      <c r="AS311" s="2502"/>
      <c r="AT311" s="2511"/>
      <c r="AU311" s="2512"/>
      <c r="AV311" s="2512"/>
      <c r="AW311" s="2512"/>
      <c r="AX311" s="2512"/>
      <c r="AY311" s="2513"/>
      <c r="AZ311" s="2506"/>
      <c r="BA311" s="2507"/>
      <c r="BB311" s="2507"/>
      <c r="BC311" s="2507"/>
      <c r="BD311" s="2507"/>
      <c r="BE311" s="2507"/>
      <c r="BF311" s="2507"/>
      <c r="BG311" s="2507"/>
      <c r="BH311" s="2502"/>
      <c r="BI311" s="2502"/>
      <c r="BJ311" s="513"/>
      <c r="BK311" s="2135"/>
      <c r="BL311" s="2113"/>
      <c r="BM311" s="2113"/>
      <c r="BN311" s="2113"/>
      <c r="BO311" s="2113"/>
      <c r="BP311" s="2113"/>
      <c r="BQ311" s="2404"/>
      <c r="BR311" s="513"/>
      <c r="BS311" s="513"/>
      <c r="BT311" s="513"/>
      <c r="BU311" s="513"/>
      <c r="BV311" s="513"/>
      <c r="BW311" s="2236"/>
      <c r="BX311" s="2418"/>
      <c r="BY311" s="2552"/>
      <c r="BZ311" s="2552"/>
      <c r="CA311" s="2435">
        <f t="shared" si="360"/>
        <v>0</v>
      </c>
      <c r="CB311" s="2380">
        <f t="shared" si="361"/>
        <v>0</v>
      </c>
      <c r="CC311" s="365">
        <f t="shared" si="362"/>
        <v>0</v>
      </c>
      <c r="CD311" s="1380" t="str">
        <f t="shared" si="363"/>
        <v>0,00%</v>
      </c>
      <c r="CE311" s="1381">
        <f t="shared" si="364"/>
        <v>-21000</v>
      </c>
      <c r="CF311" s="1381"/>
      <c r="CG311" s="501"/>
      <c r="CH311" s="502"/>
      <c r="CI311" s="503"/>
      <c r="CJ311" s="504"/>
      <c r="CK311" s="505"/>
      <c r="CL311" s="329">
        <f t="shared" si="298"/>
        <v>0</v>
      </c>
      <c r="CM311" s="330">
        <f t="shared" si="299"/>
        <v>0</v>
      </c>
      <c r="CN311" s="331"/>
      <c r="CO311" s="86"/>
      <c r="CP311" s="86"/>
      <c r="CQ311" s="1661"/>
      <c r="CR311" s="1661"/>
      <c r="CS311" s="1661"/>
      <c r="CT311" s="1661"/>
      <c r="CU311" s="1661"/>
      <c r="CV311" s="1661"/>
      <c r="CW311" s="1661"/>
      <c r="CX311" s="1661"/>
      <c r="CY311" s="1661"/>
      <c r="CZ311" s="1661"/>
      <c r="DA311" s="1661"/>
      <c r="DB311" s="235"/>
      <c r="DC311" s="235"/>
      <c r="DD311" s="1662"/>
      <c r="DE311" s="41"/>
      <c r="DF311" s="41"/>
      <c r="DG311" s="1663"/>
      <c r="DH311" s="1663"/>
      <c r="DI311" s="1663"/>
      <c r="DJ311" s="1663"/>
      <c r="DK311" s="1663"/>
      <c r="DL311" s="1663"/>
      <c r="DM311" s="1663"/>
      <c r="DN311" s="1663"/>
      <c r="DO311" s="1663"/>
      <c r="DP311" s="1663"/>
      <c r="DQ311" s="1663"/>
      <c r="DR311" s="1663"/>
      <c r="DS311" s="1663"/>
      <c r="DT311" s="1663"/>
      <c r="DU311" s="1663"/>
      <c r="DV311" s="1663"/>
      <c r="DW311" s="1663"/>
      <c r="DX311" s="1663"/>
      <c r="DY311" s="1663"/>
      <c r="DZ311" s="1663"/>
      <c r="EA311" s="1663"/>
      <c r="EB311" s="1663"/>
      <c r="EC311" s="1663"/>
      <c r="ED311" s="1663"/>
      <c r="EE311" s="1663"/>
      <c r="EF311" s="1663"/>
      <c r="EG311" s="1663"/>
      <c r="EH311" s="41"/>
      <c r="EI311" s="1658"/>
      <c r="EJ311" s="41"/>
      <c r="EK311" s="41"/>
      <c r="EL311" s="41"/>
      <c r="EM311" s="41"/>
      <c r="EN311" s="41"/>
      <c r="EO311" s="41"/>
      <c r="EP311" s="41"/>
      <c r="EQ311" s="41"/>
      <c r="ER311" s="41"/>
      <c r="ES311" s="41"/>
      <c r="ET311" s="41"/>
      <c r="EU311" s="41"/>
      <c r="EV311" s="41"/>
      <c r="EW311" s="41"/>
      <c r="EX311" s="41"/>
      <c r="EY311" s="41"/>
      <c r="EZ311" s="41"/>
      <c r="FA311" s="41"/>
      <c r="FB311" s="41"/>
      <c r="FC311" s="41"/>
      <c r="FD311" s="41"/>
      <c r="FE311" s="41"/>
      <c r="FF311" s="41"/>
      <c r="FG311" s="41"/>
      <c r="FH311" s="41"/>
      <c r="FI311" s="41"/>
      <c r="FJ311" s="41"/>
      <c r="FK311" s="41"/>
      <c r="FL311" s="41"/>
      <c r="FM311" s="41"/>
      <c r="FN311" s="41"/>
      <c r="FO311" s="41"/>
      <c r="FP311" s="41"/>
      <c r="FQ311" s="41"/>
      <c r="FR311" s="41"/>
      <c r="FS311" s="41"/>
      <c r="FT311" s="41"/>
      <c r="FU311" s="41"/>
      <c r="FV311" s="41"/>
      <c r="FW311" s="41"/>
      <c r="FX311" s="41"/>
      <c r="FY311" s="41"/>
      <c r="FZ311" s="41"/>
      <c r="GA311" s="41"/>
      <c r="GB311" s="41"/>
      <c r="GC311" s="41"/>
      <c r="GD311" s="41"/>
      <c r="GE311" s="41"/>
      <c r="GF311" s="41"/>
      <c r="GG311" s="41"/>
      <c r="GH311" s="41"/>
      <c r="GI311" s="41"/>
      <c r="GJ311" s="41"/>
      <c r="GK311" s="41"/>
      <c r="GL311" s="41"/>
      <c r="GM311" s="41"/>
      <c r="GN311" s="41"/>
      <c r="GO311" s="41"/>
      <c r="GP311" s="41"/>
      <c r="GQ311" s="41"/>
      <c r="GR311" s="41"/>
      <c r="GS311" s="41"/>
      <c r="GT311" s="41"/>
      <c r="GU311" s="41"/>
      <c r="GV311" s="41"/>
      <c r="GW311" s="41"/>
      <c r="GX311" s="41"/>
      <c r="GY311" s="41"/>
      <c r="GZ311" s="41"/>
      <c r="HA311" s="41"/>
      <c r="HB311" s="41"/>
      <c r="HC311" s="41"/>
      <c r="HD311" s="41"/>
      <c r="HE311" s="41"/>
      <c r="HF311" s="41"/>
      <c r="HG311" s="41"/>
      <c r="HH311" s="41"/>
      <c r="HI311" s="41"/>
      <c r="HJ311" s="41"/>
      <c r="HK311" s="41"/>
      <c r="HL311" s="41"/>
      <c r="HM311" s="41"/>
      <c r="HN311" s="41"/>
      <c r="HO311" s="41"/>
      <c r="HP311" s="41"/>
      <c r="HQ311" s="41"/>
      <c r="HR311" s="41"/>
      <c r="HS311" s="41"/>
      <c r="HT311" s="41"/>
      <c r="HU311" s="41"/>
      <c r="HV311" s="41"/>
      <c r="HW311" s="41"/>
      <c r="HX311" s="41"/>
      <c r="HY311" s="41"/>
      <c r="HZ311" s="41"/>
      <c r="IA311" s="41"/>
      <c r="IB311" s="41"/>
      <c r="IC311" s="41"/>
      <c r="ID311" s="41"/>
      <c r="IE311" s="41"/>
      <c r="IF311" s="41"/>
      <c r="IG311" s="41"/>
      <c r="IH311" s="41"/>
      <c r="II311" s="41"/>
      <c r="IJ311" s="41"/>
      <c r="IK311" s="41"/>
      <c r="IL311" s="41"/>
      <c r="IM311" s="41"/>
      <c r="IN311" s="41"/>
      <c r="IO311" s="41"/>
      <c r="IP311" s="41"/>
      <c r="IQ311" s="41"/>
      <c r="IR311" s="41"/>
      <c r="IS311" s="41"/>
      <c r="IT311" s="41"/>
      <c r="IU311" s="41"/>
      <c r="IV311" s="41"/>
      <c r="IW311" s="41"/>
      <c r="IX311" s="41"/>
      <c r="IY311" s="41"/>
      <c r="IZ311" s="41"/>
      <c r="JA311" s="41"/>
      <c r="JB311" s="41"/>
      <c r="JC311" s="41"/>
      <c r="JD311" s="41"/>
      <c r="JE311" s="41"/>
      <c r="JF311" s="41"/>
      <c r="JG311" s="41"/>
      <c r="JH311" s="41"/>
      <c r="JI311" s="41"/>
      <c r="JJ311" s="41"/>
      <c r="JK311" s="41"/>
      <c r="JL311" s="41"/>
      <c r="JM311" s="41"/>
      <c r="JN311" s="41"/>
      <c r="JO311" s="41"/>
      <c r="JP311" s="41"/>
      <c r="JQ311" s="41"/>
      <c r="JR311" s="41"/>
      <c r="JS311" s="41"/>
      <c r="JT311" s="41"/>
      <c r="JU311" s="41"/>
      <c r="JV311" s="41"/>
      <c r="JW311" s="41"/>
      <c r="JX311" s="41"/>
      <c r="JY311" s="41"/>
      <c r="JZ311" s="41"/>
      <c r="KA311" s="41"/>
      <c r="KB311" s="41"/>
      <c r="KC311" s="41"/>
      <c r="KD311" s="41"/>
      <c r="KE311" s="41"/>
      <c r="KF311" s="41"/>
      <c r="KG311" s="41"/>
      <c r="KH311" s="41"/>
      <c r="KI311" s="41"/>
      <c r="KJ311" s="41"/>
      <c r="KK311" s="41"/>
      <c r="KL311" s="41"/>
      <c r="KM311" s="41"/>
      <c r="KN311" s="41"/>
      <c r="KO311" s="41"/>
      <c r="KP311" s="1634"/>
    </row>
    <row r="312" spans="1:302" s="256" customFormat="1" ht="25.25" customHeight="1" outlineLevel="1">
      <c r="A312" s="2622" t="s">
        <v>750</v>
      </c>
      <c r="B312" s="2622" t="s">
        <v>1157</v>
      </c>
      <c r="C312" s="2020" t="s">
        <v>1298</v>
      </c>
      <c r="D312" s="1359" t="s">
        <v>1259</v>
      </c>
      <c r="E312" s="1400"/>
      <c r="F312" s="506"/>
      <c r="G312" s="506"/>
      <c r="H312" s="1401"/>
      <c r="I312" s="2573">
        <v>0</v>
      </c>
      <c r="J312" s="1672"/>
      <c r="K312" s="1697"/>
      <c r="L312" s="1697"/>
      <c r="M312" s="1698">
        <v>40000</v>
      </c>
      <c r="N312" s="1697">
        <v>34</v>
      </c>
      <c r="O312" s="1397">
        <f t="shared" si="366"/>
        <v>0</v>
      </c>
      <c r="P312" s="1694"/>
      <c r="Q312" s="1694"/>
      <c r="R312" s="1694"/>
      <c r="S312" s="1672"/>
      <c r="T312" s="1699"/>
      <c r="U312" s="1700"/>
      <c r="V312" s="1700"/>
      <c r="W312" s="1672">
        <f t="shared" ref="W312:W313" si="401">O312+S312</f>
        <v>0</v>
      </c>
      <c r="X312" s="1672"/>
      <c r="Y312" s="1699"/>
      <c r="Z312" s="1700"/>
      <c r="AA312" s="1699"/>
      <c r="AB312" s="2571">
        <f t="shared" si="368"/>
        <v>140549.99666666664</v>
      </c>
      <c r="AC312" s="1444" t="s">
        <v>748</v>
      </c>
      <c r="AD312" s="1444">
        <v>4502939075</v>
      </c>
      <c r="AE312" s="512" t="s">
        <v>564</v>
      </c>
      <c r="AF312" s="497">
        <v>155550</v>
      </c>
      <c r="AG312" s="1396">
        <v>1</v>
      </c>
      <c r="AH312" s="1397">
        <f t="shared" si="396"/>
        <v>155550</v>
      </c>
      <c r="AI312" s="355">
        <f t="shared" si="352"/>
        <v>0</v>
      </c>
      <c r="AJ312" s="351">
        <f t="shared" si="397"/>
        <v>0</v>
      </c>
      <c r="AK312" s="351"/>
      <c r="AL312" s="1398"/>
      <c r="AM312" s="2272"/>
      <c r="AN312" s="2272"/>
      <c r="AO312" s="513"/>
      <c r="AP312" s="2894">
        <f>AF312/27</f>
        <v>5761.1111111111113</v>
      </c>
      <c r="AQ312" s="513">
        <v>5761.1111111111113</v>
      </c>
      <c r="AR312" s="2827">
        <v>5761.1111111111113</v>
      </c>
      <c r="AS312" s="2502">
        <v>5761.1111111111113</v>
      </c>
      <c r="AT312" s="2511">
        <v>5761.1111111111113</v>
      </c>
      <c r="AU312" s="2512">
        <v>5761.1111111111113</v>
      </c>
      <c r="AV312" s="2512">
        <v>5761.1111111111113</v>
      </c>
      <c r="AW312" s="2512">
        <v>5761.1111111111113</v>
      </c>
      <c r="AX312" s="2512">
        <v>5761.1111111111113</v>
      </c>
      <c r="AY312" s="2513">
        <v>5761.1111111111113</v>
      </c>
      <c r="AZ312" s="2506">
        <v>5761.1111111111113</v>
      </c>
      <c r="BA312" s="2507">
        <v>5761.1111111111113</v>
      </c>
      <c r="BB312" s="2507">
        <v>5761.1111111111113</v>
      </c>
      <c r="BC312" s="2507">
        <v>5761.1111111111113</v>
      </c>
      <c r="BD312" s="2507">
        <v>5761.1111111111113</v>
      </c>
      <c r="BE312" s="2507">
        <v>5761.1111111111113</v>
      </c>
      <c r="BF312" s="2507">
        <v>5761.1111111111113</v>
      </c>
      <c r="BG312" s="2507">
        <v>5761.1111111111113</v>
      </c>
      <c r="BH312" s="2502">
        <v>5761.1111111111113</v>
      </c>
      <c r="BI312" s="2502">
        <v>5761.1111111111113</v>
      </c>
      <c r="BJ312" s="513">
        <v>5761.1111111111113</v>
      </c>
      <c r="BK312" s="2135">
        <v>5761.1111111111113</v>
      </c>
      <c r="BL312" s="2113">
        <v>5761.1111111111113</v>
      </c>
      <c r="BM312" s="2113">
        <v>5761.1111111111113</v>
      </c>
      <c r="BN312" s="2113">
        <v>2283.33</v>
      </c>
      <c r="BO312" s="2113"/>
      <c r="BP312" s="2113"/>
      <c r="BQ312" s="2404"/>
      <c r="BR312" s="513"/>
      <c r="BS312" s="513"/>
      <c r="BT312" s="513"/>
      <c r="BU312" s="513"/>
      <c r="BV312" s="513"/>
      <c r="BW312" s="2236"/>
      <c r="BX312" s="2418"/>
      <c r="BY312" s="2552"/>
      <c r="BZ312" s="2552"/>
      <c r="CA312" s="2435">
        <f t="shared" si="360"/>
        <v>140549.99666666664</v>
      </c>
      <c r="CB312" s="2380">
        <f t="shared" si="361"/>
        <v>1</v>
      </c>
      <c r="CC312" s="365">
        <f t="shared" si="362"/>
        <v>7.1149058962387274E-6</v>
      </c>
      <c r="CD312" s="1380" t="str">
        <f t="shared" si="363"/>
        <v>0,00%</v>
      </c>
      <c r="CE312" s="1381">
        <f t="shared" si="364"/>
        <v>-140549.99666666664</v>
      </c>
      <c r="CF312" s="1381"/>
      <c r="CG312" s="501"/>
      <c r="CH312" s="502"/>
      <c r="CI312" s="503"/>
      <c r="CJ312" s="504"/>
      <c r="CK312" s="505"/>
      <c r="CL312" s="329">
        <f t="shared" si="298"/>
        <v>-140549.99666666664</v>
      </c>
      <c r="CM312" s="330">
        <f t="shared" si="299"/>
        <v>0</v>
      </c>
      <c r="CN312" s="331">
        <f t="shared" si="369"/>
        <v>-82938.885555555549</v>
      </c>
      <c r="CO312" s="86"/>
      <c r="CP312" s="86"/>
      <c r="CQ312" s="1661"/>
      <c r="CR312" s="1661"/>
      <c r="CS312" s="1661"/>
      <c r="CT312" s="1661"/>
      <c r="CU312" s="1661"/>
      <c r="CV312" s="1661"/>
      <c r="CW312" s="1661"/>
      <c r="CX312" s="1661"/>
      <c r="CY312" s="1661"/>
      <c r="CZ312" s="1661"/>
      <c r="DA312" s="1661"/>
      <c r="DB312" s="235"/>
      <c r="DC312" s="235"/>
      <c r="DD312" s="1662"/>
      <c r="DE312" s="41"/>
      <c r="DF312" s="41"/>
      <c r="DG312" s="1663"/>
      <c r="DH312" s="1663"/>
      <c r="DI312" s="1663"/>
      <c r="DJ312" s="1663"/>
      <c r="DK312" s="1663"/>
      <c r="DL312" s="1663"/>
      <c r="DM312" s="1663"/>
      <c r="DN312" s="1663"/>
      <c r="DO312" s="1663"/>
      <c r="DP312" s="1663"/>
      <c r="DQ312" s="1663"/>
      <c r="DR312" s="1663"/>
      <c r="DS312" s="1663"/>
      <c r="DT312" s="1663"/>
      <c r="DU312" s="1663"/>
      <c r="DV312" s="1663"/>
      <c r="DW312" s="1663"/>
      <c r="DX312" s="1663"/>
      <c r="DY312" s="1663"/>
      <c r="DZ312" s="1663"/>
      <c r="EA312" s="1663"/>
      <c r="EB312" s="1663"/>
      <c r="EC312" s="1663"/>
      <c r="ED312" s="1663"/>
      <c r="EE312" s="1663"/>
      <c r="EF312" s="1663"/>
      <c r="EG312" s="1663"/>
      <c r="EH312" s="41"/>
      <c r="EI312" s="1658"/>
      <c r="EJ312" s="41"/>
      <c r="EK312" s="41"/>
      <c r="EL312" s="41"/>
      <c r="EM312" s="41"/>
      <c r="EN312" s="41"/>
      <c r="EO312" s="41"/>
      <c r="EP312" s="41"/>
      <c r="EQ312" s="41"/>
      <c r="ER312" s="41"/>
      <c r="ES312" s="41"/>
      <c r="ET312" s="41"/>
      <c r="EU312" s="41"/>
      <c r="EV312" s="41"/>
      <c r="EW312" s="41"/>
      <c r="EX312" s="41"/>
      <c r="EY312" s="41"/>
      <c r="EZ312" s="41"/>
      <c r="FA312" s="41"/>
      <c r="FB312" s="41"/>
      <c r="FC312" s="41"/>
      <c r="FD312" s="41"/>
      <c r="FE312" s="41"/>
      <c r="FF312" s="41"/>
      <c r="FG312" s="41"/>
      <c r="FH312" s="41"/>
      <c r="FI312" s="41"/>
      <c r="FJ312" s="41"/>
      <c r="FK312" s="41"/>
      <c r="FL312" s="41"/>
      <c r="FM312" s="41"/>
      <c r="FN312" s="41"/>
      <c r="FO312" s="41"/>
      <c r="FP312" s="41"/>
      <c r="FQ312" s="41"/>
      <c r="FR312" s="41"/>
      <c r="FS312" s="41"/>
      <c r="FT312" s="41"/>
      <c r="FU312" s="41"/>
      <c r="FV312" s="41"/>
      <c r="FW312" s="41"/>
      <c r="FX312" s="41"/>
      <c r="FY312" s="41"/>
      <c r="FZ312" s="41"/>
      <c r="GA312" s="41"/>
      <c r="GB312" s="41"/>
      <c r="GC312" s="41"/>
      <c r="GD312" s="41"/>
      <c r="GE312" s="41"/>
      <c r="GF312" s="41"/>
      <c r="GG312" s="41"/>
      <c r="GH312" s="41"/>
      <c r="GI312" s="41"/>
      <c r="GJ312" s="41"/>
      <c r="GK312" s="41"/>
      <c r="GL312" s="41"/>
      <c r="GM312" s="41"/>
      <c r="GN312" s="41"/>
      <c r="GO312" s="41"/>
      <c r="GP312" s="41"/>
      <c r="GQ312" s="41"/>
      <c r="GR312" s="41"/>
      <c r="GS312" s="41"/>
      <c r="GT312" s="41"/>
      <c r="GU312" s="41"/>
      <c r="GV312" s="41"/>
      <c r="GW312" s="41"/>
      <c r="GX312" s="41"/>
      <c r="GY312" s="41"/>
      <c r="GZ312" s="41"/>
      <c r="HA312" s="41"/>
      <c r="HB312" s="41"/>
      <c r="HC312" s="41"/>
      <c r="HD312" s="41"/>
      <c r="HE312" s="41"/>
      <c r="HF312" s="41"/>
      <c r="HG312" s="41"/>
      <c r="HH312" s="41"/>
      <c r="HI312" s="41"/>
      <c r="HJ312" s="41"/>
      <c r="HK312" s="41"/>
      <c r="HL312" s="41"/>
      <c r="HM312" s="41"/>
      <c r="HN312" s="41"/>
      <c r="HO312" s="41"/>
      <c r="HP312" s="41"/>
      <c r="HQ312" s="41"/>
      <c r="HR312" s="41"/>
      <c r="HS312" s="41"/>
      <c r="HT312" s="41"/>
      <c r="HU312" s="41"/>
      <c r="HV312" s="41"/>
      <c r="HW312" s="41"/>
      <c r="HX312" s="41"/>
      <c r="HY312" s="41"/>
      <c r="HZ312" s="41"/>
      <c r="IA312" s="41"/>
      <c r="IB312" s="41"/>
      <c r="IC312" s="41"/>
      <c r="ID312" s="41"/>
      <c r="IE312" s="41"/>
      <c r="IF312" s="41"/>
      <c r="IG312" s="41"/>
      <c r="IH312" s="41"/>
      <c r="II312" s="41"/>
      <c r="IJ312" s="41"/>
      <c r="IK312" s="41"/>
      <c r="IL312" s="41"/>
      <c r="IM312" s="41"/>
      <c r="IN312" s="41"/>
      <c r="IO312" s="41"/>
      <c r="IP312" s="41"/>
      <c r="IQ312" s="41"/>
      <c r="IR312" s="41"/>
      <c r="IS312" s="41"/>
      <c r="IT312" s="41"/>
      <c r="IU312" s="41"/>
      <c r="IV312" s="41"/>
      <c r="IW312" s="41"/>
      <c r="IX312" s="41"/>
      <c r="IY312" s="41"/>
      <c r="IZ312" s="41"/>
      <c r="JA312" s="41"/>
      <c r="JB312" s="41"/>
      <c r="JC312" s="41"/>
      <c r="JD312" s="41"/>
      <c r="JE312" s="41"/>
      <c r="JF312" s="41"/>
      <c r="JG312" s="41"/>
      <c r="JH312" s="41"/>
      <c r="JI312" s="41"/>
      <c r="JJ312" s="41"/>
      <c r="JK312" s="41"/>
      <c r="JL312" s="41"/>
      <c r="JM312" s="41"/>
      <c r="JN312" s="41"/>
      <c r="JO312" s="41"/>
      <c r="JP312" s="41"/>
      <c r="JQ312" s="41"/>
      <c r="JR312" s="41"/>
      <c r="JS312" s="41"/>
      <c r="JT312" s="41"/>
      <c r="JU312" s="41"/>
      <c r="JV312" s="41"/>
      <c r="JW312" s="41"/>
      <c r="JX312" s="41"/>
      <c r="JY312" s="41"/>
      <c r="JZ312" s="41"/>
      <c r="KA312" s="41"/>
      <c r="KB312" s="41"/>
      <c r="KC312" s="41"/>
      <c r="KD312" s="41"/>
      <c r="KE312" s="41"/>
      <c r="KF312" s="41"/>
      <c r="KG312" s="41"/>
      <c r="KH312" s="41"/>
      <c r="KI312" s="41"/>
      <c r="KJ312" s="41"/>
      <c r="KK312" s="41"/>
      <c r="KL312" s="41"/>
      <c r="KM312" s="41"/>
      <c r="KN312" s="41"/>
      <c r="KO312" s="41"/>
      <c r="KP312" s="1634"/>
    </row>
    <row r="313" spans="1:302" s="256" customFormat="1" ht="25.25" customHeight="1" outlineLevel="1">
      <c r="A313" s="2622" t="s">
        <v>1364</v>
      </c>
      <c r="B313" s="2622"/>
      <c r="C313" s="1359" t="s">
        <v>1366</v>
      </c>
      <c r="D313" s="1363"/>
      <c r="E313" s="1400"/>
      <c r="F313" s="506"/>
      <c r="G313" s="506"/>
      <c r="H313" s="1401"/>
      <c r="I313" s="2573">
        <v>0</v>
      </c>
      <c r="J313" s="1672"/>
      <c r="K313" s="1697"/>
      <c r="L313" s="1697"/>
      <c r="M313" s="1698"/>
      <c r="N313" s="1697"/>
      <c r="O313" s="1397">
        <f t="shared" ref="O313" si="402">I313</f>
        <v>0</v>
      </c>
      <c r="P313" s="1694"/>
      <c r="Q313" s="1694"/>
      <c r="R313" s="1694"/>
      <c r="S313" s="1672"/>
      <c r="T313" s="1699"/>
      <c r="U313" s="1700"/>
      <c r="V313" s="1700"/>
      <c r="W313" s="1672">
        <f t="shared" si="401"/>
        <v>0</v>
      </c>
      <c r="X313" s="1672"/>
      <c r="Y313" s="1699"/>
      <c r="Z313" s="1700"/>
      <c r="AA313" s="1699"/>
      <c r="AB313" s="2571">
        <f t="shared" si="368"/>
        <v>1080032.9999999998</v>
      </c>
      <c r="AC313" s="1444" t="s">
        <v>1365</v>
      </c>
      <c r="AD313" s="1467"/>
      <c r="AE313" s="512" t="s">
        <v>1247</v>
      </c>
      <c r="AF313" s="497">
        <v>1080033</v>
      </c>
      <c r="AG313" s="1396">
        <v>1</v>
      </c>
      <c r="AH313" s="1397">
        <f t="shared" ref="AH313" si="403">+AF313*AG313</f>
        <v>1080033</v>
      </c>
      <c r="AI313" s="355">
        <f t="shared" ref="AI313" si="404">SUMIF($AM$10:$BZ$10,$AI$9,AM313:BZ313)</f>
        <v>0</v>
      </c>
      <c r="AJ313" s="351">
        <f t="shared" ref="AJ313" si="405">IF($AB313&lt;&gt;0,AI313/$AB313,"")</f>
        <v>0</v>
      </c>
      <c r="AK313" s="351"/>
      <c r="AL313" s="1398"/>
      <c r="AM313" s="2272"/>
      <c r="AN313" s="2272"/>
      <c r="AO313" s="513"/>
      <c r="AP313" s="513"/>
      <c r="AQ313" s="513"/>
      <c r="AR313" s="2827"/>
      <c r="AS313" s="2502">
        <v>72002.2</v>
      </c>
      <c r="AT313" s="2511">
        <v>72002.2</v>
      </c>
      <c r="AU313" s="2512">
        <v>72002.2</v>
      </c>
      <c r="AV313" s="2512">
        <v>72002.2</v>
      </c>
      <c r="AW313" s="2512">
        <v>72002.2</v>
      </c>
      <c r="AX313" s="2512">
        <v>72002.2</v>
      </c>
      <c r="AY313" s="2513">
        <v>72002.2</v>
      </c>
      <c r="AZ313" s="2506">
        <v>72002.2</v>
      </c>
      <c r="BA313" s="2507">
        <v>72002.2</v>
      </c>
      <c r="BB313" s="2507">
        <v>72002.2</v>
      </c>
      <c r="BC313" s="2507">
        <v>72002.2</v>
      </c>
      <c r="BD313" s="2507">
        <v>72002.2</v>
      </c>
      <c r="BE313" s="2507">
        <v>72002.2</v>
      </c>
      <c r="BF313" s="2507">
        <v>72002.2</v>
      </c>
      <c r="BG313" s="2507">
        <v>72002.2</v>
      </c>
      <c r="BH313" s="2502"/>
      <c r="BI313" s="2502"/>
      <c r="BJ313" s="513"/>
      <c r="BK313" s="2135"/>
      <c r="BL313" s="2113"/>
      <c r="BM313" s="2113"/>
      <c r="BN313" s="2113"/>
      <c r="BO313" s="2113"/>
      <c r="BP313" s="2113"/>
      <c r="BQ313" s="2404"/>
      <c r="BR313" s="513"/>
      <c r="BS313" s="513"/>
      <c r="BT313" s="513"/>
      <c r="BU313" s="513"/>
      <c r="BV313" s="513"/>
      <c r="BW313" s="2236"/>
      <c r="BX313" s="2418"/>
      <c r="BY313" s="2552"/>
      <c r="BZ313" s="2552"/>
      <c r="CA313" s="2435">
        <f t="shared" si="360"/>
        <v>1080032.9999999998</v>
      </c>
      <c r="CB313" s="2380">
        <f t="shared" si="361"/>
        <v>1</v>
      </c>
      <c r="CC313" s="365">
        <f t="shared" si="362"/>
        <v>9.2589763460931304E-7</v>
      </c>
      <c r="CD313" s="1380" t="str">
        <f t="shared" si="363"/>
        <v>0,00%</v>
      </c>
      <c r="CE313" s="1381">
        <f t="shared" si="364"/>
        <v>-1080032.9999999998</v>
      </c>
      <c r="CF313" s="1381"/>
      <c r="CG313" s="501"/>
      <c r="CH313" s="502"/>
      <c r="CI313" s="503"/>
      <c r="CJ313" s="504"/>
      <c r="CK313" s="505"/>
      <c r="CL313" s="329">
        <f t="shared" si="298"/>
        <v>-1080032.9999999998</v>
      </c>
      <c r="CM313" s="330">
        <f t="shared" si="299"/>
        <v>0</v>
      </c>
      <c r="CN313" s="331"/>
      <c r="CO313" s="86"/>
      <c r="CP313" s="86"/>
      <c r="CQ313" s="1661"/>
      <c r="CR313" s="1661"/>
      <c r="CS313" s="1661"/>
      <c r="CT313" s="1661"/>
      <c r="CU313" s="1661"/>
      <c r="CV313" s="1661"/>
      <c r="CW313" s="1661"/>
      <c r="CX313" s="1661"/>
      <c r="CY313" s="1661"/>
      <c r="CZ313" s="1661"/>
      <c r="DA313" s="1661"/>
      <c r="DB313" s="235"/>
      <c r="DC313" s="235"/>
      <c r="DD313" s="1662"/>
      <c r="DE313" s="41"/>
      <c r="DF313" s="41"/>
      <c r="DG313" s="1663"/>
      <c r="DH313" s="1663"/>
      <c r="DI313" s="1663"/>
      <c r="DJ313" s="1663"/>
      <c r="DK313" s="1663"/>
      <c r="DL313" s="1663"/>
      <c r="DM313" s="1663"/>
      <c r="DN313" s="1663"/>
      <c r="DO313" s="1663"/>
      <c r="DP313" s="1663"/>
      <c r="DQ313" s="1663"/>
      <c r="DR313" s="1663"/>
      <c r="DS313" s="1663"/>
      <c r="DT313" s="1663"/>
      <c r="DU313" s="1663"/>
      <c r="DV313" s="1663"/>
      <c r="DW313" s="1663"/>
      <c r="DX313" s="1663"/>
      <c r="DY313" s="1663"/>
      <c r="DZ313" s="1663"/>
      <c r="EA313" s="1663"/>
      <c r="EB313" s="1663"/>
      <c r="EC313" s="1663"/>
      <c r="ED313" s="1663"/>
      <c r="EE313" s="1663"/>
      <c r="EF313" s="1663"/>
      <c r="EG313" s="1663"/>
      <c r="EH313" s="41"/>
      <c r="EI313" s="1658"/>
      <c r="EJ313" s="41"/>
      <c r="EK313" s="41"/>
      <c r="EL313" s="41"/>
      <c r="EM313" s="41"/>
      <c r="EN313" s="41"/>
      <c r="EO313" s="41"/>
      <c r="EP313" s="41"/>
      <c r="EQ313" s="41"/>
      <c r="ER313" s="41"/>
      <c r="ES313" s="41"/>
      <c r="ET313" s="41"/>
      <c r="EU313" s="41"/>
      <c r="EV313" s="41"/>
      <c r="EW313" s="41"/>
      <c r="EX313" s="41"/>
      <c r="EY313" s="41"/>
      <c r="EZ313" s="41"/>
      <c r="FA313" s="41"/>
      <c r="FB313" s="41"/>
      <c r="FC313" s="41"/>
      <c r="FD313" s="41"/>
      <c r="FE313" s="41"/>
      <c r="FF313" s="41"/>
      <c r="FG313" s="41"/>
      <c r="FH313" s="41"/>
      <c r="FI313" s="41"/>
      <c r="FJ313" s="41"/>
      <c r="FK313" s="41"/>
      <c r="FL313" s="41"/>
      <c r="FM313" s="41"/>
      <c r="FN313" s="41"/>
      <c r="FO313" s="41"/>
      <c r="FP313" s="41"/>
      <c r="FQ313" s="41"/>
      <c r="FR313" s="41"/>
      <c r="FS313" s="41"/>
      <c r="FT313" s="41"/>
      <c r="FU313" s="41"/>
      <c r="FV313" s="41"/>
      <c r="FW313" s="41"/>
      <c r="FX313" s="41"/>
      <c r="FY313" s="41"/>
      <c r="FZ313" s="41"/>
      <c r="GA313" s="41"/>
      <c r="GB313" s="41"/>
      <c r="GC313" s="41"/>
      <c r="GD313" s="41"/>
      <c r="GE313" s="41"/>
      <c r="GF313" s="41"/>
      <c r="GG313" s="41"/>
      <c r="GH313" s="41"/>
      <c r="GI313" s="41"/>
      <c r="GJ313" s="41"/>
      <c r="GK313" s="41"/>
      <c r="GL313" s="41"/>
      <c r="GM313" s="41"/>
      <c r="GN313" s="41"/>
      <c r="GO313" s="41"/>
      <c r="GP313" s="41"/>
      <c r="GQ313" s="41"/>
      <c r="GR313" s="41"/>
      <c r="GS313" s="41"/>
      <c r="GT313" s="41"/>
      <c r="GU313" s="41"/>
      <c r="GV313" s="41"/>
      <c r="GW313" s="41"/>
      <c r="GX313" s="41"/>
      <c r="GY313" s="41"/>
      <c r="GZ313" s="41"/>
      <c r="HA313" s="41"/>
      <c r="HB313" s="41"/>
      <c r="HC313" s="41"/>
      <c r="HD313" s="41"/>
      <c r="HE313" s="41"/>
      <c r="HF313" s="41"/>
      <c r="HG313" s="41"/>
      <c r="HH313" s="41"/>
      <c r="HI313" s="41"/>
      <c r="HJ313" s="41"/>
      <c r="HK313" s="41"/>
      <c r="HL313" s="41"/>
      <c r="HM313" s="41"/>
      <c r="HN313" s="41"/>
      <c r="HO313" s="41"/>
      <c r="HP313" s="41"/>
      <c r="HQ313" s="41"/>
      <c r="HR313" s="41"/>
      <c r="HS313" s="41"/>
      <c r="HT313" s="41"/>
      <c r="HU313" s="41"/>
      <c r="HV313" s="41"/>
      <c r="HW313" s="41"/>
      <c r="HX313" s="41"/>
      <c r="HY313" s="41"/>
      <c r="HZ313" s="41"/>
      <c r="IA313" s="41"/>
      <c r="IB313" s="41"/>
      <c r="IC313" s="41"/>
      <c r="ID313" s="41"/>
      <c r="IE313" s="41"/>
      <c r="IF313" s="41"/>
      <c r="IG313" s="41"/>
      <c r="IH313" s="41"/>
      <c r="II313" s="41"/>
      <c r="IJ313" s="41"/>
      <c r="IK313" s="41"/>
      <c r="IL313" s="41"/>
      <c r="IM313" s="41"/>
      <c r="IN313" s="41"/>
      <c r="IO313" s="41"/>
      <c r="IP313" s="41"/>
      <c r="IQ313" s="41"/>
      <c r="IR313" s="41"/>
      <c r="IS313" s="41"/>
      <c r="IT313" s="41"/>
      <c r="IU313" s="41"/>
      <c r="IV313" s="41"/>
      <c r="IW313" s="41"/>
      <c r="IX313" s="41"/>
      <c r="IY313" s="41"/>
      <c r="IZ313" s="41"/>
      <c r="JA313" s="41"/>
      <c r="JB313" s="41"/>
      <c r="JC313" s="41"/>
      <c r="JD313" s="41"/>
      <c r="JE313" s="41"/>
      <c r="JF313" s="41"/>
      <c r="JG313" s="41"/>
      <c r="JH313" s="41"/>
      <c r="JI313" s="41"/>
      <c r="JJ313" s="41"/>
      <c r="JK313" s="41"/>
      <c r="JL313" s="41"/>
      <c r="JM313" s="41"/>
      <c r="JN313" s="41"/>
      <c r="JO313" s="41"/>
      <c r="JP313" s="41"/>
      <c r="JQ313" s="41"/>
      <c r="JR313" s="41"/>
      <c r="JS313" s="41"/>
      <c r="JT313" s="41"/>
      <c r="JU313" s="41"/>
      <c r="JV313" s="41"/>
      <c r="JW313" s="41"/>
      <c r="JX313" s="41"/>
      <c r="JY313" s="41"/>
      <c r="JZ313" s="41"/>
      <c r="KA313" s="41"/>
      <c r="KB313" s="41"/>
      <c r="KC313" s="41"/>
      <c r="KD313" s="41"/>
      <c r="KE313" s="41"/>
      <c r="KF313" s="41"/>
      <c r="KG313" s="41"/>
      <c r="KH313" s="41"/>
      <c r="KI313" s="41"/>
      <c r="KJ313" s="41"/>
      <c r="KK313" s="41"/>
      <c r="KL313" s="41"/>
      <c r="KM313" s="41"/>
      <c r="KN313" s="41"/>
      <c r="KO313" s="41"/>
      <c r="KP313" s="1634"/>
    </row>
    <row r="314" spans="1:302" s="92" customFormat="1" ht="25.25" customHeight="1" outlineLevel="1">
      <c r="A314" s="2668" t="s">
        <v>202</v>
      </c>
      <c r="B314" s="1367"/>
      <c r="C314" s="1368" t="s">
        <v>95</v>
      </c>
      <c r="D314" s="1368" t="s">
        <v>282</v>
      </c>
      <c r="E314" s="1382"/>
      <c r="F314" s="1356"/>
      <c r="G314" s="1399"/>
      <c r="H314" s="1384"/>
      <c r="I314" s="1693"/>
      <c r="J314" s="1693"/>
      <c r="K314" s="1695"/>
      <c r="L314" s="1695"/>
      <c r="M314" s="1696"/>
      <c r="N314" s="1695"/>
      <c r="O314" s="1358">
        <f t="shared" ref="O314" si="406">M314*N314</f>
        <v>0</v>
      </c>
      <c r="P314" s="1693"/>
      <c r="Q314" s="1693"/>
      <c r="R314" s="1693"/>
      <c r="S314" s="1693"/>
      <c r="T314" s="1695"/>
      <c r="U314" s="1695"/>
      <c r="V314" s="1695"/>
      <c r="W314" s="1693">
        <f t="shared" si="367"/>
        <v>0</v>
      </c>
      <c r="X314" s="1693"/>
      <c r="Y314" s="1695"/>
      <c r="Z314" s="1695"/>
      <c r="AA314" s="1695"/>
      <c r="AB314" s="1693">
        <f>SUM(AM314:BZ314)</f>
        <v>0</v>
      </c>
      <c r="AC314" s="1444"/>
      <c r="AD314" s="1466"/>
      <c r="AE314" s="1357"/>
      <c r="AF314" s="1358"/>
      <c r="AG314" s="1385"/>
      <c r="AH314" s="1358">
        <f t="shared" si="351"/>
        <v>0</v>
      </c>
      <c r="AI314" s="1386">
        <f t="shared" si="352"/>
        <v>0</v>
      </c>
      <c r="AJ314" s="1387" t="str">
        <f t="shared" si="353"/>
        <v/>
      </c>
      <c r="AK314" s="1387"/>
      <c r="AL314" s="1388"/>
      <c r="AM314" s="2270"/>
      <c r="AN314" s="2270"/>
      <c r="AO314" s="1358"/>
      <c r="AP314" s="1358"/>
      <c r="AQ314" s="1358"/>
      <c r="AR314" s="1358"/>
      <c r="AS314" s="1358"/>
      <c r="AT314" s="2014"/>
      <c r="AU314" s="1358"/>
      <c r="AV314" s="1358"/>
      <c r="AW314" s="1358"/>
      <c r="AX314" s="1358"/>
      <c r="AY314" s="2055"/>
      <c r="AZ314" s="2270"/>
      <c r="BA314" s="1358"/>
      <c r="BB314" s="1358"/>
      <c r="BC314" s="1358"/>
      <c r="BD314" s="1358"/>
      <c r="BE314" s="1358"/>
      <c r="BF314" s="1358"/>
      <c r="BG314" s="1358"/>
      <c r="BH314" s="1358"/>
      <c r="BI314" s="1358"/>
      <c r="BJ314" s="1358"/>
      <c r="BK314" s="2134"/>
      <c r="BL314" s="2010"/>
      <c r="BM314" s="2010"/>
      <c r="BN314" s="2010"/>
      <c r="BO314" s="2010"/>
      <c r="BP314" s="2010"/>
      <c r="BQ314" s="2402"/>
      <c r="BR314" s="1358"/>
      <c r="BS314" s="1358"/>
      <c r="BT314" s="1358"/>
      <c r="BU314" s="1358"/>
      <c r="BV314" s="1358"/>
      <c r="BW314" s="2055"/>
      <c r="BX314" s="2416"/>
      <c r="BY314" s="2551"/>
      <c r="BZ314" s="2551"/>
      <c r="CA314" s="2435">
        <f t="shared" si="360"/>
        <v>0</v>
      </c>
      <c r="CB314" s="2380" t="str">
        <f t="shared" si="361"/>
        <v/>
      </c>
      <c r="CC314" s="365" t="str">
        <f t="shared" si="362"/>
        <v/>
      </c>
      <c r="CD314" s="1380" t="str">
        <f t="shared" si="363"/>
        <v>0,00%</v>
      </c>
      <c r="CE314" s="1381">
        <f t="shared" si="364"/>
        <v>0</v>
      </c>
      <c r="CF314" s="1381"/>
      <c r="CG314" s="501"/>
      <c r="CH314" s="502"/>
      <c r="CI314" s="503"/>
      <c r="CJ314" s="504"/>
      <c r="CK314" s="505"/>
      <c r="CL314" s="329">
        <f t="shared" si="298"/>
        <v>0</v>
      </c>
      <c r="CM314" s="330">
        <f t="shared" si="299"/>
        <v>0</v>
      </c>
      <c r="CN314" s="331">
        <f t="shared" si="369"/>
        <v>0</v>
      </c>
      <c r="CO314" s="86"/>
      <c r="CP314" s="86">
        <f>I314-O314</f>
        <v>0</v>
      </c>
      <c r="CQ314" s="86"/>
      <c r="CR314" s="86"/>
      <c r="CS314" s="86"/>
      <c r="CT314" s="86"/>
      <c r="CU314" s="86"/>
      <c r="CV314" s="86"/>
      <c r="CW314" s="86"/>
      <c r="CX314" s="86"/>
      <c r="CY314" s="86"/>
      <c r="CZ314" s="86"/>
      <c r="DA314" s="86"/>
      <c r="DB314" s="32" t="e">
        <f>#REF!-CA314-AI314</f>
        <v>#REF!</v>
      </c>
      <c r="DC314" s="32" t="e">
        <f>W314-#REF!</f>
        <v>#REF!</v>
      </c>
      <c r="DD314" s="35"/>
      <c r="DE314" s="35"/>
      <c r="DF314" s="35"/>
      <c r="DG314" s="1642" t="e">
        <f>ROUND(#REF!,2)</f>
        <v>#REF!</v>
      </c>
      <c r="DH314" s="1642" t="e">
        <f>ROUND(#REF!,2)</f>
        <v>#REF!</v>
      </c>
      <c r="DI314" s="1642" t="e">
        <f>ROUND(#REF!,2)</f>
        <v>#REF!</v>
      </c>
      <c r="DJ314" s="1642" t="e">
        <f>ROUND(#REF!,2)</f>
        <v>#REF!</v>
      </c>
      <c r="DK314" s="1642" t="e">
        <f>ROUND(#REF!,2)</f>
        <v>#REF!</v>
      </c>
      <c r="DL314" s="1642" t="e">
        <f>ROUND(#REF!,2)</f>
        <v>#REF!</v>
      </c>
      <c r="DM314" s="1642" t="e">
        <f>ROUND(#REF!,2)</f>
        <v>#REF!</v>
      </c>
      <c r="DN314" s="1642" t="e">
        <f>ROUND(#REF!,2)</f>
        <v>#REF!</v>
      </c>
      <c r="DO314" s="1642" t="e">
        <f>ROUND(#REF!,2)</f>
        <v>#REF!</v>
      </c>
      <c r="DP314" s="1642">
        <f t="shared" ref="DP314:EA314" si="407">ROUND(AN314,2)</f>
        <v>0</v>
      </c>
      <c r="DQ314" s="1642">
        <f t="shared" si="407"/>
        <v>0</v>
      </c>
      <c r="DR314" s="1642">
        <f t="shared" si="407"/>
        <v>0</v>
      </c>
      <c r="DS314" s="1642">
        <f t="shared" si="407"/>
        <v>0</v>
      </c>
      <c r="DT314" s="1642">
        <f t="shared" si="407"/>
        <v>0</v>
      </c>
      <c r="DU314" s="1642">
        <f t="shared" si="407"/>
        <v>0</v>
      </c>
      <c r="DV314" s="1642">
        <f t="shared" si="407"/>
        <v>0</v>
      </c>
      <c r="DW314" s="1642">
        <f t="shared" si="407"/>
        <v>0</v>
      </c>
      <c r="DX314" s="1642">
        <f t="shared" si="407"/>
        <v>0</v>
      </c>
      <c r="DY314" s="1642">
        <f t="shared" si="407"/>
        <v>0</v>
      </c>
      <c r="DZ314" s="1642">
        <f t="shared" si="407"/>
        <v>0</v>
      </c>
      <c r="EA314" s="1642">
        <f t="shared" si="407"/>
        <v>0</v>
      </c>
      <c r="EB314" s="1642" t="e">
        <f>ROUND(#REF!,2)</f>
        <v>#REF!</v>
      </c>
      <c r="EC314" s="1642" t="e">
        <f>ROUND(#REF!,2)</f>
        <v>#REF!</v>
      </c>
      <c r="ED314" s="1642" t="e">
        <f>ROUND(#REF!,2)</f>
        <v>#REF!</v>
      </c>
      <c r="EE314" s="1642" t="e">
        <f>ROUND(#REF!,2)</f>
        <v>#REF!</v>
      </c>
      <c r="EF314" s="1642" t="e">
        <f>ROUND(#REF!,2)</f>
        <v>#REF!</v>
      </c>
      <c r="EG314" s="1642" t="e">
        <f>ROUND(#REF!,2)</f>
        <v>#REF!</v>
      </c>
      <c r="EH314" s="35"/>
      <c r="EI314" s="1658"/>
      <c r="EJ314" s="35"/>
      <c r="EK314" s="35"/>
      <c r="EL314" s="35"/>
      <c r="EM314" s="35"/>
      <c r="EN314" s="35"/>
      <c r="EO314" s="35"/>
      <c r="EP314" s="35"/>
      <c r="EQ314" s="35"/>
      <c r="ER314" s="35"/>
      <c r="ES314" s="35"/>
      <c r="ET314" s="35"/>
      <c r="EU314" s="35"/>
      <c r="EV314" s="35"/>
      <c r="EW314" s="35"/>
      <c r="EX314" s="35"/>
      <c r="EY314" s="35"/>
      <c r="EZ314" s="35"/>
      <c r="FA314" s="35"/>
      <c r="FB314" s="35"/>
      <c r="FC314" s="35"/>
      <c r="FD314" s="35"/>
      <c r="FE314" s="35"/>
      <c r="FF314" s="35"/>
      <c r="FG314" s="35"/>
      <c r="FH314" s="35"/>
      <c r="FI314" s="35"/>
      <c r="FJ314" s="35"/>
      <c r="FK314" s="35"/>
      <c r="FL314" s="35"/>
      <c r="FM314" s="35"/>
      <c r="FN314" s="35"/>
      <c r="FO314" s="35"/>
      <c r="FP314" s="35"/>
      <c r="FQ314" s="35"/>
      <c r="FR314" s="35"/>
      <c r="FS314" s="35"/>
      <c r="FT314" s="35"/>
      <c r="FU314" s="35"/>
      <c r="FV314" s="35"/>
      <c r="FW314" s="35"/>
      <c r="FX314" s="35"/>
      <c r="FY314" s="35"/>
      <c r="FZ314" s="35"/>
      <c r="GA314" s="35"/>
      <c r="GB314" s="35"/>
      <c r="GC314" s="35"/>
      <c r="GD314" s="35"/>
      <c r="GE314" s="35"/>
      <c r="GF314" s="35"/>
      <c r="GG314" s="35"/>
      <c r="GH314" s="35"/>
      <c r="GI314" s="35"/>
      <c r="GJ314" s="35"/>
      <c r="GK314" s="35"/>
      <c r="GL314" s="35"/>
      <c r="GM314" s="35"/>
      <c r="GN314" s="35"/>
      <c r="GO314" s="35"/>
      <c r="GP314" s="35"/>
      <c r="GQ314" s="35"/>
      <c r="GR314" s="35"/>
      <c r="GS314" s="35"/>
      <c r="GT314" s="35"/>
      <c r="GU314" s="35"/>
      <c r="GV314" s="35"/>
      <c r="GW314" s="35"/>
      <c r="GX314" s="35"/>
      <c r="GY314" s="35"/>
      <c r="GZ314" s="35"/>
      <c r="HA314" s="35"/>
      <c r="HB314" s="35"/>
      <c r="HC314" s="35"/>
      <c r="HD314" s="35"/>
      <c r="HE314" s="35"/>
      <c r="HF314" s="35"/>
      <c r="HG314" s="35"/>
      <c r="HH314" s="35"/>
      <c r="HI314" s="35"/>
      <c r="HJ314" s="35"/>
      <c r="HK314" s="35"/>
      <c r="HL314" s="35"/>
      <c r="HM314" s="35"/>
      <c r="HN314" s="35"/>
      <c r="HO314" s="35"/>
      <c r="HP314" s="35"/>
      <c r="HQ314" s="35"/>
      <c r="HR314" s="35"/>
      <c r="HS314" s="35"/>
      <c r="HT314" s="35"/>
      <c r="HU314" s="35"/>
      <c r="HV314" s="35"/>
      <c r="HW314" s="35"/>
      <c r="HX314" s="35"/>
      <c r="HY314" s="35"/>
      <c r="HZ314" s="35"/>
      <c r="IA314" s="35"/>
      <c r="IB314" s="35"/>
      <c r="IC314" s="35"/>
      <c r="ID314" s="35"/>
      <c r="IE314" s="35"/>
      <c r="IF314" s="35"/>
      <c r="IG314" s="35"/>
      <c r="IH314" s="35"/>
      <c r="II314" s="35"/>
      <c r="IJ314" s="35"/>
      <c r="IK314" s="35"/>
      <c r="IL314" s="35"/>
      <c r="IM314" s="35"/>
      <c r="IN314" s="35"/>
      <c r="IO314" s="35"/>
      <c r="IP314" s="35"/>
      <c r="IQ314" s="35"/>
      <c r="IR314" s="35"/>
      <c r="IS314" s="35"/>
      <c r="IT314" s="35"/>
      <c r="IU314" s="35"/>
      <c r="IV314" s="35"/>
      <c r="IW314" s="35"/>
      <c r="IX314" s="35"/>
      <c r="IY314" s="35"/>
      <c r="IZ314" s="35"/>
      <c r="JA314" s="35"/>
      <c r="JB314" s="35"/>
      <c r="JC314" s="35"/>
      <c r="JD314" s="35"/>
      <c r="JE314" s="35"/>
      <c r="JF314" s="35"/>
      <c r="JG314" s="35"/>
      <c r="JH314" s="35"/>
      <c r="JI314" s="35"/>
      <c r="JJ314" s="35"/>
      <c r="JK314" s="35"/>
      <c r="JL314" s="35"/>
      <c r="JM314" s="35"/>
      <c r="JN314" s="35"/>
      <c r="JO314" s="35"/>
      <c r="JP314" s="35"/>
      <c r="JQ314" s="35"/>
      <c r="JR314" s="35"/>
      <c r="JS314" s="35"/>
      <c r="JT314" s="35"/>
      <c r="JU314" s="35"/>
      <c r="JV314" s="35"/>
      <c r="JW314" s="35"/>
      <c r="JX314" s="35"/>
      <c r="JY314" s="35"/>
      <c r="JZ314" s="35"/>
      <c r="KA314" s="35"/>
      <c r="KB314" s="35"/>
      <c r="KC314" s="35"/>
      <c r="KD314" s="35"/>
      <c r="KE314" s="35"/>
      <c r="KF314" s="35"/>
      <c r="KG314" s="35"/>
      <c r="KH314" s="35"/>
      <c r="KI314" s="35"/>
      <c r="KJ314" s="35"/>
      <c r="KK314" s="35"/>
      <c r="KL314" s="35"/>
      <c r="KM314" s="35"/>
      <c r="KN314" s="35"/>
      <c r="KO314" s="35"/>
      <c r="KP314" s="1633"/>
    </row>
    <row r="315" spans="1:302" s="92" customFormat="1" ht="24.75" customHeight="1" outlineLevel="1">
      <c r="A315" s="1676" t="s">
        <v>126</v>
      </c>
      <c r="B315" s="1993" t="s">
        <v>1148</v>
      </c>
      <c r="C315" s="1361" t="s">
        <v>176</v>
      </c>
      <c r="D315" s="1362" t="s">
        <v>283</v>
      </c>
      <c r="E315" s="1389"/>
      <c r="F315" s="506"/>
      <c r="G315" s="1402"/>
      <c r="H315" s="1391"/>
      <c r="I315" s="2941">
        <v>1984000</v>
      </c>
      <c r="J315" s="1672"/>
      <c r="K315" s="1697"/>
      <c r="L315" s="1697"/>
      <c r="M315" s="1701">
        <v>62000</v>
      </c>
      <c r="N315" s="1697">
        <v>32</v>
      </c>
      <c r="O315" s="1397">
        <f>I315</f>
        <v>1984000</v>
      </c>
      <c r="P315" s="1694"/>
      <c r="Q315" s="1694"/>
      <c r="R315" s="1694"/>
      <c r="S315" s="1672"/>
      <c r="T315" s="1699"/>
      <c r="U315" s="1700"/>
      <c r="V315" s="1700"/>
      <c r="W315" s="1672">
        <f t="shared" si="367"/>
        <v>1984000</v>
      </c>
      <c r="X315" s="1672"/>
      <c r="Y315" s="1699"/>
      <c r="Z315" s="1700"/>
      <c r="AA315" s="1699"/>
      <c r="AB315" s="2757">
        <f t="shared" ref="AB315:AB320" si="408">SUM(AM315:BZ315)</f>
        <v>1150802</v>
      </c>
      <c r="AC315" s="1444"/>
      <c r="AD315" s="1467"/>
      <c r="AE315" s="510"/>
      <c r="AF315" s="497"/>
      <c r="AG315" s="2529">
        <v>1</v>
      </c>
      <c r="AH315" s="1397">
        <f t="shared" ref="AH315:AH316" si="409">+AF315*AG315</f>
        <v>0</v>
      </c>
      <c r="AI315" s="355">
        <f t="shared" si="352"/>
        <v>0</v>
      </c>
      <c r="AJ315" s="351">
        <f t="shared" ref="AJ315:AJ316" si="410">IF($AB315&lt;&gt;0,AI315/$AB315,"")</f>
        <v>0</v>
      </c>
      <c r="AK315" s="351"/>
      <c r="AL315" s="1398"/>
      <c r="AM315" s="2273"/>
      <c r="AN315" s="2273"/>
      <c r="AO315" s="497"/>
      <c r="AP315" s="497"/>
      <c r="AQ315" s="497">
        <v>16190</v>
      </c>
      <c r="AR315" s="497">
        <f>61872.5-AR317-20000+27000+47.5</f>
        <v>16190</v>
      </c>
      <c r="AS315" s="497">
        <f t="shared" ref="AS315:AX315" si="411">61872.5-AS317-20000</f>
        <v>16190</v>
      </c>
      <c r="AT315" s="2015">
        <f t="shared" si="411"/>
        <v>16190</v>
      </c>
      <c r="AU315" s="497">
        <f t="shared" si="411"/>
        <v>16190</v>
      </c>
      <c r="AV315" s="497">
        <f t="shared" si="411"/>
        <v>16190</v>
      </c>
      <c r="AW315" s="497">
        <f t="shared" si="411"/>
        <v>16190</v>
      </c>
      <c r="AX315" s="497">
        <f t="shared" si="411"/>
        <v>16190</v>
      </c>
      <c r="AY315" s="497">
        <f>61872.5-AY317-10000</f>
        <v>26190</v>
      </c>
      <c r="AZ315" s="2273">
        <f>61872.5-AZ317+20000</f>
        <v>56190</v>
      </c>
      <c r="BA315" s="497">
        <f>61872.5-BA317+20000</f>
        <v>56190</v>
      </c>
      <c r="BB315" s="497">
        <f>61872.5-BB317+40000</f>
        <v>76190</v>
      </c>
      <c r="BC315" s="497">
        <f>61872.5-BC317+40000</f>
        <v>76190</v>
      </c>
      <c r="BD315" s="497">
        <f>61872.5-BD317+40000</f>
        <v>76190</v>
      </c>
      <c r="BE315" s="497">
        <f>61872.5-AS323+51365-27377.5</f>
        <v>82460</v>
      </c>
      <c r="BF315" s="497">
        <f t="shared" ref="BF315:BQ315" si="412">61872.5-BF317</f>
        <v>36190</v>
      </c>
      <c r="BG315" s="497">
        <f t="shared" si="412"/>
        <v>36190</v>
      </c>
      <c r="BH315" s="497">
        <f t="shared" si="412"/>
        <v>36190</v>
      </c>
      <c r="BI315" s="497">
        <f t="shared" si="412"/>
        <v>36190</v>
      </c>
      <c r="BJ315" s="497">
        <f t="shared" si="412"/>
        <v>36190</v>
      </c>
      <c r="BK315" s="2060">
        <f t="shared" si="412"/>
        <v>36190</v>
      </c>
      <c r="BL315" s="2273">
        <f t="shared" si="412"/>
        <v>36190</v>
      </c>
      <c r="BM315" s="2011">
        <f t="shared" si="412"/>
        <v>36190</v>
      </c>
      <c r="BN315" s="2011">
        <f t="shared" si="412"/>
        <v>36190</v>
      </c>
      <c r="BO315" s="2011">
        <f t="shared" si="412"/>
        <v>36190</v>
      </c>
      <c r="BP315" s="2011">
        <f>61872.5-BP317+AO315</f>
        <v>36190</v>
      </c>
      <c r="BQ315" s="2403">
        <f t="shared" si="412"/>
        <v>36190</v>
      </c>
      <c r="BR315" s="497">
        <f>61872.5-BR317+36190</f>
        <v>72380</v>
      </c>
      <c r="BS315" s="497">
        <f>61872.5-BS317-4800-2478+36110</f>
        <v>65022</v>
      </c>
      <c r="BT315" s="497"/>
      <c r="BU315" s="497"/>
      <c r="BV315" s="497"/>
      <c r="BW315" s="2060"/>
      <c r="BX315" s="2417"/>
      <c r="BY315" s="2549"/>
      <c r="BZ315" s="2549"/>
      <c r="CA315" s="2435">
        <f t="shared" si="360"/>
        <v>1150802</v>
      </c>
      <c r="CB315" s="2380">
        <f t="shared" si="361"/>
        <v>1</v>
      </c>
      <c r="CC315" s="365">
        <f t="shared" si="362"/>
        <v>8.6895921279246996E-7</v>
      </c>
      <c r="CD315" s="1380">
        <f t="shared" si="363"/>
        <v>0.41995866935483872</v>
      </c>
      <c r="CE315" s="1381">
        <f t="shared" si="364"/>
        <v>833198</v>
      </c>
      <c r="CF315" s="1381"/>
      <c r="CG315" s="501"/>
      <c r="CH315" s="502"/>
      <c r="CI315" s="503"/>
      <c r="CJ315" s="504"/>
      <c r="CK315" s="505"/>
      <c r="CL315" s="329">
        <f t="shared" si="298"/>
        <v>833198</v>
      </c>
      <c r="CM315" s="330">
        <f t="shared" si="299"/>
        <v>0</v>
      </c>
      <c r="CN315" s="331">
        <f t="shared" si="369"/>
        <v>-995092</v>
      </c>
      <c r="CO315" s="86"/>
      <c r="CP315" s="86">
        <f>I315-O315</f>
        <v>0</v>
      </c>
      <c r="CQ315" s="86"/>
      <c r="CR315" s="86"/>
      <c r="CS315" s="86"/>
      <c r="CT315" s="86"/>
      <c r="CU315" s="86"/>
      <c r="CV315" s="86"/>
      <c r="CW315" s="86"/>
      <c r="CX315" s="86"/>
      <c r="CY315" s="86"/>
      <c r="CZ315" s="86"/>
      <c r="DA315" s="86"/>
      <c r="DB315" s="32" t="e">
        <f>#REF!-CA315-AI315</f>
        <v>#REF!</v>
      </c>
      <c r="DC315" s="32" t="e">
        <f>W315-#REF!</f>
        <v>#REF!</v>
      </c>
      <c r="DD315" s="35"/>
      <c r="DE315" s="35"/>
      <c r="DF315" s="35"/>
      <c r="DG315" s="1642" t="e">
        <f>ROUND(#REF!,2)</f>
        <v>#REF!</v>
      </c>
      <c r="DH315" s="1642" t="e">
        <f>ROUND(#REF!,2)</f>
        <v>#REF!</v>
      </c>
      <c r="DI315" s="1642" t="e">
        <f>ROUND(#REF!,2)</f>
        <v>#REF!</v>
      </c>
      <c r="DJ315" s="1642" t="e">
        <f>ROUND(#REF!,2)</f>
        <v>#REF!</v>
      </c>
      <c r="DK315" s="1642" t="e">
        <f>ROUND(#REF!,2)</f>
        <v>#REF!</v>
      </c>
      <c r="DL315" s="1642" t="e">
        <f>ROUND(#REF!,2)</f>
        <v>#REF!</v>
      </c>
      <c r="DM315" s="1642" t="e">
        <f>ROUND(#REF!,2)</f>
        <v>#REF!</v>
      </c>
      <c r="DN315" s="1642" t="e">
        <f>ROUND(#REF!,2)</f>
        <v>#REF!</v>
      </c>
      <c r="DO315" s="1642" t="e">
        <f>ROUND(#REF!,2)</f>
        <v>#REF!</v>
      </c>
      <c r="DP315" s="1642">
        <f>ROUND(AN315,2)</f>
        <v>0</v>
      </c>
      <c r="DQ315" s="1642" t="e">
        <f>ROUND(#REF!,2)</f>
        <v>#REF!</v>
      </c>
      <c r="DR315" s="1642" t="e">
        <f>ROUND(#REF!,2)</f>
        <v>#REF!</v>
      </c>
      <c r="DS315" s="1642" t="e">
        <f>ROUND(#REF!,2)</f>
        <v>#REF!</v>
      </c>
      <c r="DT315" s="1642" t="e">
        <f>ROUND(#REF!,2)</f>
        <v>#REF!</v>
      </c>
      <c r="DU315" s="1642" t="e">
        <f>ROUND(#REF!,2)</f>
        <v>#REF!</v>
      </c>
      <c r="DV315" s="1642" t="e">
        <f>ROUND(#REF!,2)</f>
        <v>#REF!</v>
      </c>
      <c r="DW315" s="1642" t="e">
        <f>ROUND(#REF!,2)</f>
        <v>#REF!</v>
      </c>
      <c r="DX315" s="1642" t="e">
        <f>ROUND(#REF!,2)</f>
        <v>#REF!</v>
      </c>
      <c r="DY315" s="1642" t="e">
        <f>ROUND(#REF!,2)</f>
        <v>#REF!</v>
      </c>
      <c r="DZ315" s="1642" t="e">
        <f>ROUND(#REF!,2)</f>
        <v>#REF!</v>
      </c>
      <c r="EA315" s="1642" t="e">
        <f>ROUND(#REF!,2)</f>
        <v>#REF!</v>
      </c>
      <c r="EB315" s="1642" t="e">
        <f>ROUND(#REF!,2)</f>
        <v>#REF!</v>
      </c>
      <c r="EC315" s="1642" t="e">
        <f>ROUND(#REF!,2)</f>
        <v>#REF!</v>
      </c>
      <c r="ED315" s="1642" t="e">
        <f>ROUND(#REF!,2)</f>
        <v>#REF!</v>
      </c>
      <c r="EE315" s="1642" t="e">
        <f>ROUND(#REF!,2)</f>
        <v>#REF!</v>
      </c>
      <c r="EF315" s="1642" t="e">
        <f>ROUND(#REF!,2)</f>
        <v>#REF!</v>
      </c>
      <c r="EG315" s="1642" t="e">
        <f>ROUND(#REF!,2)</f>
        <v>#REF!</v>
      </c>
      <c r="EH315" s="35"/>
      <c r="EI315" s="1658"/>
      <c r="EJ315" s="35"/>
      <c r="EK315" s="35"/>
      <c r="EL315" s="35"/>
      <c r="EM315" s="35"/>
      <c r="EN315" s="35"/>
      <c r="EO315" s="35"/>
      <c r="EP315" s="35"/>
      <c r="EQ315" s="35"/>
      <c r="ER315" s="35"/>
      <c r="ES315" s="35"/>
      <c r="ET315" s="35"/>
      <c r="EU315" s="35"/>
      <c r="EV315" s="35"/>
      <c r="EW315" s="35"/>
      <c r="EX315" s="35"/>
      <c r="EY315" s="35"/>
      <c r="EZ315" s="35"/>
      <c r="FA315" s="35"/>
      <c r="FB315" s="35"/>
      <c r="FC315" s="35"/>
      <c r="FD315" s="35"/>
      <c r="FE315" s="35"/>
      <c r="FF315" s="35"/>
      <c r="FG315" s="35"/>
      <c r="FH315" s="35"/>
      <c r="FI315" s="35"/>
      <c r="FJ315" s="35"/>
      <c r="FK315" s="35"/>
      <c r="FL315" s="35"/>
      <c r="FM315" s="35"/>
      <c r="FN315" s="35"/>
      <c r="FO315" s="35"/>
      <c r="FP315" s="35"/>
      <c r="FQ315" s="35"/>
      <c r="FR315" s="35"/>
      <c r="FS315" s="35"/>
      <c r="FT315" s="35"/>
      <c r="FU315" s="35"/>
      <c r="FV315" s="35"/>
      <c r="FW315" s="35"/>
      <c r="FX315" s="35"/>
      <c r="FY315" s="35"/>
      <c r="FZ315" s="35"/>
      <c r="GA315" s="35"/>
      <c r="GB315" s="35"/>
      <c r="GC315" s="35"/>
      <c r="GD315" s="35"/>
      <c r="GE315" s="35"/>
      <c r="GF315" s="35"/>
      <c r="GG315" s="35"/>
      <c r="GH315" s="35"/>
      <c r="GI315" s="35"/>
      <c r="GJ315" s="35"/>
      <c r="GK315" s="35"/>
      <c r="GL315" s="35"/>
      <c r="GM315" s="35"/>
      <c r="GN315" s="35"/>
      <c r="GO315" s="35"/>
      <c r="GP315" s="35"/>
      <c r="GQ315" s="35"/>
      <c r="GR315" s="35"/>
      <c r="GS315" s="35"/>
      <c r="GT315" s="35"/>
      <c r="GU315" s="35"/>
      <c r="GV315" s="35"/>
      <c r="GW315" s="35"/>
      <c r="GX315" s="35"/>
      <c r="GY315" s="35"/>
      <c r="GZ315" s="35"/>
      <c r="HA315" s="35"/>
      <c r="HB315" s="35"/>
      <c r="HC315" s="35"/>
      <c r="HD315" s="35"/>
      <c r="HE315" s="35"/>
      <c r="HF315" s="35"/>
      <c r="HG315" s="35"/>
      <c r="HH315" s="35"/>
      <c r="HI315" s="35"/>
      <c r="HJ315" s="35"/>
      <c r="HK315" s="35"/>
      <c r="HL315" s="35"/>
      <c r="HM315" s="35"/>
      <c r="HN315" s="35"/>
      <c r="HO315" s="35"/>
      <c r="HP315" s="35"/>
      <c r="HQ315" s="35"/>
      <c r="HR315" s="35"/>
      <c r="HS315" s="35"/>
      <c r="HT315" s="35"/>
      <c r="HU315" s="35"/>
      <c r="HV315" s="35"/>
      <c r="HW315" s="35"/>
      <c r="HX315" s="35"/>
      <c r="HY315" s="35"/>
      <c r="HZ315" s="35"/>
      <c r="IA315" s="35"/>
      <c r="IB315" s="35"/>
      <c r="IC315" s="35"/>
      <c r="ID315" s="35"/>
      <c r="IE315" s="35"/>
      <c r="IF315" s="35"/>
      <c r="IG315" s="35"/>
      <c r="IH315" s="35"/>
      <c r="II315" s="35"/>
      <c r="IJ315" s="35"/>
      <c r="IK315" s="35"/>
      <c r="IL315" s="35"/>
      <c r="IM315" s="35"/>
      <c r="IN315" s="35"/>
      <c r="IO315" s="35"/>
      <c r="IP315" s="35"/>
      <c r="IQ315" s="35"/>
      <c r="IR315" s="35"/>
      <c r="IS315" s="35"/>
      <c r="IT315" s="35"/>
      <c r="IU315" s="35"/>
      <c r="IV315" s="35"/>
      <c r="IW315" s="35"/>
      <c r="IX315" s="35"/>
      <c r="IY315" s="35"/>
      <c r="IZ315" s="35"/>
      <c r="JA315" s="35"/>
      <c r="JB315" s="35"/>
      <c r="JC315" s="35"/>
      <c r="JD315" s="35"/>
      <c r="JE315" s="35"/>
      <c r="JF315" s="35"/>
      <c r="JG315" s="35"/>
      <c r="JH315" s="35"/>
      <c r="JI315" s="35"/>
      <c r="JJ315" s="35"/>
      <c r="JK315" s="35"/>
      <c r="JL315" s="35"/>
      <c r="JM315" s="35"/>
      <c r="JN315" s="35"/>
      <c r="JO315" s="35"/>
      <c r="JP315" s="35"/>
      <c r="JQ315" s="35"/>
      <c r="JR315" s="35"/>
      <c r="JS315" s="35"/>
      <c r="JT315" s="35"/>
      <c r="JU315" s="35"/>
      <c r="JV315" s="35"/>
      <c r="JW315" s="35"/>
      <c r="JX315" s="35"/>
      <c r="JY315" s="35"/>
      <c r="JZ315" s="35"/>
      <c r="KA315" s="35"/>
      <c r="KB315" s="35"/>
      <c r="KC315" s="35"/>
      <c r="KD315" s="35"/>
      <c r="KE315" s="35"/>
      <c r="KF315" s="35"/>
      <c r="KG315" s="35"/>
      <c r="KH315" s="35"/>
      <c r="KI315" s="35"/>
      <c r="KJ315" s="35"/>
      <c r="KK315" s="35"/>
      <c r="KL315" s="35"/>
      <c r="KM315" s="35"/>
      <c r="KN315" s="35"/>
      <c r="KO315" s="35"/>
      <c r="KP315" s="1633"/>
    </row>
    <row r="316" spans="1:302" s="92" customFormat="1" ht="24.75" customHeight="1" outlineLevel="1">
      <c r="A316" s="1993" t="s">
        <v>254</v>
      </c>
      <c r="B316" s="1993" t="s">
        <v>1148</v>
      </c>
      <c r="C316" s="2732" t="s">
        <v>1297</v>
      </c>
      <c r="D316" s="1362" t="s">
        <v>283</v>
      </c>
      <c r="E316" s="1389"/>
      <c r="F316" s="506"/>
      <c r="G316" s="1402"/>
      <c r="H316" s="1391"/>
      <c r="I316" s="2942"/>
      <c r="J316" s="1672"/>
      <c r="K316" s="1697"/>
      <c r="L316" s="1697"/>
      <c r="M316" s="1701"/>
      <c r="N316" s="1697"/>
      <c r="O316" s="1397">
        <v>0</v>
      </c>
      <c r="P316" s="1694"/>
      <c r="Q316" s="1694"/>
      <c r="R316" s="1694"/>
      <c r="S316" s="1672"/>
      <c r="T316" s="1699"/>
      <c r="U316" s="1700"/>
      <c r="V316" s="1700"/>
      <c r="W316" s="1672">
        <f t="shared" si="367"/>
        <v>0</v>
      </c>
      <c r="X316" s="1672"/>
      <c r="Y316" s="1699"/>
      <c r="Z316" s="1700"/>
      <c r="AA316" s="1699"/>
      <c r="AB316" s="1397">
        <f t="shared" si="408"/>
        <v>4080</v>
      </c>
      <c r="AC316" s="1444" t="s">
        <v>553</v>
      </c>
      <c r="AD316" s="1444">
        <v>4502914369</v>
      </c>
      <c r="AE316" s="510" t="s">
        <v>564</v>
      </c>
      <c r="AF316" s="2507">
        <v>4080</v>
      </c>
      <c r="AG316" s="2529">
        <v>1</v>
      </c>
      <c r="AH316" s="1397">
        <f t="shared" si="409"/>
        <v>4080</v>
      </c>
      <c r="AI316" s="355">
        <f t="shared" si="352"/>
        <v>2820</v>
      </c>
      <c r="AJ316" s="351">
        <f t="shared" si="410"/>
        <v>0.69117647058823528</v>
      </c>
      <c r="AK316" s="351"/>
      <c r="AL316" s="1398"/>
      <c r="AM316" s="2734">
        <v>2160</v>
      </c>
      <c r="AN316" s="2772">
        <v>660</v>
      </c>
      <c r="AO316" s="497"/>
      <c r="AP316" s="2895">
        <v>660</v>
      </c>
      <c r="AQ316" s="497">
        <v>600</v>
      </c>
      <c r="AR316" s="497"/>
      <c r="AS316" s="497"/>
      <c r="AT316" s="2015"/>
      <c r="AU316" s="497"/>
      <c r="AV316" s="497"/>
      <c r="AW316" s="497"/>
      <c r="AX316" s="497"/>
      <c r="AY316" s="2060"/>
      <c r="AZ316" s="2273"/>
      <c r="BA316" s="497"/>
      <c r="BB316" s="497"/>
      <c r="BC316" s="497"/>
      <c r="BD316" s="497"/>
      <c r="BE316" s="497"/>
      <c r="BF316" s="497"/>
      <c r="BG316" s="497"/>
      <c r="BH316" s="497"/>
      <c r="BI316" s="497"/>
      <c r="BJ316" s="497"/>
      <c r="BK316" s="2060"/>
      <c r="BL316" s="2011"/>
      <c r="BM316" s="2011"/>
      <c r="BN316" s="2011"/>
      <c r="BO316" s="2011"/>
      <c r="BP316" s="2011"/>
      <c r="BQ316" s="2403"/>
      <c r="BR316" s="497"/>
      <c r="BS316" s="497"/>
      <c r="BT316" s="497"/>
      <c r="BU316" s="497"/>
      <c r="BV316" s="497"/>
      <c r="BW316" s="2060"/>
      <c r="BX316" s="2417"/>
      <c r="BY316" s="2549"/>
      <c r="BZ316" s="2549"/>
      <c r="CA316" s="2435">
        <f t="shared" si="360"/>
        <v>1260</v>
      </c>
      <c r="CB316" s="2380">
        <f t="shared" si="361"/>
        <v>0.30882352941176472</v>
      </c>
      <c r="CC316" s="365">
        <f t="shared" si="362"/>
        <v>7.5692041522491357E-5</v>
      </c>
      <c r="CD316" s="1380" t="str">
        <f t="shared" si="363"/>
        <v>0,00%</v>
      </c>
      <c r="CE316" s="1381">
        <f t="shared" si="364"/>
        <v>-4080</v>
      </c>
      <c r="CF316" s="1381"/>
      <c r="CG316" s="501"/>
      <c r="CH316" s="502"/>
      <c r="CI316" s="503"/>
      <c r="CJ316" s="504"/>
      <c r="CK316" s="505"/>
      <c r="CL316" s="329">
        <f t="shared" si="298"/>
        <v>-1260</v>
      </c>
      <c r="CM316" s="330">
        <f t="shared" si="299"/>
        <v>0</v>
      </c>
      <c r="CN316" s="331">
        <f t="shared" si="369"/>
        <v>-2160</v>
      </c>
      <c r="CO316" s="86"/>
      <c r="CP316" s="86"/>
      <c r="CQ316" s="86"/>
      <c r="CR316" s="86"/>
      <c r="CS316" s="86"/>
      <c r="CT316" s="86"/>
      <c r="CU316" s="86"/>
      <c r="CV316" s="86"/>
      <c r="CW316" s="86"/>
      <c r="CX316" s="86"/>
      <c r="CY316" s="86"/>
      <c r="CZ316" s="86"/>
      <c r="DA316" s="86"/>
      <c r="DB316" s="32"/>
      <c r="DC316" s="32"/>
      <c r="DD316" s="35"/>
      <c r="DE316" s="35"/>
      <c r="DF316" s="35"/>
      <c r="DG316" s="1642"/>
      <c r="DH316" s="1642"/>
      <c r="DI316" s="1642"/>
      <c r="DJ316" s="1642"/>
      <c r="DK316" s="1642"/>
      <c r="DL316" s="1642"/>
      <c r="DM316" s="1642"/>
      <c r="DN316" s="1642"/>
      <c r="DO316" s="1642"/>
      <c r="DP316" s="1642"/>
      <c r="DQ316" s="1642"/>
      <c r="DR316" s="1642"/>
      <c r="DS316" s="1642"/>
      <c r="DT316" s="1642"/>
      <c r="DU316" s="1642"/>
      <c r="DV316" s="1642"/>
      <c r="DW316" s="1642"/>
      <c r="DX316" s="1642"/>
      <c r="DY316" s="1642"/>
      <c r="DZ316" s="1642"/>
      <c r="EA316" s="1642"/>
      <c r="EB316" s="1642"/>
      <c r="EC316" s="1642"/>
      <c r="ED316" s="1642"/>
      <c r="EE316" s="1642"/>
      <c r="EF316" s="1642"/>
      <c r="EG316" s="1642"/>
      <c r="EH316" s="35"/>
      <c r="EI316" s="1658"/>
      <c r="EJ316" s="35"/>
      <c r="EK316" s="35"/>
      <c r="EL316" s="35"/>
      <c r="EM316" s="35"/>
      <c r="EN316" s="35"/>
      <c r="EO316" s="35"/>
      <c r="EP316" s="35"/>
      <c r="EQ316" s="35"/>
      <c r="ER316" s="35"/>
      <c r="ES316" s="35"/>
      <c r="ET316" s="35"/>
      <c r="EU316" s="35"/>
      <c r="EV316" s="35"/>
      <c r="EW316" s="35"/>
      <c r="EX316" s="35"/>
      <c r="EY316" s="35"/>
      <c r="EZ316" s="35"/>
      <c r="FA316" s="35"/>
      <c r="FB316" s="35"/>
      <c r="FC316" s="35"/>
      <c r="FD316" s="35"/>
      <c r="FE316" s="35"/>
      <c r="FF316" s="35"/>
      <c r="FG316" s="35"/>
      <c r="FH316" s="35"/>
      <c r="FI316" s="35"/>
      <c r="FJ316" s="35"/>
      <c r="FK316" s="35"/>
      <c r="FL316" s="35"/>
      <c r="FM316" s="35"/>
      <c r="FN316" s="35"/>
      <c r="FO316" s="35"/>
      <c r="FP316" s="35"/>
      <c r="FQ316" s="35"/>
      <c r="FR316" s="35"/>
      <c r="FS316" s="35"/>
      <c r="FT316" s="35"/>
      <c r="FU316" s="35"/>
      <c r="FV316" s="35"/>
      <c r="FW316" s="35"/>
      <c r="FX316" s="35"/>
      <c r="FY316" s="35"/>
      <c r="FZ316" s="35"/>
      <c r="GA316" s="35"/>
      <c r="GB316" s="35"/>
      <c r="GC316" s="35"/>
      <c r="GD316" s="35"/>
      <c r="GE316" s="35"/>
      <c r="GF316" s="35"/>
      <c r="GG316" s="35"/>
      <c r="GH316" s="35"/>
      <c r="GI316" s="35"/>
      <c r="GJ316" s="35"/>
      <c r="GK316" s="35"/>
      <c r="GL316" s="35"/>
      <c r="GM316" s="35"/>
      <c r="GN316" s="35"/>
      <c r="GO316" s="35"/>
      <c r="GP316" s="35"/>
      <c r="GQ316" s="35"/>
      <c r="GR316" s="35"/>
      <c r="GS316" s="35"/>
      <c r="GT316" s="35"/>
      <c r="GU316" s="35"/>
      <c r="GV316" s="35"/>
      <c r="GW316" s="35"/>
      <c r="GX316" s="35"/>
      <c r="GY316" s="35"/>
      <c r="GZ316" s="35"/>
      <c r="HA316" s="35"/>
      <c r="HB316" s="35"/>
      <c r="HC316" s="35"/>
      <c r="HD316" s="35"/>
      <c r="HE316" s="35"/>
      <c r="HF316" s="35"/>
      <c r="HG316" s="35"/>
      <c r="HH316" s="35"/>
      <c r="HI316" s="35"/>
      <c r="HJ316" s="35"/>
      <c r="HK316" s="35"/>
      <c r="HL316" s="35"/>
      <c r="HM316" s="35"/>
      <c r="HN316" s="35"/>
      <c r="HO316" s="35"/>
      <c r="HP316" s="35"/>
      <c r="HQ316" s="35"/>
      <c r="HR316" s="35"/>
      <c r="HS316" s="35"/>
      <c r="HT316" s="35"/>
      <c r="HU316" s="35"/>
      <c r="HV316" s="35"/>
      <c r="HW316" s="35"/>
      <c r="HX316" s="35"/>
      <c r="HY316" s="35"/>
      <c r="HZ316" s="35"/>
      <c r="IA316" s="35"/>
      <c r="IB316" s="35"/>
      <c r="IC316" s="35"/>
      <c r="ID316" s="35"/>
      <c r="IE316" s="35"/>
      <c r="IF316" s="35"/>
      <c r="IG316" s="35"/>
      <c r="IH316" s="35"/>
      <c r="II316" s="35"/>
      <c r="IJ316" s="35"/>
      <c r="IK316" s="35"/>
      <c r="IL316" s="35"/>
      <c r="IM316" s="35"/>
      <c r="IN316" s="35"/>
      <c r="IO316" s="35"/>
      <c r="IP316" s="35"/>
      <c r="IQ316" s="35"/>
      <c r="IR316" s="35"/>
      <c r="IS316" s="35"/>
      <c r="IT316" s="35"/>
      <c r="IU316" s="35"/>
      <c r="IV316" s="35"/>
      <c r="IW316" s="35"/>
      <c r="IX316" s="35"/>
      <c r="IY316" s="35"/>
      <c r="IZ316" s="35"/>
      <c r="JA316" s="35"/>
      <c r="JB316" s="35"/>
      <c r="JC316" s="35"/>
      <c r="JD316" s="35"/>
      <c r="JE316" s="35"/>
      <c r="JF316" s="35"/>
      <c r="JG316" s="35"/>
      <c r="JH316" s="35"/>
      <c r="JI316" s="35"/>
      <c r="JJ316" s="35"/>
      <c r="JK316" s="35"/>
      <c r="JL316" s="35"/>
      <c r="JM316" s="35"/>
      <c r="JN316" s="35"/>
      <c r="JO316" s="35"/>
      <c r="JP316" s="35"/>
      <c r="JQ316" s="35"/>
      <c r="JR316" s="35"/>
      <c r="JS316" s="35"/>
      <c r="JT316" s="35"/>
      <c r="JU316" s="35"/>
      <c r="JV316" s="35"/>
      <c r="JW316" s="35"/>
      <c r="JX316" s="35"/>
      <c r="JY316" s="35"/>
      <c r="JZ316" s="35"/>
      <c r="KA316" s="35"/>
      <c r="KB316" s="35"/>
      <c r="KC316" s="35"/>
      <c r="KD316" s="35"/>
      <c r="KE316" s="35"/>
      <c r="KF316" s="35"/>
      <c r="KG316" s="35"/>
      <c r="KH316" s="35"/>
      <c r="KI316" s="35"/>
      <c r="KJ316" s="35"/>
      <c r="KK316" s="35"/>
      <c r="KL316" s="35"/>
      <c r="KM316" s="35"/>
      <c r="KN316" s="35"/>
      <c r="KO316" s="35"/>
      <c r="KP316" s="1633"/>
    </row>
    <row r="317" spans="1:302" s="92" customFormat="1" ht="24.75" customHeight="1" outlineLevel="1">
      <c r="A317" s="1993" t="s">
        <v>255</v>
      </c>
      <c r="B317" s="1993"/>
      <c r="C317" s="1361" t="s">
        <v>1296</v>
      </c>
      <c r="D317" s="1362" t="s">
        <v>283</v>
      </c>
      <c r="E317" s="1389"/>
      <c r="F317" s="506"/>
      <c r="G317" s="1402"/>
      <c r="H317" s="1391"/>
      <c r="I317" s="2942"/>
      <c r="J317" s="1672"/>
      <c r="K317" s="1697"/>
      <c r="L317" s="1697"/>
      <c r="M317" s="1701"/>
      <c r="N317" s="1697"/>
      <c r="O317" s="1397">
        <v>0</v>
      </c>
      <c r="P317" s="1694"/>
      <c r="Q317" s="1694"/>
      <c r="R317" s="1694"/>
      <c r="S317" s="1672"/>
      <c r="T317" s="1699"/>
      <c r="U317" s="1700"/>
      <c r="V317" s="1700"/>
      <c r="W317" s="1672">
        <f t="shared" si="367"/>
        <v>0</v>
      </c>
      <c r="X317" s="1672"/>
      <c r="Y317" s="1699"/>
      <c r="Z317" s="1700"/>
      <c r="AA317" s="1699"/>
      <c r="AB317" s="2756">
        <f t="shared" si="408"/>
        <v>821840</v>
      </c>
      <c r="AC317" s="1444" t="s">
        <v>1271</v>
      </c>
      <c r="AD317" s="1444"/>
      <c r="AE317" s="510" t="s">
        <v>564</v>
      </c>
      <c r="AF317" s="2733">
        <v>821840</v>
      </c>
      <c r="AG317" s="2529">
        <v>1</v>
      </c>
      <c r="AH317" s="1397">
        <f t="shared" ref="AH317" si="413">+AF317*AG317</f>
        <v>821840</v>
      </c>
      <c r="AI317" s="355">
        <f t="shared" ref="AI317" si="414">SUMIF($AM$10:$BZ$10,$AI$9,AM317:BZ317)</f>
        <v>0</v>
      </c>
      <c r="AJ317" s="351">
        <f t="shared" ref="AJ317" si="415">IF($AB317&lt;&gt;0,AI317/$AB317,"")</f>
        <v>0</v>
      </c>
      <c r="AK317" s="351"/>
      <c r="AL317" s="1398"/>
      <c r="AM317" s="2734"/>
      <c r="AN317" s="2506"/>
      <c r="AO317" s="497"/>
      <c r="AP317" s="497"/>
      <c r="AQ317" s="497">
        <f>25682.5+50000</f>
        <v>75682.5</v>
      </c>
      <c r="AR317" s="497">
        <f>25682.5+27047.5</f>
        <v>52730</v>
      </c>
      <c r="AS317" s="497">
        <v>25682.5</v>
      </c>
      <c r="AT317" s="2060">
        <v>25682.5</v>
      </c>
      <c r="AU317" s="497">
        <v>25682.5</v>
      </c>
      <c r="AV317" s="497">
        <v>25682.5</v>
      </c>
      <c r="AW317" s="497">
        <v>25682.5</v>
      </c>
      <c r="AX317" s="497">
        <v>25682.5</v>
      </c>
      <c r="AY317" s="2060">
        <v>25682.5</v>
      </c>
      <c r="AZ317" s="2273">
        <v>25682.5</v>
      </c>
      <c r="BA317" s="497">
        <v>25682.5</v>
      </c>
      <c r="BB317" s="497">
        <v>25682.5</v>
      </c>
      <c r="BC317" s="497">
        <v>25682.5</v>
      </c>
      <c r="BD317" s="497">
        <v>25682.5</v>
      </c>
      <c r="BE317" s="497">
        <v>25682.5</v>
      </c>
      <c r="BF317" s="497">
        <v>25682.5</v>
      </c>
      <c r="BG317" s="497">
        <v>25682.5</v>
      </c>
      <c r="BH317" s="497">
        <v>25682.5</v>
      </c>
      <c r="BI317" s="497">
        <v>25682.5</v>
      </c>
      <c r="BJ317" s="497">
        <v>25682.5</v>
      </c>
      <c r="BK317" s="2060">
        <v>25682.5</v>
      </c>
      <c r="BL317" s="2011">
        <v>25682.5</v>
      </c>
      <c r="BM317" s="2011">
        <v>25682.5</v>
      </c>
      <c r="BN317" s="2011">
        <v>25682.5</v>
      </c>
      <c r="BO317" s="2011">
        <v>25682.5</v>
      </c>
      <c r="BP317" s="2011">
        <v>25682.5</v>
      </c>
      <c r="BQ317" s="2403">
        <v>25682.5</v>
      </c>
      <c r="BR317" s="497">
        <v>25682.5</v>
      </c>
      <c r="BS317" s="497">
        <v>25682.5</v>
      </c>
      <c r="BT317" s="497"/>
      <c r="BU317" s="497"/>
      <c r="BV317" s="497"/>
      <c r="BW317" s="2060"/>
      <c r="BX317" s="2417"/>
      <c r="BY317" s="2549"/>
      <c r="BZ317" s="2549"/>
      <c r="CA317" s="2435">
        <f t="shared" si="360"/>
        <v>821840</v>
      </c>
      <c r="CB317" s="2380">
        <f t="shared" si="361"/>
        <v>1</v>
      </c>
      <c r="CC317" s="365">
        <f t="shared" si="362"/>
        <v>1.216781855348973E-6</v>
      </c>
      <c r="CD317" s="1380" t="str">
        <f t="shared" si="363"/>
        <v>0,00%</v>
      </c>
      <c r="CE317" s="1381">
        <f t="shared" si="364"/>
        <v>-821840</v>
      </c>
      <c r="CF317" s="1381"/>
      <c r="CG317" s="501"/>
      <c r="CH317" s="502"/>
      <c r="CI317" s="503"/>
      <c r="CJ317" s="504"/>
      <c r="CK317" s="505"/>
      <c r="CL317" s="329">
        <f t="shared" si="298"/>
        <v>-821840</v>
      </c>
      <c r="CM317" s="330">
        <f t="shared" si="299"/>
        <v>0</v>
      </c>
      <c r="CN317" s="331">
        <f t="shared" si="369"/>
        <v>-513650</v>
      </c>
      <c r="CO317" s="86"/>
      <c r="CP317" s="86"/>
      <c r="CQ317" s="86"/>
      <c r="CR317" s="86"/>
      <c r="CS317" s="86"/>
      <c r="CT317" s="86"/>
      <c r="CU317" s="86"/>
      <c r="CV317" s="86"/>
      <c r="CW317" s="86"/>
      <c r="CX317" s="86"/>
      <c r="CY317" s="86"/>
      <c r="CZ317" s="86"/>
      <c r="DA317" s="86"/>
      <c r="DB317" s="32"/>
      <c r="DC317" s="32"/>
      <c r="DD317" s="35"/>
      <c r="DE317" s="35"/>
      <c r="DF317" s="35"/>
      <c r="DG317" s="1642"/>
      <c r="DH317" s="1642"/>
      <c r="DI317" s="1642"/>
      <c r="DJ317" s="1642"/>
      <c r="DK317" s="1642"/>
      <c r="DL317" s="1642"/>
      <c r="DM317" s="1642"/>
      <c r="DN317" s="1642"/>
      <c r="DO317" s="1642"/>
      <c r="DP317" s="1642"/>
      <c r="DQ317" s="1642"/>
      <c r="DR317" s="1642"/>
      <c r="DS317" s="1642"/>
      <c r="DT317" s="1642"/>
      <c r="DU317" s="1642"/>
      <c r="DV317" s="1642"/>
      <c r="DW317" s="1642"/>
      <c r="DX317" s="1642"/>
      <c r="DY317" s="1642"/>
      <c r="DZ317" s="1642"/>
      <c r="EA317" s="1642"/>
      <c r="EB317" s="1642"/>
      <c r="EC317" s="1642"/>
      <c r="ED317" s="1642"/>
      <c r="EE317" s="1642"/>
      <c r="EF317" s="1642"/>
      <c r="EG317" s="1642"/>
      <c r="EH317" s="35"/>
      <c r="EI317" s="1658"/>
      <c r="EJ317" s="35"/>
      <c r="EK317" s="35"/>
      <c r="EL317" s="35"/>
      <c r="EM317" s="35"/>
      <c r="EN317" s="35"/>
      <c r="EO317" s="35"/>
      <c r="EP317" s="35"/>
      <c r="EQ317" s="35"/>
      <c r="ER317" s="35"/>
      <c r="ES317" s="35"/>
      <c r="ET317" s="35"/>
      <c r="EU317" s="35"/>
      <c r="EV317" s="35"/>
      <c r="EW317" s="35"/>
      <c r="EX317" s="35"/>
      <c r="EY317" s="35"/>
      <c r="EZ317" s="35"/>
      <c r="FA317" s="35"/>
      <c r="FB317" s="35"/>
      <c r="FC317" s="35"/>
      <c r="FD317" s="35"/>
      <c r="FE317" s="35"/>
      <c r="FF317" s="35"/>
      <c r="FG317" s="35"/>
      <c r="FH317" s="35"/>
      <c r="FI317" s="35"/>
      <c r="FJ317" s="35"/>
      <c r="FK317" s="35"/>
      <c r="FL317" s="35"/>
      <c r="FM317" s="35"/>
      <c r="FN317" s="35"/>
      <c r="FO317" s="35"/>
      <c r="FP317" s="35"/>
      <c r="FQ317" s="35"/>
      <c r="FR317" s="35"/>
      <c r="FS317" s="35"/>
      <c r="FT317" s="35"/>
      <c r="FU317" s="35"/>
      <c r="FV317" s="35"/>
      <c r="FW317" s="35"/>
      <c r="FX317" s="35"/>
      <c r="FY317" s="35"/>
      <c r="FZ317" s="35"/>
      <c r="GA317" s="35"/>
      <c r="GB317" s="35"/>
      <c r="GC317" s="35"/>
      <c r="GD317" s="35"/>
      <c r="GE317" s="35"/>
      <c r="GF317" s="35"/>
      <c r="GG317" s="35"/>
      <c r="GH317" s="35"/>
      <c r="GI317" s="35"/>
      <c r="GJ317" s="35"/>
      <c r="GK317" s="35"/>
      <c r="GL317" s="35"/>
      <c r="GM317" s="35"/>
      <c r="GN317" s="35"/>
      <c r="GO317" s="35"/>
      <c r="GP317" s="35"/>
      <c r="GQ317" s="35"/>
      <c r="GR317" s="35"/>
      <c r="GS317" s="35"/>
      <c r="GT317" s="35"/>
      <c r="GU317" s="35"/>
      <c r="GV317" s="35"/>
      <c r="GW317" s="35"/>
      <c r="GX317" s="35"/>
      <c r="GY317" s="35"/>
      <c r="GZ317" s="35"/>
      <c r="HA317" s="35"/>
      <c r="HB317" s="35"/>
      <c r="HC317" s="35"/>
      <c r="HD317" s="35"/>
      <c r="HE317" s="35"/>
      <c r="HF317" s="35"/>
      <c r="HG317" s="35"/>
      <c r="HH317" s="35"/>
      <c r="HI317" s="35"/>
      <c r="HJ317" s="35"/>
      <c r="HK317" s="35"/>
      <c r="HL317" s="35"/>
      <c r="HM317" s="35"/>
      <c r="HN317" s="35"/>
      <c r="HO317" s="35"/>
      <c r="HP317" s="35"/>
      <c r="HQ317" s="35"/>
      <c r="HR317" s="35"/>
      <c r="HS317" s="35"/>
      <c r="HT317" s="35"/>
      <c r="HU317" s="35"/>
      <c r="HV317" s="35"/>
      <c r="HW317" s="35"/>
      <c r="HX317" s="35"/>
      <c r="HY317" s="35"/>
      <c r="HZ317" s="35"/>
      <c r="IA317" s="35"/>
      <c r="IB317" s="35"/>
      <c r="IC317" s="35"/>
      <c r="ID317" s="35"/>
      <c r="IE317" s="35"/>
      <c r="IF317" s="35"/>
      <c r="IG317" s="35"/>
      <c r="IH317" s="35"/>
      <c r="II317" s="35"/>
      <c r="IJ317" s="35"/>
      <c r="IK317" s="35"/>
      <c r="IL317" s="35"/>
      <c r="IM317" s="35"/>
      <c r="IN317" s="35"/>
      <c r="IO317" s="35"/>
      <c r="IP317" s="35"/>
      <c r="IQ317" s="35"/>
      <c r="IR317" s="35"/>
      <c r="IS317" s="35"/>
      <c r="IT317" s="35"/>
      <c r="IU317" s="35"/>
      <c r="IV317" s="35"/>
      <c r="IW317" s="35"/>
      <c r="IX317" s="35"/>
      <c r="IY317" s="35"/>
      <c r="IZ317" s="35"/>
      <c r="JA317" s="35"/>
      <c r="JB317" s="35"/>
      <c r="JC317" s="35"/>
      <c r="JD317" s="35"/>
      <c r="JE317" s="35"/>
      <c r="JF317" s="35"/>
      <c r="JG317" s="35"/>
      <c r="JH317" s="35"/>
      <c r="JI317" s="35"/>
      <c r="JJ317" s="35"/>
      <c r="JK317" s="35"/>
      <c r="JL317" s="35"/>
      <c r="JM317" s="35"/>
      <c r="JN317" s="35"/>
      <c r="JO317" s="35"/>
      <c r="JP317" s="35"/>
      <c r="JQ317" s="35"/>
      <c r="JR317" s="35"/>
      <c r="JS317" s="35"/>
      <c r="JT317" s="35"/>
      <c r="JU317" s="35"/>
      <c r="JV317" s="35"/>
      <c r="JW317" s="35"/>
      <c r="JX317" s="35"/>
      <c r="JY317" s="35"/>
      <c r="JZ317" s="35"/>
      <c r="KA317" s="35"/>
      <c r="KB317" s="35"/>
      <c r="KC317" s="35"/>
      <c r="KD317" s="35"/>
      <c r="KE317" s="35"/>
      <c r="KF317" s="35"/>
      <c r="KG317" s="35"/>
      <c r="KH317" s="35"/>
      <c r="KI317" s="35"/>
      <c r="KJ317" s="35"/>
      <c r="KK317" s="35"/>
      <c r="KL317" s="35"/>
      <c r="KM317" s="35"/>
      <c r="KN317" s="35"/>
      <c r="KO317" s="35"/>
      <c r="KP317" s="1633"/>
    </row>
    <row r="318" spans="1:302" s="92" customFormat="1" ht="24.75" customHeight="1" outlineLevel="1">
      <c r="A318" s="1993" t="s">
        <v>266</v>
      </c>
      <c r="B318" s="1993"/>
      <c r="C318" s="2540" t="s">
        <v>1295</v>
      </c>
      <c r="D318" s="1362" t="s">
        <v>283</v>
      </c>
      <c r="E318" s="1389"/>
      <c r="F318" s="506"/>
      <c r="G318" s="1402"/>
      <c r="H318" s="1391"/>
      <c r="I318" s="2943"/>
      <c r="J318" s="1672"/>
      <c r="K318" s="1697"/>
      <c r="L318" s="1697"/>
      <c r="M318" s="1701"/>
      <c r="N318" s="1697"/>
      <c r="O318" s="1397">
        <v>0</v>
      </c>
      <c r="P318" s="1694"/>
      <c r="Q318" s="1694"/>
      <c r="R318" s="1694"/>
      <c r="S318" s="1672"/>
      <c r="T318" s="1699"/>
      <c r="U318" s="1700"/>
      <c r="V318" s="1700"/>
      <c r="W318" s="1672">
        <f t="shared" ref="W318" si="416">O318+S318</f>
        <v>0</v>
      </c>
      <c r="X318" s="1672"/>
      <c r="Y318" s="1699"/>
      <c r="Z318" s="1700"/>
      <c r="AA318" s="1699"/>
      <c r="AB318" s="2755">
        <f t="shared" si="408"/>
        <v>7278</v>
      </c>
      <c r="AC318" s="1444" t="s">
        <v>1272</v>
      </c>
      <c r="AD318" s="1444">
        <v>4502952746</v>
      </c>
      <c r="AE318" s="510" t="s">
        <v>564</v>
      </c>
      <c r="AF318" s="2733">
        <f>4800+2478</f>
        <v>7278</v>
      </c>
      <c r="AG318" s="2529">
        <v>1</v>
      </c>
      <c r="AH318" s="1397">
        <f t="shared" ref="AH318" si="417">+AF318*AG318</f>
        <v>7278</v>
      </c>
      <c r="AI318" s="355">
        <f t="shared" ref="AI318" si="418">SUMIF($AM$10:$BZ$10,$AI$9,AM318:BZ318)</f>
        <v>4878</v>
      </c>
      <c r="AJ318" s="351">
        <f t="shared" ref="AJ318" si="419">IF($AB318&lt;&gt;0,AI318/$AB318,"")</f>
        <v>0.67023907666941462</v>
      </c>
      <c r="AK318" s="351"/>
      <c r="AL318" s="1398"/>
      <c r="AM318" s="2734">
        <v>2000</v>
      </c>
      <c r="AN318" s="2764">
        <v>2878</v>
      </c>
      <c r="AO318" s="497"/>
      <c r="AP318" s="2729">
        <v>2400</v>
      </c>
      <c r="AQ318" s="497"/>
      <c r="AR318" s="497"/>
      <c r="AS318" s="497"/>
      <c r="AT318" s="2060"/>
      <c r="AU318" s="497"/>
      <c r="AV318" s="497"/>
      <c r="AW318" s="497"/>
      <c r="AX318" s="497"/>
      <c r="AY318" s="2060"/>
      <c r="AZ318" s="2273"/>
      <c r="BA318" s="497"/>
      <c r="BB318" s="497"/>
      <c r="BC318" s="497"/>
      <c r="BD318" s="497"/>
      <c r="BE318" s="497"/>
      <c r="BF318" s="497"/>
      <c r="BG318" s="497"/>
      <c r="BH318" s="497"/>
      <c r="BI318" s="497"/>
      <c r="BJ318" s="497"/>
      <c r="BK318" s="2060"/>
      <c r="BL318" s="2011"/>
      <c r="BM318" s="2011"/>
      <c r="BN318" s="2011"/>
      <c r="BO318" s="2011"/>
      <c r="BP318" s="2011"/>
      <c r="BQ318" s="2403"/>
      <c r="BR318" s="497"/>
      <c r="BS318" s="497"/>
      <c r="BT318" s="497"/>
      <c r="BU318" s="497"/>
      <c r="BV318" s="497"/>
      <c r="BW318" s="2060"/>
      <c r="BX318" s="2417"/>
      <c r="BY318" s="2549"/>
      <c r="BZ318" s="2549"/>
      <c r="CA318" s="2435">
        <f t="shared" si="360"/>
        <v>2400</v>
      </c>
      <c r="CB318" s="2380">
        <f t="shared" si="361"/>
        <v>0.32976092333058532</v>
      </c>
      <c r="CC318" s="365">
        <f t="shared" si="362"/>
        <v>4.530927773160007E-5</v>
      </c>
      <c r="CD318" s="1380" t="str">
        <f t="shared" si="363"/>
        <v>0,00%</v>
      </c>
      <c r="CE318" s="1381">
        <f t="shared" si="364"/>
        <v>-7278</v>
      </c>
      <c r="CF318" s="1381"/>
      <c r="CG318" s="501"/>
      <c r="CH318" s="502"/>
      <c r="CI318" s="503"/>
      <c r="CJ318" s="504"/>
      <c r="CK318" s="505"/>
      <c r="CL318" s="329">
        <f t="shared" si="298"/>
        <v>-2400</v>
      </c>
      <c r="CM318" s="330">
        <f t="shared" si="299"/>
        <v>0</v>
      </c>
      <c r="CN318" s="331">
        <f t="shared" ref="CN318" si="420">SUM(AN318:AY318)-CA318-AI318</f>
        <v>-2000</v>
      </c>
      <c r="CO318" s="86"/>
      <c r="CP318" s="86"/>
      <c r="CQ318" s="86"/>
      <c r="CR318" s="86"/>
      <c r="CS318" s="86"/>
      <c r="CT318" s="86"/>
      <c r="CU318" s="86"/>
      <c r="CV318" s="86"/>
      <c r="CW318" s="86"/>
      <c r="CX318" s="86"/>
      <c r="CY318" s="86"/>
      <c r="CZ318" s="86"/>
      <c r="DA318" s="86"/>
      <c r="DB318" s="32"/>
      <c r="DC318" s="32"/>
      <c r="DD318" s="35"/>
      <c r="DE318" s="35"/>
      <c r="DF318" s="35"/>
      <c r="DG318" s="1642"/>
      <c r="DH318" s="1642"/>
      <c r="DI318" s="1642"/>
      <c r="DJ318" s="1642"/>
      <c r="DK318" s="1642"/>
      <c r="DL318" s="1642"/>
      <c r="DM318" s="1642"/>
      <c r="DN318" s="1642"/>
      <c r="DO318" s="1642"/>
      <c r="DP318" s="1642"/>
      <c r="DQ318" s="1642"/>
      <c r="DR318" s="1642"/>
      <c r="DS318" s="1642"/>
      <c r="DT318" s="1642"/>
      <c r="DU318" s="1642"/>
      <c r="DV318" s="1642"/>
      <c r="DW318" s="1642"/>
      <c r="DX318" s="1642"/>
      <c r="DY318" s="1642"/>
      <c r="DZ318" s="1642"/>
      <c r="EA318" s="1642"/>
      <c r="EB318" s="1642"/>
      <c r="EC318" s="1642"/>
      <c r="ED318" s="1642"/>
      <c r="EE318" s="1642"/>
      <c r="EF318" s="1642"/>
      <c r="EG318" s="1642"/>
      <c r="EH318" s="35"/>
      <c r="EI318" s="1658"/>
      <c r="EJ318" s="35"/>
      <c r="EK318" s="35"/>
      <c r="EL318" s="35"/>
      <c r="EM318" s="35"/>
      <c r="EN318" s="35"/>
      <c r="EO318" s="35"/>
      <c r="EP318" s="35"/>
      <c r="EQ318" s="35"/>
      <c r="ER318" s="35"/>
      <c r="ES318" s="35"/>
      <c r="ET318" s="35"/>
      <c r="EU318" s="35"/>
      <c r="EV318" s="35"/>
      <c r="EW318" s="35"/>
      <c r="EX318" s="35"/>
      <c r="EY318" s="35"/>
      <c r="EZ318" s="35"/>
      <c r="FA318" s="35"/>
      <c r="FB318" s="35"/>
      <c r="FC318" s="35"/>
      <c r="FD318" s="35"/>
      <c r="FE318" s="35"/>
      <c r="FF318" s="35"/>
      <c r="FG318" s="35"/>
      <c r="FH318" s="35"/>
      <c r="FI318" s="35"/>
      <c r="FJ318" s="35"/>
      <c r="FK318" s="35"/>
      <c r="FL318" s="35"/>
      <c r="FM318" s="35"/>
      <c r="FN318" s="35"/>
      <c r="FO318" s="35"/>
      <c r="FP318" s="35"/>
      <c r="FQ318" s="35"/>
      <c r="FR318" s="35"/>
      <c r="FS318" s="35"/>
      <c r="FT318" s="35"/>
      <c r="FU318" s="35"/>
      <c r="FV318" s="35"/>
      <c r="FW318" s="35"/>
      <c r="FX318" s="35"/>
      <c r="FY318" s="35"/>
      <c r="FZ318" s="35"/>
      <c r="GA318" s="35"/>
      <c r="GB318" s="35"/>
      <c r="GC318" s="35"/>
      <c r="GD318" s="35"/>
      <c r="GE318" s="35"/>
      <c r="GF318" s="35"/>
      <c r="GG318" s="35"/>
      <c r="GH318" s="35"/>
      <c r="GI318" s="35"/>
      <c r="GJ318" s="35"/>
      <c r="GK318" s="35"/>
      <c r="GL318" s="35"/>
      <c r="GM318" s="35"/>
      <c r="GN318" s="35"/>
      <c r="GO318" s="35"/>
      <c r="GP318" s="35"/>
      <c r="GQ318" s="35"/>
      <c r="GR318" s="35"/>
      <c r="GS318" s="35"/>
      <c r="GT318" s="35"/>
      <c r="GU318" s="35"/>
      <c r="GV318" s="35"/>
      <c r="GW318" s="35"/>
      <c r="GX318" s="35"/>
      <c r="GY318" s="35"/>
      <c r="GZ318" s="35"/>
      <c r="HA318" s="35"/>
      <c r="HB318" s="35"/>
      <c r="HC318" s="35"/>
      <c r="HD318" s="35"/>
      <c r="HE318" s="35"/>
      <c r="HF318" s="35"/>
      <c r="HG318" s="35"/>
      <c r="HH318" s="35"/>
      <c r="HI318" s="35"/>
      <c r="HJ318" s="35"/>
      <c r="HK318" s="35"/>
      <c r="HL318" s="35"/>
      <c r="HM318" s="35"/>
      <c r="HN318" s="35"/>
      <c r="HO318" s="35"/>
      <c r="HP318" s="35"/>
      <c r="HQ318" s="35"/>
      <c r="HR318" s="35"/>
      <c r="HS318" s="35"/>
      <c r="HT318" s="35"/>
      <c r="HU318" s="35"/>
      <c r="HV318" s="35"/>
      <c r="HW318" s="35"/>
      <c r="HX318" s="35"/>
      <c r="HY318" s="35"/>
      <c r="HZ318" s="35"/>
      <c r="IA318" s="35"/>
      <c r="IB318" s="35"/>
      <c r="IC318" s="35"/>
      <c r="ID318" s="35"/>
      <c r="IE318" s="35"/>
      <c r="IF318" s="35"/>
      <c r="IG318" s="35"/>
      <c r="IH318" s="35"/>
      <c r="II318" s="35"/>
      <c r="IJ318" s="35"/>
      <c r="IK318" s="35"/>
      <c r="IL318" s="35"/>
      <c r="IM318" s="35"/>
      <c r="IN318" s="35"/>
      <c r="IO318" s="35"/>
      <c r="IP318" s="35"/>
      <c r="IQ318" s="35"/>
      <c r="IR318" s="35"/>
      <c r="IS318" s="35"/>
      <c r="IT318" s="35"/>
      <c r="IU318" s="35"/>
      <c r="IV318" s="35"/>
      <c r="IW318" s="35"/>
      <c r="IX318" s="35"/>
      <c r="IY318" s="35"/>
      <c r="IZ318" s="35"/>
      <c r="JA318" s="35"/>
      <c r="JB318" s="35"/>
      <c r="JC318" s="35"/>
      <c r="JD318" s="35"/>
      <c r="JE318" s="35"/>
      <c r="JF318" s="35"/>
      <c r="JG318" s="35"/>
      <c r="JH318" s="35"/>
      <c r="JI318" s="35"/>
      <c r="JJ318" s="35"/>
      <c r="JK318" s="35"/>
      <c r="JL318" s="35"/>
      <c r="JM318" s="35"/>
      <c r="JN318" s="35"/>
      <c r="JO318" s="35"/>
      <c r="JP318" s="35"/>
      <c r="JQ318" s="35"/>
      <c r="JR318" s="35"/>
      <c r="JS318" s="35"/>
      <c r="JT318" s="35"/>
      <c r="JU318" s="35"/>
      <c r="JV318" s="35"/>
      <c r="JW318" s="35"/>
      <c r="JX318" s="35"/>
      <c r="JY318" s="35"/>
      <c r="JZ318" s="35"/>
      <c r="KA318" s="35"/>
      <c r="KB318" s="35"/>
      <c r="KC318" s="35"/>
      <c r="KD318" s="35"/>
      <c r="KE318" s="35"/>
      <c r="KF318" s="35"/>
      <c r="KG318" s="35"/>
      <c r="KH318" s="35"/>
      <c r="KI318" s="35"/>
      <c r="KJ318" s="35"/>
      <c r="KK318" s="35"/>
      <c r="KL318" s="35"/>
      <c r="KM318" s="35"/>
      <c r="KN318" s="35"/>
      <c r="KO318" s="35"/>
      <c r="KP318" s="1633"/>
    </row>
    <row r="319" spans="1:302" s="92" customFormat="1" ht="25.25" customHeight="1" outlineLevel="1">
      <c r="A319" s="1676" t="s">
        <v>127</v>
      </c>
      <c r="B319" s="1993" t="s">
        <v>1152</v>
      </c>
      <c r="C319" s="1362" t="s">
        <v>103</v>
      </c>
      <c r="D319" s="1362" t="s">
        <v>225</v>
      </c>
      <c r="E319" s="1389"/>
      <c r="F319" s="506"/>
      <c r="G319" s="1402"/>
      <c r="H319" s="1391"/>
      <c r="I319" s="2573">
        <v>114240</v>
      </c>
      <c r="J319" s="1672"/>
      <c r="K319" s="1697"/>
      <c r="L319" s="1697"/>
      <c r="M319" s="1701">
        <v>3570</v>
      </c>
      <c r="N319" s="1697">
        <v>32</v>
      </c>
      <c r="O319" s="1397">
        <f t="shared" ref="O319:O348" si="421">I319</f>
        <v>114240</v>
      </c>
      <c r="P319" s="1694"/>
      <c r="Q319" s="1694"/>
      <c r="R319" s="1694"/>
      <c r="S319" s="1672"/>
      <c r="T319" s="1697"/>
      <c r="U319" s="1700"/>
      <c r="V319" s="1700"/>
      <c r="W319" s="1672">
        <f t="shared" si="367"/>
        <v>114240</v>
      </c>
      <c r="X319" s="1672"/>
      <c r="Y319" s="1699"/>
      <c r="Z319" s="1700"/>
      <c r="AA319" s="1699"/>
      <c r="AB319" s="1672">
        <f t="shared" si="408"/>
        <v>64240.000000000007</v>
      </c>
      <c r="AC319" s="1444"/>
      <c r="AD319" s="1444"/>
      <c r="AE319" s="510"/>
      <c r="AF319" s="497"/>
      <c r="AG319" s="2529">
        <v>1</v>
      </c>
      <c r="AH319" s="1397">
        <f t="shared" si="351"/>
        <v>0</v>
      </c>
      <c r="AI319" s="355">
        <f t="shared" si="352"/>
        <v>0</v>
      </c>
      <c r="AJ319" s="351">
        <f t="shared" si="353"/>
        <v>0</v>
      </c>
      <c r="AK319" s="351"/>
      <c r="AL319" s="1398"/>
      <c r="AM319" s="2273"/>
      <c r="AN319" s="2273"/>
      <c r="AO319" s="497"/>
      <c r="AP319" s="497"/>
      <c r="AQ319" s="497"/>
      <c r="AR319" s="2729">
        <v>12903.225</v>
      </c>
      <c r="AS319" s="2729"/>
      <c r="AT319" s="2729">
        <v>12903.225</v>
      </c>
      <c r="AU319" s="2729"/>
      <c r="AV319" s="2729">
        <v>12903.225</v>
      </c>
      <c r="AW319" s="2729"/>
      <c r="AX319" s="2729">
        <v>12903.225</v>
      </c>
      <c r="AY319" s="2237"/>
      <c r="AZ319" s="2273"/>
      <c r="BA319" s="2507">
        <v>11014.2</v>
      </c>
      <c r="BB319" s="497"/>
      <c r="BC319" s="497">
        <v>1612.9</v>
      </c>
      <c r="BD319" s="497"/>
      <c r="BE319" s="497"/>
      <c r="BF319" s="497"/>
      <c r="BG319" s="497"/>
      <c r="BH319" s="497"/>
      <c r="BI319" s="497"/>
      <c r="BJ319" s="497"/>
      <c r="BK319" s="2137"/>
      <c r="BL319" s="2011"/>
      <c r="BM319" s="2011"/>
      <c r="BN319" s="2011"/>
      <c r="BO319" s="2011"/>
      <c r="BP319" s="2011"/>
      <c r="BQ319" s="2403"/>
      <c r="BR319" s="497"/>
      <c r="BS319" s="497"/>
      <c r="BT319" s="497"/>
      <c r="BU319" s="497"/>
      <c r="BV319" s="497"/>
      <c r="BW319" s="2060"/>
      <c r="BX319" s="2417"/>
      <c r="BY319" s="2549"/>
      <c r="BZ319" s="2549"/>
      <c r="CA319" s="2435">
        <f t="shared" si="360"/>
        <v>64240.000000000007</v>
      </c>
      <c r="CB319" s="2380">
        <f t="shared" si="361"/>
        <v>1</v>
      </c>
      <c r="CC319" s="365">
        <f t="shared" si="362"/>
        <v>1.5566625155666251E-5</v>
      </c>
      <c r="CD319" s="1380">
        <f t="shared" si="363"/>
        <v>0.43767507002801115</v>
      </c>
      <c r="CE319" s="1381">
        <f t="shared" si="364"/>
        <v>49999.999999999993</v>
      </c>
      <c r="CF319" s="1381"/>
      <c r="CG319" s="501"/>
      <c r="CH319" s="502"/>
      <c r="CI319" s="503"/>
      <c r="CJ319" s="504"/>
      <c r="CK319" s="505"/>
      <c r="CL319" s="329">
        <f t="shared" si="298"/>
        <v>49999.999999999993</v>
      </c>
      <c r="CM319" s="330">
        <f t="shared" si="299"/>
        <v>0</v>
      </c>
      <c r="CN319" s="331">
        <f t="shared" si="369"/>
        <v>-12627.100000000006</v>
      </c>
      <c r="CO319" s="86"/>
      <c r="CP319" s="86">
        <f t="shared" ref="CP319:CP360" si="422">I319-O319</f>
        <v>0</v>
      </c>
      <c r="CQ319" s="86"/>
      <c r="CR319" s="86"/>
      <c r="CS319" s="86"/>
      <c r="CT319" s="86"/>
      <c r="CU319" s="86"/>
      <c r="CV319" s="86"/>
      <c r="CW319" s="86"/>
      <c r="CX319" s="86"/>
      <c r="CY319" s="86"/>
      <c r="CZ319" s="86"/>
      <c r="DA319" s="86"/>
      <c r="DB319" s="32"/>
      <c r="DC319" s="32"/>
      <c r="DD319" s="35"/>
      <c r="DE319" s="35"/>
      <c r="DF319" s="35"/>
      <c r="DG319" s="1642"/>
      <c r="DH319" s="1642"/>
      <c r="DI319" s="1642"/>
      <c r="DJ319" s="1642"/>
      <c r="DK319" s="1642"/>
      <c r="DL319" s="1642"/>
      <c r="DM319" s="1642"/>
      <c r="DN319" s="1642"/>
      <c r="DO319" s="1642"/>
      <c r="DP319" s="1642"/>
      <c r="DQ319" s="1642"/>
      <c r="DR319" s="1642"/>
      <c r="DS319" s="1642"/>
      <c r="DT319" s="1642"/>
      <c r="DU319" s="1642"/>
      <c r="DV319" s="1642"/>
      <c r="DW319" s="1642"/>
      <c r="DX319" s="1642"/>
      <c r="DY319" s="1642"/>
      <c r="DZ319" s="1642"/>
      <c r="EA319" s="1642"/>
      <c r="EB319" s="1642"/>
      <c r="EC319" s="1642"/>
      <c r="ED319" s="1642"/>
      <c r="EE319" s="1642"/>
      <c r="EF319" s="1642"/>
      <c r="EG319" s="1642"/>
      <c r="EH319" s="35"/>
      <c r="EI319" s="1658"/>
      <c r="EJ319" s="35"/>
      <c r="EK319" s="35"/>
      <c r="EL319" s="35"/>
      <c r="EM319" s="35"/>
      <c r="EN319" s="35"/>
      <c r="EO319" s="35"/>
      <c r="EP319" s="35"/>
      <c r="EQ319" s="35"/>
      <c r="ER319" s="35"/>
      <c r="ES319" s="35"/>
      <c r="ET319" s="35"/>
      <c r="EU319" s="35"/>
      <c r="EV319" s="35"/>
      <c r="EW319" s="35"/>
      <c r="EX319" s="35"/>
      <c r="EY319" s="35"/>
      <c r="EZ319" s="35"/>
      <c r="FA319" s="35"/>
      <c r="FB319" s="35"/>
      <c r="FC319" s="35"/>
      <c r="FD319" s="35"/>
      <c r="FE319" s="35"/>
      <c r="FF319" s="35"/>
      <c r="FG319" s="35"/>
      <c r="FH319" s="35"/>
      <c r="FI319" s="35"/>
      <c r="FJ319" s="35"/>
      <c r="FK319" s="35"/>
      <c r="FL319" s="35"/>
      <c r="FM319" s="35"/>
      <c r="FN319" s="35"/>
      <c r="FO319" s="35"/>
      <c r="FP319" s="35"/>
      <c r="FQ319" s="35"/>
      <c r="FR319" s="35"/>
      <c r="FS319" s="35"/>
      <c r="FT319" s="35"/>
      <c r="FU319" s="35"/>
      <c r="FV319" s="35"/>
      <c r="FW319" s="35"/>
      <c r="FX319" s="35"/>
      <c r="FY319" s="35"/>
      <c r="FZ319" s="35"/>
      <c r="GA319" s="35"/>
      <c r="GB319" s="35"/>
      <c r="GC319" s="35"/>
      <c r="GD319" s="35"/>
      <c r="GE319" s="35"/>
      <c r="GF319" s="35"/>
      <c r="GG319" s="35"/>
      <c r="GH319" s="35"/>
      <c r="GI319" s="35"/>
      <c r="GJ319" s="35"/>
      <c r="GK319" s="35"/>
      <c r="GL319" s="35"/>
      <c r="GM319" s="35"/>
      <c r="GN319" s="35"/>
      <c r="GO319" s="35"/>
      <c r="GP319" s="35"/>
      <c r="GQ319" s="35"/>
      <c r="GR319" s="35"/>
      <c r="GS319" s="35"/>
      <c r="GT319" s="35"/>
      <c r="GU319" s="35"/>
      <c r="GV319" s="35"/>
      <c r="GW319" s="35"/>
      <c r="GX319" s="35"/>
      <c r="GY319" s="35"/>
      <c r="GZ319" s="35"/>
      <c r="HA319" s="35"/>
      <c r="HB319" s="35"/>
      <c r="HC319" s="35"/>
      <c r="HD319" s="35"/>
      <c r="HE319" s="35"/>
      <c r="HF319" s="35"/>
      <c r="HG319" s="35"/>
      <c r="HH319" s="35"/>
      <c r="HI319" s="35"/>
      <c r="HJ319" s="35"/>
      <c r="HK319" s="35"/>
      <c r="HL319" s="35"/>
      <c r="HM319" s="35"/>
      <c r="HN319" s="35"/>
      <c r="HO319" s="35"/>
      <c r="HP319" s="35"/>
      <c r="HQ319" s="35"/>
      <c r="HR319" s="35"/>
      <c r="HS319" s="35"/>
      <c r="HT319" s="35"/>
      <c r="HU319" s="35"/>
      <c r="HV319" s="35"/>
      <c r="HW319" s="35"/>
      <c r="HX319" s="35"/>
      <c r="HY319" s="35"/>
      <c r="HZ319" s="35"/>
      <c r="IA319" s="35"/>
      <c r="IB319" s="35"/>
      <c r="IC319" s="35"/>
      <c r="ID319" s="35"/>
      <c r="IE319" s="35"/>
      <c r="IF319" s="35"/>
      <c r="IG319" s="35"/>
      <c r="IH319" s="35"/>
      <c r="II319" s="35"/>
      <c r="IJ319" s="35"/>
      <c r="IK319" s="35"/>
      <c r="IL319" s="35"/>
      <c r="IM319" s="35"/>
      <c r="IN319" s="35"/>
      <c r="IO319" s="35"/>
      <c r="IP319" s="35"/>
      <c r="IQ319" s="35"/>
      <c r="IR319" s="35"/>
      <c r="IS319" s="35"/>
      <c r="IT319" s="35"/>
      <c r="IU319" s="35"/>
      <c r="IV319" s="35"/>
      <c r="IW319" s="35"/>
      <c r="IX319" s="35"/>
      <c r="IY319" s="35"/>
      <c r="IZ319" s="35"/>
      <c r="JA319" s="35"/>
      <c r="JB319" s="35"/>
      <c r="JC319" s="35"/>
      <c r="JD319" s="35"/>
      <c r="JE319" s="35"/>
      <c r="JF319" s="35"/>
      <c r="JG319" s="35"/>
      <c r="JH319" s="35"/>
      <c r="JI319" s="35"/>
      <c r="JJ319" s="35"/>
      <c r="JK319" s="35"/>
      <c r="JL319" s="35"/>
      <c r="JM319" s="35"/>
      <c r="JN319" s="35"/>
      <c r="JO319" s="35"/>
      <c r="JP319" s="35"/>
      <c r="JQ319" s="35"/>
      <c r="JR319" s="35"/>
      <c r="JS319" s="35"/>
      <c r="JT319" s="35"/>
      <c r="JU319" s="35"/>
      <c r="JV319" s="35"/>
      <c r="JW319" s="35"/>
      <c r="JX319" s="35"/>
      <c r="JY319" s="35"/>
      <c r="JZ319" s="35"/>
      <c r="KA319" s="35"/>
      <c r="KB319" s="35"/>
      <c r="KC319" s="35"/>
      <c r="KD319" s="35"/>
      <c r="KE319" s="35"/>
      <c r="KF319" s="35"/>
      <c r="KG319" s="35"/>
      <c r="KH319" s="35"/>
      <c r="KI319" s="35"/>
      <c r="KJ319" s="35"/>
      <c r="KK319" s="35"/>
      <c r="KL319" s="35"/>
      <c r="KM319" s="35"/>
      <c r="KN319" s="35"/>
      <c r="KO319" s="35"/>
      <c r="KP319" s="1633"/>
    </row>
    <row r="320" spans="1:302" s="92" customFormat="1" ht="31.25" customHeight="1" outlineLevel="1">
      <c r="A320" s="1993" t="s">
        <v>1245</v>
      </c>
      <c r="B320" s="1993"/>
      <c r="C320" s="1362" t="s">
        <v>1294</v>
      </c>
      <c r="D320" s="1362" t="s">
        <v>225</v>
      </c>
      <c r="E320" s="1389"/>
      <c r="F320" s="506"/>
      <c r="G320" s="1402"/>
      <c r="H320" s="1391"/>
      <c r="I320" s="2573">
        <v>0</v>
      </c>
      <c r="J320" s="1672"/>
      <c r="K320" s="1697"/>
      <c r="L320" s="1697"/>
      <c r="M320" s="1701"/>
      <c r="N320" s="1697"/>
      <c r="O320" s="1397">
        <f t="shared" si="421"/>
        <v>0</v>
      </c>
      <c r="P320" s="1694"/>
      <c r="Q320" s="1694"/>
      <c r="R320" s="1694"/>
      <c r="S320" s="1672"/>
      <c r="T320" s="1697"/>
      <c r="U320" s="1700"/>
      <c r="V320" s="1700"/>
      <c r="W320" s="1672">
        <f t="shared" si="367"/>
        <v>0</v>
      </c>
      <c r="X320" s="1672"/>
      <c r="Y320" s="1699"/>
      <c r="Z320" s="1700"/>
      <c r="AA320" s="1699"/>
      <c r="AB320" s="1672">
        <f t="shared" si="408"/>
        <v>50000.000322580658</v>
      </c>
      <c r="AC320" s="1444" t="s">
        <v>1246</v>
      </c>
      <c r="AD320" s="1444">
        <v>4502943626</v>
      </c>
      <c r="AE320" s="510" t="s">
        <v>1247</v>
      </c>
      <c r="AF320" s="497">
        <v>50000</v>
      </c>
      <c r="AG320" s="2529">
        <v>1</v>
      </c>
      <c r="AH320" s="1397">
        <f t="shared" ref="AH320" si="423">+AF320*AG320</f>
        <v>50000</v>
      </c>
      <c r="AI320" s="355">
        <f t="shared" ref="AI320" si="424">SUMIF($AM$10:$BZ$10,$AI$9,AM320:BZ320)</f>
        <v>537</v>
      </c>
      <c r="AJ320" s="351">
        <f t="shared" ref="AJ320" si="425">IF($AB320&lt;&gt;0,AI320/$AB320,"")</f>
        <v>1.0739999930709674E-2</v>
      </c>
      <c r="AK320" s="351"/>
      <c r="AL320" s="1398"/>
      <c r="AM320" s="2273"/>
      <c r="AN320" s="2273"/>
      <c r="AO320" s="2823">
        <v>537</v>
      </c>
      <c r="AP320" s="2823">
        <v>153</v>
      </c>
      <c r="AQ320" s="497">
        <v>1612.9032258064517</v>
      </c>
      <c r="AR320" s="497">
        <v>1612.9032258064517</v>
      </c>
      <c r="AS320" s="497">
        <v>1612.9032258064517</v>
      </c>
      <c r="AT320" s="2015">
        <v>1612.9032258064517</v>
      </c>
      <c r="AU320" s="497">
        <v>1612.9032258064517</v>
      </c>
      <c r="AV320" s="497">
        <v>1612.9032258064517</v>
      </c>
      <c r="AW320" s="497">
        <v>1612.9032258064517</v>
      </c>
      <c r="AX320" s="497">
        <v>1612.9032258064517</v>
      </c>
      <c r="AY320" s="2237">
        <v>1612.9032258064517</v>
      </c>
      <c r="AZ320" s="2273">
        <v>1612.9032258064517</v>
      </c>
      <c r="BA320" s="497">
        <v>1612.9032258064517</v>
      </c>
      <c r="BB320" s="497">
        <v>1612.9032258064517</v>
      </c>
      <c r="BC320" s="497">
        <v>1612.9032258064517</v>
      </c>
      <c r="BD320" s="497">
        <v>1612.9032258064517</v>
      </c>
      <c r="BE320" s="497">
        <v>1612.9032258064517</v>
      </c>
      <c r="BF320" s="497">
        <v>1612.9032258064517</v>
      </c>
      <c r="BG320" s="497">
        <v>1612.9032258064517</v>
      </c>
      <c r="BH320" s="497">
        <v>1612.9032258064517</v>
      </c>
      <c r="BI320" s="497">
        <v>1612.9032258064517</v>
      </c>
      <c r="BJ320" s="497">
        <v>1612.9032258064517</v>
      </c>
      <c r="BK320" s="2137">
        <v>1612.9032258064517</v>
      </c>
      <c r="BL320" s="2011">
        <v>1612.9032258064517</v>
      </c>
      <c r="BM320" s="2011">
        <v>1612.9032258064517</v>
      </c>
      <c r="BN320" s="2011">
        <v>1612.9032258064517</v>
      </c>
      <c r="BO320" s="2011">
        <v>1612.9032258064517</v>
      </c>
      <c r="BP320" s="2011">
        <v>1612.9032258064517</v>
      </c>
      <c r="BQ320" s="2403">
        <v>1612.9032258064517</v>
      </c>
      <c r="BR320" s="497">
        <v>1612.9032258064517</v>
      </c>
      <c r="BS320" s="497">
        <v>4148.71</v>
      </c>
      <c r="BT320" s="497"/>
      <c r="BU320" s="497"/>
      <c r="BV320" s="497"/>
      <c r="BW320" s="2060"/>
      <c r="BX320" s="2417"/>
      <c r="BY320" s="2549"/>
      <c r="BZ320" s="2549"/>
      <c r="CA320" s="2435">
        <f t="shared" si="360"/>
        <v>49463.00032258065</v>
      </c>
      <c r="CB320" s="2380">
        <f t="shared" si="361"/>
        <v>0.98926000006929016</v>
      </c>
      <c r="CC320" s="365">
        <f t="shared" si="362"/>
        <v>1.9785199873739346E-5</v>
      </c>
      <c r="CD320" s="1380" t="str">
        <f t="shared" si="363"/>
        <v>0,00%</v>
      </c>
      <c r="CE320" s="1381">
        <f t="shared" si="364"/>
        <v>-50000.000322580658</v>
      </c>
      <c r="CF320" s="1381"/>
      <c r="CG320" s="501"/>
      <c r="CH320" s="502"/>
      <c r="CI320" s="503"/>
      <c r="CJ320" s="504"/>
      <c r="CK320" s="505"/>
      <c r="CL320" s="329">
        <f t="shared" si="298"/>
        <v>-49463.00032258065</v>
      </c>
      <c r="CM320" s="330">
        <f t="shared" si="299"/>
        <v>0</v>
      </c>
      <c r="CN320" s="331">
        <f t="shared" si="369"/>
        <v>-34793.87129032259</v>
      </c>
      <c r="CO320" s="86"/>
      <c r="CP320" s="86"/>
      <c r="CQ320" s="86"/>
      <c r="CR320" s="86"/>
      <c r="CS320" s="86"/>
      <c r="CT320" s="86"/>
      <c r="CU320" s="86"/>
      <c r="CV320" s="86"/>
      <c r="CW320" s="86"/>
      <c r="CX320" s="86"/>
      <c r="CY320" s="86"/>
      <c r="CZ320" s="86"/>
      <c r="DA320" s="86"/>
      <c r="DB320" s="32"/>
      <c r="DC320" s="32"/>
      <c r="DD320" s="35"/>
      <c r="DE320" s="35"/>
      <c r="DF320" s="35"/>
      <c r="DG320" s="1642"/>
      <c r="DH320" s="1642"/>
      <c r="DI320" s="1642"/>
      <c r="DJ320" s="1642"/>
      <c r="DK320" s="1642"/>
      <c r="DL320" s="1642"/>
      <c r="DM320" s="1642"/>
      <c r="DN320" s="1642"/>
      <c r="DO320" s="1642"/>
      <c r="DP320" s="1642"/>
      <c r="DQ320" s="1642"/>
      <c r="DR320" s="1642"/>
      <c r="DS320" s="1642"/>
      <c r="DT320" s="1642"/>
      <c r="DU320" s="1642"/>
      <c r="DV320" s="1642"/>
      <c r="DW320" s="1642"/>
      <c r="DX320" s="1642"/>
      <c r="DY320" s="1642"/>
      <c r="DZ320" s="1642"/>
      <c r="EA320" s="1642"/>
      <c r="EB320" s="1642"/>
      <c r="EC320" s="1642"/>
      <c r="ED320" s="1642"/>
      <c r="EE320" s="1642"/>
      <c r="EF320" s="1642"/>
      <c r="EG320" s="1642"/>
      <c r="EH320" s="35"/>
      <c r="EI320" s="1658"/>
      <c r="EJ320" s="35"/>
      <c r="EK320" s="35"/>
      <c r="EL320" s="35"/>
      <c r="EM320" s="35"/>
      <c r="EN320" s="35"/>
      <c r="EO320" s="35"/>
      <c r="EP320" s="35"/>
      <c r="EQ320" s="35"/>
      <c r="ER320" s="35"/>
      <c r="ES320" s="35"/>
      <c r="ET320" s="35"/>
      <c r="EU320" s="35"/>
      <c r="EV320" s="35"/>
      <c r="EW320" s="35"/>
      <c r="EX320" s="35"/>
      <c r="EY320" s="35"/>
      <c r="EZ320" s="35"/>
      <c r="FA320" s="35"/>
      <c r="FB320" s="35"/>
      <c r="FC320" s="35"/>
      <c r="FD320" s="35"/>
      <c r="FE320" s="35"/>
      <c r="FF320" s="35"/>
      <c r="FG320" s="35"/>
      <c r="FH320" s="35"/>
      <c r="FI320" s="35"/>
      <c r="FJ320" s="35"/>
      <c r="FK320" s="35"/>
      <c r="FL320" s="35"/>
      <c r="FM320" s="35"/>
      <c r="FN320" s="35"/>
      <c r="FO320" s="35"/>
      <c r="FP320" s="35"/>
      <c r="FQ320" s="35"/>
      <c r="FR320" s="35"/>
      <c r="FS320" s="35"/>
      <c r="FT320" s="35"/>
      <c r="FU320" s="35"/>
      <c r="FV320" s="35"/>
      <c r="FW320" s="35"/>
      <c r="FX320" s="35"/>
      <c r="FY320" s="35"/>
      <c r="FZ320" s="35"/>
      <c r="GA320" s="35"/>
      <c r="GB320" s="35"/>
      <c r="GC320" s="35"/>
      <c r="GD320" s="35"/>
      <c r="GE320" s="35"/>
      <c r="GF320" s="35"/>
      <c r="GG320" s="35"/>
      <c r="GH320" s="35"/>
      <c r="GI320" s="35"/>
      <c r="GJ320" s="35"/>
      <c r="GK320" s="35"/>
      <c r="GL320" s="35"/>
      <c r="GM320" s="35"/>
      <c r="GN320" s="35"/>
      <c r="GO320" s="35"/>
      <c r="GP320" s="35"/>
      <c r="GQ320" s="35"/>
      <c r="GR320" s="35"/>
      <c r="GS320" s="35"/>
      <c r="GT320" s="35"/>
      <c r="GU320" s="35"/>
      <c r="GV320" s="35"/>
      <c r="GW320" s="35"/>
      <c r="GX320" s="35"/>
      <c r="GY320" s="35"/>
      <c r="GZ320" s="35"/>
      <c r="HA320" s="35"/>
      <c r="HB320" s="35"/>
      <c r="HC320" s="35"/>
      <c r="HD320" s="35"/>
      <c r="HE320" s="35"/>
      <c r="HF320" s="35"/>
      <c r="HG320" s="35"/>
      <c r="HH320" s="35"/>
      <c r="HI320" s="35"/>
      <c r="HJ320" s="35"/>
      <c r="HK320" s="35"/>
      <c r="HL320" s="35"/>
      <c r="HM320" s="35"/>
      <c r="HN320" s="35"/>
      <c r="HO320" s="35"/>
      <c r="HP320" s="35"/>
      <c r="HQ320" s="35"/>
      <c r="HR320" s="35"/>
      <c r="HS320" s="35"/>
      <c r="HT320" s="35"/>
      <c r="HU320" s="35"/>
      <c r="HV320" s="35"/>
      <c r="HW320" s="35"/>
      <c r="HX320" s="35"/>
      <c r="HY320" s="35"/>
      <c r="HZ320" s="35"/>
      <c r="IA320" s="35"/>
      <c r="IB320" s="35"/>
      <c r="IC320" s="35"/>
      <c r="ID320" s="35"/>
      <c r="IE320" s="35"/>
      <c r="IF320" s="35"/>
      <c r="IG320" s="35"/>
      <c r="IH320" s="35"/>
      <c r="II320" s="35"/>
      <c r="IJ320" s="35"/>
      <c r="IK320" s="35"/>
      <c r="IL320" s="35"/>
      <c r="IM320" s="35"/>
      <c r="IN320" s="35"/>
      <c r="IO320" s="35"/>
      <c r="IP320" s="35"/>
      <c r="IQ320" s="35"/>
      <c r="IR320" s="35"/>
      <c r="IS320" s="35"/>
      <c r="IT320" s="35"/>
      <c r="IU320" s="35"/>
      <c r="IV320" s="35"/>
      <c r="IW320" s="35"/>
      <c r="IX320" s="35"/>
      <c r="IY320" s="35"/>
      <c r="IZ320" s="35"/>
      <c r="JA320" s="35"/>
      <c r="JB320" s="35"/>
      <c r="JC320" s="35"/>
      <c r="JD320" s="35"/>
      <c r="JE320" s="35"/>
      <c r="JF320" s="35"/>
      <c r="JG320" s="35"/>
      <c r="JH320" s="35"/>
      <c r="JI320" s="35"/>
      <c r="JJ320" s="35"/>
      <c r="JK320" s="35"/>
      <c r="JL320" s="35"/>
      <c r="JM320" s="35"/>
      <c r="JN320" s="35"/>
      <c r="JO320" s="35"/>
      <c r="JP320" s="35"/>
      <c r="JQ320" s="35"/>
      <c r="JR320" s="35"/>
      <c r="JS320" s="35"/>
      <c r="JT320" s="35"/>
      <c r="JU320" s="35"/>
      <c r="JV320" s="35"/>
      <c r="JW320" s="35"/>
      <c r="JX320" s="35"/>
      <c r="JY320" s="35"/>
      <c r="JZ320" s="35"/>
      <c r="KA320" s="35"/>
      <c r="KB320" s="35"/>
      <c r="KC320" s="35"/>
      <c r="KD320" s="35"/>
      <c r="KE320" s="35"/>
      <c r="KF320" s="35"/>
      <c r="KG320" s="35"/>
      <c r="KH320" s="35"/>
      <c r="KI320" s="35"/>
      <c r="KJ320" s="35"/>
      <c r="KK320" s="35"/>
      <c r="KL320" s="35"/>
      <c r="KM320" s="35"/>
      <c r="KN320" s="35"/>
      <c r="KO320" s="35"/>
      <c r="KP320" s="1633"/>
    </row>
    <row r="321" spans="1:302" s="92" customFormat="1" ht="25.25" customHeight="1" outlineLevel="1">
      <c r="A321" s="1676" t="s">
        <v>123</v>
      </c>
      <c r="B321" s="1993" t="s">
        <v>1149</v>
      </c>
      <c r="C321" s="1362" t="s">
        <v>104</v>
      </c>
      <c r="D321" s="1362" t="s">
        <v>226</v>
      </c>
      <c r="E321" s="1389"/>
      <c r="F321" s="506"/>
      <c r="G321" s="1402"/>
      <c r="H321" s="1391"/>
      <c r="I321" s="2573">
        <v>219130</v>
      </c>
      <c r="J321" s="1672"/>
      <c r="K321" s="1697"/>
      <c r="L321" s="1697"/>
      <c r="M321" s="1701">
        <v>219130</v>
      </c>
      <c r="N321" s="1697">
        <v>1</v>
      </c>
      <c r="O321" s="1397">
        <f t="shared" si="421"/>
        <v>219130</v>
      </c>
      <c r="P321" s="1671"/>
      <c r="Q321" s="1671"/>
      <c r="R321" s="1671"/>
      <c r="S321" s="1672"/>
      <c r="T321" s="1699"/>
      <c r="U321" s="1700"/>
      <c r="V321" s="1700"/>
      <c r="W321" s="1672">
        <f t="shared" si="367"/>
        <v>219130</v>
      </c>
      <c r="X321" s="1672"/>
      <c r="Y321" s="1699"/>
      <c r="Z321" s="1700"/>
      <c r="AA321" s="1699"/>
      <c r="AB321" s="2727">
        <f t="shared" ref="AB321:AB348" si="426">SUM(AM321:BZ321)</f>
        <v>169130</v>
      </c>
      <c r="AC321" s="1444"/>
      <c r="AD321" s="1444"/>
      <c r="AE321" s="510"/>
      <c r="AF321" s="497"/>
      <c r="AG321" s="2529">
        <v>1</v>
      </c>
      <c r="AH321" s="1397">
        <f t="shared" si="351"/>
        <v>0</v>
      </c>
      <c r="AI321" s="355">
        <f t="shared" si="352"/>
        <v>0</v>
      </c>
      <c r="AJ321" s="351">
        <f t="shared" si="353"/>
        <v>0</v>
      </c>
      <c r="AK321" s="351"/>
      <c r="AL321" s="1398"/>
      <c r="AM321" s="2273"/>
      <c r="AN321" s="2273"/>
      <c r="AO321" s="497"/>
      <c r="AP321" s="1922"/>
      <c r="AQ321" s="1922"/>
      <c r="AR321" s="497"/>
      <c r="AS321" s="1922"/>
      <c r="AT321" s="2017"/>
      <c r="AU321" s="1922"/>
      <c r="AV321" s="1922"/>
      <c r="AW321" s="1922"/>
      <c r="AX321" s="497"/>
      <c r="AY321" s="2324"/>
      <c r="AZ321" s="2258"/>
      <c r="BA321" s="359"/>
      <c r="BB321" s="497"/>
      <c r="BC321" s="497"/>
      <c r="BD321" s="497"/>
      <c r="BE321" s="497"/>
      <c r="BF321" s="497"/>
      <c r="BG321" s="497"/>
      <c r="BH321" s="497"/>
      <c r="BI321" s="1706"/>
      <c r="BJ321" s="1706"/>
      <c r="BK321" s="2138"/>
      <c r="BL321" s="2114"/>
      <c r="BM321" s="2114"/>
      <c r="BN321" s="2114"/>
      <c r="BO321" s="2114"/>
      <c r="BP321" s="2114"/>
      <c r="BQ321" s="2487"/>
      <c r="BR321" s="1706"/>
      <c r="BS321" s="2572"/>
      <c r="BT321" s="1706"/>
      <c r="BU321" s="1706"/>
      <c r="BV321" s="1706"/>
      <c r="BW321" s="2469">
        <v>169130</v>
      </c>
      <c r="BX321" s="2469"/>
      <c r="BY321" s="2553"/>
      <c r="BZ321" s="2553"/>
      <c r="CA321" s="2435">
        <f t="shared" si="360"/>
        <v>169130</v>
      </c>
      <c r="CB321" s="2380">
        <f t="shared" si="361"/>
        <v>1</v>
      </c>
      <c r="CC321" s="365">
        <f t="shared" si="362"/>
        <v>5.91261160054396E-6</v>
      </c>
      <c r="CD321" s="1380">
        <f t="shared" si="363"/>
        <v>0.2281750559028887</v>
      </c>
      <c r="CE321" s="1381">
        <f t="shared" si="364"/>
        <v>50000</v>
      </c>
      <c r="CF321" s="1381"/>
      <c r="CG321" s="501"/>
      <c r="CH321" s="502"/>
      <c r="CI321" s="503"/>
      <c r="CJ321" s="504"/>
      <c r="CK321" s="505"/>
      <c r="CL321" s="329">
        <f t="shared" si="298"/>
        <v>50000</v>
      </c>
      <c r="CM321" s="330">
        <f t="shared" si="299"/>
        <v>0</v>
      </c>
      <c r="CN321" s="331">
        <f t="shared" si="369"/>
        <v>-169130</v>
      </c>
      <c r="CO321" s="86"/>
      <c r="CP321" s="86">
        <f t="shared" si="422"/>
        <v>0</v>
      </c>
      <c r="CQ321" s="86"/>
      <c r="CR321" s="86"/>
      <c r="CS321" s="86"/>
      <c r="CT321" s="86"/>
      <c r="CU321" s="86"/>
      <c r="CV321" s="86"/>
      <c r="CW321" s="86"/>
      <c r="CX321" s="86"/>
      <c r="CY321" s="86"/>
      <c r="CZ321" s="86"/>
      <c r="DA321" s="86"/>
      <c r="DB321" s="32"/>
      <c r="DC321" s="32"/>
      <c r="DD321" s="35"/>
      <c r="DE321" s="35"/>
      <c r="DF321" s="35"/>
      <c r="DG321" s="1642"/>
      <c r="DH321" s="1642"/>
      <c r="DI321" s="1642"/>
      <c r="DJ321" s="1642"/>
      <c r="DK321" s="1642"/>
      <c r="DL321" s="1642"/>
      <c r="DM321" s="1642"/>
      <c r="DN321" s="1642"/>
      <c r="DO321" s="1642"/>
      <c r="DP321" s="1642"/>
      <c r="DQ321" s="1642"/>
      <c r="DR321" s="1642"/>
      <c r="DS321" s="1642"/>
      <c r="DT321" s="1642"/>
      <c r="DU321" s="1642"/>
      <c r="DV321" s="1642"/>
      <c r="DW321" s="1642"/>
      <c r="DX321" s="1642"/>
      <c r="DY321" s="1642"/>
      <c r="DZ321" s="1642"/>
      <c r="EA321" s="1642"/>
      <c r="EB321" s="1642"/>
      <c r="EC321" s="1642"/>
      <c r="ED321" s="1642"/>
      <c r="EE321" s="1642"/>
      <c r="EF321" s="1642"/>
      <c r="EG321" s="1642"/>
      <c r="EH321" s="35"/>
      <c r="EI321" s="1658"/>
      <c r="EJ321" s="35"/>
      <c r="EK321" s="35"/>
      <c r="EL321" s="35"/>
      <c r="EM321" s="35"/>
      <c r="EN321" s="35"/>
      <c r="EO321" s="35"/>
      <c r="EP321" s="35"/>
      <c r="EQ321" s="35"/>
      <c r="ER321" s="35"/>
      <c r="ES321" s="35"/>
      <c r="ET321" s="35"/>
      <c r="EU321" s="35"/>
      <c r="EV321" s="35"/>
      <c r="EW321" s="35"/>
      <c r="EX321" s="35"/>
      <c r="EY321" s="35"/>
      <c r="EZ321" s="35"/>
      <c r="FA321" s="35"/>
      <c r="FB321" s="35"/>
      <c r="FC321" s="35"/>
      <c r="FD321" s="35"/>
      <c r="FE321" s="35"/>
      <c r="FF321" s="35"/>
      <c r="FG321" s="35"/>
      <c r="FH321" s="35"/>
      <c r="FI321" s="35"/>
      <c r="FJ321" s="35"/>
      <c r="FK321" s="35"/>
      <c r="FL321" s="35"/>
      <c r="FM321" s="35"/>
      <c r="FN321" s="35"/>
      <c r="FO321" s="35"/>
      <c r="FP321" s="35"/>
      <c r="FQ321" s="35"/>
      <c r="FR321" s="35"/>
      <c r="FS321" s="35"/>
      <c r="FT321" s="35"/>
      <c r="FU321" s="35"/>
      <c r="FV321" s="35"/>
      <c r="FW321" s="35"/>
      <c r="FX321" s="35"/>
      <c r="FY321" s="35"/>
      <c r="FZ321" s="35"/>
      <c r="GA321" s="35"/>
      <c r="GB321" s="35"/>
      <c r="GC321" s="35"/>
      <c r="GD321" s="35"/>
      <c r="GE321" s="35"/>
      <c r="GF321" s="35"/>
      <c r="GG321" s="35"/>
      <c r="GH321" s="35"/>
      <c r="GI321" s="35"/>
      <c r="GJ321" s="35"/>
      <c r="GK321" s="35"/>
      <c r="GL321" s="35"/>
      <c r="GM321" s="35"/>
      <c r="GN321" s="35"/>
      <c r="GO321" s="35"/>
      <c r="GP321" s="35"/>
      <c r="GQ321" s="35"/>
      <c r="GR321" s="35"/>
      <c r="GS321" s="35"/>
      <c r="GT321" s="35"/>
      <c r="GU321" s="35"/>
      <c r="GV321" s="35"/>
      <c r="GW321" s="35"/>
      <c r="GX321" s="35"/>
      <c r="GY321" s="35"/>
      <c r="GZ321" s="35"/>
      <c r="HA321" s="35"/>
      <c r="HB321" s="35"/>
      <c r="HC321" s="35"/>
      <c r="HD321" s="35"/>
      <c r="HE321" s="35"/>
      <c r="HF321" s="35"/>
      <c r="HG321" s="35"/>
      <c r="HH321" s="35"/>
      <c r="HI321" s="35"/>
      <c r="HJ321" s="35"/>
      <c r="HK321" s="35"/>
      <c r="HL321" s="35"/>
      <c r="HM321" s="35"/>
      <c r="HN321" s="35"/>
      <c r="HO321" s="35"/>
      <c r="HP321" s="35"/>
      <c r="HQ321" s="35"/>
      <c r="HR321" s="35"/>
      <c r="HS321" s="35"/>
      <c r="HT321" s="35"/>
      <c r="HU321" s="35"/>
      <c r="HV321" s="35"/>
      <c r="HW321" s="35"/>
      <c r="HX321" s="35"/>
      <c r="HY321" s="35"/>
      <c r="HZ321" s="35"/>
      <c r="IA321" s="35"/>
      <c r="IB321" s="35"/>
      <c r="IC321" s="35"/>
      <c r="ID321" s="35"/>
      <c r="IE321" s="35"/>
      <c r="IF321" s="35"/>
      <c r="IG321" s="35"/>
      <c r="IH321" s="35"/>
      <c r="II321" s="35"/>
      <c r="IJ321" s="35"/>
      <c r="IK321" s="35"/>
      <c r="IL321" s="35"/>
      <c r="IM321" s="35"/>
      <c r="IN321" s="35"/>
      <c r="IO321" s="35"/>
      <c r="IP321" s="35"/>
      <c r="IQ321" s="35"/>
      <c r="IR321" s="35"/>
      <c r="IS321" s="35"/>
      <c r="IT321" s="35"/>
      <c r="IU321" s="35"/>
      <c r="IV321" s="35"/>
      <c r="IW321" s="35"/>
      <c r="IX321" s="35"/>
      <c r="IY321" s="35"/>
      <c r="IZ321" s="35"/>
      <c r="JA321" s="35"/>
      <c r="JB321" s="35"/>
      <c r="JC321" s="35"/>
      <c r="JD321" s="35"/>
      <c r="JE321" s="35"/>
      <c r="JF321" s="35"/>
      <c r="JG321" s="35"/>
      <c r="JH321" s="35"/>
      <c r="JI321" s="35"/>
      <c r="JJ321" s="35"/>
      <c r="JK321" s="35"/>
      <c r="JL321" s="35"/>
      <c r="JM321" s="35"/>
      <c r="JN321" s="35"/>
      <c r="JO321" s="35"/>
      <c r="JP321" s="35"/>
      <c r="JQ321" s="35"/>
      <c r="JR321" s="35"/>
      <c r="JS321" s="35"/>
      <c r="JT321" s="35"/>
      <c r="JU321" s="35"/>
      <c r="JV321" s="35"/>
      <c r="JW321" s="35"/>
      <c r="JX321" s="35"/>
      <c r="JY321" s="35"/>
      <c r="JZ321" s="35"/>
      <c r="KA321" s="35"/>
      <c r="KB321" s="35"/>
      <c r="KC321" s="35"/>
      <c r="KD321" s="35"/>
      <c r="KE321" s="35"/>
      <c r="KF321" s="35"/>
      <c r="KG321" s="35"/>
      <c r="KH321" s="35"/>
      <c r="KI321" s="35"/>
      <c r="KJ321" s="35"/>
      <c r="KK321" s="35"/>
      <c r="KL321" s="35"/>
      <c r="KM321" s="35"/>
      <c r="KN321" s="35"/>
      <c r="KO321" s="35"/>
      <c r="KP321" s="1633"/>
    </row>
    <row r="322" spans="1:302" s="92" customFormat="1" ht="25.25" customHeight="1" outlineLevel="1">
      <c r="A322" s="1676" t="s">
        <v>1278</v>
      </c>
      <c r="B322" s="1993"/>
      <c r="C322" s="1362" t="s">
        <v>1293</v>
      </c>
      <c r="D322" s="1362" t="s">
        <v>226</v>
      </c>
      <c r="E322" s="1389"/>
      <c r="F322" s="506"/>
      <c r="G322" s="1402"/>
      <c r="H322" s="1391"/>
      <c r="I322" s="2573">
        <v>0</v>
      </c>
      <c r="J322" s="1672"/>
      <c r="K322" s="1697"/>
      <c r="L322" s="1697"/>
      <c r="M322" s="1701"/>
      <c r="N322" s="1697"/>
      <c r="O322" s="1397">
        <f t="shared" ref="O322" si="427">I322</f>
        <v>0</v>
      </c>
      <c r="P322" s="1671"/>
      <c r="Q322" s="1671"/>
      <c r="R322" s="1671"/>
      <c r="S322" s="1672"/>
      <c r="T322" s="1699"/>
      <c r="U322" s="1700"/>
      <c r="V322" s="1700"/>
      <c r="W322" s="1672">
        <f t="shared" si="367"/>
        <v>0</v>
      </c>
      <c r="X322" s="1672"/>
      <c r="Y322" s="1699"/>
      <c r="Z322" s="1700"/>
      <c r="AA322" s="1699"/>
      <c r="AB322" s="1672">
        <f t="shared" si="426"/>
        <v>50000</v>
      </c>
      <c r="AC322" s="1444" t="s">
        <v>1279</v>
      </c>
      <c r="AD322" s="1467"/>
      <c r="AE322" s="510" t="s">
        <v>564</v>
      </c>
      <c r="AF322" s="497">
        <v>50000</v>
      </c>
      <c r="AG322" s="2529">
        <v>1</v>
      </c>
      <c r="AH322" s="1397">
        <f t="shared" ref="AH322" si="428">+AF322*AG322</f>
        <v>50000</v>
      </c>
      <c r="AI322" s="355">
        <f t="shared" ref="AI322" si="429">SUMIF($AM$10:$BZ$10,$AI$9,AM322:BZ322)</f>
        <v>0</v>
      </c>
      <c r="AJ322" s="351">
        <f t="shared" ref="AJ322" si="430">IF($AB322&lt;&gt;0,AI322/$AB322,"")</f>
        <v>0</v>
      </c>
      <c r="AK322" s="351"/>
      <c r="AL322" s="1398"/>
      <c r="AM322" s="2273"/>
      <c r="AN322" s="2273"/>
      <c r="AO322" s="497"/>
      <c r="AP322" s="2828">
        <v>25643.919999999998</v>
      </c>
      <c r="AQ322" s="1922">
        <v>24356.080000000002</v>
      </c>
      <c r="AR322" s="497"/>
      <c r="AS322" s="1922"/>
      <c r="AT322" s="2017"/>
      <c r="AU322" s="1922"/>
      <c r="AV322" s="1922"/>
      <c r="AW322" s="1922"/>
      <c r="AX322" s="497"/>
      <c r="AY322" s="2324"/>
      <c r="AZ322" s="2258"/>
      <c r="BA322" s="359"/>
      <c r="BB322" s="497"/>
      <c r="BC322" s="497"/>
      <c r="BD322" s="497"/>
      <c r="BE322" s="497"/>
      <c r="BF322" s="497"/>
      <c r="BG322" s="497"/>
      <c r="BH322" s="497"/>
      <c r="BI322" s="1706"/>
      <c r="BJ322" s="1706"/>
      <c r="BK322" s="2138"/>
      <c r="BL322" s="2114"/>
      <c r="BM322" s="2114"/>
      <c r="BN322" s="2114"/>
      <c r="BO322" s="2114"/>
      <c r="BP322" s="2114"/>
      <c r="BQ322" s="2487"/>
      <c r="BR322" s="1706"/>
      <c r="BS322" s="2572"/>
      <c r="BT322" s="1706"/>
      <c r="BU322" s="1706"/>
      <c r="BV322" s="1706"/>
      <c r="BW322" s="2469"/>
      <c r="BX322" s="2469"/>
      <c r="BY322" s="2553"/>
      <c r="BZ322" s="2553"/>
      <c r="CA322" s="2435">
        <f t="shared" si="360"/>
        <v>50000</v>
      </c>
      <c r="CB322" s="2380">
        <f t="shared" si="361"/>
        <v>1</v>
      </c>
      <c r="CC322" s="365">
        <f t="shared" si="362"/>
        <v>2.0000000000000002E-5</v>
      </c>
      <c r="CD322" s="1380" t="str">
        <f t="shared" si="363"/>
        <v>0,00%</v>
      </c>
      <c r="CE322" s="1381">
        <f t="shared" si="364"/>
        <v>-50000</v>
      </c>
      <c r="CF322" s="1381"/>
      <c r="CG322" s="501"/>
      <c r="CH322" s="502"/>
      <c r="CI322" s="503"/>
      <c r="CJ322" s="504"/>
      <c r="CK322" s="505"/>
      <c r="CL322" s="329">
        <f t="shared" si="298"/>
        <v>-50000</v>
      </c>
      <c r="CM322" s="330">
        <f t="shared" si="299"/>
        <v>0</v>
      </c>
      <c r="CN322" s="331"/>
      <c r="CO322" s="86"/>
      <c r="CP322" s="86"/>
      <c r="CQ322" s="86"/>
      <c r="CR322" s="86"/>
      <c r="CS322" s="86"/>
      <c r="CT322" s="86"/>
      <c r="CU322" s="86"/>
      <c r="CV322" s="86"/>
      <c r="CW322" s="86"/>
      <c r="CX322" s="86"/>
      <c r="CY322" s="86"/>
      <c r="CZ322" s="86"/>
      <c r="DA322" s="86"/>
      <c r="DB322" s="32"/>
      <c r="DC322" s="32"/>
      <c r="DD322" s="35"/>
      <c r="DE322" s="35"/>
      <c r="DF322" s="35"/>
      <c r="DG322" s="1642"/>
      <c r="DH322" s="1642"/>
      <c r="DI322" s="1642"/>
      <c r="DJ322" s="1642"/>
      <c r="DK322" s="1642"/>
      <c r="DL322" s="1642"/>
      <c r="DM322" s="1642"/>
      <c r="DN322" s="1642"/>
      <c r="DO322" s="1642"/>
      <c r="DP322" s="1642"/>
      <c r="DQ322" s="1642"/>
      <c r="DR322" s="1642"/>
      <c r="DS322" s="1642"/>
      <c r="DT322" s="1642"/>
      <c r="DU322" s="1642"/>
      <c r="DV322" s="1642"/>
      <c r="DW322" s="1642"/>
      <c r="DX322" s="1642"/>
      <c r="DY322" s="1642"/>
      <c r="DZ322" s="1642"/>
      <c r="EA322" s="1642"/>
      <c r="EB322" s="1642"/>
      <c r="EC322" s="1642"/>
      <c r="ED322" s="1642"/>
      <c r="EE322" s="1642"/>
      <c r="EF322" s="1642"/>
      <c r="EG322" s="1642"/>
      <c r="EH322" s="35"/>
      <c r="EI322" s="1658"/>
      <c r="EJ322" s="35"/>
      <c r="EK322" s="35"/>
      <c r="EL322" s="35"/>
      <c r="EM322" s="35"/>
      <c r="EN322" s="35"/>
      <c r="EO322" s="35"/>
      <c r="EP322" s="35"/>
      <c r="EQ322" s="35"/>
      <c r="ER322" s="35"/>
      <c r="ES322" s="35"/>
      <c r="ET322" s="35"/>
      <c r="EU322" s="35"/>
      <c r="EV322" s="35"/>
      <c r="EW322" s="35"/>
      <c r="EX322" s="35"/>
      <c r="EY322" s="35"/>
      <c r="EZ322" s="35"/>
      <c r="FA322" s="35"/>
      <c r="FB322" s="35"/>
      <c r="FC322" s="35"/>
      <c r="FD322" s="35"/>
      <c r="FE322" s="35"/>
      <c r="FF322" s="35"/>
      <c r="FG322" s="35"/>
      <c r="FH322" s="35"/>
      <c r="FI322" s="35"/>
      <c r="FJ322" s="35"/>
      <c r="FK322" s="35"/>
      <c r="FL322" s="35"/>
      <c r="FM322" s="35"/>
      <c r="FN322" s="35"/>
      <c r="FO322" s="35"/>
      <c r="FP322" s="35"/>
      <c r="FQ322" s="35"/>
      <c r="FR322" s="35"/>
      <c r="FS322" s="35"/>
      <c r="FT322" s="35"/>
      <c r="FU322" s="35"/>
      <c r="FV322" s="35"/>
      <c r="FW322" s="35"/>
      <c r="FX322" s="35"/>
      <c r="FY322" s="35"/>
      <c r="FZ322" s="35"/>
      <c r="GA322" s="35"/>
      <c r="GB322" s="35"/>
      <c r="GC322" s="35"/>
      <c r="GD322" s="35"/>
      <c r="GE322" s="35"/>
      <c r="GF322" s="35"/>
      <c r="GG322" s="35"/>
      <c r="GH322" s="35"/>
      <c r="GI322" s="35"/>
      <c r="GJ322" s="35"/>
      <c r="GK322" s="35"/>
      <c r="GL322" s="35"/>
      <c r="GM322" s="35"/>
      <c r="GN322" s="35"/>
      <c r="GO322" s="35"/>
      <c r="GP322" s="35"/>
      <c r="GQ322" s="35"/>
      <c r="GR322" s="35"/>
      <c r="GS322" s="35"/>
      <c r="GT322" s="35"/>
      <c r="GU322" s="35"/>
      <c r="GV322" s="35"/>
      <c r="GW322" s="35"/>
      <c r="GX322" s="35"/>
      <c r="GY322" s="35"/>
      <c r="GZ322" s="35"/>
      <c r="HA322" s="35"/>
      <c r="HB322" s="35"/>
      <c r="HC322" s="35"/>
      <c r="HD322" s="35"/>
      <c r="HE322" s="35"/>
      <c r="HF322" s="35"/>
      <c r="HG322" s="35"/>
      <c r="HH322" s="35"/>
      <c r="HI322" s="35"/>
      <c r="HJ322" s="35"/>
      <c r="HK322" s="35"/>
      <c r="HL322" s="35"/>
      <c r="HM322" s="35"/>
      <c r="HN322" s="35"/>
      <c r="HO322" s="35"/>
      <c r="HP322" s="35"/>
      <c r="HQ322" s="35"/>
      <c r="HR322" s="35"/>
      <c r="HS322" s="35"/>
      <c r="HT322" s="35"/>
      <c r="HU322" s="35"/>
      <c r="HV322" s="35"/>
      <c r="HW322" s="35"/>
      <c r="HX322" s="35"/>
      <c r="HY322" s="35"/>
      <c r="HZ322" s="35"/>
      <c r="IA322" s="35"/>
      <c r="IB322" s="35"/>
      <c r="IC322" s="35"/>
      <c r="ID322" s="35"/>
      <c r="IE322" s="35"/>
      <c r="IF322" s="35"/>
      <c r="IG322" s="35"/>
      <c r="IH322" s="35"/>
      <c r="II322" s="35"/>
      <c r="IJ322" s="35"/>
      <c r="IK322" s="35"/>
      <c r="IL322" s="35"/>
      <c r="IM322" s="35"/>
      <c r="IN322" s="35"/>
      <c r="IO322" s="35"/>
      <c r="IP322" s="35"/>
      <c r="IQ322" s="35"/>
      <c r="IR322" s="35"/>
      <c r="IS322" s="35"/>
      <c r="IT322" s="35"/>
      <c r="IU322" s="35"/>
      <c r="IV322" s="35"/>
      <c r="IW322" s="35"/>
      <c r="IX322" s="35"/>
      <c r="IY322" s="35"/>
      <c r="IZ322" s="35"/>
      <c r="JA322" s="35"/>
      <c r="JB322" s="35"/>
      <c r="JC322" s="35"/>
      <c r="JD322" s="35"/>
      <c r="JE322" s="35"/>
      <c r="JF322" s="35"/>
      <c r="JG322" s="35"/>
      <c r="JH322" s="35"/>
      <c r="JI322" s="35"/>
      <c r="JJ322" s="35"/>
      <c r="JK322" s="35"/>
      <c r="JL322" s="35"/>
      <c r="JM322" s="35"/>
      <c r="JN322" s="35"/>
      <c r="JO322" s="35"/>
      <c r="JP322" s="35"/>
      <c r="JQ322" s="35"/>
      <c r="JR322" s="35"/>
      <c r="JS322" s="35"/>
      <c r="JT322" s="35"/>
      <c r="JU322" s="35"/>
      <c r="JV322" s="35"/>
      <c r="JW322" s="35"/>
      <c r="JX322" s="35"/>
      <c r="JY322" s="35"/>
      <c r="JZ322" s="35"/>
      <c r="KA322" s="35"/>
      <c r="KB322" s="35"/>
      <c r="KC322" s="35"/>
      <c r="KD322" s="35"/>
      <c r="KE322" s="35"/>
      <c r="KF322" s="35"/>
      <c r="KG322" s="35"/>
      <c r="KH322" s="35"/>
      <c r="KI322" s="35"/>
      <c r="KJ322" s="35"/>
      <c r="KK322" s="35"/>
      <c r="KL322" s="35"/>
      <c r="KM322" s="35"/>
      <c r="KN322" s="35"/>
      <c r="KO322" s="35"/>
      <c r="KP322" s="1633"/>
    </row>
    <row r="323" spans="1:302" s="92" customFormat="1" ht="25.25" customHeight="1" outlineLevel="1">
      <c r="A323" s="1676" t="s">
        <v>128</v>
      </c>
      <c r="B323" s="1993" t="s">
        <v>1150</v>
      </c>
      <c r="C323" s="1362" t="s">
        <v>105</v>
      </c>
      <c r="D323" s="1362" t="s">
        <v>284</v>
      </c>
      <c r="E323" s="1389"/>
      <c r="F323" s="506"/>
      <c r="G323" s="1402"/>
      <c r="H323" s="1391"/>
      <c r="I323" s="2573">
        <v>108800</v>
      </c>
      <c r="J323" s="1672"/>
      <c r="K323" s="1697"/>
      <c r="L323" s="1697"/>
      <c r="M323" s="1701">
        <v>3400</v>
      </c>
      <c r="N323" s="1697">
        <v>32</v>
      </c>
      <c r="O323" s="1397">
        <f t="shared" si="421"/>
        <v>108800</v>
      </c>
      <c r="P323" s="1671"/>
      <c r="Q323" s="1671"/>
      <c r="R323" s="1671"/>
      <c r="S323" s="1672"/>
      <c r="T323" s="1699"/>
      <c r="U323" s="1700"/>
      <c r="V323" s="1700"/>
      <c r="W323" s="1672">
        <f t="shared" si="367"/>
        <v>108800</v>
      </c>
      <c r="X323" s="1672"/>
      <c r="Y323" s="1699"/>
      <c r="Z323" s="1700"/>
      <c r="AA323" s="1699"/>
      <c r="AB323" s="1672">
        <f t="shared" si="426"/>
        <v>108800</v>
      </c>
      <c r="AC323" s="1444"/>
      <c r="AD323" s="1467"/>
      <c r="AE323" s="510"/>
      <c r="AF323" s="497"/>
      <c r="AG323" s="2529">
        <v>1</v>
      </c>
      <c r="AH323" s="1397">
        <f t="shared" si="351"/>
        <v>0</v>
      </c>
      <c r="AI323" s="355">
        <f t="shared" si="352"/>
        <v>0</v>
      </c>
      <c r="AJ323" s="351">
        <f t="shared" si="353"/>
        <v>0</v>
      </c>
      <c r="AK323" s="351"/>
      <c r="AL323" s="1398"/>
      <c r="AM323" s="2273"/>
      <c r="AN323" s="2273"/>
      <c r="AO323" s="497"/>
      <c r="AP323" s="497"/>
      <c r="AQ323" s="497">
        <v>3400</v>
      </c>
      <c r="AR323" s="497">
        <v>3400</v>
      </c>
      <c r="AS323" s="497">
        <v>3400</v>
      </c>
      <c r="AT323" s="2017">
        <v>3400</v>
      </c>
      <c r="AU323" s="497">
        <v>3400</v>
      </c>
      <c r="AV323" s="497">
        <v>3400</v>
      </c>
      <c r="AW323" s="497">
        <v>3400</v>
      </c>
      <c r="AX323" s="497">
        <v>3400</v>
      </c>
      <c r="AY323" s="2060">
        <v>3400</v>
      </c>
      <c r="AZ323" s="2273">
        <v>3400</v>
      </c>
      <c r="BA323" s="497">
        <v>3400</v>
      </c>
      <c r="BB323" s="497">
        <v>3400</v>
      </c>
      <c r="BC323" s="497">
        <v>3400</v>
      </c>
      <c r="BD323" s="497">
        <v>3400</v>
      </c>
      <c r="BE323" s="497">
        <v>3400</v>
      </c>
      <c r="BF323" s="497">
        <v>3400</v>
      </c>
      <c r="BG323" s="497">
        <v>3400</v>
      </c>
      <c r="BH323" s="497">
        <v>3400</v>
      </c>
      <c r="BI323" s="497">
        <v>3400</v>
      </c>
      <c r="BJ323" s="497">
        <v>6800</v>
      </c>
      <c r="BK323" s="2137">
        <v>3400</v>
      </c>
      <c r="BL323" s="2011">
        <v>3400</v>
      </c>
      <c r="BM323" s="2011">
        <v>3400</v>
      </c>
      <c r="BN323" s="2011">
        <v>3400</v>
      </c>
      <c r="BO323" s="2011">
        <v>3400</v>
      </c>
      <c r="BP323" s="2011">
        <v>3400</v>
      </c>
      <c r="BQ323" s="2403">
        <v>3400</v>
      </c>
      <c r="BR323" s="497">
        <v>3400</v>
      </c>
      <c r="BS323" s="497">
        <v>6800</v>
      </c>
      <c r="BT323" s="497">
        <v>3400</v>
      </c>
      <c r="BU323" s="497"/>
      <c r="BV323" s="497"/>
      <c r="BW323" s="2417"/>
      <c r="BX323" s="2417"/>
      <c r="BY323" s="2549"/>
      <c r="BZ323" s="2549"/>
      <c r="CA323" s="2435">
        <f t="shared" si="360"/>
        <v>108800</v>
      </c>
      <c r="CB323" s="2380">
        <f t="shared" si="361"/>
        <v>1</v>
      </c>
      <c r="CC323" s="365">
        <f t="shared" si="362"/>
        <v>9.1911764705882345E-6</v>
      </c>
      <c r="CD323" s="1380">
        <f t="shared" si="363"/>
        <v>0</v>
      </c>
      <c r="CE323" s="1381">
        <f t="shared" si="364"/>
        <v>0</v>
      </c>
      <c r="CF323" s="1381"/>
      <c r="CG323" s="501"/>
      <c r="CH323" s="502"/>
      <c r="CI323" s="503"/>
      <c r="CJ323" s="504"/>
      <c r="CK323" s="505"/>
      <c r="CL323" s="329">
        <f t="shared" si="298"/>
        <v>0</v>
      </c>
      <c r="CM323" s="330">
        <f t="shared" si="299"/>
        <v>0</v>
      </c>
      <c r="CN323" s="331">
        <f t="shared" si="369"/>
        <v>-78200</v>
      </c>
      <c r="CO323" s="86"/>
      <c r="CP323" s="86">
        <f t="shared" si="422"/>
        <v>0</v>
      </c>
      <c r="CQ323" s="86"/>
      <c r="CR323" s="86"/>
      <c r="CS323" s="86"/>
      <c r="CT323" s="86"/>
      <c r="CU323" s="86"/>
      <c r="CV323" s="86"/>
      <c r="CW323" s="86"/>
      <c r="CX323" s="86"/>
      <c r="CY323" s="86"/>
      <c r="CZ323" s="86"/>
      <c r="DA323" s="86"/>
      <c r="DB323" s="32"/>
      <c r="DC323" s="32"/>
      <c r="DD323" s="35"/>
      <c r="DE323" s="35"/>
      <c r="DF323" s="35"/>
      <c r="DG323" s="1642"/>
      <c r="DH323" s="1642"/>
      <c r="DI323" s="1642"/>
      <c r="DJ323" s="1642"/>
      <c r="DK323" s="1642"/>
      <c r="DL323" s="1642"/>
      <c r="DM323" s="1642"/>
      <c r="DN323" s="1642"/>
      <c r="DO323" s="1642"/>
      <c r="DP323" s="1642"/>
      <c r="DQ323" s="1642"/>
      <c r="DR323" s="1642"/>
      <c r="DS323" s="1642"/>
      <c r="DT323" s="1642"/>
      <c r="DU323" s="1642"/>
      <c r="DV323" s="1642"/>
      <c r="DW323" s="1642"/>
      <c r="DX323" s="1642"/>
      <c r="DY323" s="1642"/>
      <c r="DZ323" s="1642"/>
      <c r="EA323" s="1642"/>
      <c r="EB323" s="1642"/>
      <c r="EC323" s="1642"/>
      <c r="ED323" s="1642"/>
      <c r="EE323" s="1642"/>
      <c r="EF323" s="1642"/>
      <c r="EG323" s="1642"/>
      <c r="EH323" s="35"/>
      <c r="EI323" s="1658"/>
      <c r="EJ323" s="35"/>
      <c r="EK323" s="35"/>
      <c r="EL323" s="35"/>
      <c r="EM323" s="35"/>
      <c r="EN323" s="35"/>
      <c r="EO323" s="35"/>
      <c r="EP323" s="35"/>
      <c r="EQ323" s="35"/>
      <c r="ER323" s="35"/>
      <c r="ES323" s="35"/>
      <c r="ET323" s="35"/>
      <c r="EU323" s="35"/>
      <c r="EV323" s="35"/>
      <c r="EW323" s="35"/>
      <c r="EX323" s="35"/>
      <c r="EY323" s="35"/>
      <c r="EZ323" s="35"/>
      <c r="FA323" s="35"/>
      <c r="FB323" s="35"/>
      <c r="FC323" s="35"/>
      <c r="FD323" s="35"/>
      <c r="FE323" s="35"/>
      <c r="FF323" s="35"/>
      <c r="FG323" s="35"/>
      <c r="FH323" s="35"/>
      <c r="FI323" s="35"/>
      <c r="FJ323" s="35"/>
      <c r="FK323" s="35"/>
      <c r="FL323" s="35"/>
      <c r="FM323" s="35"/>
      <c r="FN323" s="35"/>
      <c r="FO323" s="35"/>
      <c r="FP323" s="35"/>
      <c r="FQ323" s="35"/>
      <c r="FR323" s="35"/>
      <c r="FS323" s="35"/>
      <c r="FT323" s="35"/>
      <c r="FU323" s="35"/>
      <c r="FV323" s="35"/>
      <c r="FW323" s="35"/>
      <c r="FX323" s="35"/>
      <c r="FY323" s="35"/>
      <c r="FZ323" s="35"/>
      <c r="GA323" s="35"/>
      <c r="GB323" s="35"/>
      <c r="GC323" s="35"/>
      <c r="GD323" s="35"/>
      <c r="GE323" s="35"/>
      <c r="GF323" s="35"/>
      <c r="GG323" s="35"/>
      <c r="GH323" s="35"/>
      <c r="GI323" s="35"/>
      <c r="GJ323" s="35"/>
      <c r="GK323" s="35"/>
      <c r="GL323" s="35"/>
      <c r="GM323" s="35"/>
      <c r="GN323" s="35"/>
      <c r="GO323" s="35"/>
      <c r="GP323" s="35"/>
      <c r="GQ323" s="35"/>
      <c r="GR323" s="35"/>
      <c r="GS323" s="35"/>
      <c r="GT323" s="35"/>
      <c r="GU323" s="35"/>
      <c r="GV323" s="35"/>
      <c r="GW323" s="35"/>
      <c r="GX323" s="35"/>
      <c r="GY323" s="35"/>
      <c r="GZ323" s="35"/>
      <c r="HA323" s="35"/>
      <c r="HB323" s="35"/>
      <c r="HC323" s="35"/>
      <c r="HD323" s="35"/>
      <c r="HE323" s="35"/>
      <c r="HF323" s="35"/>
      <c r="HG323" s="35"/>
      <c r="HH323" s="35"/>
      <c r="HI323" s="35"/>
      <c r="HJ323" s="35"/>
      <c r="HK323" s="35"/>
      <c r="HL323" s="35"/>
      <c r="HM323" s="35"/>
      <c r="HN323" s="35"/>
      <c r="HO323" s="35"/>
      <c r="HP323" s="35"/>
      <c r="HQ323" s="35"/>
      <c r="HR323" s="35"/>
      <c r="HS323" s="35"/>
      <c r="HT323" s="35"/>
      <c r="HU323" s="35"/>
      <c r="HV323" s="35"/>
      <c r="HW323" s="35"/>
      <c r="HX323" s="35"/>
      <c r="HY323" s="35"/>
      <c r="HZ323" s="35"/>
      <c r="IA323" s="35"/>
      <c r="IB323" s="35"/>
      <c r="IC323" s="35"/>
      <c r="ID323" s="35"/>
      <c r="IE323" s="35"/>
      <c r="IF323" s="35"/>
      <c r="IG323" s="35"/>
      <c r="IH323" s="35"/>
      <c r="II323" s="35"/>
      <c r="IJ323" s="35"/>
      <c r="IK323" s="35"/>
      <c r="IL323" s="35"/>
      <c r="IM323" s="35"/>
      <c r="IN323" s="35"/>
      <c r="IO323" s="35"/>
      <c r="IP323" s="35"/>
      <c r="IQ323" s="35"/>
      <c r="IR323" s="35"/>
      <c r="IS323" s="35"/>
      <c r="IT323" s="35"/>
      <c r="IU323" s="35"/>
      <c r="IV323" s="35"/>
      <c r="IW323" s="35"/>
      <c r="IX323" s="35"/>
      <c r="IY323" s="35"/>
      <c r="IZ323" s="35"/>
      <c r="JA323" s="35"/>
      <c r="JB323" s="35"/>
      <c r="JC323" s="35"/>
      <c r="JD323" s="35"/>
      <c r="JE323" s="35"/>
      <c r="JF323" s="35"/>
      <c r="JG323" s="35"/>
      <c r="JH323" s="35"/>
      <c r="JI323" s="35"/>
      <c r="JJ323" s="35"/>
      <c r="JK323" s="35"/>
      <c r="JL323" s="35"/>
      <c r="JM323" s="35"/>
      <c r="JN323" s="35"/>
      <c r="JO323" s="35"/>
      <c r="JP323" s="35"/>
      <c r="JQ323" s="35"/>
      <c r="JR323" s="35"/>
      <c r="JS323" s="35"/>
      <c r="JT323" s="35"/>
      <c r="JU323" s="35"/>
      <c r="JV323" s="35"/>
      <c r="JW323" s="35"/>
      <c r="JX323" s="35"/>
      <c r="JY323" s="35"/>
      <c r="JZ323" s="35"/>
      <c r="KA323" s="35"/>
      <c r="KB323" s="35"/>
      <c r="KC323" s="35"/>
      <c r="KD323" s="35"/>
      <c r="KE323" s="35"/>
      <c r="KF323" s="35"/>
      <c r="KG323" s="35"/>
      <c r="KH323" s="35"/>
      <c r="KI323" s="35"/>
      <c r="KJ323" s="35"/>
      <c r="KK323" s="35"/>
      <c r="KL323" s="35"/>
      <c r="KM323" s="35"/>
      <c r="KN323" s="35"/>
      <c r="KO323" s="35"/>
      <c r="KP323" s="1633"/>
    </row>
    <row r="324" spans="1:302" s="92" customFormat="1" ht="25.25" customHeight="1" outlineLevel="1">
      <c r="A324" s="1676" t="s">
        <v>190</v>
      </c>
      <c r="B324" s="1993" t="s">
        <v>1151</v>
      </c>
      <c r="C324" s="1362" t="s">
        <v>106</v>
      </c>
      <c r="D324" s="1362" t="s">
        <v>285</v>
      </c>
      <c r="E324" s="1389"/>
      <c r="F324" s="506"/>
      <c r="G324" s="1402"/>
      <c r="H324" s="1391"/>
      <c r="I324" s="2573">
        <v>157760</v>
      </c>
      <c r="J324" s="1672"/>
      <c r="K324" s="1697"/>
      <c r="L324" s="1697"/>
      <c r="M324" s="1701">
        <v>4930</v>
      </c>
      <c r="N324" s="1697">
        <v>32</v>
      </c>
      <c r="O324" s="1397">
        <f t="shared" si="421"/>
        <v>157760</v>
      </c>
      <c r="P324" s="1671"/>
      <c r="Q324" s="1671"/>
      <c r="R324" s="1671"/>
      <c r="S324" s="1672"/>
      <c r="T324" s="1699"/>
      <c r="U324" s="1700"/>
      <c r="V324" s="1700"/>
      <c r="W324" s="1672">
        <f t="shared" si="367"/>
        <v>157760</v>
      </c>
      <c r="X324" s="1672"/>
      <c r="Y324" s="1699"/>
      <c r="Z324" s="1700"/>
      <c r="AA324" s="1699"/>
      <c r="AB324" s="1672">
        <f t="shared" si="426"/>
        <v>157760</v>
      </c>
      <c r="AC324" s="1444"/>
      <c r="AD324" s="1467"/>
      <c r="AE324" s="510"/>
      <c r="AF324" s="497"/>
      <c r="AG324" s="2529">
        <v>1</v>
      </c>
      <c r="AH324" s="1397">
        <f t="shared" si="351"/>
        <v>0</v>
      </c>
      <c r="AI324" s="355">
        <f t="shared" si="352"/>
        <v>0</v>
      </c>
      <c r="AJ324" s="351">
        <f t="shared" si="353"/>
        <v>0</v>
      </c>
      <c r="AK324" s="351"/>
      <c r="AL324" s="1398"/>
      <c r="AM324" s="2273"/>
      <c r="AN324" s="2273"/>
      <c r="AO324" s="497"/>
      <c r="AP324" s="497"/>
      <c r="AQ324" s="497"/>
      <c r="AR324" s="497"/>
      <c r="AS324" s="497"/>
      <c r="AT324" s="2015"/>
      <c r="AU324" s="497"/>
      <c r="AV324" s="497"/>
      <c r="AW324" s="497"/>
      <c r="AX324" s="497"/>
      <c r="AY324" s="2060"/>
      <c r="AZ324" s="2273"/>
      <c r="BA324" s="497"/>
      <c r="BB324" s="497"/>
      <c r="BC324" s="497"/>
      <c r="BD324" s="497"/>
      <c r="BE324" s="497"/>
      <c r="BF324" s="497"/>
      <c r="BG324" s="497"/>
      <c r="BH324" s="497"/>
      <c r="BI324" s="497"/>
      <c r="BJ324" s="497"/>
      <c r="BK324" s="2137"/>
      <c r="BL324" s="2011"/>
      <c r="BM324" s="2011"/>
      <c r="BN324" s="2011"/>
      <c r="BO324" s="2011"/>
      <c r="BP324" s="2011"/>
      <c r="BQ324" s="2403"/>
      <c r="BR324" s="497"/>
      <c r="BS324" s="497"/>
      <c r="BT324" s="497"/>
      <c r="BU324" s="497"/>
      <c r="BV324" s="497"/>
      <c r="BW324" s="2417">
        <v>157760</v>
      </c>
      <c r="BX324" s="2417"/>
      <c r="BY324" s="2549"/>
      <c r="BZ324" s="2549"/>
      <c r="CA324" s="2435">
        <f t="shared" si="360"/>
        <v>157760</v>
      </c>
      <c r="CB324" s="2380">
        <f t="shared" si="361"/>
        <v>1</v>
      </c>
      <c r="CC324" s="365">
        <f t="shared" si="362"/>
        <v>6.3387423935091277E-6</v>
      </c>
      <c r="CD324" s="1380">
        <f t="shared" si="363"/>
        <v>0</v>
      </c>
      <c r="CE324" s="1381">
        <f t="shared" si="364"/>
        <v>0</v>
      </c>
      <c r="CF324" s="1381"/>
      <c r="CG324" s="501"/>
      <c r="CH324" s="502"/>
      <c r="CI324" s="503"/>
      <c r="CJ324" s="504"/>
      <c r="CK324" s="505"/>
      <c r="CL324" s="329">
        <f t="shared" si="298"/>
        <v>0</v>
      </c>
      <c r="CM324" s="330">
        <f t="shared" si="299"/>
        <v>0</v>
      </c>
      <c r="CN324" s="331">
        <f t="shared" si="369"/>
        <v>-157760</v>
      </c>
      <c r="CO324" s="86"/>
      <c r="CP324" s="86">
        <f t="shared" si="422"/>
        <v>0</v>
      </c>
      <c r="CQ324" s="86"/>
      <c r="CR324" s="86"/>
      <c r="CS324" s="86"/>
      <c r="CT324" s="86"/>
      <c r="CU324" s="86"/>
      <c r="CV324" s="86"/>
      <c r="CW324" s="86"/>
      <c r="CX324" s="86"/>
      <c r="CY324" s="86"/>
      <c r="CZ324" s="86"/>
      <c r="DA324" s="86"/>
      <c r="DB324" s="32"/>
      <c r="DC324" s="32"/>
      <c r="DD324" s="35"/>
      <c r="DE324" s="35"/>
      <c r="DF324" s="35"/>
      <c r="DG324" s="1642"/>
      <c r="DH324" s="1642"/>
      <c r="DI324" s="1642"/>
      <c r="DJ324" s="1642"/>
      <c r="DK324" s="1642"/>
      <c r="DL324" s="1642"/>
      <c r="DM324" s="1642"/>
      <c r="DN324" s="1642"/>
      <c r="DO324" s="1642"/>
      <c r="DP324" s="1642"/>
      <c r="DQ324" s="1642"/>
      <c r="DR324" s="1642"/>
      <c r="DS324" s="1642"/>
      <c r="DT324" s="1642"/>
      <c r="DU324" s="1642"/>
      <c r="DV324" s="1642"/>
      <c r="DW324" s="1642"/>
      <c r="DX324" s="1642"/>
      <c r="DY324" s="1642"/>
      <c r="DZ324" s="1642"/>
      <c r="EA324" s="1642"/>
      <c r="EB324" s="1642"/>
      <c r="EC324" s="1642"/>
      <c r="ED324" s="1642"/>
      <c r="EE324" s="1642"/>
      <c r="EF324" s="1642"/>
      <c r="EG324" s="1642"/>
      <c r="EH324" s="35"/>
      <c r="EI324" s="1658"/>
      <c r="EJ324" s="35"/>
      <c r="EK324" s="35"/>
      <c r="EL324" s="35"/>
      <c r="EM324" s="35"/>
      <c r="EN324" s="35"/>
      <c r="EO324" s="35"/>
      <c r="EP324" s="35"/>
      <c r="EQ324" s="35"/>
      <c r="ER324" s="35"/>
      <c r="ES324" s="35"/>
      <c r="ET324" s="35"/>
      <c r="EU324" s="35"/>
      <c r="EV324" s="35"/>
      <c r="EW324" s="35"/>
      <c r="EX324" s="35"/>
      <c r="EY324" s="35"/>
      <c r="EZ324" s="35"/>
      <c r="FA324" s="35"/>
      <c r="FB324" s="35"/>
      <c r="FC324" s="35"/>
      <c r="FD324" s="35"/>
      <c r="FE324" s="35"/>
      <c r="FF324" s="35"/>
      <c r="FG324" s="35"/>
      <c r="FH324" s="35"/>
      <c r="FI324" s="35"/>
      <c r="FJ324" s="35"/>
      <c r="FK324" s="35"/>
      <c r="FL324" s="35"/>
      <c r="FM324" s="35"/>
      <c r="FN324" s="35"/>
      <c r="FO324" s="35"/>
      <c r="FP324" s="35"/>
      <c r="FQ324" s="35"/>
      <c r="FR324" s="35"/>
      <c r="FS324" s="35"/>
      <c r="FT324" s="35"/>
      <c r="FU324" s="35"/>
      <c r="FV324" s="35"/>
      <c r="FW324" s="35"/>
      <c r="FX324" s="35"/>
      <c r="FY324" s="35"/>
      <c r="FZ324" s="35"/>
      <c r="GA324" s="35"/>
      <c r="GB324" s="35"/>
      <c r="GC324" s="35"/>
      <c r="GD324" s="35"/>
      <c r="GE324" s="35"/>
      <c r="GF324" s="35"/>
      <c r="GG324" s="35"/>
      <c r="GH324" s="35"/>
      <c r="GI324" s="35"/>
      <c r="GJ324" s="35"/>
      <c r="GK324" s="35"/>
      <c r="GL324" s="35"/>
      <c r="GM324" s="35"/>
      <c r="GN324" s="35"/>
      <c r="GO324" s="35"/>
      <c r="GP324" s="35"/>
      <c r="GQ324" s="35"/>
      <c r="GR324" s="35"/>
      <c r="GS324" s="35"/>
      <c r="GT324" s="35"/>
      <c r="GU324" s="35"/>
      <c r="GV324" s="35"/>
      <c r="GW324" s="35"/>
      <c r="GX324" s="35"/>
      <c r="GY324" s="35"/>
      <c r="GZ324" s="35"/>
      <c r="HA324" s="35"/>
      <c r="HB324" s="35"/>
      <c r="HC324" s="35"/>
      <c r="HD324" s="35"/>
      <c r="HE324" s="35"/>
      <c r="HF324" s="35"/>
      <c r="HG324" s="35"/>
      <c r="HH324" s="35"/>
      <c r="HI324" s="35"/>
      <c r="HJ324" s="35"/>
      <c r="HK324" s="35"/>
      <c r="HL324" s="35"/>
      <c r="HM324" s="35"/>
      <c r="HN324" s="35"/>
      <c r="HO324" s="35"/>
      <c r="HP324" s="35"/>
      <c r="HQ324" s="35"/>
      <c r="HR324" s="35"/>
      <c r="HS324" s="35"/>
      <c r="HT324" s="35"/>
      <c r="HU324" s="35"/>
      <c r="HV324" s="35"/>
      <c r="HW324" s="35"/>
      <c r="HX324" s="35"/>
      <c r="HY324" s="35"/>
      <c r="HZ324" s="35"/>
      <c r="IA324" s="35"/>
      <c r="IB324" s="35"/>
      <c r="IC324" s="35"/>
      <c r="ID324" s="35"/>
      <c r="IE324" s="35"/>
      <c r="IF324" s="35"/>
      <c r="IG324" s="35"/>
      <c r="IH324" s="35"/>
      <c r="II324" s="35"/>
      <c r="IJ324" s="35"/>
      <c r="IK324" s="35"/>
      <c r="IL324" s="35"/>
      <c r="IM324" s="35"/>
      <c r="IN324" s="35"/>
      <c r="IO324" s="35"/>
      <c r="IP324" s="35"/>
      <c r="IQ324" s="35"/>
      <c r="IR324" s="35"/>
      <c r="IS324" s="35"/>
      <c r="IT324" s="35"/>
      <c r="IU324" s="35"/>
      <c r="IV324" s="35"/>
      <c r="IW324" s="35"/>
      <c r="IX324" s="35"/>
      <c r="IY324" s="35"/>
      <c r="IZ324" s="35"/>
      <c r="JA324" s="35"/>
      <c r="JB324" s="35"/>
      <c r="JC324" s="35"/>
      <c r="JD324" s="35"/>
      <c r="JE324" s="35"/>
      <c r="JF324" s="35"/>
      <c r="JG324" s="35"/>
      <c r="JH324" s="35"/>
      <c r="JI324" s="35"/>
      <c r="JJ324" s="35"/>
      <c r="JK324" s="35"/>
      <c r="JL324" s="35"/>
      <c r="JM324" s="35"/>
      <c r="JN324" s="35"/>
      <c r="JO324" s="35"/>
      <c r="JP324" s="35"/>
      <c r="JQ324" s="35"/>
      <c r="JR324" s="35"/>
      <c r="JS324" s="35"/>
      <c r="JT324" s="35"/>
      <c r="JU324" s="35"/>
      <c r="JV324" s="35"/>
      <c r="JW324" s="35"/>
      <c r="JX324" s="35"/>
      <c r="JY324" s="35"/>
      <c r="JZ324" s="35"/>
      <c r="KA324" s="35"/>
      <c r="KB324" s="35"/>
      <c r="KC324" s="35"/>
      <c r="KD324" s="35"/>
      <c r="KE324" s="35"/>
      <c r="KF324" s="35"/>
      <c r="KG324" s="35"/>
      <c r="KH324" s="35"/>
      <c r="KI324" s="35"/>
      <c r="KJ324" s="35"/>
      <c r="KK324" s="35"/>
      <c r="KL324" s="35"/>
      <c r="KM324" s="35"/>
      <c r="KN324" s="35"/>
      <c r="KO324" s="35"/>
      <c r="KP324" s="1633"/>
    </row>
    <row r="325" spans="1:302" s="92" customFormat="1" ht="25.25" customHeight="1" outlineLevel="1">
      <c r="A325" s="1676" t="s">
        <v>129</v>
      </c>
      <c r="B325" s="1993" t="s">
        <v>1158</v>
      </c>
      <c r="C325" s="1362" t="s">
        <v>107</v>
      </c>
      <c r="D325" s="1362" t="s">
        <v>286</v>
      </c>
      <c r="E325" s="1389"/>
      <c r="F325" s="506"/>
      <c r="G325" s="1402"/>
      <c r="H325" s="1391"/>
      <c r="I325" s="2573">
        <v>179520</v>
      </c>
      <c r="J325" s="1672"/>
      <c r="K325" s="1697"/>
      <c r="L325" s="1697"/>
      <c r="M325" s="1701">
        <v>5610</v>
      </c>
      <c r="N325" s="1697">
        <v>32</v>
      </c>
      <c r="O325" s="1397">
        <f t="shared" si="421"/>
        <v>179520</v>
      </c>
      <c r="P325" s="1671"/>
      <c r="Q325" s="1671"/>
      <c r="R325" s="1671"/>
      <c r="S325" s="1672"/>
      <c r="T325" s="1699"/>
      <c r="U325" s="1700"/>
      <c r="V325" s="1700"/>
      <c r="W325" s="1672">
        <f t="shared" si="367"/>
        <v>179520</v>
      </c>
      <c r="X325" s="1672"/>
      <c r="Y325" s="1699"/>
      <c r="Z325" s="1700"/>
      <c r="AA325" s="1699"/>
      <c r="AB325" s="1672">
        <f t="shared" si="426"/>
        <v>179520</v>
      </c>
      <c r="AC325" s="1444"/>
      <c r="AD325" s="1467"/>
      <c r="AE325" s="510"/>
      <c r="AF325" s="497"/>
      <c r="AG325" s="2529">
        <v>1</v>
      </c>
      <c r="AH325" s="1397">
        <f t="shared" si="351"/>
        <v>0</v>
      </c>
      <c r="AI325" s="355">
        <f t="shared" si="352"/>
        <v>0</v>
      </c>
      <c r="AJ325" s="351">
        <f t="shared" si="353"/>
        <v>0</v>
      </c>
      <c r="AK325" s="351"/>
      <c r="AL325" s="1398"/>
      <c r="AM325" s="2273"/>
      <c r="AN325" s="2273"/>
      <c r="AO325" s="497"/>
      <c r="AP325" s="497"/>
      <c r="AQ325" s="497">
        <v>5610</v>
      </c>
      <c r="AR325" s="497">
        <v>5610</v>
      </c>
      <c r="AS325" s="497">
        <v>5610</v>
      </c>
      <c r="AT325" s="2015">
        <v>5610</v>
      </c>
      <c r="AU325" s="497">
        <v>5610</v>
      </c>
      <c r="AV325" s="497">
        <v>5610</v>
      </c>
      <c r="AW325" s="497">
        <v>5610</v>
      </c>
      <c r="AX325" s="497">
        <v>5610</v>
      </c>
      <c r="AY325" s="2237">
        <v>5610</v>
      </c>
      <c r="AZ325" s="2273">
        <f>5610+5610</f>
        <v>11220</v>
      </c>
      <c r="BA325" s="497">
        <v>5610</v>
      </c>
      <c r="BB325" s="497">
        <v>5610</v>
      </c>
      <c r="BC325" s="497">
        <v>5610</v>
      </c>
      <c r="BD325" s="497">
        <v>5610</v>
      </c>
      <c r="BE325" s="497">
        <v>5610</v>
      </c>
      <c r="BF325" s="497">
        <v>5610</v>
      </c>
      <c r="BG325" s="497">
        <v>5610</v>
      </c>
      <c r="BH325" s="497">
        <v>5610</v>
      </c>
      <c r="BI325" s="497">
        <v>5610</v>
      </c>
      <c r="BJ325" s="497">
        <v>5610</v>
      </c>
      <c r="BK325" s="2137">
        <v>5610</v>
      </c>
      <c r="BL325" s="2011">
        <v>5610</v>
      </c>
      <c r="BM325" s="2011">
        <v>5610</v>
      </c>
      <c r="BN325" s="2011">
        <v>5610</v>
      </c>
      <c r="BO325" s="2011">
        <v>5610</v>
      </c>
      <c r="BP325" s="2011">
        <v>5610</v>
      </c>
      <c r="BQ325" s="2403">
        <v>5610</v>
      </c>
      <c r="BR325" s="497">
        <v>5610</v>
      </c>
      <c r="BS325" s="497">
        <f>5610+5610</f>
        <v>11220</v>
      </c>
      <c r="BT325" s="497">
        <v>5610</v>
      </c>
      <c r="BU325" s="497"/>
      <c r="BV325" s="497"/>
      <c r="BW325" s="2417"/>
      <c r="BX325" s="2417"/>
      <c r="BY325" s="2549"/>
      <c r="BZ325" s="2549"/>
      <c r="CA325" s="2435">
        <f t="shared" si="360"/>
        <v>179520</v>
      </c>
      <c r="CB325" s="2380">
        <f t="shared" si="361"/>
        <v>1</v>
      </c>
      <c r="CC325" s="365">
        <f t="shared" si="362"/>
        <v>5.5704099821746879E-6</v>
      </c>
      <c r="CD325" s="1380">
        <f t="shared" si="363"/>
        <v>0</v>
      </c>
      <c r="CE325" s="1381">
        <f t="shared" si="364"/>
        <v>0</v>
      </c>
      <c r="CF325" s="1381"/>
      <c r="CG325" s="501"/>
      <c r="CH325" s="502"/>
      <c r="CI325" s="503"/>
      <c r="CJ325" s="504"/>
      <c r="CK325" s="505"/>
      <c r="CL325" s="329">
        <f t="shared" si="298"/>
        <v>0</v>
      </c>
      <c r="CM325" s="330">
        <f t="shared" si="299"/>
        <v>0</v>
      </c>
      <c r="CN325" s="331">
        <f t="shared" si="369"/>
        <v>-129030</v>
      </c>
      <c r="CO325" s="86"/>
      <c r="CP325" s="86">
        <f t="shared" si="422"/>
        <v>0</v>
      </c>
      <c r="CQ325" s="86"/>
      <c r="CR325" s="86"/>
      <c r="CS325" s="86"/>
      <c r="CT325" s="86"/>
      <c r="CU325" s="86"/>
      <c r="CV325" s="86"/>
      <c r="CW325" s="86"/>
      <c r="CX325" s="86"/>
      <c r="CY325" s="86"/>
      <c r="CZ325" s="86"/>
      <c r="DA325" s="86"/>
      <c r="DB325" s="32"/>
      <c r="DC325" s="32"/>
      <c r="DD325" s="35"/>
      <c r="DE325" s="35"/>
      <c r="DF325" s="35"/>
      <c r="DG325" s="1642"/>
      <c r="DH325" s="1642"/>
      <c r="DI325" s="1642"/>
      <c r="DJ325" s="1642"/>
      <c r="DK325" s="1642"/>
      <c r="DL325" s="1642"/>
      <c r="DM325" s="1642"/>
      <c r="DN325" s="1642"/>
      <c r="DO325" s="1642"/>
      <c r="DP325" s="1642"/>
      <c r="DQ325" s="1642"/>
      <c r="DR325" s="1642"/>
      <c r="DS325" s="1642"/>
      <c r="DT325" s="1642"/>
      <c r="DU325" s="1642"/>
      <c r="DV325" s="1642"/>
      <c r="DW325" s="1642"/>
      <c r="DX325" s="1642"/>
      <c r="DY325" s="1642"/>
      <c r="DZ325" s="1642"/>
      <c r="EA325" s="1642"/>
      <c r="EB325" s="1642"/>
      <c r="EC325" s="1642"/>
      <c r="ED325" s="1642"/>
      <c r="EE325" s="1642"/>
      <c r="EF325" s="1642"/>
      <c r="EG325" s="1642"/>
      <c r="EH325" s="35"/>
      <c r="EI325" s="1658"/>
      <c r="EJ325" s="35"/>
      <c r="EK325" s="35"/>
      <c r="EL325" s="35"/>
      <c r="EM325" s="35"/>
      <c r="EN325" s="35"/>
      <c r="EO325" s="35"/>
      <c r="EP325" s="35"/>
      <c r="EQ325" s="35"/>
      <c r="ER325" s="35"/>
      <c r="ES325" s="35"/>
      <c r="ET325" s="35"/>
      <c r="EU325" s="35"/>
      <c r="EV325" s="35"/>
      <c r="EW325" s="35"/>
      <c r="EX325" s="35"/>
      <c r="EY325" s="35"/>
      <c r="EZ325" s="35"/>
      <c r="FA325" s="35"/>
      <c r="FB325" s="35"/>
      <c r="FC325" s="35"/>
      <c r="FD325" s="35"/>
      <c r="FE325" s="35"/>
      <c r="FF325" s="35"/>
      <c r="FG325" s="35"/>
      <c r="FH325" s="35"/>
      <c r="FI325" s="35"/>
      <c r="FJ325" s="35"/>
      <c r="FK325" s="35"/>
      <c r="FL325" s="35"/>
      <c r="FM325" s="35"/>
      <c r="FN325" s="35"/>
      <c r="FO325" s="35"/>
      <c r="FP325" s="35"/>
      <c r="FQ325" s="35"/>
      <c r="FR325" s="35"/>
      <c r="FS325" s="35"/>
      <c r="FT325" s="35"/>
      <c r="FU325" s="35"/>
      <c r="FV325" s="35"/>
      <c r="FW325" s="35"/>
      <c r="FX325" s="35"/>
      <c r="FY325" s="35"/>
      <c r="FZ325" s="35"/>
      <c r="GA325" s="35"/>
      <c r="GB325" s="35"/>
      <c r="GC325" s="35"/>
      <c r="GD325" s="35"/>
      <c r="GE325" s="35"/>
      <c r="GF325" s="35"/>
      <c r="GG325" s="35"/>
      <c r="GH325" s="35"/>
      <c r="GI325" s="35"/>
      <c r="GJ325" s="35"/>
      <c r="GK325" s="35"/>
      <c r="GL325" s="35"/>
      <c r="GM325" s="35"/>
      <c r="GN325" s="35"/>
      <c r="GO325" s="35"/>
      <c r="GP325" s="35"/>
      <c r="GQ325" s="35"/>
      <c r="GR325" s="35"/>
      <c r="GS325" s="35"/>
      <c r="GT325" s="35"/>
      <c r="GU325" s="35"/>
      <c r="GV325" s="35"/>
      <c r="GW325" s="35"/>
      <c r="GX325" s="35"/>
      <c r="GY325" s="35"/>
      <c r="GZ325" s="35"/>
      <c r="HA325" s="35"/>
      <c r="HB325" s="35"/>
      <c r="HC325" s="35"/>
      <c r="HD325" s="35"/>
      <c r="HE325" s="35"/>
      <c r="HF325" s="35"/>
      <c r="HG325" s="35"/>
      <c r="HH325" s="35"/>
      <c r="HI325" s="35"/>
      <c r="HJ325" s="35"/>
      <c r="HK325" s="35"/>
      <c r="HL325" s="35"/>
      <c r="HM325" s="35"/>
      <c r="HN325" s="35"/>
      <c r="HO325" s="35"/>
      <c r="HP325" s="35"/>
      <c r="HQ325" s="35"/>
      <c r="HR325" s="35"/>
      <c r="HS325" s="35"/>
      <c r="HT325" s="35"/>
      <c r="HU325" s="35"/>
      <c r="HV325" s="35"/>
      <c r="HW325" s="35"/>
      <c r="HX325" s="35"/>
      <c r="HY325" s="35"/>
      <c r="HZ325" s="35"/>
      <c r="IA325" s="35"/>
      <c r="IB325" s="35"/>
      <c r="IC325" s="35"/>
      <c r="ID325" s="35"/>
      <c r="IE325" s="35"/>
      <c r="IF325" s="35"/>
      <c r="IG325" s="35"/>
      <c r="IH325" s="35"/>
      <c r="II325" s="35"/>
      <c r="IJ325" s="35"/>
      <c r="IK325" s="35"/>
      <c r="IL325" s="35"/>
      <c r="IM325" s="35"/>
      <c r="IN325" s="35"/>
      <c r="IO325" s="35"/>
      <c r="IP325" s="35"/>
      <c r="IQ325" s="35"/>
      <c r="IR325" s="35"/>
      <c r="IS325" s="35"/>
      <c r="IT325" s="35"/>
      <c r="IU325" s="35"/>
      <c r="IV325" s="35"/>
      <c r="IW325" s="35"/>
      <c r="IX325" s="35"/>
      <c r="IY325" s="35"/>
      <c r="IZ325" s="35"/>
      <c r="JA325" s="35"/>
      <c r="JB325" s="35"/>
      <c r="JC325" s="35"/>
      <c r="JD325" s="35"/>
      <c r="JE325" s="35"/>
      <c r="JF325" s="35"/>
      <c r="JG325" s="35"/>
      <c r="JH325" s="35"/>
      <c r="JI325" s="35"/>
      <c r="JJ325" s="35"/>
      <c r="JK325" s="35"/>
      <c r="JL325" s="35"/>
      <c r="JM325" s="35"/>
      <c r="JN325" s="35"/>
      <c r="JO325" s="35"/>
      <c r="JP325" s="35"/>
      <c r="JQ325" s="35"/>
      <c r="JR325" s="35"/>
      <c r="JS325" s="35"/>
      <c r="JT325" s="35"/>
      <c r="JU325" s="35"/>
      <c r="JV325" s="35"/>
      <c r="JW325" s="35"/>
      <c r="JX325" s="35"/>
      <c r="JY325" s="35"/>
      <c r="JZ325" s="35"/>
      <c r="KA325" s="35"/>
      <c r="KB325" s="35"/>
      <c r="KC325" s="35"/>
      <c r="KD325" s="35"/>
      <c r="KE325" s="35"/>
      <c r="KF325" s="35"/>
      <c r="KG325" s="35"/>
      <c r="KH325" s="35"/>
      <c r="KI325" s="35"/>
      <c r="KJ325" s="35"/>
      <c r="KK325" s="35"/>
      <c r="KL325" s="35"/>
      <c r="KM325" s="35"/>
      <c r="KN325" s="35"/>
      <c r="KO325" s="35"/>
      <c r="KP325" s="1633"/>
    </row>
    <row r="326" spans="1:302" s="92" customFormat="1" ht="23" customHeight="1" outlineLevel="1">
      <c r="A326" s="1676" t="s">
        <v>130</v>
      </c>
      <c r="B326" s="1993" t="s">
        <v>1159</v>
      </c>
      <c r="C326" s="1362" t="s">
        <v>108</v>
      </c>
      <c r="D326" s="1362" t="s">
        <v>228</v>
      </c>
      <c r="E326" s="1389"/>
      <c r="F326" s="506"/>
      <c r="G326" s="1402"/>
      <c r="H326" s="1391"/>
      <c r="I326" s="2573">
        <v>174080</v>
      </c>
      <c r="J326" s="1672"/>
      <c r="K326" s="1697"/>
      <c r="L326" s="1697"/>
      <c r="M326" s="1701">
        <v>5440</v>
      </c>
      <c r="N326" s="1697">
        <v>32</v>
      </c>
      <c r="O326" s="1397">
        <f t="shared" si="421"/>
        <v>174080</v>
      </c>
      <c r="P326" s="1671"/>
      <c r="Q326" s="1671"/>
      <c r="R326" s="1671"/>
      <c r="S326" s="1672"/>
      <c r="T326" s="1699"/>
      <c r="U326" s="1700"/>
      <c r="V326" s="1700"/>
      <c r="W326" s="1672">
        <f t="shared" si="367"/>
        <v>174080</v>
      </c>
      <c r="X326" s="1672"/>
      <c r="Y326" s="1699"/>
      <c r="Z326" s="1700"/>
      <c r="AA326" s="1699"/>
      <c r="AB326" s="2727">
        <f t="shared" si="426"/>
        <v>84080</v>
      </c>
      <c r="AC326" s="1444"/>
      <c r="AD326" s="1467"/>
      <c r="AE326" s="510"/>
      <c r="AF326" s="497"/>
      <c r="AG326" s="2529">
        <v>1</v>
      </c>
      <c r="AH326" s="1397">
        <f t="shared" si="351"/>
        <v>0</v>
      </c>
      <c r="AI326" s="355">
        <f t="shared" si="352"/>
        <v>0</v>
      </c>
      <c r="AJ326" s="351">
        <f t="shared" si="353"/>
        <v>0</v>
      </c>
      <c r="AK326" s="351"/>
      <c r="AL326" s="1398"/>
      <c r="AM326" s="2273"/>
      <c r="AN326" s="2273"/>
      <c r="AO326" s="497"/>
      <c r="AP326" s="2507"/>
      <c r="AQ326" s="2507"/>
      <c r="AR326" s="2507"/>
      <c r="AS326" s="2507"/>
      <c r="AT326" s="2515"/>
      <c r="AU326" s="2507"/>
      <c r="AV326" s="2507"/>
      <c r="AW326" s="2507"/>
      <c r="AX326" s="2507"/>
      <c r="AY326" s="2514"/>
      <c r="AZ326" s="2522"/>
      <c r="BA326" s="379"/>
      <c r="BB326" s="2507"/>
      <c r="BC326" s="2507"/>
      <c r="BD326" s="497"/>
      <c r="BE326" s="497"/>
      <c r="BF326" s="497"/>
      <c r="BG326" s="497"/>
      <c r="BH326" s="497"/>
      <c r="BI326" s="497"/>
      <c r="BJ326" s="497"/>
      <c r="BK326" s="2137"/>
      <c r="BL326" s="2011"/>
      <c r="BM326" s="2011"/>
      <c r="BN326" s="2011"/>
      <c r="BO326" s="2011"/>
      <c r="BP326" s="2011"/>
      <c r="BQ326" s="2403"/>
      <c r="BR326" s="497"/>
      <c r="BS326" s="497"/>
      <c r="BT326" s="497"/>
      <c r="BU326" s="497"/>
      <c r="BV326" s="497"/>
      <c r="BW326" s="2417">
        <v>84080</v>
      </c>
      <c r="BX326" s="2417"/>
      <c r="BY326" s="2549"/>
      <c r="BZ326" s="2549"/>
      <c r="CA326" s="2435">
        <f t="shared" si="360"/>
        <v>84080</v>
      </c>
      <c r="CB326" s="2380">
        <f t="shared" si="361"/>
        <v>1</v>
      </c>
      <c r="CC326" s="365">
        <f t="shared" si="362"/>
        <v>1.1893434823977164E-5</v>
      </c>
      <c r="CD326" s="1380">
        <f t="shared" si="363"/>
        <v>0.5170036764705882</v>
      </c>
      <c r="CE326" s="1381">
        <f t="shared" si="364"/>
        <v>90000</v>
      </c>
      <c r="CF326" s="1381"/>
      <c r="CG326" s="501"/>
      <c r="CH326" s="502"/>
      <c r="CI326" s="503"/>
      <c r="CJ326" s="504"/>
      <c r="CK326" s="505"/>
      <c r="CL326" s="329">
        <f t="shared" si="298"/>
        <v>90000</v>
      </c>
      <c r="CM326" s="330">
        <f t="shared" si="299"/>
        <v>0</v>
      </c>
      <c r="CN326" s="331">
        <f t="shared" si="369"/>
        <v>-84080</v>
      </c>
      <c r="CO326" s="86"/>
      <c r="CP326" s="86">
        <f t="shared" si="422"/>
        <v>0</v>
      </c>
      <c r="CQ326" s="86"/>
      <c r="CR326" s="86"/>
      <c r="CS326" s="86"/>
      <c r="CT326" s="86"/>
      <c r="CU326" s="86"/>
      <c r="CV326" s="86"/>
      <c r="CW326" s="86"/>
      <c r="CX326" s="86"/>
      <c r="CY326" s="86"/>
      <c r="CZ326" s="86"/>
      <c r="DA326" s="86"/>
      <c r="DB326" s="32"/>
      <c r="DC326" s="32"/>
      <c r="DD326" s="35"/>
      <c r="DE326" s="35"/>
      <c r="DF326" s="35"/>
      <c r="DG326" s="1642"/>
      <c r="DH326" s="1642"/>
      <c r="DI326" s="1642"/>
      <c r="DJ326" s="1642"/>
      <c r="DK326" s="1642"/>
      <c r="DL326" s="1642"/>
      <c r="DM326" s="1642"/>
      <c r="DN326" s="1642"/>
      <c r="DO326" s="1642"/>
      <c r="DP326" s="1642"/>
      <c r="DQ326" s="1642"/>
      <c r="DR326" s="1642"/>
      <c r="DS326" s="1642"/>
      <c r="DT326" s="1642"/>
      <c r="DU326" s="1642"/>
      <c r="DV326" s="1642"/>
      <c r="DW326" s="1642"/>
      <c r="DX326" s="1642"/>
      <c r="DY326" s="1642"/>
      <c r="DZ326" s="1642"/>
      <c r="EA326" s="1642"/>
      <c r="EB326" s="1642"/>
      <c r="EC326" s="1642"/>
      <c r="ED326" s="1642"/>
      <c r="EE326" s="1642"/>
      <c r="EF326" s="1642"/>
      <c r="EG326" s="1642"/>
      <c r="EH326" s="35"/>
      <c r="EI326" s="1658"/>
      <c r="EJ326" s="35"/>
      <c r="EK326" s="35"/>
      <c r="EL326" s="35"/>
      <c r="EM326" s="35"/>
      <c r="EN326" s="35"/>
      <c r="EO326" s="35"/>
      <c r="EP326" s="35"/>
      <c r="EQ326" s="35"/>
      <c r="ER326" s="35"/>
      <c r="ES326" s="35"/>
      <c r="ET326" s="35"/>
      <c r="EU326" s="35"/>
      <c r="EV326" s="35"/>
      <c r="EW326" s="35"/>
      <c r="EX326" s="35"/>
      <c r="EY326" s="35"/>
      <c r="EZ326" s="35"/>
      <c r="FA326" s="35"/>
      <c r="FB326" s="35"/>
      <c r="FC326" s="35"/>
      <c r="FD326" s="35"/>
      <c r="FE326" s="35"/>
      <c r="FF326" s="35"/>
      <c r="FG326" s="35"/>
      <c r="FH326" s="35"/>
      <c r="FI326" s="35"/>
      <c r="FJ326" s="35"/>
      <c r="FK326" s="35"/>
      <c r="FL326" s="35"/>
      <c r="FM326" s="35"/>
      <c r="FN326" s="35"/>
      <c r="FO326" s="35"/>
      <c r="FP326" s="35"/>
      <c r="FQ326" s="35"/>
      <c r="FR326" s="35"/>
      <c r="FS326" s="35"/>
      <c r="FT326" s="35"/>
      <c r="FU326" s="35"/>
      <c r="FV326" s="35"/>
      <c r="FW326" s="35"/>
      <c r="FX326" s="35"/>
      <c r="FY326" s="35"/>
      <c r="FZ326" s="35"/>
      <c r="GA326" s="35"/>
      <c r="GB326" s="35"/>
      <c r="GC326" s="35"/>
      <c r="GD326" s="35"/>
      <c r="GE326" s="35"/>
      <c r="GF326" s="35"/>
      <c r="GG326" s="35"/>
      <c r="GH326" s="35"/>
      <c r="GI326" s="35"/>
      <c r="GJ326" s="35"/>
      <c r="GK326" s="35"/>
      <c r="GL326" s="35"/>
      <c r="GM326" s="35"/>
      <c r="GN326" s="35"/>
      <c r="GO326" s="35"/>
      <c r="GP326" s="35"/>
      <c r="GQ326" s="35"/>
      <c r="GR326" s="35"/>
      <c r="GS326" s="35"/>
      <c r="GT326" s="35"/>
      <c r="GU326" s="35"/>
      <c r="GV326" s="35"/>
      <c r="GW326" s="35"/>
      <c r="GX326" s="35"/>
      <c r="GY326" s="35"/>
      <c r="GZ326" s="35"/>
      <c r="HA326" s="35"/>
      <c r="HB326" s="35"/>
      <c r="HC326" s="35"/>
      <c r="HD326" s="35"/>
      <c r="HE326" s="35"/>
      <c r="HF326" s="35"/>
      <c r="HG326" s="35"/>
      <c r="HH326" s="35"/>
      <c r="HI326" s="35"/>
      <c r="HJ326" s="35"/>
      <c r="HK326" s="35"/>
      <c r="HL326" s="35"/>
      <c r="HM326" s="35"/>
      <c r="HN326" s="35"/>
      <c r="HO326" s="35"/>
      <c r="HP326" s="35"/>
      <c r="HQ326" s="35"/>
      <c r="HR326" s="35"/>
      <c r="HS326" s="35"/>
      <c r="HT326" s="35"/>
      <c r="HU326" s="35"/>
      <c r="HV326" s="35"/>
      <c r="HW326" s="35"/>
      <c r="HX326" s="35"/>
      <c r="HY326" s="35"/>
      <c r="HZ326" s="35"/>
      <c r="IA326" s="35"/>
      <c r="IB326" s="35"/>
      <c r="IC326" s="35"/>
      <c r="ID326" s="35"/>
      <c r="IE326" s="35"/>
      <c r="IF326" s="35"/>
      <c r="IG326" s="35"/>
      <c r="IH326" s="35"/>
      <c r="II326" s="35"/>
      <c r="IJ326" s="35"/>
      <c r="IK326" s="35"/>
      <c r="IL326" s="35"/>
      <c r="IM326" s="35"/>
      <c r="IN326" s="35"/>
      <c r="IO326" s="35"/>
      <c r="IP326" s="35"/>
      <c r="IQ326" s="35"/>
      <c r="IR326" s="35"/>
      <c r="IS326" s="35"/>
      <c r="IT326" s="35"/>
      <c r="IU326" s="35"/>
      <c r="IV326" s="35"/>
      <c r="IW326" s="35"/>
      <c r="IX326" s="35"/>
      <c r="IY326" s="35"/>
      <c r="IZ326" s="35"/>
      <c r="JA326" s="35"/>
      <c r="JB326" s="35"/>
      <c r="JC326" s="35"/>
      <c r="JD326" s="35"/>
      <c r="JE326" s="35"/>
      <c r="JF326" s="35"/>
      <c r="JG326" s="35"/>
      <c r="JH326" s="35"/>
      <c r="JI326" s="35"/>
      <c r="JJ326" s="35"/>
      <c r="JK326" s="35"/>
      <c r="JL326" s="35"/>
      <c r="JM326" s="35"/>
      <c r="JN326" s="35"/>
      <c r="JO326" s="35"/>
      <c r="JP326" s="35"/>
      <c r="JQ326" s="35"/>
      <c r="JR326" s="35"/>
      <c r="JS326" s="35"/>
      <c r="JT326" s="35"/>
      <c r="JU326" s="35"/>
      <c r="JV326" s="35"/>
      <c r="JW326" s="35"/>
      <c r="JX326" s="35"/>
      <c r="JY326" s="35"/>
      <c r="JZ326" s="35"/>
      <c r="KA326" s="35"/>
      <c r="KB326" s="35"/>
      <c r="KC326" s="35"/>
      <c r="KD326" s="35"/>
      <c r="KE326" s="35"/>
      <c r="KF326" s="35"/>
      <c r="KG326" s="35"/>
      <c r="KH326" s="35"/>
      <c r="KI326" s="35"/>
      <c r="KJ326" s="35"/>
      <c r="KK326" s="35"/>
      <c r="KL326" s="35"/>
      <c r="KM326" s="35"/>
      <c r="KN326" s="35"/>
      <c r="KO326" s="35"/>
      <c r="KP326" s="1633"/>
    </row>
    <row r="327" spans="1:302" s="92" customFormat="1" ht="23" customHeight="1" outlineLevel="1">
      <c r="A327" s="1676" t="s">
        <v>1338</v>
      </c>
      <c r="B327" s="1993"/>
      <c r="C327" s="1362" t="s">
        <v>1339</v>
      </c>
      <c r="D327" s="1362" t="s">
        <v>228</v>
      </c>
      <c r="E327" s="1389"/>
      <c r="F327" s="506"/>
      <c r="G327" s="1402"/>
      <c r="H327" s="1391"/>
      <c r="I327" s="2573">
        <v>0</v>
      </c>
      <c r="J327" s="1672"/>
      <c r="K327" s="1697"/>
      <c r="L327" s="1697"/>
      <c r="M327" s="1701"/>
      <c r="N327" s="1697"/>
      <c r="O327" s="1397">
        <f t="shared" si="421"/>
        <v>0</v>
      </c>
      <c r="P327" s="1671"/>
      <c r="Q327" s="1671"/>
      <c r="R327" s="1671"/>
      <c r="S327" s="1672"/>
      <c r="T327" s="1699"/>
      <c r="U327" s="1700"/>
      <c r="V327" s="1700"/>
      <c r="W327" s="1672">
        <f t="shared" si="367"/>
        <v>0</v>
      </c>
      <c r="X327" s="1672"/>
      <c r="Y327" s="1699"/>
      <c r="Z327" s="1700"/>
      <c r="AA327" s="1699"/>
      <c r="AB327" s="1672">
        <f t="shared" si="426"/>
        <v>89999.999999997992</v>
      </c>
      <c r="AC327" s="1444" t="s">
        <v>1340</v>
      </c>
      <c r="AD327" s="1467"/>
      <c r="AE327" s="510" t="s">
        <v>1247</v>
      </c>
      <c r="AF327" s="497">
        <v>90000</v>
      </c>
      <c r="AG327" s="2529">
        <v>1</v>
      </c>
      <c r="AH327" s="1397">
        <f t="shared" ref="AH327" si="431">+AF327*AG327</f>
        <v>90000</v>
      </c>
      <c r="AI327" s="355">
        <f t="shared" ref="AI327" si="432">SUMIF($AM$10:$BZ$10,$AI$9,AM327:BZ327)</f>
        <v>0</v>
      </c>
      <c r="AJ327" s="351">
        <f t="shared" ref="AJ327" si="433">IF($AB327&lt;&gt;0,AI327/$AB327,"")</f>
        <v>0</v>
      </c>
      <c r="AK327" s="351"/>
      <c r="AL327" s="1398"/>
      <c r="AM327" s="2273"/>
      <c r="AN327" s="2273"/>
      <c r="AO327" s="497"/>
      <c r="AP327" s="2729">
        <v>2586.7800000000002</v>
      </c>
      <c r="AQ327" s="497">
        <f>3103.44827586207+3103.44827586-2586.78</f>
        <v>3620.1165517220702</v>
      </c>
      <c r="AR327" s="497">
        <f>3103.44827586207+3103.44827586207</f>
        <v>6206.8965517241404</v>
      </c>
      <c r="AS327" s="497">
        <v>3103.4482758620688</v>
      </c>
      <c r="AT327" s="2015">
        <v>3103.4482758620688</v>
      </c>
      <c r="AU327" s="497">
        <v>3103.4482758620688</v>
      </c>
      <c r="AV327" s="497">
        <v>3103.4482758620688</v>
      </c>
      <c r="AW327" s="497">
        <v>3103.4482758620688</v>
      </c>
      <c r="AX327" s="497">
        <v>3103.4482758620688</v>
      </c>
      <c r="AY327" s="2237">
        <v>3103.4482758620688</v>
      </c>
      <c r="AZ327" s="2258">
        <v>3103.4482758620688</v>
      </c>
      <c r="BA327" s="359">
        <v>3103.4482758620688</v>
      </c>
      <c r="BB327" s="497">
        <v>3103.4482758620688</v>
      </c>
      <c r="BC327" s="497">
        <v>3103.4482758620688</v>
      </c>
      <c r="BD327" s="497">
        <v>3103.4482758620688</v>
      </c>
      <c r="BE327" s="497">
        <v>3103.4482758620688</v>
      </c>
      <c r="BF327" s="497">
        <v>3103.4482758620688</v>
      </c>
      <c r="BG327" s="497">
        <v>3103.4482758620688</v>
      </c>
      <c r="BH327" s="497">
        <v>3103.4482758620688</v>
      </c>
      <c r="BI327" s="497">
        <v>3103.4482758620688</v>
      </c>
      <c r="BJ327" s="497">
        <v>3103.4482758620688</v>
      </c>
      <c r="BK327" s="2137">
        <v>3103.4482758620688</v>
      </c>
      <c r="BL327" s="2011">
        <v>3103.4482758620688</v>
      </c>
      <c r="BM327" s="2011">
        <v>3103.4482758620688</v>
      </c>
      <c r="BN327" s="2011">
        <v>3103.4482758620688</v>
      </c>
      <c r="BO327" s="2011">
        <v>3103.4482758620688</v>
      </c>
      <c r="BP327" s="2011">
        <v>3103.4482758620688</v>
      </c>
      <c r="BQ327" s="2403">
        <v>3103.4482758620688</v>
      </c>
      <c r="BR327" s="497"/>
      <c r="BS327" s="497"/>
      <c r="BT327" s="497"/>
      <c r="BU327" s="497"/>
      <c r="BV327" s="497"/>
      <c r="BW327" s="2060"/>
      <c r="BX327" s="2417"/>
      <c r="BY327" s="2549"/>
      <c r="BZ327" s="2549"/>
      <c r="CA327" s="2435">
        <f t="shared" si="360"/>
        <v>89999.999999997992</v>
      </c>
      <c r="CB327" s="2380">
        <f t="shared" si="361"/>
        <v>1</v>
      </c>
      <c r="CC327" s="365">
        <f t="shared" si="362"/>
        <v>1.1111111111111359E-5</v>
      </c>
      <c r="CD327" s="1380" t="str">
        <f t="shared" si="363"/>
        <v>0,00%</v>
      </c>
      <c r="CE327" s="1381">
        <f t="shared" si="364"/>
        <v>-89999.999999997992</v>
      </c>
      <c r="CF327" s="1381"/>
      <c r="CG327" s="501"/>
      <c r="CH327" s="502"/>
      <c r="CI327" s="503"/>
      <c r="CJ327" s="504"/>
      <c r="CK327" s="505"/>
      <c r="CL327" s="329">
        <f t="shared" si="298"/>
        <v>-89999.999999997992</v>
      </c>
      <c r="CM327" s="330">
        <f t="shared" si="299"/>
        <v>0</v>
      </c>
      <c r="CN327" s="331"/>
      <c r="CO327" s="86"/>
      <c r="CP327" s="86">
        <f t="shared" si="422"/>
        <v>0</v>
      </c>
      <c r="CQ327" s="86"/>
      <c r="CR327" s="86"/>
      <c r="CS327" s="86"/>
      <c r="CT327" s="86"/>
      <c r="CU327" s="86"/>
      <c r="CV327" s="86"/>
      <c r="CW327" s="86"/>
      <c r="CX327" s="86"/>
      <c r="CY327" s="86"/>
      <c r="CZ327" s="86"/>
      <c r="DA327" s="86"/>
      <c r="DB327" s="32"/>
      <c r="DC327" s="32"/>
      <c r="DD327" s="35"/>
      <c r="DE327" s="35"/>
      <c r="DF327" s="35"/>
      <c r="DG327" s="1642"/>
      <c r="DH327" s="1642"/>
      <c r="DI327" s="1642"/>
      <c r="DJ327" s="1642"/>
      <c r="DK327" s="1642"/>
      <c r="DL327" s="1642"/>
      <c r="DM327" s="1642"/>
      <c r="DN327" s="1642"/>
      <c r="DO327" s="1642"/>
      <c r="DP327" s="1642"/>
      <c r="DQ327" s="1642"/>
      <c r="DR327" s="1642"/>
      <c r="DS327" s="1642"/>
      <c r="DT327" s="1642"/>
      <c r="DU327" s="1642"/>
      <c r="DV327" s="1642"/>
      <c r="DW327" s="1642"/>
      <c r="DX327" s="1642"/>
      <c r="DY327" s="1642"/>
      <c r="DZ327" s="1642"/>
      <c r="EA327" s="1642"/>
      <c r="EB327" s="1642"/>
      <c r="EC327" s="1642"/>
      <c r="ED327" s="1642"/>
      <c r="EE327" s="1642"/>
      <c r="EF327" s="1642"/>
      <c r="EG327" s="1642"/>
      <c r="EH327" s="35"/>
      <c r="EI327" s="1658"/>
      <c r="EJ327" s="35"/>
      <c r="EK327" s="35"/>
      <c r="EL327" s="35"/>
      <c r="EM327" s="35"/>
      <c r="EN327" s="35"/>
      <c r="EO327" s="35"/>
      <c r="EP327" s="35"/>
      <c r="EQ327" s="35"/>
      <c r="ER327" s="35"/>
      <c r="ES327" s="35"/>
      <c r="ET327" s="35"/>
      <c r="EU327" s="35"/>
      <c r="EV327" s="35"/>
      <c r="EW327" s="35"/>
      <c r="EX327" s="35"/>
      <c r="EY327" s="35"/>
      <c r="EZ327" s="35"/>
      <c r="FA327" s="35"/>
      <c r="FB327" s="35"/>
      <c r="FC327" s="35"/>
      <c r="FD327" s="35"/>
      <c r="FE327" s="35"/>
      <c r="FF327" s="35"/>
      <c r="FG327" s="35"/>
      <c r="FH327" s="35"/>
      <c r="FI327" s="35"/>
      <c r="FJ327" s="35"/>
      <c r="FK327" s="35"/>
      <c r="FL327" s="35"/>
      <c r="FM327" s="35"/>
      <c r="FN327" s="35"/>
      <c r="FO327" s="35"/>
      <c r="FP327" s="35"/>
      <c r="FQ327" s="35"/>
      <c r="FR327" s="35"/>
      <c r="FS327" s="35"/>
      <c r="FT327" s="35"/>
      <c r="FU327" s="35"/>
      <c r="FV327" s="35"/>
      <c r="FW327" s="35"/>
      <c r="FX327" s="35"/>
      <c r="FY327" s="35"/>
      <c r="FZ327" s="35"/>
      <c r="GA327" s="35"/>
      <c r="GB327" s="35"/>
      <c r="GC327" s="35"/>
      <c r="GD327" s="35"/>
      <c r="GE327" s="35"/>
      <c r="GF327" s="35"/>
      <c r="GG327" s="35"/>
      <c r="GH327" s="35"/>
      <c r="GI327" s="35"/>
      <c r="GJ327" s="35"/>
      <c r="GK327" s="35"/>
      <c r="GL327" s="35"/>
      <c r="GM327" s="35"/>
      <c r="GN327" s="35"/>
      <c r="GO327" s="35"/>
      <c r="GP327" s="35"/>
      <c r="GQ327" s="35"/>
      <c r="GR327" s="35"/>
      <c r="GS327" s="35"/>
      <c r="GT327" s="35"/>
      <c r="GU327" s="35"/>
      <c r="GV327" s="35"/>
      <c r="GW327" s="35"/>
      <c r="GX327" s="35"/>
      <c r="GY327" s="35"/>
      <c r="GZ327" s="35"/>
      <c r="HA327" s="35"/>
      <c r="HB327" s="35"/>
      <c r="HC327" s="35"/>
      <c r="HD327" s="35"/>
      <c r="HE327" s="35"/>
      <c r="HF327" s="35"/>
      <c r="HG327" s="35"/>
      <c r="HH327" s="35"/>
      <c r="HI327" s="35"/>
      <c r="HJ327" s="35"/>
      <c r="HK327" s="35"/>
      <c r="HL327" s="35"/>
      <c r="HM327" s="35"/>
      <c r="HN327" s="35"/>
      <c r="HO327" s="35"/>
      <c r="HP327" s="35"/>
      <c r="HQ327" s="35"/>
      <c r="HR327" s="35"/>
      <c r="HS327" s="35"/>
      <c r="HT327" s="35"/>
      <c r="HU327" s="35"/>
      <c r="HV327" s="35"/>
      <c r="HW327" s="35"/>
      <c r="HX327" s="35"/>
      <c r="HY327" s="35"/>
      <c r="HZ327" s="35"/>
      <c r="IA327" s="35"/>
      <c r="IB327" s="35"/>
      <c r="IC327" s="35"/>
      <c r="ID327" s="35"/>
      <c r="IE327" s="35"/>
      <c r="IF327" s="35"/>
      <c r="IG327" s="35"/>
      <c r="IH327" s="35"/>
      <c r="II327" s="35"/>
      <c r="IJ327" s="35"/>
      <c r="IK327" s="35"/>
      <c r="IL327" s="35"/>
      <c r="IM327" s="35"/>
      <c r="IN327" s="35"/>
      <c r="IO327" s="35"/>
      <c r="IP327" s="35"/>
      <c r="IQ327" s="35"/>
      <c r="IR327" s="35"/>
      <c r="IS327" s="35"/>
      <c r="IT327" s="35"/>
      <c r="IU327" s="35"/>
      <c r="IV327" s="35"/>
      <c r="IW327" s="35"/>
      <c r="IX327" s="35"/>
      <c r="IY327" s="35"/>
      <c r="IZ327" s="35"/>
      <c r="JA327" s="35"/>
      <c r="JB327" s="35"/>
      <c r="JC327" s="35"/>
      <c r="JD327" s="35"/>
      <c r="JE327" s="35"/>
      <c r="JF327" s="35"/>
      <c r="JG327" s="35"/>
      <c r="JH327" s="35"/>
      <c r="JI327" s="35"/>
      <c r="JJ327" s="35"/>
      <c r="JK327" s="35"/>
      <c r="JL327" s="35"/>
      <c r="JM327" s="35"/>
      <c r="JN327" s="35"/>
      <c r="JO327" s="35"/>
      <c r="JP327" s="35"/>
      <c r="JQ327" s="35"/>
      <c r="JR327" s="35"/>
      <c r="JS327" s="35"/>
      <c r="JT327" s="35"/>
      <c r="JU327" s="35"/>
      <c r="JV327" s="35"/>
      <c r="JW327" s="35"/>
      <c r="JX327" s="35"/>
      <c r="JY327" s="35"/>
      <c r="JZ327" s="35"/>
      <c r="KA327" s="35"/>
      <c r="KB327" s="35"/>
      <c r="KC327" s="35"/>
      <c r="KD327" s="35"/>
      <c r="KE327" s="35"/>
      <c r="KF327" s="35"/>
      <c r="KG327" s="35"/>
      <c r="KH327" s="35"/>
      <c r="KI327" s="35"/>
      <c r="KJ327" s="35"/>
      <c r="KK327" s="35"/>
      <c r="KL327" s="35"/>
      <c r="KM327" s="35"/>
      <c r="KN327" s="35"/>
      <c r="KO327" s="35"/>
      <c r="KP327" s="1633"/>
    </row>
    <row r="328" spans="1:302" s="92" customFormat="1" ht="25.25" customHeight="1" outlineLevel="1">
      <c r="A328" s="1676" t="s">
        <v>131</v>
      </c>
      <c r="B328" s="1993" t="s">
        <v>1160</v>
      </c>
      <c r="C328" s="2765" t="s">
        <v>90</v>
      </c>
      <c r="D328" s="1362" t="s">
        <v>229</v>
      </c>
      <c r="E328" s="1389"/>
      <c r="F328" s="506"/>
      <c r="G328" s="1402"/>
      <c r="H328" s="1391"/>
      <c r="I328" s="2573">
        <v>282880</v>
      </c>
      <c r="J328" s="1672"/>
      <c r="K328" s="1697"/>
      <c r="L328" s="1697"/>
      <c r="M328" s="1701">
        <v>8840</v>
      </c>
      <c r="N328" s="1697">
        <v>32</v>
      </c>
      <c r="O328" s="1397">
        <f t="shared" si="421"/>
        <v>282880</v>
      </c>
      <c r="P328" s="1671"/>
      <c r="Q328" s="1671"/>
      <c r="R328" s="1671"/>
      <c r="S328" s="1672"/>
      <c r="T328" s="1699"/>
      <c r="U328" s="1700"/>
      <c r="V328" s="1700"/>
      <c r="W328" s="1672">
        <f t="shared" si="367"/>
        <v>282880</v>
      </c>
      <c r="X328" s="1672"/>
      <c r="Y328" s="1699"/>
      <c r="Z328" s="1700"/>
      <c r="AA328" s="1699"/>
      <c r="AB328" s="2727">
        <f>SUM(AM328:BZ328)</f>
        <v>74680</v>
      </c>
      <c r="AC328" s="1444"/>
      <c r="AD328" s="1467"/>
      <c r="AE328" s="510"/>
      <c r="AF328" s="497"/>
      <c r="AG328" s="2529">
        <v>1</v>
      </c>
      <c r="AH328" s="1397">
        <f t="shared" ref="AH328:AH333" si="434">+AF328*AG328</f>
        <v>0</v>
      </c>
      <c r="AI328" s="355">
        <f t="shared" ref="AI328:AI412" si="435">SUMIF($AM$10:$BZ$10,$AI$9,AM328:BZ328)</f>
        <v>0</v>
      </c>
      <c r="AJ328" s="351">
        <f t="shared" si="353"/>
        <v>0</v>
      </c>
      <c r="AK328" s="351"/>
      <c r="AL328" s="1398"/>
      <c r="AM328" s="2273"/>
      <c r="AN328" s="2273"/>
      <c r="AO328" s="497"/>
      <c r="AP328" s="497"/>
      <c r="AQ328" s="497"/>
      <c r="AR328" s="497"/>
      <c r="AS328" s="497"/>
      <c r="AT328" s="2015"/>
      <c r="AU328" s="497"/>
      <c r="AV328" s="497"/>
      <c r="AW328" s="497"/>
      <c r="AX328" s="497"/>
      <c r="AY328" s="2237"/>
      <c r="AZ328" s="2273"/>
      <c r="BA328" s="497"/>
      <c r="BB328" s="497"/>
      <c r="BC328" s="497"/>
      <c r="BD328" s="497"/>
      <c r="BE328" s="497"/>
      <c r="BF328" s="497"/>
      <c r="BG328" s="497"/>
      <c r="BH328" s="497"/>
      <c r="BI328" s="497"/>
      <c r="BJ328" s="497"/>
      <c r="BK328" s="2137">
        <v>3960</v>
      </c>
      <c r="BL328" s="2011">
        <v>8840</v>
      </c>
      <c r="BM328" s="2011">
        <v>8840</v>
      </c>
      <c r="BN328" s="2011">
        <v>8840</v>
      </c>
      <c r="BO328" s="2011">
        <v>8840</v>
      </c>
      <c r="BP328" s="2011">
        <v>8840</v>
      </c>
      <c r="BQ328" s="2403">
        <v>8840</v>
      </c>
      <c r="BR328" s="497">
        <v>8840</v>
      </c>
      <c r="BS328" s="497">
        <v>8840</v>
      </c>
      <c r="BT328" s="497"/>
      <c r="BU328" s="497"/>
      <c r="BV328" s="497"/>
      <c r="BW328" s="2060"/>
      <c r="BX328" s="2417"/>
      <c r="BY328" s="2549"/>
      <c r="BZ328" s="2549"/>
      <c r="CA328" s="2435">
        <f t="shared" si="360"/>
        <v>74680</v>
      </c>
      <c r="CB328" s="2380">
        <f t="shared" si="361"/>
        <v>1</v>
      </c>
      <c r="CC328" s="365">
        <f t="shared" si="362"/>
        <v>1.339046598821639E-5</v>
      </c>
      <c r="CD328" s="1380">
        <f t="shared" si="363"/>
        <v>0.73600113122171951</v>
      </c>
      <c r="CE328" s="1381">
        <f t="shared" si="364"/>
        <v>208200</v>
      </c>
      <c r="CF328" s="1381"/>
      <c r="CG328" s="501"/>
      <c r="CH328" s="502"/>
      <c r="CI328" s="503"/>
      <c r="CJ328" s="504"/>
      <c r="CK328" s="505"/>
      <c r="CL328" s="329">
        <f t="shared" si="298"/>
        <v>208200</v>
      </c>
      <c r="CM328" s="330">
        <f t="shared" si="299"/>
        <v>0</v>
      </c>
      <c r="CN328" s="331">
        <f t="shared" si="369"/>
        <v>-74680</v>
      </c>
      <c r="CO328" s="86"/>
      <c r="CP328" s="86">
        <f t="shared" si="422"/>
        <v>0</v>
      </c>
      <c r="CQ328" s="86"/>
      <c r="CR328" s="86"/>
      <c r="CS328" s="86"/>
      <c r="CT328" s="86"/>
      <c r="CU328" s="86"/>
      <c r="CV328" s="86"/>
      <c r="CW328" s="86"/>
      <c r="CX328" s="86"/>
      <c r="CY328" s="86"/>
      <c r="CZ328" s="86"/>
      <c r="DA328" s="86"/>
      <c r="DB328" s="32"/>
      <c r="DC328" s="32"/>
      <c r="DD328" s="35"/>
      <c r="DE328" s="35"/>
      <c r="DF328" s="35"/>
      <c r="DG328" s="1642"/>
      <c r="DH328" s="1642"/>
      <c r="DI328" s="1642"/>
      <c r="DJ328" s="1642"/>
      <c r="DK328" s="1642"/>
      <c r="DL328" s="1642"/>
      <c r="DM328" s="1642"/>
      <c r="DN328" s="1642"/>
      <c r="DO328" s="1642"/>
      <c r="DP328" s="1642"/>
      <c r="DQ328" s="1642"/>
      <c r="DR328" s="1642"/>
      <c r="DS328" s="1642"/>
      <c r="DT328" s="1642"/>
      <c r="DU328" s="1642"/>
      <c r="DV328" s="1642"/>
      <c r="DW328" s="1642"/>
      <c r="DX328" s="1642"/>
      <c r="DY328" s="1642"/>
      <c r="DZ328" s="1642"/>
      <c r="EA328" s="1642"/>
      <c r="EB328" s="1642"/>
      <c r="EC328" s="1642"/>
      <c r="ED328" s="1642"/>
      <c r="EE328" s="1642"/>
      <c r="EF328" s="1642"/>
      <c r="EG328" s="1642"/>
      <c r="EH328" s="35"/>
      <c r="EI328" s="1658"/>
      <c r="EJ328" s="35"/>
      <c r="EK328" s="35"/>
      <c r="EL328" s="35"/>
      <c r="EM328" s="35"/>
      <c r="EN328" s="35"/>
      <c r="EO328" s="35"/>
      <c r="EP328" s="35"/>
      <c r="EQ328" s="35"/>
      <c r="ER328" s="35"/>
      <c r="ES328" s="35"/>
      <c r="ET328" s="35"/>
      <c r="EU328" s="35"/>
      <c r="EV328" s="35"/>
      <c r="EW328" s="35"/>
      <c r="EX328" s="35"/>
      <c r="EY328" s="35"/>
      <c r="EZ328" s="35"/>
      <c r="FA328" s="35"/>
      <c r="FB328" s="35"/>
      <c r="FC328" s="35"/>
      <c r="FD328" s="35"/>
      <c r="FE328" s="35"/>
      <c r="FF328" s="35"/>
      <c r="FG328" s="35"/>
      <c r="FH328" s="35"/>
      <c r="FI328" s="35"/>
      <c r="FJ328" s="35"/>
      <c r="FK328" s="35"/>
      <c r="FL328" s="35"/>
      <c r="FM328" s="35"/>
      <c r="FN328" s="35"/>
      <c r="FO328" s="35"/>
      <c r="FP328" s="35"/>
      <c r="FQ328" s="35"/>
      <c r="FR328" s="35"/>
      <c r="FS328" s="35"/>
      <c r="FT328" s="35"/>
      <c r="FU328" s="35"/>
      <c r="FV328" s="35"/>
      <c r="FW328" s="35"/>
      <c r="FX328" s="35"/>
      <c r="FY328" s="35"/>
      <c r="FZ328" s="35"/>
      <c r="GA328" s="35"/>
      <c r="GB328" s="35"/>
      <c r="GC328" s="35"/>
      <c r="GD328" s="35"/>
      <c r="GE328" s="35"/>
      <c r="GF328" s="35"/>
      <c r="GG328" s="35"/>
      <c r="GH328" s="35"/>
      <c r="GI328" s="35"/>
      <c r="GJ328" s="35"/>
      <c r="GK328" s="35"/>
      <c r="GL328" s="35"/>
      <c r="GM328" s="35"/>
      <c r="GN328" s="35"/>
      <c r="GO328" s="35"/>
      <c r="GP328" s="35"/>
      <c r="GQ328" s="35"/>
      <c r="GR328" s="35"/>
      <c r="GS328" s="35"/>
      <c r="GT328" s="35"/>
      <c r="GU328" s="35"/>
      <c r="GV328" s="35"/>
      <c r="GW328" s="35"/>
      <c r="GX328" s="35"/>
      <c r="GY328" s="35"/>
      <c r="GZ328" s="35"/>
      <c r="HA328" s="35"/>
      <c r="HB328" s="35"/>
      <c r="HC328" s="35"/>
      <c r="HD328" s="35"/>
      <c r="HE328" s="35"/>
      <c r="HF328" s="35"/>
      <c r="HG328" s="35"/>
      <c r="HH328" s="35"/>
      <c r="HI328" s="35"/>
      <c r="HJ328" s="35"/>
      <c r="HK328" s="35"/>
      <c r="HL328" s="35"/>
      <c r="HM328" s="35"/>
      <c r="HN328" s="35"/>
      <c r="HO328" s="35"/>
      <c r="HP328" s="35"/>
      <c r="HQ328" s="35"/>
      <c r="HR328" s="35"/>
      <c r="HS328" s="35"/>
      <c r="HT328" s="35"/>
      <c r="HU328" s="35"/>
      <c r="HV328" s="35"/>
      <c r="HW328" s="35"/>
      <c r="HX328" s="35"/>
      <c r="HY328" s="35"/>
      <c r="HZ328" s="35"/>
      <c r="IA328" s="35"/>
      <c r="IB328" s="35"/>
      <c r="IC328" s="35"/>
      <c r="ID328" s="35"/>
      <c r="IE328" s="35"/>
      <c r="IF328" s="35"/>
      <c r="IG328" s="35"/>
      <c r="IH328" s="35"/>
      <c r="II328" s="35"/>
      <c r="IJ328" s="35"/>
      <c r="IK328" s="35"/>
      <c r="IL328" s="35"/>
      <c r="IM328" s="35"/>
      <c r="IN328" s="35"/>
      <c r="IO328" s="35"/>
      <c r="IP328" s="35"/>
      <c r="IQ328" s="35"/>
      <c r="IR328" s="35"/>
      <c r="IS328" s="35"/>
      <c r="IT328" s="35"/>
      <c r="IU328" s="35"/>
      <c r="IV328" s="35"/>
      <c r="IW328" s="35"/>
      <c r="IX328" s="35"/>
      <c r="IY328" s="35"/>
      <c r="IZ328" s="35"/>
      <c r="JA328" s="35"/>
      <c r="JB328" s="35"/>
      <c r="JC328" s="35"/>
      <c r="JD328" s="35"/>
      <c r="JE328" s="35"/>
      <c r="JF328" s="35"/>
      <c r="JG328" s="35"/>
      <c r="JH328" s="35"/>
      <c r="JI328" s="35"/>
      <c r="JJ328" s="35"/>
      <c r="JK328" s="35"/>
      <c r="JL328" s="35"/>
      <c r="JM328" s="35"/>
      <c r="JN328" s="35"/>
      <c r="JO328" s="35"/>
      <c r="JP328" s="35"/>
      <c r="JQ328" s="35"/>
      <c r="JR328" s="35"/>
      <c r="JS328" s="35"/>
      <c r="JT328" s="35"/>
      <c r="JU328" s="35"/>
      <c r="JV328" s="35"/>
      <c r="JW328" s="35"/>
      <c r="JX328" s="35"/>
      <c r="JY328" s="35"/>
      <c r="JZ328" s="35"/>
      <c r="KA328" s="35"/>
      <c r="KB328" s="35"/>
      <c r="KC328" s="35"/>
      <c r="KD328" s="35"/>
      <c r="KE328" s="35"/>
      <c r="KF328" s="35"/>
      <c r="KG328" s="35"/>
      <c r="KH328" s="35"/>
      <c r="KI328" s="35"/>
      <c r="KJ328" s="35"/>
      <c r="KK328" s="35"/>
      <c r="KL328" s="35"/>
      <c r="KM328" s="35"/>
      <c r="KN328" s="35"/>
      <c r="KO328" s="35"/>
      <c r="KP328" s="1633"/>
    </row>
    <row r="329" spans="1:302" s="92" customFormat="1" ht="25.25" customHeight="1" outlineLevel="1">
      <c r="A329" s="1676" t="s">
        <v>1351</v>
      </c>
      <c r="B329" s="1993"/>
      <c r="C329" s="2765" t="s">
        <v>1352</v>
      </c>
      <c r="D329" s="1362"/>
      <c r="E329" s="1389"/>
      <c r="F329" s="506"/>
      <c r="G329" s="1402"/>
      <c r="H329" s="1391"/>
      <c r="I329" s="2573">
        <v>0</v>
      </c>
      <c r="J329" s="1672"/>
      <c r="K329" s="1697"/>
      <c r="L329" s="1697"/>
      <c r="M329" s="1701"/>
      <c r="N329" s="1697"/>
      <c r="O329" s="1397">
        <f t="shared" si="421"/>
        <v>0</v>
      </c>
      <c r="P329" s="1671"/>
      <c r="Q329" s="1671"/>
      <c r="R329" s="1671"/>
      <c r="S329" s="1672"/>
      <c r="T329" s="1699"/>
      <c r="U329" s="1700"/>
      <c r="V329" s="1700"/>
      <c r="W329" s="1672">
        <f t="shared" si="367"/>
        <v>0</v>
      </c>
      <c r="X329" s="1672"/>
      <c r="Y329" s="1699"/>
      <c r="Z329" s="1700"/>
      <c r="AA329" s="1699"/>
      <c r="AB329" s="1397">
        <f t="shared" ref="AB329:AB330" si="436">SUM(AM329:BZ329)</f>
        <v>178200</v>
      </c>
      <c r="AC329" s="1444" t="s">
        <v>1353</v>
      </c>
      <c r="AD329" s="1467">
        <v>4502976093</v>
      </c>
      <c r="AE329" s="510" t="s">
        <v>564</v>
      </c>
      <c r="AF329" s="497">
        <v>178200</v>
      </c>
      <c r="AG329" s="2529">
        <v>1</v>
      </c>
      <c r="AH329" s="1397">
        <f t="shared" si="434"/>
        <v>178200</v>
      </c>
      <c r="AI329" s="355">
        <f t="shared" ref="AI329" si="437">SUMIF($AM$10:$BZ$10,$AI$9,AM329:BZ329)</f>
        <v>0</v>
      </c>
      <c r="AJ329" s="351">
        <f t="shared" ref="AJ329" si="438">IF($AB329&lt;&gt;0,AI329/$AB329,"")</f>
        <v>0</v>
      </c>
      <c r="AK329" s="351"/>
      <c r="AL329" s="1398"/>
      <c r="AM329" s="2273"/>
      <c r="AN329" s="2273"/>
      <c r="AO329" s="497"/>
      <c r="AP329" s="2729">
        <v>6600</v>
      </c>
      <c r="AQ329" s="497">
        <v>6600</v>
      </c>
      <c r="AR329" s="497">
        <v>6600</v>
      </c>
      <c r="AS329" s="497">
        <v>6600</v>
      </c>
      <c r="AT329" s="2015">
        <v>6600</v>
      </c>
      <c r="AU329" s="497">
        <v>6600</v>
      </c>
      <c r="AV329" s="497">
        <f>6600+6600</f>
        <v>13200</v>
      </c>
      <c r="AW329" s="497">
        <v>6600</v>
      </c>
      <c r="AX329" s="497">
        <v>6600</v>
      </c>
      <c r="AY329" s="2237">
        <v>6600</v>
      </c>
      <c r="AZ329" s="2273">
        <v>6600</v>
      </c>
      <c r="BA329" s="497">
        <v>6600</v>
      </c>
      <c r="BB329" s="497">
        <v>6600</v>
      </c>
      <c r="BC329" s="497">
        <v>6600</v>
      </c>
      <c r="BD329" s="497">
        <v>6600</v>
      </c>
      <c r="BE329" s="497">
        <v>6600</v>
      </c>
      <c r="BF329" s="497">
        <v>6600</v>
      </c>
      <c r="BG329" s="497">
        <v>6600</v>
      </c>
      <c r="BH329" s="497">
        <v>6600</v>
      </c>
      <c r="BI329" s="497">
        <v>6600</v>
      </c>
      <c r="BJ329" s="497">
        <v>6600</v>
      </c>
      <c r="BK329" s="2137">
        <v>6600</v>
      </c>
      <c r="BL329" s="2011">
        <v>6600</v>
      </c>
      <c r="BM329" s="2011">
        <v>6600</v>
      </c>
      <c r="BN329" s="2011">
        <v>6600</v>
      </c>
      <c r="BO329" s="2011">
        <v>6600</v>
      </c>
      <c r="BP329" s="2011"/>
      <c r="BQ329" s="2403"/>
      <c r="BR329" s="497"/>
      <c r="BS329" s="497"/>
      <c r="BT329" s="497"/>
      <c r="BU329" s="497"/>
      <c r="BV329" s="497"/>
      <c r="BW329" s="2060"/>
      <c r="BX329" s="2417"/>
      <c r="BY329" s="2549"/>
      <c r="BZ329" s="2549"/>
      <c r="CA329" s="2435">
        <f t="shared" si="360"/>
        <v>178200</v>
      </c>
      <c r="CB329" s="2380">
        <f t="shared" si="361"/>
        <v>1</v>
      </c>
      <c r="CC329" s="365">
        <f t="shared" si="362"/>
        <v>5.6116722783389449E-6</v>
      </c>
      <c r="CD329" s="1380" t="str">
        <f t="shared" si="363"/>
        <v>0,00%</v>
      </c>
      <c r="CE329" s="1381">
        <f t="shared" si="364"/>
        <v>-178200</v>
      </c>
      <c r="CF329" s="1381"/>
      <c r="CG329" s="501"/>
      <c r="CH329" s="502"/>
      <c r="CI329" s="503"/>
      <c r="CJ329" s="504"/>
      <c r="CK329" s="505"/>
      <c r="CL329" s="329">
        <f t="shared" si="298"/>
        <v>-178200</v>
      </c>
      <c r="CM329" s="330">
        <f t="shared" si="299"/>
        <v>0</v>
      </c>
      <c r="CN329" s="331"/>
      <c r="CO329" s="86"/>
      <c r="CP329" s="86">
        <f t="shared" si="422"/>
        <v>0</v>
      </c>
      <c r="CQ329" s="86"/>
      <c r="CR329" s="86"/>
      <c r="CS329" s="86"/>
      <c r="CT329" s="86"/>
      <c r="CU329" s="86"/>
      <c r="CV329" s="86"/>
      <c r="CW329" s="86"/>
      <c r="CX329" s="86"/>
      <c r="CY329" s="86"/>
      <c r="CZ329" s="86"/>
      <c r="DA329" s="86"/>
      <c r="DB329" s="32"/>
      <c r="DC329" s="32"/>
      <c r="DD329" s="35"/>
      <c r="DE329" s="35"/>
      <c r="DF329" s="35"/>
      <c r="DG329" s="1642"/>
      <c r="DH329" s="1642"/>
      <c r="DI329" s="1642"/>
      <c r="DJ329" s="1642"/>
      <c r="DK329" s="1642"/>
      <c r="DL329" s="1642"/>
      <c r="DM329" s="1642"/>
      <c r="DN329" s="1642"/>
      <c r="DO329" s="1642"/>
      <c r="DP329" s="1642"/>
      <c r="DQ329" s="1642"/>
      <c r="DR329" s="1642"/>
      <c r="DS329" s="1642"/>
      <c r="DT329" s="1642"/>
      <c r="DU329" s="1642"/>
      <c r="DV329" s="1642"/>
      <c r="DW329" s="1642"/>
      <c r="DX329" s="1642"/>
      <c r="DY329" s="1642"/>
      <c r="DZ329" s="1642"/>
      <c r="EA329" s="1642"/>
      <c r="EB329" s="1642"/>
      <c r="EC329" s="1642"/>
      <c r="ED329" s="1642"/>
      <c r="EE329" s="1642"/>
      <c r="EF329" s="1642"/>
      <c r="EG329" s="1642"/>
      <c r="EH329" s="35"/>
      <c r="EI329" s="1658"/>
      <c r="EJ329" s="35"/>
      <c r="EK329" s="35"/>
      <c r="EL329" s="35"/>
      <c r="EM329" s="35"/>
      <c r="EN329" s="35"/>
      <c r="EO329" s="35"/>
      <c r="EP329" s="35"/>
      <c r="EQ329" s="35"/>
      <c r="ER329" s="35"/>
      <c r="ES329" s="35"/>
      <c r="ET329" s="35"/>
      <c r="EU329" s="35"/>
      <c r="EV329" s="35"/>
      <c r="EW329" s="35"/>
      <c r="EX329" s="35"/>
      <c r="EY329" s="35"/>
      <c r="EZ329" s="35"/>
      <c r="FA329" s="35"/>
      <c r="FB329" s="35"/>
      <c r="FC329" s="35"/>
      <c r="FD329" s="35"/>
      <c r="FE329" s="35"/>
      <c r="FF329" s="35"/>
      <c r="FG329" s="35"/>
      <c r="FH329" s="35"/>
      <c r="FI329" s="35"/>
      <c r="FJ329" s="35"/>
      <c r="FK329" s="35"/>
      <c r="FL329" s="35"/>
      <c r="FM329" s="35"/>
      <c r="FN329" s="35"/>
      <c r="FO329" s="35"/>
      <c r="FP329" s="35"/>
      <c r="FQ329" s="35"/>
      <c r="FR329" s="35"/>
      <c r="FS329" s="35"/>
      <c r="FT329" s="35"/>
      <c r="FU329" s="35"/>
      <c r="FV329" s="35"/>
      <c r="FW329" s="35"/>
      <c r="FX329" s="35"/>
      <c r="FY329" s="35"/>
      <c r="FZ329" s="35"/>
      <c r="GA329" s="35"/>
      <c r="GB329" s="35"/>
      <c r="GC329" s="35"/>
      <c r="GD329" s="35"/>
      <c r="GE329" s="35"/>
      <c r="GF329" s="35"/>
      <c r="GG329" s="35"/>
      <c r="GH329" s="35"/>
      <c r="GI329" s="35"/>
      <c r="GJ329" s="35"/>
      <c r="GK329" s="35"/>
      <c r="GL329" s="35"/>
      <c r="GM329" s="35"/>
      <c r="GN329" s="35"/>
      <c r="GO329" s="35"/>
      <c r="GP329" s="35"/>
      <c r="GQ329" s="35"/>
      <c r="GR329" s="35"/>
      <c r="GS329" s="35"/>
      <c r="GT329" s="35"/>
      <c r="GU329" s="35"/>
      <c r="GV329" s="35"/>
      <c r="GW329" s="35"/>
      <c r="GX329" s="35"/>
      <c r="GY329" s="35"/>
      <c r="GZ329" s="35"/>
      <c r="HA329" s="35"/>
      <c r="HB329" s="35"/>
      <c r="HC329" s="35"/>
      <c r="HD329" s="35"/>
      <c r="HE329" s="35"/>
      <c r="HF329" s="35"/>
      <c r="HG329" s="35"/>
      <c r="HH329" s="35"/>
      <c r="HI329" s="35"/>
      <c r="HJ329" s="35"/>
      <c r="HK329" s="35"/>
      <c r="HL329" s="35"/>
      <c r="HM329" s="35"/>
      <c r="HN329" s="35"/>
      <c r="HO329" s="35"/>
      <c r="HP329" s="35"/>
      <c r="HQ329" s="35"/>
      <c r="HR329" s="35"/>
      <c r="HS329" s="35"/>
      <c r="HT329" s="35"/>
      <c r="HU329" s="35"/>
      <c r="HV329" s="35"/>
      <c r="HW329" s="35"/>
      <c r="HX329" s="35"/>
      <c r="HY329" s="35"/>
      <c r="HZ329" s="35"/>
      <c r="IA329" s="35"/>
      <c r="IB329" s="35"/>
      <c r="IC329" s="35"/>
      <c r="ID329" s="35"/>
      <c r="IE329" s="35"/>
      <c r="IF329" s="35"/>
      <c r="IG329" s="35"/>
      <c r="IH329" s="35"/>
      <c r="II329" s="35"/>
      <c r="IJ329" s="35"/>
      <c r="IK329" s="35"/>
      <c r="IL329" s="35"/>
      <c r="IM329" s="35"/>
      <c r="IN329" s="35"/>
      <c r="IO329" s="35"/>
      <c r="IP329" s="35"/>
      <c r="IQ329" s="35"/>
      <c r="IR329" s="35"/>
      <c r="IS329" s="35"/>
      <c r="IT329" s="35"/>
      <c r="IU329" s="35"/>
      <c r="IV329" s="35"/>
      <c r="IW329" s="35"/>
      <c r="IX329" s="35"/>
      <c r="IY329" s="35"/>
      <c r="IZ329" s="35"/>
      <c r="JA329" s="35"/>
      <c r="JB329" s="35"/>
      <c r="JC329" s="35"/>
      <c r="JD329" s="35"/>
      <c r="JE329" s="35"/>
      <c r="JF329" s="35"/>
      <c r="JG329" s="35"/>
      <c r="JH329" s="35"/>
      <c r="JI329" s="35"/>
      <c r="JJ329" s="35"/>
      <c r="JK329" s="35"/>
      <c r="JL329" s="35"/>
      <c r="JM329" s="35"/>
      <c r="JN329" s="35"/>
      <c r="JO329" s="35"/>
      <c r="JP329" s="35"/>
      <c r="JQ329" s="35"/>
      <c r="JR329" s="35"/>
      <c r="JS329" s="35"/>
      <c r="JT329" s="35"/>
      <c r="JU329" s="35"/>
      <c r="JV329" s="35"/>
      <c r="JW329" s="35"/>
      <c r="JX329" s="35"/>
      <c r="JY329" s="35"/>
      <c r="JZ329" s="35"/>
      <c r="KA329" s="35"/>
      <c r="KB329" s="35"/>
      <c r="KC329" s="35"/>
      <c r="KD329" s="35"/>
      <c r="KE329" s="35"/>
      <c r="KF329" s="35"/>
      <c r="KG329" s="35"/>
      <c r="KH329" s="35"/>
      <c r="KI329" s="35"/>
      <c r="KJ329" s="35"/>
      <c r="KK329" s="35"/>
      <c r="KL329" s="35"/>
      <c r="KM329" s="35"/>
      <c r="KN329" s="35"/>
      <c r="KO329" s="35"/>
      <c r="KP329" s="1633"/>
    </row>
    <row r="330" spans="1:302" s="92" customFormat="1" ht="25.25" customHeight="1" outlineLevel="1">
      <c r="A330" s="1676" t="s">
        <v>1378</v>
      </c>
      <c r="B330" s="1993"/>
      <c r="C330" s="1362" t="s">
        <v>1379</v>
      </c>
      <c r="D330" s="1362"/>
      <c r="E330" s="1389"/>
      <c r="F330" s="506"/>
      <c r="G330" s="1402"/>
      <c r="H330" s="1391"/>
      <c r="I330" s="2573">
        <v>0</v>
      </c>
      <c r="J330" s="1672"/>
      <c r="K330" s="1697"/>
      <c r="L330" s="1697"/>
      <c r="M330" s="1701"/>
      <c r="N330" s="1697"/>
      <c r="O330" s="1397">
        <f t="shared" ref="O330" si="439">I330</f>
        <v>0</v>
      </c>
      <c r="P330" s="1671"/>
      <c r="Q330" s="1671"/>
      <c r="R330" s="1671"/>
      <c r="S330" s="1672"/>
      <c r="T330" s="1699"/>
      <c r="U330" s="1700"/>
      <c r="V330" s="1700"/>
      <c r="W330" s="1672">
        <f t="shared" ref="W330" si="440">O330+S330</f>
        <v>0</v>
      </c>
      <c r="X330" s="1672"/>
      <c r="Y330" s="1699"/>
      <c r="Z330" s="1700"/>
      <c r="AA330" s="1699"/>
      <c r="AB330" s="1397">
        <f t="shared" si="436"/>
        <v>30000</v>
      </c>
      <c r="AC330" s="1444" t="s">
        <v>1380</v>
      </c>
      <c r="AD330" s="1467">
        <v>4502983951</v>
      </c>
      <c r="AE330" s="510" t="s">
        <v>564</v>
      </c>
      <c r="AF330" s="497">
        <v>30000</v>
      </c>
      <c r="AG330" s="2529">
        <v>1</v>
      </c>
      <c r="AH330" s="1397">
        <f t="shared" si="434"/>
        <v>30000</v>
      </c>
      <c r="AI330" s="355">
        <f t="shared" ref="AI330" si="441">SUMIF($AM$10:$BZ$10,$AI$9,AM330:BZ330)</f>
        <v>0</v>
      </c>
      <c r="AJ330" s="351">
        <f t="shared" ref="AJ330" si="442">IF($AB330&lt;&gt;0,AI330/$AB330,"")</f>
        <v>0</v>
      </c>
      <c r="AK330" s="351"/>
      <c r="AL330" s="1398"/>
      <c r="AM330" s="2273"/>
      <c r="AN330" s="2273"/>
      <c r="AO330" s="497"/>
      <c r="AP330" s="497"/>
      <c r="AQ330" s="497">
        <v>1500</v>
      </c>
      <c r="AR330" s="497">
        <v>1500</v>
      </c>
      <c r="AS330" s="497">
        <v>4500</v>
      </c>
      <c r="AT330" s="2015">
        <v>1500</v>
      </c>
      <c r="AU330" s="497">
        <v>1500</v>
      </c>
      <c r="AV330" s="497">
        <v>1500</v>
      </c>
      <c r="AW330" s="497">
        <v>1500</v>
      </c>
      <c r="AX330" s="497">
        <v>1500</v>
      </c>
      <c r="AY330" s="2237">
        <v>1500</v>
      </c>
      <c r="AZ330" s="2273">
        <v>1500</v>
      </c>
      <c r="BA330" s="497">
        <v>1500</v>
      </c>
      <c r="BB330" s="497">
        <v>1500</v>
      </c>
      <c r="BC330" s="497">
        <v>1500</v>
      </c>
      <c r="BD330" s="497">
        <v>1500</v>
      </c>
      <c r="BE330" s="497">
        <v>1500</v>
      </c>
      <c r="BF330" s="497">
        <v>1500</v>
      </c>
      <c r="BG330" s="497">
        <v>1500</v>
      </c>
      <c r="BH330" s="497">
        <v>1500</v>
      </c>
      <c r="BI330" s="497"/>
      <c r="BJ330" s="497"/>
      <c r="BK330" s="2137"/>
      <c r="BL330" s="2011"/>
      <c r="BM330" s="2011"/>
      <c r="BN330" s="2011"/>
      <c r="BO330" s="2011"/>
      <c r="BP330" s="2011"/>
      <c r="BQ330" s="2403"/>
      <c r="BR330" s="497"/>
      <c r="BS330" s="497"/>
      <c r="BT330" s="497"/>
      <c r="BU330" s="497"/>
      <c r="BV330" s="497"/>
      <c r="BW330" s="2060"/>
      <c r="BX330" s="2417"/>
      <c r="BY330" s="2549"/>
      <c r="BZ330" s="2549"/>
      <c r="CA330" s="2435">
        <f t="shared" si="360"/>
        <v>30000</v>
      </c>
      <c r="CB330" s="2380">
        <f t="shared" si="361"/>
        <v>1</v>
      </c>
      <c r="CC330" s="365">
        <f t="shared" si="362"/>
        <v>3.3333333333333335E-5</v>
      </c>
      <c r="CD330" s="1380" t="str">
        <f t="shared" si="363"/>
        <v>0,00%</v>
      </c>
      <c r="CE330" s="1381">
        <f t="shared" si="364"/>
        <v>-30000</v>
      </c>
      <c r="CF330" s="1381"/>
      <c r="CG330" s="501"/>
      <c r="CH330" s="502"/>
      <c r="CI330" s="503"/>
      <c r="CJ330" s="504"/>
      <c r="CK330" s="505"/>
      <c r="CL330" s="329">
        <f t="shared" si="298"/>
        <v>-30000</v>
      </c>
      <c r="CM330" s="330">
        <f t="shared" si="299"/>
        <v>0</v>
      </c>
      <c r="CN330" s="331"/>
      <c r="CO330" s="86"/>
      <c r="CP330" s="86"/>
      <c r="CQ330" s="86"/>
      <c r="CR330" s="86"/>
      <c r="CS330" s="86"/>
      <c r="CT330" s="86"/>
      <c r="CU330" s="86"/>
      <c r="CV330" s="86"/>
      <c r="CW330" s="86"/>
      <c r="CX330" s="86"/>
      <c r="CY330" s="86"/>
      <c r="CZ330" s="86"/>
      <c r="DA330" s="86"/>
      <c r="DB330" s="32"/>
      <c r="DC330" s="32"/>
      <c r="DD330" s="35"/>
      <c r="DE330" s="35"/>
      <c r="DF330" s="35"/>
      <c r="DG330" s="1642"/>
      <c r="DH330" s="1642"/>
      <c r="DI330" s="1642"/>
      <c r="DJ330" s="1642"/>
      <c r="DK330" s="1642"/>
      <c r="DL330" s="1642"/>
      <c r="DM330" s="1642"/>
      <c r="DN330" s="1642"/>
      <c r="DO330" s="1642"/>
      <c r="DP330" s="1642"/>
      <c r="DQ330" s="1642"/>
      <c r="DR330" s="1642"/>
      <c r="DS330" s="1642"/>
      <c r="DT330" s="1642"/>
      <c r="DU330" s="1642"/>
      <c r="DV330" s="1642"/>
      <c r="DW330" s="1642"/>
      <c r="DX330" s="1642"/>
      <c r="DY330" s="1642"/>
      <c r="DZ330" s="1642"/>
      <c r="EA330" s="1642"/>
      <c r="EB330" s="1642"/>
      <c r="EC330" s="1642"/>
      <c r="ED330" s="1642"/>
      <c r="EE330" s="1642"/>
      <c r="EF330" s="1642"/>
      <c r="EG330" s="1642"/>
      <c r="EH330" s="35"/>
      <c r="EI330" s="1658"/>
      <c r="EJ330" s="35"/>
      <c r="EK330" s="35"/>
      <c r="EL330" s="35"/>
      <c r="EM330" s="35"/>
      <c r="EN330" s="35"/>
      <c r="EO330" s="35"/>
      <c r="EP330" s="35"/>
      <c r="EQ330" s="35"/>
      <c r="ER330" s="35"/>
      <c r="ES330" s="35"/>
      <c r="ET330" s="35"/>
      <c r="EU330" s="35"/>
      <c r="EV330" s="35"/>
      <c r="EW330" s="35"/>
      <c r="EX330" s="35"/>
      <c r="EY330" s="35"/>
      <c r="EZ330" s="35"/>
      <c r="FA330" s="35"/>
      <c r="FB330" s="35"/>
      <c r="FC330" s="35"/>
      <c r="FD330" s="35"/>
      <c r="FE330" s="35"/>
      <c r="FF330" s="35"/>
      <c r="FG330" s="35"/>
      <c r="FH330" s="35"/>
      <c r="FI330" s="35"/>
      <c r="FJ330" s="35"/>
      <c r="FK330" s="35"/>
      <c r="FL330" s="35"/>
      <c r="FM330" s="35"/>
      <c r="FN330" s="35"/>
      <c r="FO330" s="35"/>
      <c r="FP330" s="35"/>
      <c r="FQ330" s="35"/>
      <c r="FR330" s="35"/>
      <c r="FS330" s="35"/>
      <c r="FT330" s="35"/>
      <c r="FU330" s="35"/>
      <c r="FV330" s="35"/>
      <c r="FW330" s="35"/>
      <c r="FX330" s="35"/>
      <c r="FY330" s="35"/>
      <c r="FZ330" s="35"/>
      <c r="GA330" s="35"/>
      <c r="GB330" s="35"/>
      <c r="GC330" s="35"/>
      <c r="GD330" s="35"/>
      <c r="GE330" s="35"/>
      <c r="GF330" s="35"/>
      <c r="GG330" s="35"/>
      <c r="GH330" s="35"/>
      <c r="GI330" s="35"/>
      <c r="GJ330" s="35"/>
      <c r="GK330" s="35"/>
      <c r="GL330" s="35"/>
      <c r="GM330" s="35"/>
      <c r="GN330" s="35"/>
      <c r="GO330" s="35"/>
      <c r="GP330" s="35"/>
      <c r="GQ330" s="35"/>
      <c r="GR330" s="35"/>
      <c r="GS330" s="35"/>
      <c r="GT330" s="35"/>
      <c r="GU330" s="35"/>
      <c r="GV330" s="35"/>
      <c r="GW330" s="35"/>
      <c r="GX330" s="35"/>
      <c r="GY330" s="35"/>
      <c r="GZ330" s="35"/>
      <c r="HA330" s="35"/>
      <c r="HB330" s="35"/>
      <c r="HC330" s="35"/>
      <c r="HD330" s="35"/>
      <c r="HE330" s="35"/>
      <c r="HF330" s="35"/>
      <c r="HG330" s="35"/>
      <c r="HH330" s="35"/>
      <c r="HI330" s="35"/>
      <c r="HJ330" s="35"/>
      <c r="HK330" s="35"/>
      <c r="HL330" s="35"/>
      <c r="HM330" s="35"/>
      <c r="HN330" s="35"/>
      <c r="HO330" s="35"/>
      <c r="HP330" s="35"/>
      <c r="HQ330" s="35"/>
      <c r="HR330" s="35"/>
      <c r="HS330" s="35"/>
      <c r="HT330" s="35"/>
      <c r="HU330" s="35"/>
      <c r="HV330" s="35"/>
      <c r="HW330" s="35"/>
      <c r="HX330" s="35"/>
      <c r="HY330" s="35"/>
      <c r="HZ330" s="35"/>
      <c r="IA330" s="35"/>
      <c r="IB330" s="35"/>
      <c r="IC330" s="35"/>
      <c r="ID330" s="35"/>
      <c r="IE330" s="35"/>
      <c r="IF330" s="35"/>
      <c r="IG330" s="35"/>
      <c r="IH330" s="35"/>
      <c r="II330" s="35"/>
      <c r="IJ330" s="35"/>
      <c r="IK330" s="35"/>
      <c r="IL330" s="35"/>
      <c r="IM330" s="35"/>
      <c r="IN330" s="35"/>
      <c r="IO330" s="35"/>
      <c r="IP330" s="35"/>
      <c r="IQ330" s="35"/>
      <c r="IR330" s="35"/>
      <c r="IS330" s="35"/>
      <c r="IT330" s="35"/>
      <c r="IU330" s="35"/>
      <c r="IV330" s="35"/>
      <c r="IW330" s="35"/>
      <c r="IX330" s="35"/>
      <c r="IY330" s="35"/>
      <c r="IZ330" s="35"/>
      <c r="JA330" s="35"/>
      <c r="JB330" s="35"/>
      <c r="JC330" s="35"/>
      <c r="JD330" s="35"/>
      <c r="JE330" s="35"/>
      <c r="JF330" s="35"/>
      <c r="JG330" s="35"/>
      <c r="JH330" s="35"/>
      <c r="JI330" s="35"/>
      <c r="JJ330" s="35"/>
      <c r="JK330" s="35"/>
      <c r="JL330" s="35"/>
      <c r="JM330" s="35"/>
      <c r="JN330" s="35"/>
      <c r="JO330" s="35"/>
      <c r="JP330" s="35"/>
      <c r="JQ330" s="35"/>
      <c r="JR330" s="35"/>
      <c r="JS330" s="35"/>
      <c r="JT330" s="35"/>
      <c r="JU330" s="35"/>
      <c r="JV330" s="35"/>
      <c r="JW330" s="35"/>
      <c r="JX330" s="35"/>
      <c r="JY330" s="35"/>
      <c r="JZ330" s="35"/>
      <c r="KA330" s="35"/>
      <c r="KB330" s="35"/>
      <c r="KC330" s="35"/>
      <c r="KD330" s="35"/>
      <c r="KE330" s="35"/>
      <c r="KF330" s="35"/>
      <c r="KG330" s="35"/>
      <c r="KH330" s="35"/>
      <c r="KI330" s="35"/>
      <c r="KJ330" s="35"/>
      <c r="KK330" s="35"/>
      <c r="KL330" s="35"/>
      <c r="KM330" s="35"/>
      <c r="KN330" s="35"/>
      <c r="KO330" s="35"/>
      <c r="KP330" s="1633"/>
    </row>
    <row r="331" spans="1:302" s="92" customFormat="1" ht="25.25" customHeight="1" outlineLevel="1">
      <c r="A331" s="1676" t="s">
        <v>132</v>
      </c>
      <c r="B331" s="1993" t="s">
        <v>1161</v>
      </c>
      <c r="C331" s="1362" t="s">
        <v>109</v>
      </c>
      <c r="D331" s="1362" t="s">
        <v>287</v>
      </c>
      <c r="E331" s="1389"/>
      <c r="F331" s="506"/>
      <c r="G331" s="1402"/>
      <c r="H331" s="1391"/>
      <c r="I331" s="2573">
        <v>84320</v>
      </c>
      <c r="J331" s="1672"/>
      <c r="K331" s="1697"/>
      <c r="L331" s="1697"/>
      <c r="M331" s="1701">
        <v>2635</v>
      </c>
      <c r="N331" s="1697">
        <v>32</v>
      </c>
      <c r="O331" s="1397">
        <f t="shared" si="421"/>
        <v>84320</v>
      </c>
      <c r="P331" s="1671"/>
      <c r="Q331" s="1671"/>
      <c r="R331" s="1671"/>
      <c r="S331" s="1672"/>
      <c r="T331" s="1699"/>
      <c r="U331" s="1700"/>
      <c r="V331" s="1700"/>
      <c r="W331" s="1672">
        <f t="shared" si="367"/>
        <v>84320</v>
      </c>
      <c r="X331" s="1672"/>
      <c r="Y331" s="1699"/>
      <c r="Z331" s="1700"/>
      <c r="AA331" s="1699"/>
      <c r="AB331" s="2727">
        <f t="shared" si="426"/>
        <v>26702.22</v>
      </c>
      <c r="AC331" s="1444"/>
      <c r="AD331" s="1467"/>
      <c r="AE331" s="510"/>
      <c r="AF331" s="497"/>
      <c r="AG331" s="2529">
        <v>1</v>
      </c>
      <c r="AH331" s="1397">
        <f t="shared" si="434"/>
        <v>0</v>
      </c>
      <c r="AI331" s="355">
        <f t="shared" si="435"/>
        <v>0</v>
      </c>
      <c r="AJ331" s="351">
        <f t="shared" si="353"/>
        <v>0</v>
      </c>
      <c r="AK331" s="351"/>
      <c r="AL331" s="1398"/>
      <c r="AM331" s="2273"/>
      <c r="AN331" s="2273"/>
      <c r="AO331" s="497"/>
      <c r="AP331" s="497"/>
      <c r="AQ331" s="497"/>
      <c r="AR331" s="497"/>
      <c r="AS331" s="497"/>
      <c r="AT331" s="2015"/>
      <c r="AU331" s="497"/>
      <c r="AV331" s="2729"/>
      <c r="AW331" s="497"/>
      <c r="AX331" s="497"/>
      <c r="AY331" s="2237"/>
      <c r="AZ331" s="2258"/>
      <c r="BA331" s="359"/>
      <c r="BB331" s="497"/>
      <c r="BC331" s="497"/>
      <c r="BD331" s="497"/>
      <c r="BE331" s="497"/>
      <c r="BF331" s="497"/>
      <c r="BG331" s="497"/>
      <c r="BH331" s="497"/>
      <c r="BI331" s="497"/>
      <c r="BJ331" s="497"/>
      <c r="BK331" s="2137"/>
      <c r="BL331" s="2011"/>
      <c r="BM331" s="2011"/>
      <c r="BN331" s="2011"/>
      <c r="BO331" s="2011"/>
      <c r="BP331" s="2011"/>
      <c r="BQ331" s="2403"/>
      <c r="BR331" s="497"/>
      <c r="BS331" s="497"/>
      <c r="BT331" s="497"/>
      <c r="BU331" s="497"/>
      <c r="BV331" s="497"/>
      <c r="BW331" s="2729">
        <v>26702.22</v>
      </c>
      <c r="BX331" s="2729"/>
      <c r="BY331" s="2549"/>
      <c r="BZ331" s="2549"/>
      <c r="CA331" s="2435">
        <f t="shared" si="360"/>
        <v>26702.22</v>
      </c>
      <c r="CB331" s="2380">
        <f t="shared" si="361"/>
        <v>1</v>
      </c>
      <c r="CC331" s="365">
        <f t="shared" si="362"/>
        <v>3.74500696945797E-5</v>
      </c>
      <c r="CD331" s="1380">
        <f t="shared" si="363"/>
        <v>0.68332281783681215</v>
      </c>
      <c r="CE331" s="1381">
        <f t="shared" si="364"/>
        <v>57617.78</v>
      </c>
      <c r="CF331" s="1381"/>
      <c r="CG331" s="501"/>
      <c r="CH331" s="502"/>
      <c r="CI331" s="503"/>
      <c r="CJ331" s="504"/>
      <c r="CK331" s="505"/>
      <c r="CL331" s="329">
        <f t="shared" si="298"/>
        <v>57617.78</v>
      </c>
      <c r="CM331" s="330">
        <f t="shared" si="299"/>
        <v>0</v>
      </c>
      <c r="CN331" s="331">
        <f t="shared" si="369"/>
        <v>-26702.22</v>
      </c>
      <c r="CO331" s="86"/>
      <c r="CP331" s="86">
        <f t="shared" si="422"/>
        <v>0</v>
      </c>
      <c r="CQ331" s="86"/>
      <c r="CR331" s="86"/>
      <c r="CS331" s="86"/>
      <c r="CT331" s="86"/>
      <c r="CU331" s="86"/>
      <c r="CV331" s="86"/>
      <c r="CW331" s="86"/>
      <c r="CX331" s="86"/>
      <c r="CY331" s="86"/>
      <c r="CZ331" s="86"/>
      <c r="DA331" s="86"/>
      <c r="DB331" s="32"/>
      <c r="DC331" s="32"/>
      <c r="DD331" s="35"/>
      <c r="DE331" s="35"/>
      <c r="DF331" s="35"/>
      <c r="DG331" s="1642"/>
      <c r="DH331" s="1642"/>
      <c r="DI331" s="1642"/>
      <c r="DJ331" s="1642"/>
      <c r="DK331" s="1642"/>
      <c r="DL331" s="1642"/>
      <c r="DM331" s="1642"/>
      <c r="DN331" s="1642"/>
      <c r="DO331" s="1642"/>
      <c r="DP331" s="1642"/>
      <c r="DQ331" s="1642"/>
      <c r="DR331" s="1642"/>
      <c r="DS331" s="1642"/>
      <c r="DT331" s="1642"/>
      <c r="DU331" s="1642"/>
      <c r="DV331" s="1642"/>
      <c r="DW331" s="1642"/>
      <c r="DX331" s="1642"/>
      <c r="DY331" s="1642"/>
      <c r="DZ331" s="1642"/>
      <c r="EA331" s="1642"/>
      <c r="EB331" s="1642"/>
      <c r="EC331" s="1642"/>
      <c r="ED331" s="1642"/>
      <c r="EE331" s="1642"/>
      <c r="EF331" s="1642"/>
      <c r="EG331" s="1642"/>
      <c r="EH331" s="35"/>
      <c r="EI331" s="1658"/>
      <c r="EJ331" s="35"/>
      <c r="EK331" s="35"/>
      <c r="EL331" s="35"/>
      <c r="EM331" s="35"/>
      <c r="EN331" s="35"/>
      <c r="EO331" s="35"/>
      <c r="EP331" s="35"/>
      <c r="EQ331" s="35"/>
      <c r="ER331" s="35"/>
      <c r="ES331" s="35"/>
      <c r="ET331" s="35"/>
      <c r="EU331" s="35"/>
      <c r="EV331" s="35"/>
      <c r="EW331" s="35"/>
      <c r="EX331" s="35"/>
      <c r="EY331" s="35"/>
      <c r="EZ331" s="35"/>
      <c r="FA331" s="35"/>
      <c r="FB331" s="35"/>
      <c r="FC331" s="35"/>
      <c r="FD331" s="35"/>
      <c r="FE331" s="35"/>
      <c r="FF331" s="35"/>
      <c r="FG331" s="35"/>
      <c r="FH331" s="35"/>
      <c r="FI331" s="35"/>
      <c r="FJ331" s="35"/>
      <c r="FK331" s="35"/>
      <c r="FL331" s="35"/>
      <c r="FM331" s="35"/>
      <c r="FN331" s="35"/>
      <c r="FO331" s="35"/>
      <c r="FP331" s="35"/>
      <c r="FQ331" s="35"/>
      <c r="FR331" s="35"/>
      <c r="FS331" s="35"/>
      <c r="FT331" s="35"/>
      <c r="FU331" s="35"/>
      <c r="FV331" s="35"/>
      <c r="FW331" s="35"/>
      <c r="FX331" s="35"/>
      <c r="FY331" s="35"/>
      <c r="FZ331" s="35"/>
      <c r="GA331" s="35"/>
      <c r="GB331" s="35"/>
      <c r="GC331" s="35"/>
      <c r="GD331" s="35"/>
      <c r="GE331" s="35"/>
      <c r="GF331" s="35"/>
      <c r="GG331" s="35"/>
      <c r="GH331" s="35"/>
      <c r="GI331" s="35"/>
      <c r="GJ331" s="35"/>
      <c r="GK331" s="35"/>
      <c r="GL331" s="35"/>
      <c r="GM331" s="35"/>
      <c r="GN331" s="35"/>
      <c r="GO331" s="35"/>
      <c r="GP331" s="35"/>
      <c r="GQ331" s="35"/>
      <c r="GR331" s="35"/>
      <c r="GS331" s="35"/>
      <c r="GT331" s="35"/>
      <c r="GU331" s="35"/>
      <c r="GV331" s="35"/>
      <c r="GW331" s="35"/>
      <c r="GX331" s="35"/>
      <c r="GY331" s="35"/>
      <c r="GZ331" s="35"/>
      <c r="HA331" s="35"/>
      <c r="HB331" s="35"/>
      <c r="HC331" s="35"/>
      <c r="HD331" s="35"/>
      <c r="HE331" s="35"/>
      <c r="HF331" s="35"/>
      <c r="HG331" s="35"/>
      <c r="HH331" s="35"/>
      <c r="HI331" s="35"/>
      <c r="HJ331" s="35"/>
      <c r="HK331" s="35"/>
      <c r="HL331" s="35"/>
      <c r="HM331" s="35"/>
      <c r="HN331" s="35"/>
      <c r="HO331" s="35"/>
      <c r="HP331" s="35"/>
      <c r="HQ331" s="35"/>
      <c r="HR331" s="35"/>
      <c r="HS331" s="35"/>
      <c r="HT331" s="35"/>
      <c r="HU331" s="35"/>
      <c r="HV331" s="35"/>
      <c r="HW331" s="35"/>
      <c r="HX331" s="35"/>
      <c r="HY331" s="35"/>
      <c r="HZ331" s="35"/>
      <c r="IA331" s="35"/>
      <c r="IB331" s="35"/>
      <c r="IC331" s="35"/>
      <c r="ID331" s="35"/>
      <c r="IE331" s="35"/>
      <c r="IF331" s="35"/>
      <c r="IG331" s="35"/>
      <c r="IH331" s="35"/>
      <c r="II331" s="35"/>
      <c r="IJ331" s="35"/>
      <c r="IK331" s="35"/>
      <c r="IL331" s="35"/>
      <c r="IM331" s="35"/>
      <c r="IN331" s="35"/>
      <c r="IO331" s="35"/>
      <c r="IP331" s="35"/>
      <c r="IQ331" s="35"/>
      <c r="IR331" s="35"/>
      <c r="IS331" s="35"/>
      <c r="IT331" s="35"/>
      <c r="IU331" s="35"/>
      <c r="IV331" s="35"/>
      <c r="IW331" s="35"/>
      <c r="IX331" s="35"/>
      <c r="IY331" s="35"/>
      <c r="IZ331" s="35"/>
      <c r="JA331" s="35"/>
      <c r="JB331" s="35"/>
      <c r="JC331" s="35"/>
      <c r="JD331" s="35"/>
      <c r="JE331" s="35"/>
      <c r="JF331" s="35"/>
      <c r="JG331" s="35"/>
      <c r="JH331" s="35"/>
      <c r="JI331" s="35"/>
      <c r="JJ331" s="35"/>
      <c r="JK331" s="35"/>
      <c r="JL331" s="35"/>
      <c r="JM331" s="35"/>
      <c r="JN331" s="35"/>
      <c r="JO331" s="35"/>
      <c r="JP331" s="35"/>
      <c r="JQ331" s="35"/>
      <c r="JR331" s="35"/>
      <c r="JS331" s="35"/>
      <c r="JT331" s="35"/>
      <c r="JU331" s="35"/>
      <c r="JV331" s="35"/>
      <c r="JW331" s="35"/>
      <c r="JX331" s="35"/>
      <c r="JY331" s="35"/>
      <c r="JZ331" s="35"/>
      <c r="KA331" s="35"/>
      <c r="KB331" s="35"/>
      <c r="KC331" s="35"/>
      <c r="KD331" s="35"/>
      <c r="KE331" s="35"/>
      <c r="KF331" s="35"/>
      <c r="KG331" s="35"/>
      <c r="KH331" s="35"/>
      <c r="KI331" s="35"/>
      <c r="KJ331" s="35"/>
      <c r="KK331" s="35"/>
      <c r="KL331" s="35"/>
      <c r="KM331" s="35"/>
      <c r="KN331" s="35"/>
      <c r="KO331" s="35"/>
      <c r="KP331" s="1633"/>
    </row>
    <row r="332" spans="1:302" s="92" customFormat="1" ht="30.6" customHeight="1" outlineLevel="1">
      <c r="A332" s="1676" t="s">
        <v>1228</v>
      </c>
      <c r="B332" s="1993" t="s">
        <v>1161</v>
      </c>
      <c r="C332" s="1362" t="s">
        <v>1292</v>
      </c>
      <c r="D332" s="1362" t="s">
        <v>287</v>
      </c>
      <c r="E332" s="1389"/>
      <c r="F332" s="506"/>
      <c r="G332" s="1402"/>
      <c r="H332" s="1391"/>
      <c r="I332" s="2573"/>
      <c r="J332" s="1672"/>
      <c r="K332" s="1697"/>
      <c r="L332" s="1697"/>
      <c r="M332" s="1701"/>
      <c r="N332" s="1697"/>
      <c r="O332" s="1397">
        <f t="shared" si="421"/>
        <v>0</v>
      </c>
      <c r="P332" s="1671"/>
      <c r="Q332" s="1671"/>
      <c r="R332" s="1671"/>
      <c r="S332" s="1672"/>
      <c r="T332" s="1699"/>
      <c r="U332" s="1700"/>
      <c r="V332" s="1700"/>
      <c r="W332" s="1672">
        <f t="shared" si="367"/>
        <v>0</v>
      </c>
      <c r="X332" s="1672"/>
      <c r="Y332" s="1699"/>
      <c r="Z332" s="1700"/>
      <c r="AA332" s="1699"/>
      <c r="AB332" s="1672">
        <f t="shared" si="426"/>
        <v>6277.78</v>
      </c>
      <c r="AC332" s="1444" t="s">
        <v>1229</v>
      </c>
      <c r="AD332" s="1467">
        <v>4502940616</v>
      </c>
      <c r="AE332" s="510" t="s">
        <v>564</v>
      </c>
      <c r="AF332" s="497">
        <v>6277.78</v>
      </c>
      <c r="AG332" s="2529">
        <v>1</v>
      </c>
      <c r="AH332" s="1397">
        <f t="shared" si="434"/>
        <v>6277.78</v>
      </c>
      <c r="AI332" s="355">
        <f t="shared" ref="AI332:AI335" si="443">SUMIF($AM$10:$BZ$10,$AI$9,AM332:BZ332)</f>
        <v>6277.78</v>
      </c>
      <c r="AJ332" s="351">
        <f t="shared" si="353"/>
        <v>1</v>
      </c>
      <c r="AK332" s="351"/>
      <c r="AL332" s="1398"/>
      <c r="AM332" s="2763">
        <v>5277.78</v>
      </c>
      <c r="AN332" s="2763">
        <v>1000</v>
      </c>
      <c r="AO332" s="497"/>
      <c r="AP332" s="497"/>
      <c r="AQ332" s="497"/>
      <c r="AR332" s="497"/>
      <c r="AS332" s="497"/>
      <c r="AT332" s="2015"/>
      <c r="AU332" s="497"/>
      <c r="AV332" s="497"/>
      <c r="AW332" s="497"/>
      <c r="AX332" s="497"/>
      <c r="AY332" s="2237"/>
      <c r="AZ332" s="2258"/>
      <c r="BA332" s="359"/>
      <c r="BB332" s="497"/>
      <c r="BC332" s="497"/>
      <c r="BD332" s="497"/>
      <c r="BE332" s="497"/>
      <c r="BF332" s="497"/>
      <c r="BG332" s="497"/>
      <c r="BH332" s="497"/>
      <c r="BI332" s="497"/>
      <c r="BJ332" s="497"/>
      <c r="BK332" s="2137"/>
      <c r="BL332" s="2011"/>
      <c r="BM332" s="2011"/>
      <c r="BN332" s="2011"/>
      <c r="BO332" s="2011"/>
      <c r="BP332" s="2011"/>
      <c r="BQ332" s="2403"/>
      <c r="BR332" s="497"/>
      <c r="BS332" s="497"/>
      <c r="BT332" s="497"/>
      <c r="BU332" s="497"/>
      <c r="BV332" s="497"/>
      <c r="BW332" s="2417"/>
      <c r="BX332" s="2417"/>
      <c r="BY332" s="2549"/>
      <c r="BZ332" s="2549"/>
      <c r="CA332" s="2435">
        <f t="shared" si="360"/>
        <v>0</v>
      </c>
      <c r="CB332" s="2380">
        <f t="shared" si="361"/>
        <v>0</v>
      </c>
      <c r="CC332" s="365">
        <f t="shared" si="362"/>
        <v>0</v>
      </c>
      <c r="CD332" s="1380" t="str">
        <f t="shared" si="363"/>
        <v>0,00%</v>
      </c>
      <c r="CE332" s="1381">
        <f t="shared" si="364"/>
        <v>-6277.78</v>
      </c>
      <c r="CF332" s="1381"/>
      <c r="CG332" s="501"/>
      <c r="CH332" s="502"/>
      <c r="CI332" s="503"/>
      <c r="CJ332" s="504"/>
      <c r="CK332" s="505"/>
      <c r="CL332" s="329">
        <f t="shared" si="298"/>
        <v>0</v>
      </c>
      <c r="CM332" s="330">
        <f t="shared" si="299"/>
        <v>0</v>
      </c>
      <c r="CN332" s="331">
        <f t="shared" si="369"/>
        <v>-5277.78</v>
      </c>
      <c r="CO332" s="86"/>
      <c r="CP332" s="86"/>
      <c r="CQ332" s="86"/>
      <c r="CR332" s="86"/>
      <c r="CS332" s="86"/>
      <c r="CT332" s="86"/>
      <c r="CU332" s="86"/>
      <c r="CV332" s="86"/>
      <c r="CW332" s="86"/>
      <c r="CX332" s="86"/>
      <c r="CY332" s="86"/>
      <c r="CZ332" s="86"/>
      <c r="DA332" s="86"/>
      <c r="DB332" s="32"/>
      <c r="DC332" s="32"/>
      <c r="DD332" s="35"/>
      <c r="DE332" s="35"/>
      <c r="DF332" s="35"/>
      <c r="DG332" s="1642"/>
      <c r="DH332" s="1642"/>
      <c r="DI332" s="1642"/>
      <c r="DJ332" s="1642"/>
      <c r="DK332" s="1642"/>
      <c r="DL332" s="1642"/>
      <c r="DM332" s="1642"/>
      <c r="DN332" s="1642"/>
      <c r="DO332" s="1642"/>
      <c r="DP332" s="1642"/>
      <c r="DQ332" s="1642"/>
      <c r="DR332" s="1642"/>
      <c r="DS332" s="1642"/>
      <c r="DT332" s="1642"/>
      <c r="DU332" s="1642"/>
      <c r="DV332" s="1642"/>
      <c r="DW332" s="1642"/>
      <c r="DX332" s="1642"/>
      <c r="DY332" s="1642"/>
      <c r="DZ332" s="1642"/>
      <c r="EA332" s="1642"/>
      <c r="EB332" s="1642"/>
      <c r="EC332" s="1642"/>
      <c r="ED332" s="1642"/>
      <c r="EE332" s="1642"/>
      <c r="EF332" s="1642"/>
      <c r="EG332" s="1642"/>
      <c r="EH332" s="35"/>
      <c r="EI332" s="1658"/>
      <c r="EJ332" s="35"/>
      <c r="EK332" s="35"/>
      <c r="EL332" s="35"/>
      <c r="EM332" s="35"/>
      <c r="EN332" s="35"/>
      <c r="EO332" s="35"/>
      <c r="EP332" s="35"/>
      <c r="EQ332" s="35"/>
      <c r="ER332" s="35"/>
      <c r="ES332" s="35"/>
      <c r="ET332" s="35"/>
      <c r="EU332" s="35"/>
      <c r="EV332" s="35"/>
      <c r="EW332" s="35"/>
      <c r="EX332" s="35"/>
      <c r="EY332" s="35"/>
      <c r="EZ332" s="35"/>
      <c r="FA332" s="35"/>
      <c r="FB332" s="35"/>
      <c r="FC332" s="35"/>
      <c r="FD332" s="35"/>
      <c r="FE332" s="35"/>
      <c r="FF332" s="35"/>
      <c r="FG332" s="35"/>
      <c r="FH332" s="35"/>
      <c r="FI332" s="35"/>
      <c r="FJ332" s="35"/>
      <c r="FK332" s="35"/>
      <c r="FL332" s="35"/>
      <c r="FM332" s="35"/>
      <c r="FN332" s="35"/>
      <c r="FO332" s="35"/>
      <c r="FP332" s="35"/>
      <c r="FQ332" s="35"/>
      <c r="FR332" s="35"/>
      <c r="FS332" s="35"/>
      <c r="FT332" s="35"/>
      <c r="FU332" s="35"/>
      <c r="FV332" s="35"/>
      <c r="FW332" s="35"/>
      <c r="FX332" s="35"/>
      <c r="FY332" s="35"/>
      <c r="FZ332" s="35"/>
      <c r="GA332" s="35"/>
      <c r="GB332" s="35"/>
      <c r="GC332" s="35"/>
      <c r="GD332" s="35"/>
      <c r="GE332" s="35"/>
      <c r="GF332" s="35"/>
      <c r="GG332" s="35"/>
      <c r="GH332" s="35"/>
      <c r="GI332" s="35"/>
      <c r="GJ332" s="35"/>
      <c r="GK332" s="35"/>
      <c r="GL332" s="35"/>
      <c r="GM332" s="35"/>
      <c r="GN332" s="35"/>
      <c r="GO332" s="35"/>
      <c r="GP332" s="35"/>
      <c r="GQ332" s="35"/>
      <c r="GR332" s="35"/>
      <c r="GS332" s="35"/>
      <c r="GT332" s="35"/>
      <c r="GU332" s="35"/>
      <c r="GV332" s="35"/>
      <c r="GW332" s="35"/>
      <c r="GX332" s="35"/>
      <c r="GY332" s="35"/>
      <c r="GZ332" s="35"/>
      <c r="HA332" s="35"/>
      <c r="HB332" s="35"/>
      <c r="HC332" s="35"/>
      <c r="HD332" s="35"/>
      <c r="HE332" s="35"/>
      <c r="HF332" s="35"/>
      <c r="HG332" s="35"/>
      <c r="HH332" s="35"/>
      <c r="HI332" s="35"/>
      <c r="HJ332" s="35"/>
      <c r="HK332" s="35"/>
      <c r="HL332" s="35"/>
      <c r="HM332" s="35"/>
      <c r="HN332" s="35"/>
      <c r="HO332" s="35"/>
      <c r="HP332" s="35"/>
      <c r="HQ332" s="35"/>
      <c r="HR332" s="35"/>
      <c r="HS332" s="35"/>
      <c r="HT332" s="35"/>
      <c r="HU332" s="35"/>
      <c r="HV332" s="35"/>
      <c r="HW332" s="35"/>
      <c r="HX332" s="35"/>
      <c r="HY332" s="35"/>
      <c r="HZ332" s="35"/>
      <c r="IA332" s="35"/>
      <c r="IB332" s="35"/>
      <c r="IC332" s="35"/>
      <c r="ID332" s="35"/>
      <c r="IE332" s="35"/>
      <c r="IF332" s="35"/>
      <c r="IG332" s="35"/>
      <c r="IH332" s="35"/>
      <c r="II332" s="35"/>
      <c r="IJ332" s="35"/>
      <c r="IK332" s="35"/>
      <c r="IL332" s="35"/>
      <c r="IM332" s="35"/>
      <c r="IN332" s="35"/>
      <c r="IO332" s="35"/>
      <c r="IP332" s="35"/>
      <c r="IQ332" s="35"/>
      <c r="IR332" s="35"/>
      <c r="IS332" s="35"/>
      <c r="IT332" s="35"/>
      <c r="IU332" s="35"/>
      <c r="IV332" s="35"/>
      <c r="IW332" s="35"/>
      <c r="IX332" s="35"/>
      <c r="IY332" s="35"/>
      <c r="IZ332" s="35"/>
      <c r="JA332" s="35"/>
      <c r="JB332" s="35"/>
      <c r="JC332" s="35"/>
      <c r="JD332" s="35"/>
      <c r="JE332" s="35"/>
      <c r="JF332" s="35"/>
      <c r="JG332" s="35"/>
      <c r="JH332" s="35"/>
      <c r="JI332" s="35"/>
      <c r="JJ332" s="35"/>
      <c r="JK332" s="35"/>
      <c r="JL332" s="35"/>
      <c r="JM332" s="35"/>
      <c r="JN332" s="35"/>
      <c r="JO332" s="35"/>
      <c r="JP332" s="35"/>
      <c r="JQ332" s="35"/>
      <c r="JR332" s="35"/>
      <c r="JS332" s="35"/>
      <c r="JT332" s="35"/>
      <c r="JU332" s="35"/>
      <c r="JV332" s="35"/>
      <c r="JW332" s="35"/>
      <c r="JX332" s="35"/>
      <c r="JY332" s="35"/>
      <c r="JZ332" s="35"/>
      <c r="KA332" s="35"/>
      <c r="KB332" s="35"/>
      <c r="KC332" s="35"/>
      <c r="KD332" s="35"/>
      <c r="KE332" s="35"/>
      <c r="KF332" s="35"/>
      <c r="KG332" s="35"/>
      <c r="KH332" s="35"/>
      <c r="KI332" s="35"/>
      <c r="KJ332" s="35"/>
      <c r="KK332" s="35"/>
      <c r="KL332" s="35"/>
      <c r="KM332" s="35"/>
      <c r="KN332" s="35"/>
      <c r="KO332" s="35"/>
      <c r="KP332" s="1633"/>
    </row>
    <row r="333" spans="1:302" s="92" customFormat="1" ht="25.25" customHeight="1" outlineLevel="1">
      <c r="A333" s="1993" t="s">
        <v>1273</v>
      </c>
      <c r="B333" s="1993"/>
      <c r="C333" s="1362" t="s">
        <v>1291</v>
      </c>
      <c r="D333" s="1362" t="s">
        <v>287</v>
      </c>
      <c r="E333" s="1389"/>
      <c r="F333" s="506"/>
      <c r="G333" s="1402"/>
      <c r="H333" s="1391"/>
      <c r="I333" s="2573"/>
      <c r="J333" s="1672"/>
      <c r="K333" s="1697"/>
      <c r="L333" s="1697"/>
      <c r="M333" s="1701"/>
      <c r="N333" s="1697"/>
      <c r="O333" s="1397">
        <f t="shared" si="421"/>
        <v>0</v>
      </c>
      <c r="P333" s="1671"/>
      <c r="Q333" s="1671"/>
      <c r="R333" s="1671"/>
      <c r="S333" s="1672"/>
      <c r="T333" s="1699"/>
      <c r="U333" s="1700"/>
      <c r="V333" s="1700"/>
      <c r="W333" s="1672">
        <f t="shared" si="367"/>
        <v>0</v>
      </c>
      <c r="X333" s="1672"/>
      <c r="Y333" s="1699"/>
      <c r="Z333" s="1700"/>
      <c r="AA333" s="1699"/>
      <c r="AB333" s="1672">
        <f t="shared" si="426"/>
        <v>1340</v>
      </c>
      <c r="AC333" s="1444" t="s">
        <v>1274</v>
      </c>
      <c r="AD333" s="1467">
        <v>4502955423</v>
      </c>
      <c r="AE333" s="510" t="s">
        <v>564</v>
      </c>
      <c r="AF333" s="497">
        <v>1340</v>
      </c>
      <c r="AG333" s="2529">
        <v>1</v>
      </c>
      <c r="AH333" s="1397">
        <f t="shared" si="434"/>
        <v>1340</v>
      </c>
      <c r="AI333" s="355">
        <f t="shared" ref="AI333" si="444">SUMIF($AM$10:$BZ$10,$AI$9,AM333:BZ333)</f>
        <v>1340</v>
      </c>
      <c r="AJ333" s="351">
        <f t="shared" ref="AJ333" si="445">IF($AB333&lt;&gt;0,AI333/$AB333,"")</f>
        <v>1</v>
      </c>
      <c r="AK333" s="351"/>
      <c r="AL333" s="1398"/>
      <c r="AM333" s="2273"/>
      <c r="AN333" s="2506">
        <v>1340</v>
      </c>
      <c r="AO333" s="497"/>
      <c r="AP333" s="497"/>
      <c r="AQ333" s="497"/>
      <c r="AR333" s="497"/>
      <c r="AS333" s="497"/>
      <c r="AT333" s="2015"/>
      <c r="AU333" s="497"/>
      <c r="AV333" s="497"/>
      <c r="AW333" s="497"/>
      <c r="AX333" s="497"/>
      <c r="AY333" s="2237"/>
      <c r="AZ333" s="2258"/>
      <c r="BA333" s="359"/>
      <c r="BB333" s="497"/>
      <c r="BC333" s="497"/>
      <c r="BD333" s="497"/>
      <c r="BE333" s="497"/>
      <c r="BF333" s="497"/>
      <c r="BG333" s="497"/>
      <c r="BH333" s="497"/>
      <c r="BI333" s="497"/>
      <c r="BJ333" s="497"/>
      <c r="BK333" s="2137"/>
      <c r="BL333" s="2011"/>
      <c r="BM333" s="2011"/>
      <c r="BN333" s="2011"/>
      <c r="BO333" s="2011"/>
      <c r="BP333" s="2011"/>
      <c r="BQ333" s="2403"/>
      <c r="BR333" s="497"/>
      <c r="BS333" s="497"/>
      <c r="BT333" s="497"/>
      <c r="BU333" s="497"/>
      <c r="BV333" s="497"/>
      <c r="BW333" s="2417"/>
      <c r="BX333" s="2417"/>
      <c r="BY333" s="2549"/>
      <c r="BZ333" s="2549"/>
      <c r="CA333" s="2435">
        <f t="shared" si="360"/>
        <v>0</v>
      </c>
      <c r="CB333" s="2380">
        <f t="shared" si="361"/>
        <v>0</v>
      </c>
      <c r="CC333" s="365">
        <f t="shared" si="362"/>
        <v>0</v>
      </c>
      <c r="CD333" s="1380" t="str">
        <f t="shared" si="363"/>
        <v>0,00%</v>
      </c>
      <c r="CE333" s="1381">
        <f t="shared" si="364"/>
        <v>-1340</v>
      </c>
      <c r="CF333" s="1381"/>
      <c r="CG333" s="501"/>
      <c r="CH333" s="502"/>
      <c r="CI333" s="503"/>
      <c r="CJ333" s="504"/>
      <c r="CK333" s="505"/>
      <c r="CL333" s="329">
        <f t="shared" si="298"/>
        <v>0</v>
      </c>
      <c r="CM333" s="330">
        <f t="shared" si="299"/>
        <v>0</v>
      </c>
      <c r="CN333" s="331"/>
      <c r="CO333" s="86"/>
      <c r="CP333" s="86"/>
      <c r="CQ333" s="86"/>
      <c r="CR333" s="86"/>
      <c r="CS333" s="86"/>
      <c r="CT333" s="86"/>
      <c r="CU333" s="86"/>
      <c r="CV333" s="86"/>
      <c r="CW333" s="86"/>
      <c r="CX333" s="86"/>
      <c r="CY333" s="86"/>
      <c r="CZ333" s="86"/>
      <c r="DA333" s="86"/>
      <c r="DB333" s="32"/>
      <c r="DC333" s="32"/>
      <c r="DD333" s="35"/>
      <c r="DE333" s="35"/>
      <c r="DF333" s="35"/>
      <c r="DG333" s="1642"/>
      <c r="DH333" s="1642"/>
      <c r="DI333" s="1642"/>
      <c r="DJ333" s="1642"/>
      <c r="DK333" s="1642"/>
      <c r="DL333" s="1642"/>
      <c r="DM333" s="1642"/>
      <c r="DN333" s="1642"/>
      <c r="DO333" s="1642"/>
      <c r="DP333" s="1642"/>
      <c r="DQ333" s="1642"/>
      <c r="DR333" s="1642"/>
      <c r="DS333" s="1642"/>
      <c r="DT333" s="1642"/>
      <c r="DU333" s="1642"/>
      <c r="DV333" s="1642"/>
      <c r="DW333" s="1642"/>
      <c r="DX333" s="1642"/>
      <c r="DY333" s="1642"/>
      <c r="DZ333" s="1642"/>
      <c r="EA333" s="1642"/>
      <c r="EB333" s="1642"/>
      <c r="EC333" s="1642"/>
      <c r="ED333" s="1642"/>
      <c r="EE333" s="1642"/>
      <c r="EF333" s="1642"/>
      <c r="EG333" s="1642"/>
      <c r="EH333" s="35"/>
      <c r="EI333" s="1658"/>
      <c r="EJ333" s="35"/>
      <c r="EK333" s="35"/>
      <c r="EL333" s="35"/>
      <c r="EM333" s="35"/>
      <c r="EN333" s="35"/>
      <c r="EO333" s="35"/>
      <c r="EP333" s="35"/>
      <c r="EQ333" s="35"/>
      <c r="ER333" s="35"/>
      <c r="ES333" s="35"/>
      <c r="ET333" s="35"/>
      <c r="EU333" s="35"/>
      <c r="EV333" s="35"/>
      <c r="EW333" s="35"/>
      <c r="EX333" s="35"/>
      <c r="EY333" s="35"/>
      <c r="EZ333" s="35"/>
      <c r="FA333" s="35"/>
      <c r="FB333" s="35"/>
      <c r="FC333" s="35"/>
      <c r="FD333" s="35"/>
      <c r="FE333" s="35"/>
      <c r="FF333" s="35"/>
      <c r="FG333" s="35"/>
      <c r="FH333" s="35"/>
      <c r="FI333" s="35"/>
      <c r="FJ333" s="35"/>
      <c r="FK333" s="35"/>
      <c r="FL333" s="35"/>
      <c r="FM333" s="35"/>
      <c r="FN333" s="35"/>
      <c r="FO333" s="35"/>
      <c r="FP333" s="35"/>
      <c r="FQ333" s="35"/>
      <c r="FR333" s="35"/>
      <c r="FS333" s="35"/>
      <c r="FT333" s="35"/>
      <c r="FU333" s="35"/>
      <c r="FV333" s="35"/>
      <c r="FW333" s="35"/>
      <c r="FX333" s="35"/>
      <c r="FY333" s="35"/>
      <c r="FZ333" s="35"/>
      <c r="GA333" s="35"/>
      <c r="GB333" s="35"/>
      <c r="GC333" s="35"/>
      <c r="GD333" s="35"/>
      <c r="GE333" s="35"/>
      <c r="GF333" s="35"/>
      <c r="GG333" s="35"/>
      <c r="GH333" s="35"/>
      <c r="GI333" s="35"/>
      <c r="GJ333" s="35"/>
      <c r="GK333" s="35"/>
      <c r="GL333" s="35"/>
      <c r="GM333" s="35"/>
      <c r="GN333" s="35"/>
      <c r="GO333" s="35"/>
      <c r="GP333" s="35"/>
      <c r="GQ333" s="35"/>
      <c r="GR333" s="35"/>
      <c r="GS333" s="35"/>
      <c r="GT333" s="35"/>
      <c r="GU333" s="35"/>
      <c r="GV333" s="35"/>
      <c r="GW333" s="35"/>
      <c r="GX333" s="35"/>
      <c r="GY333" s="35"/>
      <c r="GZ333" s="35"/>
      <c r="HA333" s="35"/>
      <c r="HB333" s="35"/>
      <c r="HC333" s="35"/>
      <c r="HD333" s="35"/>
      <c r="HE333" s="35"/>
      <c r="HF333" s="35"/>
      <c r="HG333" s="35"/>
      <c r="HH333" s="35"/>
      <c r="HI333" s="35"/>
      <c r="HJ333" s="35"/>
      <c r="HK333" s="35"/>
      <c r="HL333" s="35"/>
      <c r="HM333" s="35"/>
      <c r="HN333" s="35"/>
      <c r="HO333" s="35"/>
      <c r="HP333" s="35"/>
      <c r="HQ333" s="35"/>
      <c r="HR333" s="35"/>
      <c r="HS333" s="35"/>
      <c r="HT333" s="35"/>
      <c r="HU333" s="35"/>
      <c r="HV333" s="35"/>
      <c r="HW333" s="35"/>
      <c r="HX333" s="35"/>
      <c r="HY333" s="35"/>
      <c r="HZ333" s="35"/>
      <c r="IA333" s="35"/>
      <c r="IB333" s="35"/>
      <c r="IC333" s="35"/>
      <c r="ID333" s="35"/>
      <c r="IE333" s="35"/>
      <c r="IF333" s="35"/>
      <c r="IG333" s="35"/>
      <c r="IH333" s="35"/>
      <c r="II333" s="35"/>
      <c r="IJ333" s="35"/>
      <c r="IK333" s="35"/>
      <c r="IL333" s="35"/>
      <c r="IM333" s="35"/>
      <c r="IN333" s="35"/>
      <c r="IO333" s="35"/>
      <c r="IP333" s="35"/>
      <c r="IQ333" s="35"/>
      <c r="IR333" s="35"/>
      <c r="IS333" s="35"/>
      <c r="IT333" s="35"/>
      <c r="IU333" s="35"/>
      <c r="IV333" s="35"/>
      <c r="IW333" s="35"/>
      <c r="IX333" s="35"/>
      <c r="IY333" s="35"/>
      <c r="IZ333" s="35"/>
      <c r="JA333" s="35"/>
      <c r="JB333" s="35"/>
      <c r="JC333" s="35"/>
      <c r="JD333" s="35"/>
      <c r="JE333" s="35"/>
      <c r="JF333" s="35"/>
      <c r="JG333" s="35"/>
      <c r="JH333" s="35"/>
      <c r="JI333" s="35"/>
      <c r="JJ333" s="35"/>
      <c r="JK333" s="35"/>
      <c r="JL333" s="35"/>
      <c r="JM333" s="35"/>
      <c r="JN333" s="35"/>
      <c r="JO333" s="35"/>
      <c r="JP333" s="35"/>
      <c r="JQ333" s="35"/>
      <c r="JR333" s="35"/>
      <c r="JS333" s="35"/>
      <c r="JT333" s="35"/>
      <c r="JU333" s="35"/>
      <c r="JV333" s="35"/>
      <c r="JW333" s="35"/>
      <c r="JX333" s="35"/>
      <c r="JY333" s="35"/>
      <c r="JZ333" s="35"/>
      <c r="KA333" s="35"/>
      <c r="KB333" s="35"/>
      <c r="KC333" s="35"/>
      <c r="KD333" s="35"/>
      <c r="KE333" s="35"/>
      <c r="KF333" s="35"/>
      <c r="KG333" s="35"/>
      <c r="KH333" s="35"/>
      <c r="KI333" s="35"/>
      <c r="KJ333" s="35"/>
      <c r="KK333" s="35"/>
      <c r="KL333" s="35"/>
      <c r="KM333" s="35"/>
      <c r="KN333" s="35"/>
      <c r="KO333" s="35"/>
      <c r="KP333" s="1633"/>
    </row>
    <row r="334" spans="1:302" s="92" customFormat="1" ht="25.25" customHeight="1" outlineLevel="1">
      <c r="A334" s="1993" t="s">
        <v>1325</v>
      </c>
      <c r="B334" s="1993"/>
      <c r="C334" s="1362" t="s">
        <v>1326</v>
      </c>
      <c r="D334" s="1362" t="s">
        <v>1327</v>
      </c>
      <c r="E334" s="1389"/>
      <c r="F334" s="506"/>
      <c r="G334" s="1402"/>
      <c r="H334" s="1391"/>
      <c r="I334" s="2573"/>
      <c r="J334" s="1672"/>
      <c r="K334" s="1697"/>
      <c r="L334" s="1697"/>
      <c r="M334" s="1701"/>
      <c r="N334" s="1697"/>
      <c r="O334" s="1397">
        <f t="shared" si="421"/>
        <v>0</v>
      </c>
      <c r="P334" s="1671"/>
      <c r="Q334" s="1671"/>
      <c r="R334" s="1671"/>
      <c r="S334" s="1672"/>
      <c r="T334" s="1699"/>
      <c r="U334" s="1700"/>
      <c r="V334" s="1700"/>
      <c r="W334" s="1672">
        <f t="shared" si="367"/>
        <v>0</v>
      </c>
      <c r="X334" s="1672"/>
      <c r="Y334" s="1699"/>
      <c r="Z334" s="1700"/>
      <c r="AA334" s="1699"/>
      <c r="AB334" s="1672">
        <f t="shared" si="426"/>
        <v>50000.000000000036</v>
      </c>
      <c r="AC334" s="1444" t="s">
        <v>1328</v>
      </c>
      <c r="AD334" s="1467">
        <v>4502960536</v>
      </c>
      <c r="AE334" s="510" t="s">
        <v>1247</v>
      </c>
      <c r="AF334" s="497">
        <v>50000</v>
      </c>
      <c r="AG334" s="2529">
        <v>1</v>
      </c>
      <c r="AH334" s="1397">
        <f t="shared" ref="AH334" si="446">+AF334*AG334</f>
        <v>50000</v>
      </c>
      <c r="AI334" s="355">
        <f t="shared" ref="AI334" si="447">SUMIF($AM$10:$BZ$10,$AI$9,AM334:BZ334)</f>
        <v>919</v>
      </c>
      <c r="AJ334" s="351">
        <f t="shared" ref="AJ334" si="448">IF($AB334&lt;&gt;0,AI334/$AB334,"")</f>
        <v>1.8379999999999987E-2</v>
      </c>
      <c r="AK334" s="351"/>
      <c r="AL334" s="1398"/>
      <c r="AM334" s="2273"/>
      <c r="AN334" s="2273"/>
      <c r="AO334" s="2823">
        <v>919</v>
      </c>
      <c r="AP334" s="2729">
        <v>1666.66</v>
      </c>
      <c r="AQ334" s="497">
        <f>1666.66+0.2</f>
        <v>1666.8600000000001</v>
      </c>
      <c r="AR334" s="497">
        <v>1666.66</v>
      </c>
      <c r="AS334" s="497">
        <v>1666.66</v>
      </c>
      <c r="AT334" s="2015">
        <v>1666.66</v>
      </c>
      <c r="AU334" s="497">
        <v>1666.66</v>
      </c>
      <c r="AV334" s="497">
        <v>1666.66</v>
      </c>
      <c r="AW334" s="497">
        <v>1666.66</v>
      </c>
      <c r="AX334" s="497">
        <v>1666.66</v>
      </c>
      <c r="AY334" s="2237">
        <v>1666.66</v>
      </c>
      <c r="AZ334" s="2258">
        <v>1666.66</v>
      </c>
      <c r="BA334" s="359">
        <v>1666.66</v>
      </c>
      <c r="BB334" s="497">
        <v>1666.66</v>
      </c>
      <c r="BC334" s="497">
        <v>1666.66</v>
      </c>
      <c r="BD334" s="497">
        <v>1666.66</v>
      </c>
      <c r="BE334" s="497">
        <v>1666.66</v>
      </c>
      <c r="BF334" s="497">
        <v>1666.66</v>
      </c>
      <c r="BG334" s="497">
        <v>1666.66</v>
      </c>
      <c r="BH334" s="497">
        <v>1666.66</v>
      </c>
      <c r="BI334" s="497">
        <v>1666.66</v>
      </c>
      <c r="BJ334" s="497">
        <v>1666.66</v>
      </c>
      <c r="BK334" s="2137">
        <v>1666.66</v>
      </c>
      <c r="BL334" s="2011">
        <v>1666.66</v>
      </c>
      <c r="BM334" s="2011">
        <v>1666.66</v>
      </c>
      <c r="BN334" s="2011">
        <v>1666.66</v>
      </c>
      <c r="BO334" s="2011">
        <v>1666.66</v>
      </c>
      <c r="BP334" s="2011">
        <v>1666.66</v>
      </c>
      <c r="BQ334" s="2403">
        <v>1666.66</v>
      </c>
      <c r="BR334" s="497">
        <v>1666.66</v>
      </c>
      <c r="BS334" s="497">
        <f>1666.66-919</f>
        <v>747.66000000000008</v>
      </c>
      <c r="BT334" s="497"/>
      <c r="BU334" s="497"/>
      <c r="BV334" s="497"/>
      <c r="BW334" s="2417"/>
      <c r="BX334" s="2417"/>
      <c r="BY334" s="2549"/>
      <c r="BZ334" s="2549"/>
      <c r="CA334" s="2435">
        <f t="shared" si="360"/>
        <v>49081.000000000036</v>
      </c>
      <c r="CB334" s="2380">
        <f t="shared" si="361"/>
        <v>0.98162000000000005</v>
      </c>
      <c r="CC334" s="365">
        <f t="shared" si="362"/>
        <v>1.9632399999999985E-5</v>
      </c>
      <c r="CD334" s="1380" t="str">
        <f t="shared" si="363"/>
        <v>0,00%</v>
      </c>
      <c r="CE334" s="1381">
        <f t="shared" si="364"/>
        <v>-50000.000000000036</v>
      </c>
      <c r="CF334" s="1381"/>
      <c r="CG334" s="501"/>
      <c r="CH334" s="502"/>
      <c r="CI334" s="503"/>
      <c r="CJ334" s="504"/>
      <c r="CK334" s="505"/>
      <c r="CL334" s="329">
        <f t="shared" si="298"/>
        <v>-49081.000000000036</v>
      </c>
      <c r="CM334" s="330">
        <f t="shared" si="299"/>
        <v>0</v>
      </c>
      <c r="CN334" s="331"/>
      <c r="CO334" s="86"/>
      <c r="CP334" s="86"/>
      <c r="CQ334" s="86"/>
      <c r="CR334" s="86"/>
      <c r="CS334" s="86"/>
      <c r="CT334" s="86"/>
      <c r="CU334" s="86"/>
      <c r="CV334" s="86"/>
      <c r="CW334" s="86"/>
      <c r="CX334" s="86"/>
      <c r="CY334" s="86"/>
      <c r="CZ334" s="86"/>
      <c r="DA334" s="86"/>
      <c r="DB334" s="32"/>
      <c r="DC334" s="32"/>
      <c r="DD334" s="35"/>
      <c r="DE334" s="35"/>
      <c r="DF334" s="35"/>
      <c r="DG334" s="1642"/>
      <c r="DH334" s="1642"/>
      <c r="DI334" s="1642"/>
      <c r="DJ334" s="1642"/>
      <c r="DK334" s="1642"/>
      <c r="DL334" s="1642"/>
      <c r="DM334" s="1642"/>
      <c r="DN334" s="1642"/>
      <c r="DO334" s="1642"/>
      <c r="DP334" s="1642"/>
      <c r="DQ334" s="1642"/>
      <c r="DR334" s="1642"/>
      <c r="DS334" s="1642"/>
      <c r="DT334" s="1642"/>
      <c r="DU334" s="1642"/>
      <c r="DV334" s="1642"/>
      <c r="DW334" s="1642"/>
      <c r="DX334" s="1642"/>
      <c r="DY334" s="1642"/>
      <c r="DZ334" s="1642"/>
      <c r="EA334" s="1642"/>
      <c r="EB334" s="1642"/>
      <c r="EC334" s="1642"/>
      <c r="ED334" s="1642"/>
      <c r="EE334" s="1642"/>
      <c r="EF334" s="1642"/>
      <c r="EG334" s="1642"/>
      <c r="EH334" s="35"/>
      <c r="EI334" s="1658"/>
      <c r="EJ334" s="35"/>
      <c r="EK334" s="35"/>
      <c r="EL334" s="35"/>
      <c r="EM334" s="35"/>
      <c r="EN334" s="35"/>
      <c r="EO334" s="35"/>
      <c r="EP334" s="35"/>
      <c r="EQ334" s="35"/>
      <c r="ER334" s="35"/>
      <c r="ES334" s="35"/>
      <c r="ET334" s="35"/>
      <c r="EU334" s="35"/>
      <c r="EV334" s="35"/>
      <c r="EW334" s="35"/>
      <c r="EX334" s="35"/>
      <c r="EY334" s="35"/>
      <c r="EZ334" s="35"/>
      <c r="FA334" s="35"/>
      <c r="FB334" s="35"/>
      <c r="FC334" s="35"/>
      <c r="FD334" s="35"/>
      <c r="FE334" s="35"/>
      <c r="FF334" s="35"/>
      <c r="FG334" s="35"/>
      <c r="FH334" s="35"/>
      <c r="FI334" s="35"/>
      <c r="FJ334" s="35"/>
      <c r="FK334" s="35"/>
      <c r="FL334" s="35"/>
      <c r="FM334" s="35"/>
      <c r="FN334" s="35"/>
      <c r="FO334" s="35"/>
      <c r="FP334" s="35"/>
      <c r="FQ334" s="35"/>
      <c r="FR334" s="35"/>
      <c r="FS334" s="35"/>
      <c r="FT334" s="35"/>
      <c r="FU334" s="35"/>
      <c r="FV334" s="35"/>
      <c r="FW334" s="35"/>
      <c r="FX334" s="35"/>
      <c r="FY334" s="35"/>
      <c r="FZ334" s="35"/>
      <c r="GA334" s="35"/>
      <c r="GB334" s="35"/>
      <c r="GC334" s="35"/>
      <c r="GD334" s="35"/>
      <c r="GE334" s="35"/>
      <c r="GF334" s="35"/>
      <c r="GG334" s="35"/>
      <c r="GH334" s="35"/>
      <c r="GI334" s="35"/>
      <c r="GJ334" s="35"/>
      <c r="GK334" s="35"/>
      <c r="GL334" s="35"/>
      <c r="GM334" s="35"/>
      <c r="GN334" s="35"/>
      <c r="GO334" s="35"/>
      <c r="GP334" s="35"/>
      <c r="GQ334" s="35"/>
      <c r="GR334" s="35"/>
      <c r="GS334" s="35"/>
      <c r="GT334" s="35"/>
      <c r="GU334" s="35"/>
      <c r="GV334" s="35"/>
      <c r="GW334" s="35"/>
      <c r="GX334" s="35"/>
      <c r="GY334" s="35"/>
      <c r="GZ334" s="35"/>
      <c r="HA334" s="35"/>
      <c r="HB334" s="35"/>
      <c r="HC334" s="35"/>
      <c r="HD334" s="35"/>
      <c r="HE334" s="35"/>
      <c r="HF334" s="35"/>
      <c r="HG334" s="35"/>
      <c r="HH334" s="35"/>
      <c r="HI334" s="35"/>
      <c r="HJ334" s="35"/>
      <c r="HK334" s="35"/>
      <c r="HL334" s="35"/>
      <c r="HM334" s="35"/>
      <c r="HN334" s="35"/>
      <c r="HO334" s="35"/>
      <c r="HP334" s="35"/>
      <c r="HQ334" s="35"/>
      <c r="HR334" s="35"/>
      <c r="HS334" s="35"/>
      <c r="HT334" s="35"/>
      <c r="HU334" s="35"/>
      <c r="HV334" s="35"/>
      <c r="HW334" s="35"/>
      <c r="HX334" s="35"/>
      <c r="HY334" s="35"/>
      <c r="HZ334" s="35"/>
      <c r="IA334" s="35"/>
      <c r="IB334" s="35"/>
      <c r="IC334" s="35"/>
      <c r="ID334" s="35"/>
      <c r="IE334" s="35"/>
      <c r="IF334" s="35"/>
      <c r="IG334" s="35"/>
      <c r="IH334" s="35"/>
      <c r="II334" s="35"/>
      <c r="IJ334" s="35"/>
      <c r="IK334" s="35"/>
      <c r="IL334" s="35"/>
      <c r="IM334" s="35"/>
      <c r="IN334" s="35"/>
      <c r="IO334" s="35"/>
      <c r="IP334" s="35"/>
      <c r="IQ334" s="35"/>
      <c r="IR334" s="35"/>
      <c r="IS334" s="35"/>
      <c r="IT334" s="35"/>
      <c r="IU334" s="35"/>
      <c r="IV334" s="35"/>
      <c r="IW334" s="35"/>
      <c r="IX334" s="35"/>
      <c r="IY334" s="35"/>
      <c r="IZ334" s="35"/>
      <c r="JA334" s="35"/>
      <c r="JB334" s="35"/>
      <c r="JC334" s="35"/>
      <c r="JD334" s="35"/>
      <c r="JE334" s="35"/>
      <c r="JF334" s="35"/>
      <c r="JG334" s="35"/>
      <c r="JH334" s="35"/>
      <c r="JI334" s="35"/>
      <c r="JJ334" s="35"/>
      <c r="JK334" s="35"/>
      <c r="JL334" s="35"/>
      <c r="JM334" s="35"/>
      <c r="JN334" s="35"/>
      <c r="JO334" s="35"/>
      <c r="JP334" s="35"/>
      <c r="JQ334" s="35"/>
      <c r="JR334" s="35"/>
      <c r="JS334" s="35"/>
      <c r="JT334" s="35"/>
      <c r="JU334" s="35"/>
      <c r="JV334" s="35"/>
      <c r="JW334" s="35"/>
      <c r="JX334" s="35"/>
      <c r="JY334" s="35"/>
      <c r="JZ334" s="35"/>
      <c r="KA334" s="35"/>
      <c r="KB334" s="35"/>
      <c r="KC334" s="35"/>
      <c r="KD334" s="35"/>
      <c r="KE334" s="35"/>
      <c r="KF334" s="35"/>
      <c r="KG334" s="35"/>
      <c r="KH334" s="35"/>
      <c r="KI334" s="35"/>
      <c r="KJ334" s="35"/>
      <c r="KK334" s="35"/>
      <c r="KL334" s="35"/>
      <c r="KM334" s="35"/>
      <c r="KN334" s="35"/>
      <c r="KO334" s="35"/>
      <c r="KP334" s="1633"/>
    </row>
    <row r="335" spans="1:302" s="92" customFormat="1" ht="25.25" customHeight="1" outlineLevel="1">
      <c r="A335" s="1676" t="s">
        <v>160</v>
      </c>
      <c r="B335" s="1676"/>
      <c r="C335" s="1362" t="s">
        <v>437</v>
      </c>
      <c r="D335" s="1362" t="s">
        <v>438</v>
      </c>
      <c r="E335" s="1389"/>
      <c r="F335" s="506"/>
      <c r="G335" s="1402"/>
      <c r="H335" s="1391"/>
      <c r="I335" s="2573"/>
      <c r="J335" s="1672"/>
      <c r="K335" s="1697"/>
      <c r="L335" s="1697"/>
      <c r="M335" s="1701"/>
      <c r="N335" s="1697"/>
      <c r="O335" s="1397">
        <f t="shared" si="421"/>
        <v>0</v>
      </c>
      <c r="P335" s="1671"/>
      <c r="Q335" s="1671"/>
      <c r="R335" s="1671"/>
      <c r="S335" s="1672"/>
      <c r="T335" s="1699"/>
      <c r="U335" s="1700"/>
      <c r="V335" s="1700"/>
      <c r="W335" s="1672">
        <f t="shared" si="367"/>
        <v>0</v>
      </c>
      <c r="X335" s="1672"/>
      <c r="Y335" s="1699"/>
      <c r="Z335" s="1700"/>
      <c r="AA335" s="1699"/>
      <c r="AB335" s="1672">
        <f t="shared" si="426"/>
        <v>0</v>
      </c>
      <c r="AC335" s="1444"/>
      <c r="AD335" s="1467"/>
      <c r="AE335" s="510"/>
      <c r="AF335" s="497"/>
      <c r="AG335" s="2529">
        <v>1</v>
      </c>
      <c r="AH335" s="1397">
        <f t="shared" ref="AH335" si="449">+AF335*AG335</f>
        <v>0</v>
      </c>
      <c r="AI335" s="355">
        <f t="shared" si="443"/>
        <v>0</v>
      </c>
      <c r="AJ335" s="351" t="str">
        <f t="shared" si="353"/>
        <v/>
      </c>
      <c r="AK335" s="351"/>
      <c r="AL335" s="1398"/>
      <c r="AM335" s="2273"/>
      <c r="AN335" s="2273"/>
      <c r="AO335" s="497"/>
      <c r="AP335" s="497"/>
      <c r="AQ335" s="497"/>
      <c r="AR335" s="497"/>
      <c r="AS335" s="497"/>
      <c r="AT335" s="2015"/>
      <c r="AU335" s="1922"/>
      <c r="AV335" s="1922"/>
      <c r="AW335" s="497"/>
      <c r="AX335" s="497"/>
      <c r="AY335" s="2237"/>
      <c r="AZ335" s="2273"/>
      <c r="BA335" s="497"/>
      <c r="BB335" s="497"/>
      <c r="BC335" s="497"/>
      <c r="BD335" s="497"/>
      <c r="BE335" s="497"/>
      <c r="BF335" s="497"/>
      <c r="BG335" s="497"/>
      <c r="BH335" s="497"/>
      <c r="BI335" s="497"/>
      <c r="BJ335" s="497"/>
      <c r="BK335" s="2137"/>
      <c r="BL335" s="2011"/>
      <c r="BM335" s="2011"/>
      <c r="BN335" s="2011"/>
      <c r="BO335" s="2011"/>
      <c r="BP335" s="2011"/>
      <c r="BQ335" s="2403"/>
      <c r="BR335" s="497"/>
      <c r="BS335" s="497"/>
      <c r="BT335" s="497"/>
      <c r="BU335" s="497"/>
      <c r="BV335" s="497"/>
      <c r="BW335" s="2417"/>
      <c r="BX335" s="2417"/>
      <c r="BY335" s="2549"/>
      <c r="BZ335" s="2549"/>
      <c r="CA335" s="2435">
        <f t="shared" si="360"/>
        <v>0</v>
      </c>
      <c r="CB335" s="2380" t="str">
        <f t="shared" si="361"/>
        <v/>
      </c>
      <c r="CC335" s="365" t="str">
        <f t="shared" si="362"/>
        <v/>
      </c>
      <c r="CD335" s="1380" t="str">
        <f t="shared" si="363"/>
        <v>0,00%</v>
      </c>
      <c r="CE335" s="1381">
        <f t="shared" si="364"/>
        <v>0</v>
      </c>
      <c r="CF335" s="1381"/>
      <c r="CG335" s="501"/>
      <c r="CH335" s="502"/>
      <c r="CI335" s="503"/>
      <c r="CJ335" s="504"/>
      <c r="CK335" s="505"/>
      <c r="CL335" s="329">
        <f t="shared" ref="CL335:CL398" si="450">O335-CA335</f>
        <v>0</v>
      </c>
      <c r="CM335" s="330">
        <f t="shared" ref="CM335:CM398" si="451">CA335+AI335-AB335</f>
        <v>0</v>
      </c>
      <c r="CN335" s="331">
        <f t="shared" si="369"/>
        <v>0</v>
      </c>
      <c r="CO335" s="86"/>
      <c r="CP335" s="86">
        <f t="shared" si="422"/>
        <v>0</v>
      </c>
      <c r="CQ335" s="86"/>
      <c r="CR335" s="86"/>
      <c r="CS335" s="86"/>
      <c r="CT335" s="86"/>
      <c r="CU335" s="86"/>
      <c r="CV335" s="86"/>
      <c r="CW335" s="86"/>
      <c r="CX335" s="86"/>
      <c r="CY335" s="86"/>
      <c r="CZ335" s="86"/>
      <c r="DA335" s="86"/>
      <c r="DB335" s="32"/>
      <c r="DC335" s="32"/>
      <c r="DD335" s="35"/>
      <c r="DE335" s="35"/>
      <c r="DF335" s="35"/>
      <c r="DG335" s="1642"/>
      <c r="DH335" s="1642"/>
      <c r="DI335" s="1642"/>
      <c r="DJ335" s="1642"/>
      <c r="DK335" s="1642"/>
      <c r="DL335" s="1642"/>
      <c r="DM335" s="1642"/>
      <c r="DN335" s="1642"/>
      <c r="DO335" s="1642"/>
      <c r="DP335" s="1642"/>
      <c r="DQ335" s="1642"/>
      <c r="DR335" s="1642"/>
      <c r="DS335" s="1642"/>
      <c r="DT335" s="1642"/>
      <c r="DU335" s="1642"/>
      <c r="DV335" s="1642"/>
      <c r="DW335" s="1642"/>
      <c r="DX335" s="1642"/>
      <c r="DY335" s="1642"/>
      <c r="DZ335" s="1642"/>
      <c r="EA335" s="1642"/>
      <c r="EB335" s="1642"/>
      <c r="EC335" s="1642"/>
      <c r="ED335" s="1642"/>
      <c r="EE335" s="1642"/>
      <c r="EF335" s="1642"/>
      <c r="EG335" s="1642"/>
      <c r="EH335" s="35"/>
      <c r="EI335" s="1658"/>
      <c r="EJ335" s="35"/>
      <c r="EK335" s="35"/>
      <c r="EL335" s="35"/>
      <c r="EM335" s="35"/>
      <c r="EN335" s="35"/>
      <c r="EO335" s="35"/>
      <c r="EP335" s="35"/>
      <c r="EQ335" s="35"/>
      <c r="ER335" s="35"/>
      <c r="ES335" s="35"/>
      <c r="ET335" s="35"/>
      <c r="EU335" s="35"/>
      <c r="EV335" s="35"/>
      <c r="EW335" s="35"/>
      <c r="EX335" s="35"/>
      <c r="EY335" s="35"/>
      <c r="EZ335" s="35"/>
      <c r="FA335" s="35"/>
      <c r="FB335" s="35"/>
      <c r="FC335" s="35"/>
      <c r="FD335" s="35"/>
      <c r="FE335" s="35"/>
      <c r="FF335" s="35"/>
      <c r="FG335" s="35"/>
      <c r="FH335" s="35"/>
      <c r="FI335" s="35"/>
      <c r="FJ335" s="35"/>
      <c r="FK335" s="35"/>
      <c r="FL335" s="35"/>
      <c r="FM335" s="35"/>
      <c r="FN335" s="35"/>
      <c r="FO335" s="35"/>
      <c r="FP335" s="35"/>
      <c r="FQ335" s="35"/>
      <c r="FR335" s="35"/>
      <c r="FS335" s="35"/>
      <c r="FT335" s="35"/>
      <c r="FU335" s="35"/>
      <c r="FV335" s="35"/>
      <c r="FW335" s="35"/>
      <c r="FX335" s="35"/>
      <c r="FY335" s="35"/>
      <c r="FZ335" s="35"/>
      <c r="GA335" s="35"/>
      <c r="GB335" s="35"/>
      <c r="GC335" s="35"/>
      <c r="GD335" s="35"/>
      <c r="GE335" s="35"/>
      <c r="GF335" s="35"/>
      <c r="GG335" s="35"/>
      <c r="GH335" s="35"/>
      <c r="GI335" s="35"/>
      <c r="GJ335" s="35"/>
      <c r="GK335" s="35"/>
      <c r="GL335" s="35"/>
      <c r="GM335" s="35"/>
      <c r="GN335" s="35"/>
      <c r="GO335" s="35"/>
      <c r="GP335" s="35"/>
      <c r="GQ335" s="35"/>
      <c r="GR335" s="35"/>
      <c r="GS335" s="35"/>
      <c r="GT335" s="35"/>
      <c r="GU335" s="35"/>
      <c r="GV335" s="35"/>
      <c r="GW335" s="35"/>
      <c r="GX335" s="35"/>
      <c r="GY335" s="35"/>
      <c r="GZ335" s="35"/>
      <c r="HA335" s="35"/>
      <c r="HB335" s="35"/>
      <c r="HC335" s="35"/>
      <c r="HD335" s="35"/>
      <c r="HE335" s="35"/>
      <c r="HF335" s="35"/>
      <c r="HG335" s="35"/>
      <c r="HH335" s="35"/>
      <c r="HI335" s="35"/>
      <c r="HJ335" s="35"/>
      <c r="HK335" s="35"/>
      <c r="HL335" s="35"/>
      <c r="HM335" s="35"/>
      <c r="HN335" s="35"/>
      <c r="HO335" s="35"/>
      <c r="HP335" s="35"/>
      <c r="HQ335" s="35"/>
      <c r="HR335" s="35"/>
      <c r="HS335" s="35"/>
      <c r="HT335" s="35"/>
      <c r="HU335" s="35"/>
      <c r="HV335" s="35"/>
      <c r="HW335" s="35"/>
      <c r="HX335" s="35"/>
      <c r="HY335" s="35"/>
      <c r="HZ335" s="35"/>
      <c r="IA335" s="35"/>
      <c r="IB335" s="35"/>
      <c r="IC335" s="35"/>
      <c r="ID335" s="35"/>
      <c r="IE335" s="35"/>
      <c r="IF335" s="35"/>
      <c r="IG335" s="35"/>
      <c r="IH335" s="35"/>
      <c r="II335" s="35"/>
      <c r="IJ335" s="35"/>
      <c r="IK335" s="35"/>
      <c r="IL335" s="35"/>
      <c r="IM335" s="35"/>
      <c r="IN335" s="35"/>
      <c r="IO335" s="35"/>
      <c r="IP335" s="35"/>
      <c r="IQ335" s="35"/>
      <c r="IR335" s="35"/>
      <c r="IS335" s="35"/>
      <c r="IT335" s="35"/>
      <c r="IU335" s="35"/>
      <c r="IV335" s="35"/>
      <c r="IW335" s="35"/>
      <c r="IX335" s="35"/>
      <c r="IY335" s="35"/>
      <c r="IZ335" s="35"/>
      <c r="JA335" s="35"/>
      <c r="JB335" s="35"/>
      <c r="JC335" s="35"/>
      <c r="JD335" s="35"/>
      <c r="JE335" s="35"/>
      <c r="JF335" s="35"/>
      <c r="JG335" s="35"/>
      <c r="JH335" s="35"/>
      <c r="JI335" s="35"/>
      <c r="JJ335" s="35"/>
      <c r="JK335" s="35"/>
      <c r="JL335" s="35"/>
      <c r="JM335" s="35"/>
      <c r="JN335" s="35"/>
      <c r="JO335" s="35"/>
      <c r="JP335" s="35"/>
      <c r="JQ335" s="35"/>
      <c r="JR335" s="35"/>
      <c r="JS335" s="35"/>
      <c r="JT335" s="35"/>
      <c r="JU335" s="35"/>
      <c r="JV335" s="35"/>
      <c r="JW335" s="35"/>
      <c r="JX335" s="35"/>
      <c r="JY335" s="35"/>
      <c r="JZ335" s="35"/>
      <c r="KA335" s="35"/>
      <c r="KB335" s="35"/>
      <c r="KC335" s="35"/>
      <c r="KD335" s="35"/>
      <c r="KE335" s="35"/>
      <c r="KF335" s="35"/>
      <c r="KG335" s="35"/>
      <c r="KH335" s="35"/>
      <c r="KI335" s="35"/>
      <c r="KJ335" s="35"/>
      <c r="KK335" s="35"/>
      <c r="KL335" s="35"/>
      <c r="KM335" s="35"/>
      <c r="KN335" s="35"/>
      <c r="KO335" s="35"/>
      <c r="KP335" s="1633"/>
    </row>
    <row r="336" spans="1:302" s="92" customFormat="1" ht="25.25" customHeight="1" outlineLevel="1">
      <c r="A336" s="1993" t="s">
        <v>161</v>
      </c>
      <c r="B336" s="1993" t="s">
        <v>1162</v>
      </c>
      <c r="C336" s="1362" t="s">
        <v>91</v>
      </c>
      <c r="D336" s="2001" t="s">
        <v>288</v>
      </c>
      <c r="E336" s="1389"/>
      <c r="F336" s="506"/>
      <c r="G336" s="1402"/>
      <c r="H336" s="1391"/>
      <c r="I336" s="2573">
        <v>500480</v>
      </c>
      <c r="J336" s="1672"/>
      <c r="K336" s="1697"/>
      <c r="L336" s="1697"/>
      <c r="M336" s="1701">
        <v>15640</v>
      </c>
      <c r="N336" s="1697">
        <v>32</v>
      </c>
      <c r="O336" s="1397">
        <f t="shared" si="421"/>
        <v>500480</v>
      </c>
      <c r="P336" s="1671"/>
      <c r="Q336" s="1671"/>
      <c r="R336" s="1671"/>
      <c r="S336" s="1672"/>
      <c r="T336" s="1699"/>
      <c r="U336" s="1700"/>
      <c r="V336" s="1700"/>
      <c r="W336" s="1672">
        <f t="shared" si="367"/>
        <v>500480</v>
      </c>
      <c r="X336" s="1672"/>
      <c r="Y336" s="1699"/>
      <c r="Z336" s="1700"/>
      <c r="AA336" s="1699"/>
      <c r="AB336" s="1672">
        <f t="shared" si="426"/>
        <v>500480</v>
      </c>
      <c r="AC336" s="1444"/>
      <c r="AD336" s="1467"/>
      <c r="AE336" s="510"/>
      <c r="AF336" s="497"/>
      <c r="AG336" s="2529">
        <v>1</v>
      </c>
      <c r="AH336" s="1397">
        <f t="shared" si="351"/>
        <v>0</v>
      </c>
      <c r="AI336" s="355">
        <f t="shared" si="435"/>
        <v>0</v>
      </c>
      <c r="AJ336" s="351">
        <f t="shared" si="353"/>
        <v>0</v>
      </c>
      <c r="AK336" s="351"/>
      <c r="AL336" s="1398"/>
      <c r="AM336" s="2273"/>
      <c r="AN336" s="2273"/>
      <c r="AO336" s="497"/>
      <c r="AP336" s="497"/>
      <c r="AQ336" s="497"/>
      <c r="AR336" s="1922"/>
      <c r="AS336" s="1983">
        <v>15640</v>
      </c>
      <c r="AT336" s="2015">
        <v>15640</v>
      </c>
      <c r="AU336" s="1983">
        <v>15640</v>
      </c>
      <c r="AV336" s="1983">
        <v>15640</v>
      </c>
      <c r="AW336" s="1983">
        <v>15640</v>
      </c>
      <c r="AX336" s="1983">
        <v>15640</v>
      </c>
      <c r="AY336" s="2237">
        <v>15640</v>
      </c>
      <c r="AZ336" s="2273">
        <v>15640</v>
      </c>
      <c r="BA336" s="497">
        <v>15640</v>
      </c>
      <c r="BB336" s="497">
        <v>15640</v>
      </c>
      <c r="BC336" s="497">
        <v>15640</v>
      </c>
      <c r="BD336" s="497">
        <v>15640</v>
      </c>
      <c r="BE336" s="497">
        <v>15640</v>
      </c>
      <c r="BF336" s="497">
        <v>15640</v>
      </c>
      <c r="BG336" s="497">
        <v>15640</v>
      </c>
      <c r="BH336" s="497">
        <v>15640</v>
      </c>
      <c r="BI336" s="497">
        <v>15640</v>
      </c>
      <c r="BJ336" s="497">
        <v>15640</v>
      </c>
      <c r="BK336" s="2136">
        <v>15640</v>
      </c>
      <c r="BL336" s="2011">
        <v>15640</v>
      </c>
      <c r="BM336" s="2011">
        <v>15640</v>
      </c>
      <c r="BN336" s="2011">
        <v>15640</v>
      </c>
      <c r="BO336" s="2011">
        <v>15640</v>
      </c>
      <c r="BP336" s="2011">
        <f>15640+15640</f>
        <v>31280</v>
      </c>
      <c r="BQ336" s="2403">
        <v>15640</v>
      </c>
      <c r="BR336" s="497">
        <v>15640</v>
      </c>
      <c r="BS336" s="497">
        <v>15640</v>
      </c>
      <c r="BT336" s="497">
        <v>15640</v>
      </c>
      <c r="BU336" s="497"/>
      <c r="BV336" s="497"/>
      <c r="BW336" s="2417">
        <v>46920</v>
      </c>
      <c r="BX336" s="2417"/>
      <c r="BY336" s="2549"/>
      <c r="BZ336" s="2549"/>
      <c r="CA336" s="2435">
        <f t="shared" si="360"/>
        <v>500480</v>
      </c>
      <c r="CB336" s="2380">
        <f t="shared" si="361"/>
        <v>1</v>
      </c>
      <c r="CC336" s="365">
        <f t="shared" si="362"/>
        <v>1.9980818414322249E-6</v>
      </c>
      <c r="CD336" s="1380">
        <f t="shared" si="363"/>
        <v>0</v>
      </c>
      <c r="CE336" s="1381">
        <f t="shared" si="364"/>
        <v>0</v>
      </c>
      <c r="CF336" s="1381"/>
      <c r="CG336" s="501"/>
      <c r="CH336" s="502"/>
      <c r="CI336" s="503"/>
      <c r="CJ336" s="504"/>
      <c r="CK336" s="505"/>
      <c r="CL336" s="329">
        <f t="shared" si="450"/>
        <v>0</v>
      </c>
      <c r="CM336" s="330">
        <f t="shared" si="451"/>
        <v>0</v>
      </c>
      <c r="CN336" s="331">
        <f t="shared" si="369"/>
        <v>-391000</v>
      </c>
      <c r="CO336" s="86"/>
      <c r="CP336" s="86">
        <f t="shared" si="422"/>
        <v>0</v>
      </c>
      <c r="CQ336" s="86"/>
      <c r="CR336" s="86"/>
      <c r="CS336" s="86"/>
      <c r="CT336" s="86"/>
      <c r="CU336" s="86"/>
      <c r="CV336" s="86"/>
      <c r="CW336" s="86"/>
      <c r="CX336" s="86"/>
      <c r="CY336" s="86"/>
      <c r="CZ336" s="86"/>
      <c r="DA336" s="86"/>
      <c r="DB336" s="32"/>
      <c r="DC336" s="32"/>
      <c r="DD336" s="35"/>
      <c r="DE336" s="35"/>
      <c r="DF336" s="35"/>
      <c r="DG336" s="1642"/>
      <c r="DH336" s="1642"/>
      <c r="DI336" s="1642"/>
      <c r="DJ336" s="1642"/>
      <c r="DK336" s="1642"/>
      <c r="DL336" s="1642"/>
      <c r="DM336" s="1642"/>
      <c r="DN336" s="1642"/>
      <c r="DO336" s="1642"/>
      <c r="DP336" s="1642"/>
      <c r="DQ336" s="1642"/>
      <c r="DR336" s="1642"/>
      <c r="DS336" s="1642"/>
      <c r="DT336" s="1642"/>
      <c r="DU336" s="1642"/>
      <c r="DV336" s="1642"/>
      <c r="DW336" s="1642"/>
      <c r="DX336" s="1642"/>
      <c r="DY336" s="1642"/>
      <c r="DZ336" s="1642"/>
      <c r="EA336" s="1642"/>
      <c r="EB336" s="1642"/>
      <c r="EC336" s="1642"/>
      <c r="ED336" s="1642"/>
      <c r="EE336" s="1642"/>
      <c r="EF336" s="1642"/>
      <c r="EG336" s="1642"/>
      <c r="EH336" s="35"/>
      <c r="EI336" s="1658"/>
      <c r="EJ336" s="35"/>
      <c r="EK336" s="35"/>
      <c r="EL336" s="35"/>
      <c r="EM336" s="35"/>
      <c r="EN336" s="35"/>
      <c r="EO336" s="35"/>
      <c r="EP336" s="35"/>
      <c r="EQ336" s="35"/>
      <c r="ER336" s="35"/>
      <c r="ES336" s="35"/>
      <c r="ET336" s="35"/>
      <c r="EU336" s="35"/>
      <c r="EV336" s="35"/>
      <c r="EW336" s="35"/>
      <c r="EX336" s="35"/>
      <c r="EY336" s="35"/>
      <c r="EZ336" s="35"/>
      <c r="FA336" s="35"/>
      <c r="FB336" s="35"/>
      <c r="FC336" s="35"/>
      <c r="FD336" s="35"/>
      <c r="FE336" s="35"/>
      <c r="FF336" s="35"/>
      <c r="FG336" s="35"/>
      <c r="FH336" s="35"/>
      <c r="FI336" s="35"/>
      <c r="FJ336" s="35"/>
      <c r="FK336" s="35"/>
      <c r="FL336" s="35"/>
      <c r="FM336" s="35"/>
      <c r="FN336" s="35"/>
      <c r="FO336" s="35"/>
      <c r="FP336" s="35"/>
      <c r="FQ336" s="35"/>
      <c r="FR336" s="35"/>
      <c r="FS336" s="35"/>
      <c r="FT336" s="35"/>
      <c r="FU336" s="35"/>
      <c r="FV336" s="35"/>
      <c r="FW336" s="35"/>
      <c r="FX336" s="35"/>
      <c r="FY336" s="35"/>
      <c r="FZ336" s="35"/>
      <c r="GA336" s="35"/>
      <c r="GB336" s="35"/>
      <c r="GC336" s="35"/>
      <c r="GD336" s="35"/>
      <c r="GE336" s="35"/>
      <c r="GF336" s="35"/>
      <c r="GG336" s="35"/>
      <c r="GH336" s="35"/>
      <c r="GI336" s="35"/>
      <c r="GJ336" s="35"/>
      <c r="GK336" s="35"/>
      <c r="GL336" s="35"/>
      <c r="GM336" s="35"/>
      <c r="GN336" s="35"/>
      <c r="GO336" s="35"/>
      <c r="GP336" s="35"/>
      <c r="GQ336" s="35"/>
      <c r="GR336" s="35"/>
      <c r="GS336" s="35"/>
      <c r="GT336" s="35"/>
      <c r="GU336" s="35"/>
      <c r="GV336" s="35"/>
      <c r="GW336" s="35"/>
      <c r="GX336" s="35"/>
      <c r="GY336" s="35"/>
      <c r="GZ336" s="35"/>
      <c r="HA336" s="35"/>
      <c r="HB336" s="35"/>
      <c r="HC336" s="35"/>
      <c r="HD336" s="35"/>
      <c r="HE336" s="35"/>
      <c r="HF336" s="35"/>
      <c r="HG336" s="35"/>
      <c r="HH336" s="35"/>
      <c r="HI336" s="35"/>
      <c r="HJ336" s="35"/>
      <c r="HK336" s="35"/>
      <c r="HL336" s="35"/>
      <c r="HM336" s="35"/>
      <c r="HN336" s="35"/>
      <c r="HO336" s="35"/>
      <c r="HP336" s="35"/>
      <c r="HQ336" s="35"/>
      <c r="HR336" s="35"/>
      <c r="HS336" s="35"/>
      <c r="HT336" s="35"/>
      <c r="HU336" s="35"/>
      <c r="HV336" s="35"/>
      <c r="HW336" s="35"/>
      <c r="HX336" s="35"/>
      <c r="HY336" s="35"/>
      <c r="HZ336" s="35"/>
      <c r="IA336" s="35"/>
      <c r="IB336" s="35"/>
      <c r="IC336" s="35"/>
      <c r="ID336" s="35"/>
      <c r="IE336" s="35"/>
      <c r="IF336" s="35"/>
      <c r="IG336" s="35"/>
      <c r="IH336" s="35"/>
      <c r="II336" s="35"/>
      <c r="IJ336" s="35"/>
      <c r="IK336" s="35"/>
      <c r="IL336" s="35"/>
      <c r="IM336" s="35"/>
      <c r="IN336" s="35"/>
      <c r="IO336" s="35"/>
      <c r="IP336" s="35"/>
      <c r="IQ336" s="35"/>
      <c r="IR336" s="35"/>
      <c r="IS336" s="35"/>
      <c r="IT336" s="35"/>
      <c r="IU336" s="35"/>
      <c r="IV336" s="35"/>
      <c r="IW336" s="35"/>
      <c r="IX336" s="35"/>
      <c r="IY336" s="35"/>
      <c r="IZ336" s="35"/>
      <c r="JA336" s="35"/>
      <c r="JB336" s="35"/>
      <c r="JC336" s="35"/>
      <c r="JD336" s="35"/>
      <c r="JE336" s="35"/>
      <c r="JF336" s="35"/>
      <c r="JG336" s="35"/>
      <c r="JH336" s="35"/>
      <c r="JI336" s="35"/>
      <c r="JJ336" s="35"/>
      <c r="JK336" s="35"/>
      <c r="JL336" s="35"/>
      <c r="JM336" s="35"/>
      <c r="JN336" s="35"/>
      <c r="JO336" s="35"/>
      <c r="JP336" s="35"/>
      <c r="JQ336" s="35"/>
      <c r="JR336" s="35"/>
      <c r="JS336" s="35"/>
      <c r="JT336" s="35"/>
      <c r="JU336" s="35"/>
      <c r="JV336" s="35"/>
      <c r="JW336" s="35"/>
      <c r="JX336" s="35"/>
      <c r="JY336" s="35"/>
      <c r="JZ336" s="35"/>
      <c r="KA336" s="35"/>
      <c r="KB336" s="35"/>
      <c r="KC336" s="35"/>
      <c r="KD336" s="35"/>
      <c r="KE336" s="35"/>
      <c r="KF336" s="35"/>
      <c r="KG336" s="35"/>
      <c r="KH336" s="35"/>
      <c r="KI336" s="35"/>
      <c r="KJ336" s="35"/>
      <c r="KK336" s="35"/>
      <c r="KL336" s="35"/>
      <c r="KM336" s="35"/>
      <c r="KN336" s="35"/>
      <c r="KO336" s="35"/>
      <c r="KP336" s="1633"/>
    </row>
    <row r="337" spans="1:302" s="92" customFormat="1" ht="25.25" customHeight="1" outlineLevel="1">
      <c r="A337" s="1676" t="s">
        <v>162</v>
      </c>
      <c r="B337" s="1993" t="s">
        <v>1163</v>
      </c>
      <c r="C337" s="1362" t="s">
        <v>177</v>
      </c>
      <c r="D337" s="1362" t="s">
        <v>227</v>
      </c>
      <c r="E337" s="1389"/>
      <c r="F337" s="506"/>
      <c r="G337" s="1402"/>
      <c r="H337" s="1391"/>
      <c r="I337" s="2573">
        <v>43520</v>
      </c>
      <c r="J337" s="1672"/>
      <c r="K337" s="1697"/>
      <c r="L337" s="1697"/>
      <c r="M337" s="1701">
        <v>1360</v>
      </c>
      <c r="N337" s="1697">
        <v>32</v>
      </c>
      <c r="O337" s="1397">
        <f t="shared" si="421"/>
        <v>43520</v>
      </c>
      <c r="P337" s="1671"/>
      <c r="Q337" s="1671"/>
      <c r="R337" s="1671"/>
      <c r="S337" s="1672"/>
      <c r="T337" s="1699"/>
      <c r="U337" s="1700"/>
      <c r="V337" s="1700"/>
      <c r="W337" s="1672">
        <f t="shared" si="367"/>
        <v>43520</v>
      </c>
      <c r="X337" s="1672"/>
      <c r="Y337" s="1699"/>
      <c r="Z337" s="1700"/>
      <c r="AA337" s="1699"/>
      <c r="AB337" s="2727">
        <f t="shared" si="426"/>
        <v>29190</v>
      </c>
      <c r="AC337" s="1444"/>
      <c r="AD337" s="1467"/>
      <c r="AE337" s="510"/>
      <c r="AF337" s="497"/>
      <c r="AG337" s="2529">
        <v>1</v>
      </c>
      <c r="AH337" s="1397">
        <f t="shared" si="351"/>
        <v>0</v>
      </c>
      <c r="AI337" s="355">
        <f t="shared" si="435"/>
        <v>0</v>
      </c>
      <c r="AJ337" s="351">
        <f t="shared" si="353"/>
        <v>0</v>
      </c>
      <c r="AK337" s="351"/>
      <c r="AL337" s="1398"/>
      <c r="AM337" s="2273"/>
      <c r="AN337" s="2273"/>
      <c r="AO337" s="497"/>
      <c r="AP337" s="497"/>
      <c r="AQ337" s="497"/>
      <c r="AR337" s="497"/>
      <c r="AS337" s="497"/>
      <c r="AT337" s="2015"/>
      <c r="AU337" s="1922"/>
      <c r="AV337" s="1922"/>
      <c r="AW337" s="497">
        <f>1360-1100</f>
        <v>260</v>
      </c>
      <c r="AX337" s="497">
        <v>1360</v>
      </c>
      <c r="AY337" s="2237">
        <v>1360</v>
      </c>
      <c r="AZ337" s="2273">
        <v>1360</v>
      </c>
      <c r="BA337" s="497">
        <v>1360</v>
      </c>
      <c r="BB337" s="497">
        <v>1360</v>
      </c>
      <c r="BC337" s="497">
        <v>1360</v>
      </c>
      <c r="BD337" s="497">
        <v>1360</v>
      </c>
      <c r="BE337" s="497">
        <v>1360</v>
      </c>
      <c r="BF337" s="497">
        <v>1360</v>
      </c>
      <c r="BG337" s="497">
        <v>1360</v>
      </c>
      <c r="BH337" s="497">
        <v>1360</v>
      </c>
      <c r="BI337" s="497">
        <v>1360</v>
      </c>
      <c r="BJ337" s="497">
        <v>1360</v>
      </c>
      <c r="BK337" s="2137">
        <v>1360</v>
      </c>
      <c r="BL337" s="2011">
        <v>1360</v>
      </c>
      <c r="BM337" s="2011">
        <v>1360</v>
      </c>
      <c r="BN337" s="2011">
        <v>1360</v>
      </c>
      <c r="BO337" s="2011">
        <v>1360</v>
      </c>
      <c r="BP337" s="2011">
        <v>1360</v>
      </c>
      <c r="BQ337" s="2403">
        <v>1360</v>
      </c>
      <c r="BR337" s="2403">
        <v>1360</v>
      </c>
      <c r="BS337" s="2403">
        <v>370</v>
      </c>
      <c r="BT337" s="497"/>
      <c r="BU337" s="497"/>
      <c r="BV337" s="497"/>
      <c r="BW337" s="2060"/>
      <c r="BX337" s="2417"/>
      <c r="BY337" s="2549"/>
      <c r="BZ337" s="2549"/>
      <c r="CA337" s="2435">
        <f t="shared" si="360"/>
        <v>29190</v>
      </c>
      <c r="CB337" s="2380">
        <f t="shared" si="361"/>
        <v>1</v>
      </c>
      <c r="CC337" s="365">
        <f t="shared" si="362"/>
        <v>3.4258307639602604E-5</v>
      </c>
      <c r="CD337" s="1380">
        <f t="shared" si="363"/>
        <v>0.32927389705882354</v>
      </c>
      <c r="CE337" s="1381">
        <f t="shared" si="364"/>
        <v>14330</v>
      </c>
      <c r="CF337" s="1381"/>
      <c r="CG337" s="501"/>
      <c r="CH337" s="502"/>
      <c r="CI337" s="503"/>
      <c r="CJ337" s="504"/>
      <c r="CK337" s="505"/>
      <c r="CL337" s="329">
        <f t="shared" si="450"/>
        <v>14330</v>
      </c>
      <c r="CM337" s="330">
        <f t="shared" si="451"/>
        <v>0</v>
      </c>
      <c r="CN337" s="331">
        <f t="shared" si="369"/>
        <v>-26210</v>
      </c>
      <c r="CO337" s="86"/>
      <c r="CP337" s="86">
        <f t="shared" si="422"/>
        <v>0</v>
      </c>
      <c r="CQ337" s="86"/>
      <c r="CR337" s="86"/>
      <c r="CS337" s="86"/>
      <c r="CT337" s="86"/>
      <c r="CU337" s="86"/>
      <c r="CV337" s="86"/>
      <c r="CW337" s="86"/>
      <c r="CX337" s="86"/>
      <c r="CY337" s="86"/>
      <c r="CZ337" s="86"/>
      <c r="DA337" s="86"/>
      <c r="DB337" s="32"/>
      <c r="DC337" s="32"/>
      <c r="DD337" s="35"/>
      <c r="DE337" s="35"/>
      <c r="DF337" s="35"/>
      <c r="DG337" s="1642"/>
      <c r="DH337" s="1642"/>
      <c r="DI337" s="1642"/>
      <c r="DJ337" s="1642"/>
      <c r="DK337" s="1642"/>
      <c r="DL337" s="1642"/>
      <c r="DM337" s="1642"/>
      <c r="DN337" s="1642"/>
      <c r="DO337" s="1642"/>
      <c r="DP337" s="1642"/>
      <c r="DQ337" s="1642"/>
      <c r="DR337" s="1642"/>
      <c r="DS337" s="1642"/>
      <c r="DT337" s="1642"/>
      <c r="DU337" s="1642"/>
      <c r="DV337" s="1642"/>
      <c r="DW337" s="1642"/>
      <c r="DX337" s="1642"/>
      <c r="DY337" s="1642"/>
      <c r="DZ337" s="1642"/>
      <c r="EA337" s="1642"/>
      <c r="EB337" s="1642"/>
      <c r="EC337" s="1642"/>
      <c r="ED337" s="1642"/>
      <c r="EE337" s="1642"/>
      <c r="EF337" s="1642"/>
      <c r="EG337" s="1642"/>
      <c r="EH337" s="35"/>
      <c r="EI337" s="1658"/>
      <c r="EJ337" s="35"/>
      <c r="EK337" s="35"/>
      <c r="EL337" s="35"/>
      <c r="EM337" s="35"/>
      <c r="EN337" s="35"/>
      <c r="EO337" s="35"/>
      <c r="EP337" s="35"/>
      <c r="EQ337" s="35"/>
      <c r="ER337" s="35"/>
      <c r="ES337" s="35"/>
      <c r="ET337" s="35"/>
      <c r="EU337" s="35"/>
      <c r="EV337" s="35"/>
      <c r="EW337" s="35"/>
      <c r="EX337" s="35"/>
      <c r="EY337" s="35"/>
      <c r="EZ337" s="35"/>
      <c r="FA337" s="35"/>
      <c r="FB337" s="35"/>
      <c r="FC337" s="35"/>
      <c r="FD337" s="35"/>
      <c r="FE337" s="35"/>
      <c r="FF337" s="35"/>
      <c r="FG337" s="35"/>
      <c r="FH337" s="35"/>
      <c r="FI337" s="35"/>
      <c r="FJ337" s="35"/>
      <c r="FK337" s="35"/>
      <c r="FL337" s="35"/>
      <c r="FM337" s="35"/>
      <c r="FN337" s="35"/>
      <c r="FO337" s="35"/>
      <c r="FP337" s="35"/>
      <c r="FQ337" s="35"/>
      <c r="FR337" s="35"/>
      <c r="FS337" s="35"/>
      <c r="FT337" s="35"/>
      <c r="FU337" s="35"/>
      <c r="FV337" s="35"/>
      <c r="FW337" s="35"/>
      <c r="FX337" s="35"/>
      <c r="FY337" s="35"/>
      <c r="FZ337" s="35"/>
      <c r="GA337" s="35"/>
      <c r="GB337" s="35"/>
      <c r="GC337" s="35"/>
      <c r="GD337" s="35"/>
      <c r="GE337" s="35"/>
      <c r="GF337" s="35"/>
      <c r="GG337" s="35"/>
      <c r="GH337" s="35"/>
      <c r="GI337" s="35"/>
      <c r="GJ337" s="35"/>
      <c r="GK337" s="35"/>
      <c r="GL337" s="35"/>
      <c r="GM337" s="35"/>
      <c r="GN337" s="35"/>
      <c r="GO337" s="35"/>
      <c r="GP337" s="35"/>
      <c r="GQ337" s="35"/>
      <c r="GR337" s="35"/>
      <c r="GS337" s="35"/>
      <c r="GT337" s="35"/>
      <c r="GU337" s="35"/>
      <c r="GV337" s="35"/>
      <c r="GW337" s="35"/>
      <c r="GX337" s="35"/>
      <c r="GY337" s="35"/>
      <c r="GZ337" s="35"/>
      <c r="HA337" s="35"/>
      <c r="HB337" s="35"/>
      <c r="HC337" s="35"/>
      <c r="HD337" s="35"/>
      <c r="HE337" s="35"/>
      <c r="HF337" s="35"/>
      <c r="HG337" s="35"/>
      <c r="HH337" s="35"/>
      <c r="HI337" s="35"/>
      <c r="HJ337" s="35"/>
      <c r="HK337" s="35"/>
      <c r="HL337" s="35"/>
      <c r="HM337" s="35"/>
      <c r="HN337" s="35"/>
      <c r="HO337" s="35"/>
      <c r="HP337" s="35"/>
      <c r="HQ337" s="35"/>
      <c r="HR337" s="35"/>
      <c r="HS337" s="35"/>
      <c r="HT337" s="35"/>
      <c r="HU337" s="35"/>
      <c r="HV337" s="35"/>
      <c r="HW337" s="35"/>
      <c r="HX337" s="35"/>
      <c r="HY337" s="35"/>
      <c r="HZ337" s="35"/>
      <c r="IA337" s="35"/>
      <c r="IB337" s="35"/>
      <c r="IC337" s="35"/>
      <c r="ID337" s="35"/>
      <c r="IE337" s="35"/>
      <c r="IF337" s="35"/>
      <c r="IG337" s="35"/>
      <c r="IH337" s="35"/>
      <c r="II337" s="35"/>
      <c r="IJ337" s="35"/>
      <c r="IK337" s="35"/>
      <c r="IL337" s="35"/>
      <c r="IM337" s="35"/>
      <c r="IN337" s="35"/>
      <c r="IO337" s="35"/>
      <c r="IP337" s="35"/>
      <c r="IQ337" s="35"/>
      <c r="IR337" s="35"/>
      <c r="IS337" s="35"/>
      <c r="IT337" s="35"/>
      <c r="IU337" s="35"/>
      <c r="IV337" s="35"/>
      <c r="IW337" s="35"/>
      <c r="IX337" s="35"/>
      <c r="IY337" s="35"/>
      <c r="IZ337" s="35"/>
      <c r="JA337" s="35"/>
      <c r="JB337" s="35"/>
      <c r="JC337" s="35"/>
      <c r="JD337" s="35"/>
      <c r="JE337" s="35"/>
      <c r="JF337" s="35"/>
      <c r="JG337" s="35"/>
      <c r="JH337" s="35"/>
      <c r="JI337" s="35"/>
      <c r="JJ337" s="35"/>
      <c r="JK337" s="35"/>
      <c r="JL337" s="35"/>
      <c r="JM337" s="35"/>
      <c r="JN337" s="35"/>
      <c r="JO337" s="35"/>
      <c r="JP337" s="35"/>
      <c r="JQ337" s="35"/>
      <c r="JR337" s="35"/>
      <c r="JS337" s="35"/>
      <c r="JT337" s="35"/>
      <c r="JU337" s="35"/>
      <c r="JV337" s="35"/>
      <c r="JW337" s="35"/>
      <c r="JX337" s="35"/>
      <c r="JY337" s="35"/>
      <c r="JZ337" s="35"/>
      <c r="KA337" s="35"/>
      <c r="KB337" s="35"/>
      <c r="KC337" s="35"/>
      <c r="KD337" s="35"/>
      <c r="KE337" s="35"/>
      <c r="KF337" s="35"/>
      <c r="KG337" s="35"/>
      <c r="KH337" s="35"/>
      <c r="KI337" s="35"/>
      <c r="KJ337" s="35"/>
      <c r="KK337" s="35"/>
      <c r="KL337" s="35"/>
      <c r="KM337" s="35"/>
      <c r="KN337" s="35"/>
      <c r="KO337" s="35"/>
      <c r="KP337" s="1633"/>
    </row>
    <row r="338" spans="1:302" s="92" customFormat="1" ht="25.25" customHeight="1" outlineLevel="1">
      <c r="A338" s="1676" t="s">
        <v>1348</v>
      </c>
      <c r="B338" s="1993"/>
      <c r="C338" s="1362" t="s">
        <v>1354</v>
      </c>
      <c r="D338" s="1362"/>
      <c r="E338" s="1389"/>
      <c r="F338" s="506"/>
      <c r="G338" s="1402"/>
      <c r="H338" s="1391"/>
      <c r="I338" s="2573">
        <v>0</v>
      </c>
      <c r="J338" s="1672"/>
      <c r="K338" s="1697"/>
      <c r="L338" s="1697"/>
      <c r="M338" s="1701"/>
      <c r="N338" s="1697"/>
      <c r="O338" s="1397">
        <f t="shared" si="421"/>
        <v>0</v>
      </c>
      <c r="P338" s="1671"/>
      <c r="Q338" s="1671"/>
      <c r="R338" s="1671"/>
      <c r="S338" s="1672"/>
      <c r="T338" s="1699"/>
      <c r="U338" s="1700"/>
      <c r="V338" s="1700"/>
      <c r="W338" s="1672">
        <f t="shared" si="367"/>
        <v>0</v>
      </c>
      <c r="X338" s="1672"/>
      <c r="Y338" s="1699"/>
      <c r="Z338" s="1700"/>
      <c r="AA338" s="1699"/>
      <c r="AB338" s="1672">
        <f t="shared" si="426"/>
        <v>11980</v>
      </c>
      <c r="AC338" s="1444" t="s">
        <v>1349</v>
      </c>
      <c r="AD338" s="1467">
        <v>4502971588</v>
      </c>
      <c r="AE338" s="510" t="s">
        <v>564</v>
      </c>
      <c r="AF338" s="497">
        <v>11980</v>
      </c>
      <c r="AG338" s="2529">
        <v>1</v>
      </c>
      <c r="AH338" s="1397">
        <f t="shared" ref="AH338" si="452">+AF338*AG338</f>
        <v>11980</v>
      </c>
      <c r="AI338" s="355">
        <f t="shared" ref="AI338" si="453">SUMIF($AM$10:$BZ$10,$AI$9,AM338:BZ338)</f>
        <v>11980</v>
      </c>
      <c r="AJ338" s="351">
        <f t="shared" ref="AJ338" si="454">IF($AB338&lt;&gt;0,AI338/$AB338,"")</f>
        <v>1</v>
      </c>
      <c r="AK338" s="351"/>
      <c r="AL338" s="1398"/>
      <c r="AM338" s="2273"/>
      <c r="AN338" s="2273"/>
      <c r="AO338" s="2823">
        <v>11980</v>
      </c>
      <c r="AP338" s="497"/>
      <c r="AQ338" s="497"/>
      <c r="AR338" s="497"/>
      <c r="AS338" s="497"/>
      <c r="AT338" s="2015"/>
      <c r="AU338" s="1922"/>
      <c r="AV338" s="1922"/>
      <c r="AW338" s="497"/>
      <c r="AX338" s="497"/>
      <c r="AY338" s="2237"/>
      <c r="AZ338" s="2273"/>
      <c r="BA338" s="497"/>
      <c r="BB338" s="497"/>
      <c r="BC338" s="497"/>
      <c r="BD338" s="497"/>
      <c r="BE338" s="497"/>
      <c r="BF338" s="497"/>
      <c r="BG338" s="497"/>
      <c r="BH338" s="497"/>
      <c r="BI338" s="497"/>
      <c r="BJ338" s="497"/>
      <c r="BK338" s="2137"/>
      <c r="BL338" s="2011"/>
      <c r="BM338" s="2011"/>
      <c r="BN338" s="2011"/>
      <c r="BO338" s="2011"/>
      <c r="BP338" s="2011"/>
      <c r="BQ338" s="2403"/>
      <c r="BR338" s="2403"/>
      <c r="BS338" s="2403"/>
      <c r="BT338" s="497"/>
      <c r="BU338" s="497"/>
      <c r="BV338" s="497"/>
      <c r="BW338" s="2060"/>
      <c r="BX338" s="2417"/>
      <c r="BY338" s="2549"/>
      <c r="BZ338" s="2549"/>
      <c r="CA338" s="2435">
        <f t="shared" si="360"/>
        <v>0</v>
      </c>
      <c r="CB338" s="2380">
        <f t="shared" si="361"/>
        <v>0</v>
      </c>
      <c r="CC338" s="365">
        <f t="shared" si="362"/>
        <v>0</v>
      </c>
      <c r="CD338" s="1380" t="str">
        <f t="shared" si="363"/>
        <v>0,00%</v>
      </c>
      <c r="CE338" s="1381">
        <f t="shared" si="364"/>
        <v>-11980</v>
      </c>
      <c r="CF338" s="1381"/>
      <c r="CG338" s="501"/>
      <c r="CH338" s="502"/>
      <c r="CI338" s="503"/>
      <c r="CJ338" s="504"/>
      <c r="CK338" s="505"/>
      <c r="CL338" s="329">
        <f t="shared" si="450"/>
        <v>0</v>
      </c>
      <c r="CM338" s="330">
        <f t="shared" si="451"/>
        <v>0</v>
      </c>
      <c r="CN338" s="331"/>
      <c r="CO338" s="86"/>
      <c r="CP338" s="86"/>
      <c r="CQ338" s="86"/>
      <c r="CR338" s="86"/>
      <c r="CS338" s="86"/>
      <c r="CT338" s="86"/>
      <c r="CU338" s="86"/>
      <c r="CV338" s="86"/>
      <c r="CW338" s="86"/>
      <c r="CX338" s="86"/>
      <c r="CY338" s="86"/>
      <c r="CZ338" s="86"/>
      <c r="DA338" s="86"/>
      <c r="DB338" s="32"/>
      <c r="DC338" s="32"/>
      <c r="DD338" s="35"/>
      <c r="DE338" s="35"/>
      <c r="DF338" s="35"/>
      <c r="DG338" s="1642"/>
      <c r="DH338" s="1642"/>
      <c r="DI338" s="1642"/>
      <c r="DJ338" s="1642"/>
      <c r="DK338" s="1642"/>
      <c r="DL338" s="1642"/>
      <c r="DM338" s="1642"/>
      <c r="DN338" s="1642"/>
      <c r="DO338" s="1642"/>
      <c r="DP338" s="1642"/>
      <c r="DQ338" s="1642"/>
      <c r="DR338" s="1642"/>
      <c r="DS338" s="1642"/>
      <c r="DT338" s="1642"/>
      <c r="DU338" s="1642"/>
      <c r="DV338" s="1642"/>
      <c r="DW338" s="1642"/>
      <c r="DX338" s="1642"/>
      <c r="DY338" s="1642"/>
      <c r="DZ338" s="1642"/>
      <c r="EA338" s="1642"/>
      <c r="EB338" s="1642"/>
      <c r="EC338" s="1642"/>
      <c r="ED338" s="1642"/>
      <c r="EE338" s="1642"/>
      <c r="EF338" s="1642"/>
      <c r="EG338" s="1642"/>
      <c r="EH338" s="35"/>
      <c r="EI338" s="1658"/>
      <c r="EJ338" s="35"/>
      <c r="EK338" s="35"/>
      <c r="EL338" s="35"/>
      <c r="EM338" s="35"/>
      <c r="EN338" s="35"/>
      <c r="EO338" s="35"/>
      <c r="EP338" s="35"/>
      <c r="EQ338" s="35"/>
      <c r="ER338" s="35"/>
      <c r="ES338" s="35"/>
      <c r="ET338" s="35"/>
      <c r="EU338" s="35"/>
      <c r="EV338" s="35"/>
      <c r="EW338" s="35"/>
      <c r="EX338" s="35"/>
      <c r="EY338" s="35"/>
      <c r="EZ338" s="35"/>
      <c r="FA338" s="35"/>
      <c r="FB338" s="35"/>
      <c r="FC338" s="35"/>
      <c r="FD338" s="35"/>
      <c r="FE338" s="35"/>
      <c r="FF338" s="35"/>
      <c r="FG338" s="35"/>
      <c r="FH338" s="35"/>
      <c r="FI338" s="35"/>
      <c r="FJ338" s="35"/>
      <c r="FK338" s="35"/>
      <c r="FL338" s="35"/>
      <c r="FM338" s="35"/>
      <c r="FN338" s="35"/>
      <c r="FO338" s="35"/>
      <c r="FP338" s="35"/>
      <c r="FQ338" s="35"/>
      <c r="FR338" s="35"/>
      <c r="FS338" s="35"/>
      <c r="FT338" s="35"/>
      <c r="FU338" s="35"/>
      <c r="FV338" s="35"/>
      <c r="FW338" s="35"/>
      <c r="FX338" s="35"/>
      <c r="FY338" s="35"/>
      <c r="FZ338" s="35"/>
      <c r="GA338" s="35"/>
      <c r="GB338" s="35"/>
      <c r="GC338" s="35"/>
      <c r="GD338" s="35"/>
      <c r="GE338" s="35"/>
      <c r="GF338" s="35"/>
      <c r="GG338" s="35"/>
      <c r="GH338" s="35"/>
      <c r="GI338" s="35"/>
      <c r="GJ338" s="35"/>
      <c r="GK338" s="35"/>
      <c r="GL338" s="35"/>
      <c r="GM338" s="35"/>
      <c r="GN338" s="35"/>
      <c r="GO338" s="35"/>
      <c r="GP338" s="35"/>
      <c r="GQ338" s="35"/>
      <c r="GR338" s="35"/>
      <c r="GS338" s="35"/>
      <c r="GT338" s="35"/>
      <c r="GU338" s="35"/>
      <c r="GV338" s="35"/>
      <c r="GW338" s="35"/>
      <c r="GX338" s="35"/>
      <c r="GY338" s="35"/>
      <c r="GZ338" s="35"/>
      <c r="HA338" s="35"/>
      <c r="HB338" s="35"/>
      <c r="HC338" s="35"/>
      <c r="HD338" s="35"/>
      <c r="HE338" s="35"/>
      <c r="HF338" s="35"/>
      <c r="HG338" s="35"/>
      <c r="HH338" s="35"/>
      <c r="HI338" s="35"/>
      <c r="HJ338" s="35"/>
      <c r="HK338" s="35"/>
      <c r="HL338" s="35"/>
      <c r="HM338" s="35"/>
      <c r="HN338" s="35"/>
      <c r="HO338" s="35"/>
      <c r="HP338" s="35"/>
      <c r="HQ338" s="35"/>
      <c r="HR338" s="35"/>
      <c r="HS338" s="35"/>
      <c r="HT338" s="35"/>
      <c r="HU338" s="35"/>
      <c r="HV338" s="35"/>
      <c r="HW338" s="35"/>
      <c r="HX338" s="35"/>
      <c r="HY338" s="35"/>
      <c r="HZ338" s="35"/>
      <c r="IA338" s="35"/>
      <c r="IB338" s="35"/>
      <c r="IC338" s="35"/>
      <c r="ID338" s="35"/>
      <c r="IE338" s="35"/>
      <c r="IF338" s="35"/>
      <c r="IG338" s="35"/>
      <c r="IH338" s="35"/>
      <c r="II338" s="35"/>
      <c r="IJ338" s="35"/>
      <c r="IK338" s="35"/>
      <c r="IL338" s="35"/>
      <c r="IM338" s="35"/>
      <c r="IN338" s="35"/>
      <c r="IO338" s="35"/>
      <c r="IP338" s="35"/>
      <c r="IQ338" s="35"/>
      <c r="IR338" s="35"/>
      <c r="IS338" s="35"/>
      <c r="IT338" s="35"/>
      <c r="IU338" s="35"/>
      <c r="IV338" s="35"/>
      <c r="IW338" s="35"/>
      <c r="IX338" s="35"/>
      <c r="IY338" s="35"/>
      <c r="IZ338" s="35"/>
      <c r="JA338" s="35"/>
      <c r="JB338" s="35"/>
      <c r="JC338" s="35"/>
      <c r="JD338" s="35"/>
      <c r="JE338" s="35"/>
      <c r="JF338" s="35"/>
      <c r="JG338" s="35"/>
      <c r="JH338" s="35"/>
      <c r="JI338" s="35"/>
      <c r="JJ338" s="35"/>
      <c r="JK338" s="35"/>
      <c r="JL338" s="35"/>
      <c r="JM338" s="35"/>
      <c r="JN338" s="35"/>
      <c r="JO338" s="35"/>
      <c r="JP338" s="35"/>
      <c r="JQ338" s="35"/>
      <c r="JR338" s="35"/>
      <c r="JS338" s="35"/>
      <c r="JT338" s="35"/>
      <c r="JU338" s="35"/>
      <c r="JV338" s="35"/>
      <c r="JW338" s="35"/>
      <c r="JX338" s="35"/>
      <c r="JY338" s="35"/>
      <c r="JZ338" s="35"/>
      <c r="KA338" s="35"/>
      <c r="KB338" s="35"/>
      <c r="KC338" s="35"/>
      <c r="KD338" s="35"/>
      <c r="KE338" s="35"/>
      <c r="KF338" s="35"/>
      <c r="KG338" s="35"/>
      <c r="KH338" s="35"/>
      <c r="KI338" s="35"/>
      <c r="KJ338" s="35"/>
      <c r="KK338" s="35"/>
      <c r="KL338" s="35"/>
      <c r="KM338" s="35"/>
      <c r="KN338" s="35"/>
      <c r="KO338" s="35"/>
      <c r="KP338" s="1633"/>
    </row>
    <row r="339" spans="1:302" s="92" customFormat="1" ht="25.25" customHeight="1" outlineLevel="1">
      <c r="A339" s="1676" t="s">
        <v>1370</v>
      </c>
      <c r="B339" s="1993"/>
      <c r="C339" s="2019" t="s">
        <v>1369</v>
      </c>
      <c r="D339" s="1362"/>
      <c r="E339" s="1389"/>
      <c r="F339" s="506"/>
      <c r="G339" s="1402"/>
      <c r="H339" s="1391"/>
      <c r="I339" s="2573">
        <v>0</v>
      </c>
      <c r="J339" s="1672"/>
      <c r="K339" s="1697"/>
      <c r="L339" s="1697"/>
      <c r="M339" s="1701"/>
      <c r="N339" s="1697"/>
      <c r="O339" s="1397">
        <f t="shared" si="421"/>
        <v>0</v>
      </c>
      <c r="P339" s="1671"/>
      <c r="Q339" s="1671"/>
      <c r="R339" s="1671"/>
      <c r="S339" s="1672"/>
      <c r="T339" s="1699"/>
      <c r="U339" s="1700"/>
      <c r="V339" s="1700"/>
      <c r="W339" s="1672">
        <f t="shared" si="367"/>
        <v>0</v>
      </c>
      <c r="X339" s="1672"/>
      <c r="Y339" s="1699"/>
      <c r="Z339" s="1700"/>
      <c r="AA339" s="1699"/>
      <c r="AB339" s="1672">
        <f t="shared" si="426"/>
        <v>2350</v>
      </c>
      <c r="AC339" s="1444" t="s">
        <v>1368</v>
      </c>
      <c r="AD339" s="1467"/>
      <c r="AE339" s="510" t="s">
        <v>1247</v>
      </c>
      <c r="AF339" s="497"/>
      <c r="AG339" s="2529">
        <v>1</v>
      </c>
      <c r="AH339" s="1397">
        <f t="shared" ref="AH339" si="455">+AF339*AG339</f>
        <v>0</v>
      </c>
      <c r="AI339" s="355">
        <f t="shared" ref="AI339" si="456">SUMIF($AM$10:$BZ$10,$AI$9,AM339:BZ339)</f>
        <v>2350</v>
      </c>
      <c r="AJ339" s="351">
        <f t="shared" ref="AJ339" si="457">IF($AB339&lt;&gt;0,AI339/$AB339,"")</f>
        <v>1</v>
      </c>
      <c r="AK339" s="351"/>
      <c r="AL339" s="1398"/>
      <c r="AM339" s="2273"/>
      <c r="AN339" s="2273"/>
      <c r="AO339" s="2823">
        <v>2350</v>
      </c>
      <c r="AP339" s="497"/>
      <c r="AQ339" s="497"/>
      <c r="AR339" s="497"/>
      <c r="AS339" s="497"/>
      <c r="AT339" s="2015"/>
      <c r="AU339" s="1922"/>
      <c r="AV339" s="1922"/>
      <c r="AW339" s="497"/>
      <c r="AX339" s="497"/>
      <c r="AY339" s="2237"/>
      <c r="AZ339" s="2273"/>
      <c r="BA339" s="497"/>
      <c r="BB339" s="497"/>
      <c r="BC339" s="497"/>
      <c r="BD339" s="497"/>
      <c r="BE339" s="497"/>
      <c r="BF339" s="497"/>
      <c r="BG339" s="497"/>
      <c r="BH339" s="497"/>
      <c r="BI339" s="497"/>
      <c r="BJ339" s="497"/>
      <c r="BK339" s="2137"/>
      <c r="BL339" s="2011"/>
      <c r="BM339" s="2011"/>
      <c r="BN339" s="2011"/>
      <c r="BO339" s="2011"/>
      <c r="BP339" s="2011"/>
      <c r="BQ339" s="2403"/>
      <c r="BR339" s="2403"/>
      <c r="BS339" s="2403"/>
      <c r="BT339" s="497"/>
      <c r="BU339" s="497"/>
      <c r="BV339" s="497"/>
      <c r="BW339" s="2060"/>
      <c r="BX339" s="2417"/>
      <c r="BY339" s="2549"/>
      <c r="BZ339" s="2549"/>
      <c r="CA339" s="2435">
        <f t="shared" si="360"/>
        <v>0</v>
      </c>
      <c r="CB339" s="2380">
        <f t="shared" si="361"/>
        <v>0</v>
      </c>
      <c r="CC339" s="365">
        <f t="shared" si="362"/>
        <v>0</v>
      </c>
      <c r="CD339" s="1380" t="str">
        <f t="shared" si="363"/>
        <v>0,00%</v>
      </c>
      <c r="CE339" s="1381">
        <f t="shared" si="364"/>
        <v>-2350</v>
      </c>
      <c r="CF339" s="1381"/>
      <c r="CG339" s="501"/>
      <c r="CH339" s="502"/>
      <c r="CI339" s="503"/>
      <c r="CJ339" s="504"/>
      <c r="CK339" s="505"/>
      <c r="CL339" s="329">
        <f t="shared" si="450"/>
        <v>0</v>
      </c>
      <c r="CM339" s="330">
        <f t="shared" si="451"/>
        <v>0</v>
      </c>
      <c r="CN339" s="331"/>
      <c r="CO339" s="86"/>
      <c r="CP339" s="86"/>
      <c r="CQ339" s="86"/>
      <c r="CR339" s="86"/>
      <c r="CS339" s="86"/>
      <c r="CT339" s="86"/>
      <c r="CU339" s="86"/>
      <c r="CV339" s="86"/>
      <c r="CW339" s="86"/>
      <c r="CX339" s="86"/>
      <c r="CY339" s="86"/>
      <c r="CZ339" s="86"/>
      <c r="DA339" s="86"/>
      <c r="DB339" s="32"/>
      <c r="DC339" s="32"/>
      <c r="DD339" s="35"/>
      <c r="DE339" s="35"/>
      <c r="DF339" s="35"/>
      <c r="DG339" s="1642"/>
      <c r="DH339" s="1642"/>
      <c r="DI339" s="1642"/>
      <c r="DJ339" s="1642"/>
      <c r="DK339" s="1642"/>
      <c r="DL339" s="1642"/>
      <c r="DM339" s="1642"/>
      <c r="DN339" s="1642"/>
      <c r="DO339" s="1642"/>
      <c r="DP339" s="1642"/>
      <c r="DQ339" s="1642"/>
      <c r="DR339" s="1642"/>
      <c r="DS339" s="1642"/>
      <c r="DT339" s="1642"/>
      <c r="DU339" s="1642"/>
      <c r="DV339" s="1642"/>
      <c r="DW339" s="1642"/>
      <c r="DX339" s="1642"/>
      <c r="DY339" s="1642"/>
      <c r="DZ339" s="1642"/>
      <c r="EA339" s="1642"/>
      <c r="EB339" s="1642"/>
      <c r="EC339" s="1642"/>
      <c r="ED339" s="1642"/>
      <c r="EE339" s="1642"/>
      <c r="EF339" s="1642"/>
      <c r="EG339" s="1642"/>
      <c r="EH339" s="35"/>
      <c r="EI339" s="1658"/>
      <c r="EJ339" s="35"/>
      <c r="EK339" s="35"/>
      <c r="EL339" s="35"/>
      <c r="EM339" s="35"/>
      <c r="EN339" s="35"/>
      <c r="EO339" s="35"/>
      <c r="EP339" s="35"/>
      <c r="EQ339" s="35"/>
      <c r="ER339" s="35"/>
      <c r="ES339" s="35"/>
      <c r="ET339" s="35"/>
      <c r="EU339" s="35"/>
      <c r="EV339" s="35"/>
      <c r="EW339" s="35"/>
      <c r="EX339" s="35"/>
      <c r="EY339" s="35"/>
      <c r="EZ339" s="35"/>
      <c r="FA339" s="35"/>
      <c r="FB339" s="35"/>
      <c r="FC339" s="35"/>
      <c r="FD339" s="35"/>
      <c r="FE339" s="35"/>
      <c r="FF339" s="35"/>
      <c r="FG339" s="35"/>
      <c r="FH339" s="35"/>
      <c r="FI339" s="35"/>
      <c r="FJ339" s="35"/>
      <c r="FK339" s="35"/>
      <c r="FL339" s="35"/>
      <c r="FM339" s="35"/>
      <c r="FN339" s="35"/>
      <c r="FO339" s="35"/>
      <c r="FP339" s="35"/>
      <c r="FQ339" s="35"/>
      <c r="FR339" s="35"/>
      <c r="FS339" s="35"/>
      <c r="FT339" s="35"/>
      <c r="FU339" s="35"/>
      <c r="FV339" s="35"/>
      <c r="FW339" s="35"/>
      <c r="FX339" s="35"/>
      <c r="FY339" s="35"/>
      <c r="FZ339" s="35"/>
      <c r="GA339" s="35"/>
      <c r="GB339" s="35"/>
      <c r="GC339" s="35"/>
      <c r="GD339" s="35"/>
      <c r="GE339" s="35"/>
      <c r="GF339" s="35"/>
      <c r="GG339" s="35"/>
      <c r="GH339" s="35"/>
      <c r="GI339" s="35"/>
      <c r="GJ339" s="35"/>
      <c r="GK339" s="35"/>
      <c r="GL339" s="35"/>
      <c r="GM339" s="35"/>
      <c r="GN339" s="35"/>
      <c r="GO339" s="35"/>
      <c r="GP339" s="35"/>
      <c r="GQ339" s="35"/>
      <c r="GR339" s="35"/>
      <c r="GS339" s="35"/>
      <c r="GT339" s="35"/>
      <c r="GU339" s="35"/>
      <c r="GV339" s="35"/>
      <c r="GW339" s="35"/>
      <c r="GX339" s="35"/>
      <c r="GY339" s="35"/>
      <c r="GZ339" s="35"/>
      <c r="HA339" s="35"/>
      <c r="HB339" s="35"/>
      <c r="HC339" s="35"/>
      <c r="HD339" s="35"/>
      <c r="HE339" s="35"/>
      <c r="HF339" s="35"/>
      <c r="HG339" s="35"/>
      <c r="HH339" s="35"/>
      <c r="HI339" s="35"/>
      <c r="HJ339" s="35"/>
      <c r="HK339" s="35"/>
      <c r="HL339" s="35"/>
      <c r="HM339" s="35"/>
      <c r="HN339" s="35"/>
      <c r="HO339" s="35"/>
      <c r="HP339" s="35"/>
      <c r="HQ339" s="35"/>
      <c r="HR339" s="35"/>
      <c r="HS339" s="35"/>
      <c r="HT339" s="35"/>
      <c r="HU339" s="35"/>
      <c r="HV339" s="35"/>
      <c r="HW339" s="35"/>
      <c r="HX339" s="35"/>
      <c r="HY339" s="35"/>
      <c r="HZ339" s="35"/>
      <c r="IA339" s="35"/>
      <c r="IB339" s="35"/>
      <c r="IC339" s="35"/>
      <c r="ID339" s="35"/>
      <c r="IE339" s="35"/>
      <c r="IF339" s="35"/>
      <c r="IG339" s="35"/>
      <c r="IH339" s="35"/>
      <c r="II339" s="35"/>
      <c r="IJ339" s="35"/>
      <c r="IK339" s="35"/>
      <c r="IL339" s="35"/>
      <c r="IM339" s="35"/>
      <c r="IN339" s="35"/>
      <c r="IO339" s="35"/>
      <c r="IP339" s="35"/>
      <c r="IQ339" s="35"/>
      <c r="IR339" s="35"/>
      <c r="IS339" s="35"/>
      <c r="IT339" s="35"/>
      <c r="IU339" s="35"/>
      <c r="IV339" s="35"/>
      <c r="IW339" s="35"/>
      <c r="IX339" s="35"/>
      <c r="IY339" s="35"/>
      <c r="IZ339" s="35"/>
      <c r="JA339" s="35"/>
      <c r="JB339" s="35"/>
      <c r="JC339" s="35"/>
      <c r="JD339" s="35"/>
      <c r="JE339" s="35"/>
      <c r="JF339" s="35"/>
      <c r="JG339" s="35"/>
      <c r="JH339" s="35"/>
      <c r="JI339" s="35"/>
      <c r="JJ339" s="35"/>
      <c r="JK339" s="35"/>
      <c r="JL339" s="35"/>
      <c r="JM339" s="35"/>
      <c r="JN339" s="35"/>
      <c r="JO339" s="35"/>
      <c r="JP339" s="35"/>
      <c r="JQ339" s="35"/>
      <c r="JR339" s="35"/>
      <c r="JS339" s="35"/>
      <c r="JT339" s="35"/>
      <c r="JU339" s="35"/>
      <c r="JV339" s="35"/>
      <c r="JW339" s="35"/>
      <c r="JX339" s="35"/>
      <c r="JY339" s="35"/>
      <c r="JZ339" s="35"/>
      <c r="KA339" s="35"/>
      <c r="KB339" s="35"/>
      <c r="KC339" s="35"/>
      <c r="KD339" s="35"/>
      <c r="KE339" s="35"/>
      <c r="KF339" s="35"/>
      <c r="KG339" s="35"/>
      <c r="KH339" s="35"/>
      <c r="KI339" s="35"/>
      <c r="KJ339" s="35"/>
      <c r="KK339" s="35"/>
      <c r="KL339" s="35"/>
      <c r="KM339" s="35"/>
      <c r="KN339" s="35"/>
      <c r="KO339" s="35"/>
      <c r="KP339" s="1633"/>
    </row>
    <row r="340" spans="1:302" s="92" customFormat="1" ht="25.25" customHeight="1" outlineLevel="1">
      <c r="A340" s="1676" t="s">
        <v>163</v>
      </c>
      <c r="B340" s="1993" t="s">
        <v>1164</v>
      </c>
      <c r="C340" s="1362" t="s">
        <v>299</v>
      </c>
      <c r="D340" s="1363" t="s">
        <v>289</v>
      </c>
      <c r="E340" s="1389"/>
      <c r="F340" s="506"/>
      <c r="G340" s="1402"/>
      <c r="H340" s="1391"/>
      <c r="I340" s="2573">
        <v>38080</v>
      </c>
      <c r="J340" s="1672"/>
      <c r="K340" s="1697"/>
      <c r="L340" s="1697"/>
      <c r="M340" s="1701">
        <v>1190</v>
      </c>
      <c r="N340" s="1697">
        <v>32</v>
      </c>
      <c r="O340" s="1397">
        <f t="shared" si="421"/>
        <v>38080</v>
      </c>
      <c r="P340" s="1671"/>
      <c r="Q340" s="1671"/>
      <c r="R340" s="1671"/>
      <c r="S340" s="1672"/>
      <c r="T340" s="1699"/>
      <c r="U340" s="1700"/>
      <c r="V340" s="1700"/>
      <c r="W340" s="1672">
        <f t="shared" si="367"/>
        <v>38080</v>
      </c>
      <c r="X340" s="1672"/>
      <c r="Y340" s="1699"/>
      <c r="Z340" s="1700"/>
      <c r="AA340" s="1699"/>
      <c r="AB340" s="1672">
        <f t="shared" si="426"/>
        <v>38080</v>
      </c>
      <c r="AC340" s="1444"/>
      <c r="AD340" s="1467"/>
      <c r="AE340" s="510"/>
      <c r="AF340" s="497"/>
      <c r="AG340" s="2529">
        <v>1</v>
      </c>
      <c r="AH340" s="1397">
        <f t="shared" si="351"/>
        <v>0</v>
      </c>
      <c r="AI340" s="355">
        <f t="shared" si="435"/>
        <v>0</v>
      </c>
      <c r="AJ340" s="351">
        <f t="shared" si="353"/>
        <v>0</v>
      </c>
      <c r="AK340" s="351"/>
      <c r="AL340" s="1398"/>
      <c r="AM340" s="2273"/>
      <c r="AN340" s="2273"/>
      <c r="AO340" s="497"/>
      <c r="AP340" s="497"/>
      <c r="AQ340" s="497"/>
      <c r="AR340" s="497"/>
      <c r="AS340" s="497"/>
      <c r="AT340" s="2015"/>
      <c r="AU340" s="497"/>
      <c r="AV340" s="497"/>
      <c r="AW340" s="497"/>
      <c r="AX340" s="497"/>
      <c r="AY340" s="2060"/>
      <c r="AZ340" s="2273">
        <f>1190+1090.84</f>
        <v>2280.84</v>
      </c>
      <c r="BA340" s="497">
        <v>2280.84</v>
      </c>
      <c r="BB340" s="497">
        <v>2280.84</v>
      </c>
      <c r="BC340" s="497">
        <v>2280.84</v>
      </c>
      <c r="BD340" s="497">
        <v>2280.8000000000002</v>
      </c>
      <c r="BE340" s="497">
        <v>2280.84</v>
      </c>
      <c r="BF340" s="497">
        <v>2280.84</v>
      </c>
      <c r="BG340" s="497">
        <v>2280.8000000000002</v>
      </c>
      <c r="BH340" s="497">
        <v>2280.84</v>
      </c>
      <c r="BI340" s="497">
        <v>2280.84</v>
      </c>
      <c r="BJ340" s="497">
        <v>2280.84</v>
      </c>
      <c r="BK340" s="2137">
        <v>2280.84</v>
      </c>
      <c r="BL340" s="2011">
        <v>1190</v>
      </c>
      <c r="BM340" s="2011">
        <v>1190</v>
      </c>
      <c r="BN340" s="2011">
        <v>1190</v>
      </c>
      <c r="BO340" s="2011">
        <v>1190</v>
      </c>
      <c r="BP340" s="2011">
        <v>1190</v>
      </c>
      <c r="BQ340" s="2403">
        <v>1190</v>
      </c>
      <c r="BR340" s="2403">
        <v>1190</v>
      </c>
      <c r="BS340" s="2403">
        <v>1190</v>
      </c>
      <c r="BT340" s="497">
        <v>1190</v>
      </c>
      <c r="BU340" s="497"/>
      <c r="BV340" s="497"/>
      <c r="BW340" s="2060"/>
      <c r="BX340" s="2417"/>
      <c r="BY340" s="2549"/>
      <c r="BZ340" s="2549"/>
      <c r="CA340" s="2435">
        <f t="shared" si="360"/>
        <v>38080</v>
      </c>
      <c r="CB340" s="2380">
        <f t="shared" si="361"/>
        <v>1</v>
      </c>
      <c r="CC340" s="365">
        <f t="shared" si="362"/>
        <v>2.6260504201680674E-5</v>
      </c>
      <c r="CD340" s="1380">
        <f t="shared" si="363"/>
        <v>0</v>
      </c>
      <c r="CE340" s="1381">
        <f t="shared" si="364"/>
        <v>0</v>
      </c>
      <c r="CF340" s="1381"/>
      <c r="CG340" s="501"/>
      <c r="CH340" s="502"/>
      <c r="CI340" s="503"/>
      <c r="CJ340" s="504"/>
      <c r="CK340" s="505"/>
      <c r="CL340" s="329">
        <f t="shared" si="450"/>
        <v>0</v>
      </c>
      <c r="CM340" s="330">
        <f t="shared" si="451"/>
        <v>0</v>
      </c>
      <c r="CN340" s="331">
        <f t="shared" si="369"/>
        <v>-38080</v>
      </c>
      <c r="CO340" s="86"/>
      <c r="CP340" s="86">
        <f t="shared" si="422"/>
        <v>0</v>
      </c>
      <c r="CQ340" s="86"/>
      <c r="CR340" s="86"/>
      <c r="CS340" s="86"/>
      <c r="CT340" s="86"/>
      <c r="CU340" s="86"/>
      <c r="CV340" s="86"/>
      <c r="CW340" s="86"/>
      <c r="CX340" s="86"/>
      <c r="CY340" s="86"/>
      <c r="CZ340" s="86"/>
      <c r="DA340" s="86"/>
      <c r="DB340" s="32"/>
      <c r="DC340" s="32"/>
      <c r="DD340" s="35"/>
      <c r="DE340" s="35"/>
      <c r="DF340" s="35"/>
      <c r="DG340" s="1642"/>
      <c r="DH340" s="1642"/>
      <c r="DI340" s="1642"/>
      <c r="DJ340" s="1642"/>
      <c r="DK340" s="1642"/>
      <c r="DL340" s="1642"/>
      <c r="DM340" s="1642"/>
      <c r="DN340" s="1642"/>
      <c r="DO340" s="1642"/>
      <c r="DP340" s="1642"/>
      <c r="DQ340" s="1642"/>
      <c r="DR340" s="1642"/>
      <c r="DS340" s="1642"/>
      <c r="DT340" s="1642"/>
      <c r="DU340" s="1642"/>
      <c r="DV340" s="1642"/>
      <c r="DW340" s="1642"/>
      <c r="DX340" s="1642"/>
      <c r="DY340" s="1642"/>
      <c r="DZ340" s="1642"/>
      <c r="EA340" s="1642"/>
      <c r="EB340" s="1642"/>
      <c r="EC340" s="1642"/>
      <c r="ED340" s="1642"/>
      <c r="EE340" s="1642"/>
      <c r="EF340" s="1642"/>
      <c r="EG340" s="1642"/>
      <c r="EH340" s="35"/>
      <c r="EI340" s="1658"/>
      <c r="EJ340" s="35"/>
      <c r="EK340" s="35"/>
      <c r="EL340" s="35"/>
      <c r="EM340" s="35"/>
      <c r="EN340" s="35"/>
      <c r="EO340" s="35"/>
      <c r="EP340" s="35"/>
      <c r="EQ340" s="35"/>
      <c r="ER340" s="35"/>
      <c r="ES340" s="35"/>
      <c r="ET340" s="35"/>
      <c r="EU340" s="35"/>
      <c r="EV340" s="35"/>
      <c r="EW340" s="35"/>
      <c r="EX340" s="35"/>
      <c r="EY340" s="35"/>
      <c r="EZ340" s="35"/>
      <c r="FA340" s="35"/>
      <c r="FB340" s="35"/>
      <c r="FC340" s="35"/>
      <c r="FD340" s="35"/>
      <c r="FE340" s="35"/>
      <c r="FF340" s="35"/>
      <c r="FG340" s="35"/>
      <c r="FH340" s="35"/>
      <c r="FI340" s="35"/>
      <c r="FJ340" s="35"/>
      <c r="FK340" s="35"/>
      <c r="FL340" s="35"/>
      <c r="FM340" s="35"/>
      <c r="FN340" s="35"/>
      <c r="FO340" s="35"/>
      <c r="FP340" s="35"/>
      <c r="FQ340" s="35"/>
      <c r="FR340" s="35"/>
      <c r="FS340" s="35"/>
      <c r="FT340" s="35"/>
      <c r="FU340" s="35"/>
      <c r="FV340" s="35"/>
      <c r="FW340" s="35"/>
      <c r="FX340" s="35"/>
      <c r="FY340" s="35"/>
      <c r="FZ340" s="35"/>
      <c r="GA340" s="35"/>
      <c r="GB340" s="35"/>
      <c r="GC340" s="35"/>
      <c r="GD340" s="35"/>
      <c r="GE340" s="35"/>
      <c r="GF340" s="35"/>
      <c r="GG340" s="35"/>
      <c r="GH340" s="35"/>
      <c r="GI340" s="35"/>
      <c r="GJ340" s="35"/>
      <c r="GK340" s="35"/>
      <c r="GL340" s="35"/>
      <c r="GM340" s="35"/>
      <c r="GN340" s="35"/>
      <c r="GO340" s="35"/>
      <c r="GP340" s="35"/>
      <c r="GQ340" s="35"/>
      <c r="GR340" s="35"/>
      <c r="GS340" s="35"/>
      <c r="GT340" s="35"/>
      <c r="GU340" s="35"/>
      <c r="GV340" s="35"/>
      <c r="GW340" s="35"/>
      <c r="GX340" s="35"/>
      <c r="GY340" s="35"/>
      <c r="GZ340" s="35"/>
      <c r="HA340" s="35"/>
      <c r="HB340" s="35"/>
      <c r="HC340" s="35"/>
      <c r="HD340" s="35"/>
      <c r="HE340" s="35"/>
      <c r="HF340" s="35"/>
      <c r="HG340" s="35"/>
      <c r="HH340" s="35"/>
      <c r="HI340" s="35"/>
      <c r="HJ340" s="35"/>
      <c r="HK340" s="35"/>
      <c r="HL340" s="35"/>
      <c r="HM340" s="35"/>
      <c r="HN340" s="35"/>
      <c r="HO340" s="35"/>
      <c r="HP340" s="35"/>
      <c r="HQ340" s="35"/>
      <c r="HR340" s="35"/>
      <c r="HS340" s="35"/>
      <c r="HT340" s="35"/>
      <c r="HU340" s="35"/>
      <c r="HV340" s="35"/>
      <c r="HW340" s="35"/>
      <c r="HX340" s="35"/>
      <c r="HY340" s="35"/>
      <c r="HZ340" s="35"/>
      <c r="IA340" s="35"/>
      <c r="IB340" s="35"/>
      <c r="IC340" s="35"/>
      <c r="ID340" s="35"/>
      <c r="IE340" s="35"/>
      <c r="IF340" s="35"/>
      <c r="IG340" s="35"/>
      <c r="IH340" s="35"/>
      <c r="II340" s="35"/>
      <c r="IJ340" s="35"/>
      <c r="IK340" s="35"/>
      <c r="IL340" s="35"/>
      <c r="IM340" s="35"/>
      <c r="IN340" s="35"/>
      <c r="IO340" s="35"/>
      <c r="IP340" s="35"/>
      <c r="IQ340" s="35"/>
      <c r="IR340" s="35"/>
      <c r="IS340" s="35"/>
      <c r="IT340" s="35"/>
      <c r="IU340" s="35"/>
      <c r="IV340" s="35"/>
      <c r="IW340" s="35"/>
      <c r="IX340" s="35"/>
      <c r="IY340" s="35"/>
      <c r="IZ340" s="35"/>
      <c r="JA340" s="35"/>
      <c r="JB340" s="35"/>
      <c r="JC340" s="35"/>
      <c r="JD340" s="35"/>
      <c r="JE340" s="35"/>
      <c r="JF340" s="35"/>
      <c r="JG340" s="35"/>
      <c r="JH340" s="35"/>
      <c r="JI340" s="35"/>
      <c r="JJ340" s="35"/>
      <c r="JK340" s="35"/>
      <c r="JL340" s="35"/>
      <c r="JM340" s="35"/>
      <c r="JN340" s="35"/>
      <c r="JO340" s="35"/>
      <c r="JP340" s="35"/>
      <c r="JQ340" s="35"/>
      <c r="JR340" s="35"/>
      <c r="JS340" s="35"/>
      <c r="JT340" s="35"/>
      <c r="JU340" s="35"/>
      <c r="JV340" s="35"/>
      <c r="JW340" s="35"/>
      <c r="JX340" s="35"/>
      <c r="JY340" s="35"/>
      <c r="JZ340" s="35"/>
      <c r="KA340" s="35"/>
      <c r="KB340" s="35"/>
      <c r="KC340" s="35"/>
      <c r="KD340" s="35"/>
      <c r="KE340" s="35"/>
      <c r="KF340" s="35"/>
      <c r="KG340" s="35"/>
      <c r="KH340" s="35"/>
      <c r="KI340" s="35"/>
      <c r="KJ340" s="35"/>
      <c r="KK340" s="35"/>
      <c r="KL340" s="35"/>
      <c r="KM340" s="35"/>
      <c r="KN340" s="35"/>
      <c r="KO340" s="35"/>
      <c r="KP340" s="1633"/>
    </row>
    <row r="341" spans="1:302" s="92" customFormat="1" ht="24.6" customHeight="1" outlineLevel="1">
      <c r="A341" s="1676" t="s">
        <v>250</v>
      </c>
      <c r="B341" s="1993" t="s">
        <v>1165</v>
      </c>
      <c r="C341" s="2019" t="s">
        <v>1369</v>
      </c>
      <c r="D341" s="1363" t="s">
        <v>234</v>
      </c>
      <c r="E341" s="1389"/>
      <c r="F341" s="506"/>
      <c r="G341" s="1402"/>
      <c r="H341" s="1391"/>
      <c r="I341" s="2573">
        <v>25000</v>
      </c>
      <c r="J341" s="1672"/>
      <c r="K341" s="1697"/>
      <c r="L341" s="1697"/>
      <c r="M341" s="1701">
        <v>25000</v>
      </c>
      <c r="N341" s="1697">
        <v>1</v>
      </c>
      <c r="O341" s="1397">
        <f t="shared" si="421"/>
        <v>25000</v>
      </c>
      <c r="P341" s="1671"/>
      <c r="Q341" s="1671"/>
      <c r="R341" s="1671"/>
      <c r="S341" s="1672"/>
      <c r="T341" s="1699"/>
      <c r="U341" s="1700"/>
      <c r="V341" s="1700"/>
      <c r="W341" s="1672">
        <f t="shared" si="367"/>
        <v>25000</v>
      </c>
      <c r="X341" s="1672"/>
      <c r="Y341" s="1699"/>
      <c r="Z341" s="1700"/>
      <c r="AA341" s="1699"/>
      <c r="AB341" s="1672">
        <f t="shared" si="426"/>
        <v>25000</v>
      </c>
      <c r="AC341" s="1444" t="s">
        <v>1368</v>
      </c>
      <c r="AD341" s="1467"/>
      <c r="AE341" s="510" t="s">
        <v>1247</v>
      </c>
      <c r="AF341" s="497">
        <v>25000</v>
      </c>
      <c r="AG341" s="2529">
        <v>1</v>
      </c>
      <c r="AH341" s="1397">
        <f t="shared" si="351"/>
        <v>25000</v>
      </c>
      <c r="AI341" s="355">
        <f t="shared" si="435"/>
        <v>25000</v>
      </c>
      <c r="AJ341" s="351">
        <f t="shared" si="353"/>
        <v>1</v>
      </c>
      <c r="AK341" s="351"/>
      <c r="AL341" s="1398"/>
      <c r="AM341" s="2273"/>
      <c r="AN341" s="2273"/>
      <c r="AO341" s="2823">
        <v>25000</v>
      </c>
      <c r="AP341" s="1922"/>
      <c r="AQ341" s="497"/>
      <c r="AR341" s="497"/>
      <c r="AS341" s="497"/>
      <c r="AT341" s="2015"/>
      <c r="AU341" s="497"/>
      <c r="AV341" s="497"/>
      <c r="AW341" s="497"/>
      <c r="AX341" s="497"/>
      <c r="AY341" s="2060"/>
      <c r="AZ341" s="2273"/>
      <c r="BA341" s="497"/>
      <c r="BB341" s="497"/>
      <c r="BC341" s="497"/>
      <c r="BD341" s="497"/>
      <c r="BE341" s="497"/>
      <c r="BF341" s="497"/>
      <c r="BG341" s="497"/>
      <c r="BH341" s="497"/>
      <c r="BI341" s="497"/>
      <c r="BJ341" s="497"/>
      <c r="BK341" s="2137"/>
      <c r="BL341" s="2011"/>
      <c r="BM341" s="2011"/>
      <c r="BN341" s="2011"/>
      <c r="BO341" s="2011"/>
      <c r="BP341" s="2011"/>
      <c r="BQ341" s="2403"/>
      <c r="BR341" s="497"/>
      <c r="BS341" s="497"/>
      <c r="BT341" s="497"/>
      <c r="BU341" s="497"/>
      <c r="BV341" s="497"/>
      <c r="BW341" s="2060"/>
      <c r="BX341" s="2417"/>
      <c r="BY341" s="2549"/>
      <c r="BZ341" s="2549"/>
      <c r="CA341" s="2435">
        <f t="shared" si="360"/>
        <v>0</v>
      </c>
      <c r="CB341" s="2380">
        <f t="shared" si="361"/>
        <v>0</v>
      </c>
      <c r="CC341" s="365">
        <f t="shared" si="362"/>
        <v>0</v>
      </c>
      <c r="CD341" s="1380">
        <f t="shared" si="363"/>
        <v>0</v>
      </c>
      <c r="CE341" s="1381">
        <f t="shared" si="364"/>
        <v>0</v>
      </c>
      <c r="CF341" s="1381"/>
      <c r="CG341" s="501"/>
      <c r="CH341" s="502"/>
      <c r="CI341" s="503"/>
      <c r="CJ341" s="504"/>
      <c r="CK341" s="505"/>
      <c r="CL341" s="329">
        <f t="shared" si="450"/>
        <v>25000</v>
      </c>
      <c r="CM341" s="330">
        <f t="shared" si="451"/>
        <v>0</v>
      </c>
      <c r="CN341" s="331">
        <f t="shared" si="369"/>
        <v>0</v>
      </c>
      <c r="CO341" s="86"/>
      <c r="CP341" s="86">
        <f t="shared" si="422"/>
        <v>0</v>
      </c>
      <c r="CQ341" s="86"/>
      <c r="CR341" s="86"/>
      <c r="CS341" s="86"/>
      <c r="CT341" s="86"/>
      <c r="CU341" s="86"/>
      <c r="CV341" s="86"/>
      <c r="CW341" s="86"/>
      <c r="CX341" s="86"/>
      <c r="CY341" s="86"/>
      <c r="CZ341" s="86"/>
      <c r="DA341" s="86"/>
      <c r="DB341" s="32"/>
      <c r="DC341" s="32"/>
      <c r="DD341" s="35"/>
      <c r="DE341" s="35"/>
      <c r="DF341" s="35"/>
      <c r="DG341" s="1642"/>
      <c r="DH341" s="1642"/>
      <c r="DI341" s="1642"/>
      <c r="DJ341" s="1642"/>
      <c r="DK341" s="1642"/>
      <c r="DL341" s="1642"/>
      <c r="DM341" s="1642"/>
      <c r="DN341" s="1642"/>
      <c r="DO341" s="1642"/>
      <c r="DP341" s="1642"/>
      <c r="DQ341" s="1642"/>
      <c r="DR341" s="1642"/>
      <c r="DS341" s="1642"/>
      <c r="DT341" s="1642"/>
      <c r="DU341" s="1642"/>
      <c r="DV341" s="1642"/>
      <c r="DW341" s="1642"/>
      <c r="DX341" s="1642"/>
      <c r="DY341" s="1642"/>
      <c r="DZ341" s="1642"/>
      <c r="EA341" s="1642"/>
      <c r="EB341" s="1642"/>
      <c r="EC341" s="1642"/>
      <c r="ED341" s="1642"/>
      <c r="EE341" s="1642"/>
      <c r="EF341" s="1642"/>
      <c r="EG341" s="1642"/>
      <c r="EH341" s="35"/>
      <c r="EI341" s="1658"/>
      <c r="EJ341" s="35"/>
      <c r="EK341" s="35"/>
      <c r="EL341" s="35"/>
      <c r="EM341" s="35"/>
      <c r="EN341" s="35"/>
      <c r="EO341" s="35"/>
      <c r="EP341" s="35"/>
      <c r="EQ341" s="35"/>
      <c r="ER341" s="35"/>
      <c r="ES341" s="35"/>
      <c r="ET341" s="35"/>
      <c r="EU341" s="35"/>
      <c r="EV341" s="35"/>
      <c r="EW341" s="35"/>
      <c r="EX341" s="35"/>
      <c r="EY341" s="35"/>
      <c r="EZ341" s="35"/>
      <c r="FA341" s="35"/>
      <c r="FB341" s="35"/>
      <c r="FC341" s="35"/>
      <c r="FD341" s="35"/>
      <c r="FE341" s="35"/>
      <c r="FF341" s="35"/>
      <c r="FG341" s="35"/>
      <c r="FH341" s="35"/>
      <c r="FI341" s="35"/>
      <c r="FJ341" s="35"/>
      <c r="FK341" s="35"/>
      <c r="FL341" s="35"/>
      <c r="FM341" s="35"/>
      <c r="FN341" s="35"/>
      <c r="FO341" s="35"/>
      <c r="FP341" s="35"/>
      <c r="FQ341" s="35"/>
      <c r="FR341" s="35"/>
      <c r="FS341" s="35"/>
      <c r="FT341" s="35"/>
      <c r="FU341" s="35"/>
      <c r="FV341" s="35"/>
      <c r="FW341" s="35"/>
      <c r="FX341" s="35"/>
      <c r="FY341" s="35"/>
      <c r="FZ341" s="35"/>
      <c r="GA341" s="35"/>
      <c r="GB341" s="35"/>
      <c r="GC341" s="35"/>
      <c r="GD341" s="35"/>
      <c r="GE341" s="35"/>
      <c r="GF341" s="35"/>
      <c r="GG341" s="35"/>
      <c r="GH341" s="35"/>
      <c r="GI341" s="35"/>
      <c r="GJ341" s="35"/>
      <c r="GK341" s="35"/>
      <c r="GL341" s="35"/>
      <c r="GM341" s="35"/>
      <c r="GN341" s="35"/>
      <c r="GO341" s="35"/>
      <c r="GP341" s="35"/>
      <c r="GQ341" s="35"/>
      <c r="GR341" s="35"/>
      <c r="GS341" s="35"/>
      <c r="GT341" s="35"/>
      <c r="GU341" s="35"/>
      <c r="GV341" s="35"/>
      <c r="GW341" s="35"/>
      <c r="GX341" s="35"/>
      <c r="GY341" s="35"/>
      <c r="GZ341" s="35"/>
      <c r="HA341" s="35"/>
      <c r="HB341" s="35"/>
      <c r="HC341" s="35"/>
      <c r="HD341" s="35"/>
      <c r="HE341" s="35"/>
      <c r="HF341" s="35"/>
      <c r="HG341" s="35"/>
      <c r="HH341" s="35"/>
      <c r="HI341" s="35"/>
      <c r="HJ341" s="35"/>
      <c r="HK341" s="35"/>
      <c r="HL341" s="35"/>
      <c r="HM341" s="35"/>
      <c r="HN341" s="35"/>
      <c r="HO341" s="35"/>
      <c r="HP341" s="35"/>
      <c r="HQ341" s="35"/>
      <c r="HR341" s="35"/>
      <c r="HS341" s="35"/>
      <c r="HT341" s="35"/>
      <c r="HU341" s="35"/>
      <c r="HV341" s="35"/>
      <c r="HW341" s="35"/>
      <c r="HX341" s="35"/>
      <c r="HY341" s="35"/>
      <c r="HZ341" s="35"/>
      <c r="IA341" s="35"/>
      <c r="IB341" s="35"/>
      <c r="IC341" s="35"/>
      <c r="ID341" s="35"/>
      <c r="IE341" s="35"/>
      <c r="IF341" s="35"/>
      <c r="IG341" s="35"/>
      <c r="IH341" s="35"/>
      <c r="II341" s="35"/>
      <c r="IJ341" s="35"/>
      <c r="IK341" s="35"/>
      <c r="IL341" s="35"/>
      <c r="IM341" s="35"/>
      <c r="IN341" s="35"/>
      <c r="IO341" s="35"/>
      <c r="IP341" s="35"/>
      <c r="IQ341" s="35"/>
      <c r="IR341" s="35"/>
      <c r="IS341" s="35"/>
      <c r="IT341" s="35"/>
      <c r="IU341" s="35"/>
      <c r="IV341" s="35"/>
      <c r="IW341" s="35"/>
      <c r="IX341" s="35"/>
      <c r="IY341" s="35"/>
      <c r="IZ341" s="35"/>
      <c r="JA341" s="35"/>
      <c r="JB341" s="35"/>
      <c r="JC341" s="35"/>
      <c r="JD341" s="35"/>
      <c r="JE341" s="35"/>
      <c r="JF341" s="35"/>
      <c r="JG341" s="35"/>
      <c r="JH341" s="35"/>
      <c r="JI341" s="35"/>
      <c r="JJ341" s="35"/>
      <c r="JK341" s="35"/>
      <c r="JL341" s="35"/>
      <c r="JM341" s="35"/>
      <c r="JN341" s="35"/>
      <c r="JO341" s="35"/>
      <c r="JP341" s="35"/>
      <c r="JQ341" s="35"/>
      <c r="JR341" s="35"/>
      <c r="JS341" s="35"/>
      <c r="JT341" s="35"/>
      <c r="JU341" s="35"/>
      <c r="JV341" s="35"/>
      <c r="JW341" s="35"/>
      <c r="JX341" s="35"/>
      <c r="JY341" s="35"/>
      <c r="JZ341" s="35"/>
      <c r="KA341" s="35"/>
      <c r="KB341" s="35"/>
      <c r="KC341" s="35"/>
      <c r="KD341" s="35"/>
      <c r="KE341" s="35"/>
      <c r="KF341" s="35"/>
      <c r="KG341" s="35"/>
      <c r="KH341" s="35"/>
      <c r="KI341" s="35"/>
      <c r="KJ341" s="35"/>
      <c r="KK341" s="35"/>
      <c r="KL341" s="35"/>
      <c r="KM341" s="35"/>
      <c r="KN341" s="35"/>
      <c r="KO341" s="35"/>
      <c r="KP341" s="1633"/>
    </row>
    <row r="342" spans="1:302" s="92" customFormat="1" ht="25.25" customHeight="1" outlineLevel="1">
      <c r="A342" s="1676" t="s">
        <v>164</v>
      </c>
      <c r="B342" s="1993" t="s">
        <v>1166</v>
      </c>
      <c r="C342" s="2019" t="s">
        <v>1290</v>
      </c>
      <c r="D342" s="1363" t="s">
        <v>235</v>
      </c>
      <c r="E342" s="1389"/>
      <c r="F342" s="506"/>
      <c r="G342" s="1402"/>
      <c r="H342" s="1391"/>
      <c r="I342" s="2573">
        <v>50000</v>
      </c>
      <c r="J342" s="1672"/>
      <c r="K342" s="1697"/>
      <c r="L342" s="1697"/>
      <c r="M342" s="1701">
        <v>50000</v>
      </c>
      <c r="N342" s="1697">
        <v>1</v>
      </c>
      <c r="O342" s="1397">
        <f t="shared" si="421"/>
        <v>50000</v>
      </c>
      <c r="P342" s="1671"/>
      <c r="Q342" s="1671"/>
      <c r="R342" s="1671"/>
      <c r="S342" s="1672"/>
      <c r="T342" s="1699"/>
      <c r="U342" s="1700"/>
      <c r="V342" s="1700"/>
      <c r="W342" s="1672">
        <f t="shared" ref="W342:W348" si="458">O342+S342</f>
        <v>50000</v>
      </c>
      <c r="X342" s="1672"/>
      <c r="Y342" s="1699"/>
      <c r="Z342" s="1700"/>
      <c r="AA342" s="1699"/>
      <c r="AB342" s="1672">
        <f t="shared" si="426"/>
        <v>50000</v>
      </c>
      <c r="AC342" s="1444" t="s">
        <v>1238</v>
      </c>
      <c r="AD342" s="1467">
        <v>4502943059</v>
      </c>
      <c r="AE342" s="510" t="s">
        <v>564</v>
      </c>
      <c r="AF342" s="497">
        <v>50000</v>
      </c>
      <c r="AG342" s="2529">
        <v>1</v>
      </c>
      <c r="AH342" s="1397">
        <f t="shared" si="351"/>
        <v>50000</v>
      </c>
      <c r="AI342" s="355">
        <f t="shared" si="435"/>
        <v>50000</v>
      </c>
      <c r="AJ342" s="351">
        <f t="shared" si="353"/>
        <v>1</v>
      </c>
      <c r="AK342" s="351"/>
      <c r="AL342" s="1398"/>
      <c r="AM342" s="2735">
        <v>14620</v>
      </c>
      <c r="AN342" s="2775">
        <v>4259.07</v>
      </c>
      <c r="AO342" s="2835">
        <v>31120.93</v>
      </c>
      <c r="AP342" s="497"/>
      <c r="AQ342" s="497"/>
      <c r="AR342" s="1922"/>
      <c r="AS342" s="497"/>
      <c r="AT342" s="2015"/>
      <c r="AU342" s="497"/>
      <c r="AV342" s="497"/>
      <c r="AW342" s="497"/>
      <c r="AX342" s="497"/>
      <c r="AY342" s="2237"/>
      <c r="AZ342" s="2258"/>
      <c r="BA342" s="359"/>
      <c r="BB342" s="497"/>
      <c r="BC342" s="497"/>
      <c r="BD342" s="497"/>
      <c r="BE342" s="497"/>
      <c r="BF342" s="497"/>
      <c r="BG342" s="497"/>
      <c r="BH342" s="497"/>
      <c r="BI342" s="497"/>
      <c r="BJ342" s="497"/>
      <c r="BK342" s="2137"/>
      <c r="BL342" s="2011"/>
      <c r="BM342" s="2011"/>
      <c r="BN342" s="2011"/>
      <c r="BO342" s="2011"/>
      <c r="BP342" s="2011"/>
      <c r="BQ342" s="2403"/>
      <c r="BR342" s="497"/>
      <c r="BS342" s="497"/>
      <c r="BT342" s="497"/>
      <c r="BU342" s="497"/>
      <c r="BV342" s="497"/>
      <c r="BW342" s="2060"/>
      <c r="BX342" s="2417"/>
      <c r="BY342" s="2549"/>
      <c r="BZ342" s="2549"/>
      <c r="CA342" s="2435">
        <f t="shared" si="360"/>
        <v>0</v>
      </c>
      <c r="CB342" s="2380">
        <f t="shared" si="361"/>
        <v>0</v>
      </c>
      <c r="CC342" s="365">
        <f t="shared" si="362"/>
        <v>0</v>
      </c>
      <c r="CD342" s="1380">
        <f t="shared" si="363"/>
        <v>0</v>
      </c>
      <c r="CE342" s="1381">
        <f t="shared" si="364"/>
        <v>0</v>
      </c>
      <c r="CF342" s="1381"/>
      <c r="CG342" s="501"/>
      <c r="CH342" s="502"/>
      <c r="CI342" s="503"/>
      <c r="CJ342" s="504"/>
      <c r="CK342" s="505"/>
      <c r="CL342" s="329">
        <f t="shared" si="450"/>
        <v>50000</v>
      </c>
      <c r="CM342" s="330">
        <f t="shared" si="451"/>
        <v>0</v>
      </c>
      <c r="CN342" s="331">
        <f t="shared" si="369"/>
        <v>-14620</v>
      </c>
      <c r="CO342" s="86"/>
      <c r="CP342" s="86">
        <f t="shared" si="422"/>
        <v>0</v>
      </c>
      <c r="CQ342" s="86"/>
      <c r="CR342" s="86"/>
      <c r="CS342" s="86"/>
      <c r="CT342" s="86"/>
      <c r="CU342" s="86"/>
      <c r="CV342" s="86"/>
      <c r="CW342" s="86"/>
      <c r="CX342" s="86"/>
      <c r="CY342" s="86"/>
      <c r="CZ342" s="86"/>
      <c r="DA342" s="86"/>
      <c r="DB342" s="32"/>
      <c r="DC342" s="32"/>
      <c r="DD342" s="35"/>
      <c r="DE342" s="35"/>
      <c r="DF342" s="35"/>
      <c r="DG342" s="1642"/>
      <c r="DH342" s="1642"/>
      <c r="DI342" s="1642"/>
      <c r="DJ342" s="1642"/>
      <c r="DK342" s="1642"/>
      <c r="DL342" s="1642"/>
      <c r="DM342" s="1642"/>
      <c r="DN342" s="1642"/>
      <c r="DO342" s="1642"/>
      <c r="DP342" s="1642"/>
      <c r="DQ342" s="1642"/>
      <c r="DR342" s="1642"/>
      <c r="DS342" s="1642"/>
      <c r="DT342" s="1642"/>
      <c r="DU342" s="1642"/>
      <c r="DV342" s="1642"/>
      <c r="DW342" s="1642"/>
      <c r="DX342" s="1642"/>
      <c r="DY342" s="1642"/>
      <c r="DZ342" s="1642"/>
      <c r="EA342" s="1642"/>
      <c r="EB342" s="1642"/>
      <c r="EC342" s="1642"/>
      <c r="ED342" s="1642"/>
      <c r="EE342" s="1642"/>
      <c r="EF342" s="1642"/>
      <c r="EG342" s="1642"/>
      <c r="EH342" s="35"/>
      <c r="EI342" s="1658"/>
      <c r="EJ342" s="35"/>
      <c r="EK342" s="35"/>
      <c r="EL342" s="35"/>
      <c r="EM342" s="35"/>
      <c r="EN342" s="35"/>
      <c r="EO342" s="35"/>
      <c r="EP342" s="35"/>
      <c r="EQ342" s="35"/>
      <c r="ER342" s="35"/>
      <c r="ES342" s="35"/>
      <c r="ET342" s="35"/>
      <c r="EU342" s="35"/>
      <c r="EV342" s="35"/>
      <c r="EW342" s="35"/>
      <c r="EX342" s="35"/>
      <c r="EY342" s="35"/>
      <c r="EZ342" s="35"/>
      <c r="FA342" s="35"/>
      <c r="FB342" s="35"/>
      <c r="FC342" s="35"/>
      <c r="FD342" s="35"/>
      <c r="FE342" s="35"/>
      <c r="FF342" s="35"/>
      <c r="FG342" s="35"/>
      <c r="FH342" s="35"/>
      <c r="FI342" s="35"/>
      <c r="FJ342" s="35"/>
      <c r="FK342" s="35"/>
      <c r="FL342" s="35"/>
      <c r="FM342" s="35"/>
      <c r="FN342" s="35"/>
      <c r="FO342" s="35"/>
      <c r="FP342" s="35"/>
      <c r="FQ342" s="35"/>
      <c r="FR342" s="35"/>
      <c r="FS342" s="35"/>
      <c r="FT342" s="35"/>
      <c r="FU342" s="35"/>
      <c r="FV342" s="35"/>
      <c r="FW342" s="35"/>
      <c r="FX342" s="35"/>
      <c r="FY342" s="35"/>
      <c r="FZ342" s="35"/>
      <c r="GA342" s="35"/>
      <c r="GB342" s="35"/>
      <c r="GC342" s="35"/>
      <c r="GD342" s="35"/>
      <c r="GE342" s="35"/>
      <c r="GF342" s="35"/>
      <c r="GG342" s="35"/>
      <c r="GH342" s="35"/>
      <c r="GI342" s="35"/>
      <c r="GJ342" s="35"/>
      <c r="GK342" s="35"/>
      <c r="GL342" s="35"/>
      <c r="GM342" s="35"/>
      <c r="GN342" s="35"/>
      <c r="GO342" s="35"/>
      <c r="GP342" s="35"/>
      <c r="GQ342" s="35"/>
      <c r="GR342" s="35"/>
      <c r="GS342" s="35"/>
      <c r="GT342" s="35"/>
      <c r="GU342" s="35"/>
      <c r="GV342" s="35"/>
      <c r="GW342" s="35"/>
      <c r="GX342" s="35"/>
      <c r="GY342" s="35"/>
      <c r="GZ342" s="35"/>
      <c r="HA342" s="35"/>
      <c r="HB342" s="35"/>
      <c r="HC342" s="35"/>
      <c r="HD342" s="35"/>
      <c r="HE342" s="35"/>
      <c r="HF342" s="35"/>
      <c r="HG342" s="35"/>
      <c r="HH342" s="35"/>
      <c r="HI342" s="35"/>
      <c r="HJ342" s="35"/>
      <c r="HK342" s="35"/>
      <c r="HL342" s="35"/>
      <c r="HM342" s="35"/>
      <c r="HN342" s="35"/>
      <c r="HO342" s="35"/>
      <c r="HP342" s="35"/>
      <c r="HQ342" s="35"/>
      <c r="HR342" s="35"/>
      <c r="HS342" s="35"/>
      <c r="HT342" s="35"/>
      <c r="HU342" s="35"/>
      <c r="HV342" s="35"/>
      <c r="HW342" s="35"/>
      <c r="HX342" s="35"/>
      <c r="HY342" s="35"/>
      <c r="HZ342" s="35"/>
      <c r="IA342" s="35"/>
      <c r="IB342" s="35"/>
      <c r="IC342" s="35"/>
      <c r="ID342" s="35"/>
      <c r="IE342" s="35"/>
      <c r="IF342" s="35"/>
      <c r="IG342" s="35"/>
      <c r="IH342" s="35"/>
      <c r="II342" s="35"/>
      <c r="IJ342" s="35"/>
      <c r="IK342" s="35"/>
      <c r="IL342" s="35"/>
      <c r="IM342" s="35"/>
      <c r="IN342" s="35"/>
      <c r="IO342" s="35"/>
      <c r="IP342" s="35"/>
      <c r="IQ342" s="35"/>
      <c r="IR342" s="35"/>
      <c r="IS342" s="35"/>
      <c r="IT342" s="35"/>
      <c r="IU342" s="35"/>
      <c r="IV342" s="35"/>
      <c r="IW342" s="35"/>
      <c r="IX342" s="35"/>
      <c r="IY342" s="35"/>
      <c r="IZ342" s="35"/>
      <c r="JA342" s="35"/>
      <c r="JB342" s="35"/>
      <c r="JC342" s="35"/>
      <c r="JD342" s="35"/>
      <c r="JE342" s="35"/>
      <c r="JF342" s="35"/>
      <c r="JG342" s="35"/>
      <c r="JH342" s="35"/>
      <c r="JI342" s="35"/>
      <c r="JJ342" s="35"/>
      <c r="JK342" s="35"/>
      <c r="JL342" s="35"/>
      <c r="JM342" s="35"/>
      <c r="JN342" s="35"/>
      <c r="JO342" s="35"/>
      <c r="JP342" s="35"/>
      <c r="JQ342" s="35"/>
      <c r="JR342" s="35"/>
      <c r="JS342" s="35"/>
      <c r="JT342" s="35"/>
      <c r="JU342" s="35"/>
      <c r="JV342" s="35"/>
      <c r="JW342" s="35"/>
      <c r="JX342" s="35"/>
      <c r="JY342" s="35"/>
      <c r="JZ342" s="35"/>
      <c r="KA342" s="35"/>
      <c r="KB342" s="35"/>
      <c r="KC342" s="35"/>
      <c r="KD342" s="35"/>
      <c r="KE342" s="35"/>
      <c r="KF342" s="35"/>
      <c r="KG342" s="35"/>
      <c r="KH342" s="35"/>
      <c r="KI342" s="35"/>
      <c r="KJ342" s="35"/>
      <c r="KK342" s="35"/>
      <c r="KL342" s="35"/>
      <c r="KM342" s="35"/>
      <c r="KN342" s="35"/>
      <c r="KO342" s="35"/>
      <c r="KP342" s="1633"/>
    </row>
    <row r="343" spans="1:302" s="92" customFormat="1" ht="25.25" customHeight="1" outlineLevel="1">
      <c r="A343" s="1676" t="s">
        <v>165</v>
      </c>
      <c r="B343" s="1993" t="s">
        <v>1167</v>
      </c>
      <c r="C343" s="2019" t="s">
        <v>110</v>
      </c>
      <c r="D343" s="1363" t="s">
        <v>236</v>
      </c>
      <c r="E343" s="1389"/>
      <c r="F343" s="506"/>
      <c r="G343" s="1402"/>
      <c r="H343" s="1391"/>
      <c r="I343" s="2573">
        <v>158511</v>
      </c>
      <c r="J343" s="1672"/>
      <c r="K343" s="1697"/>
      <c r="L343" s="1697"/>
      <c r="M343" s="1701">
        <v>4054</v>
      </c>
      <c r="N343" s="1697">
        <v>39</v>
      </c>
      <c r="O343" s="1397">
        <f t="shared" si="421"/>
        <v>158511</v>
      </c>
      <c r="P343" s="1671"/>
      <c r="Q343" s="1671"/>
      <c r="R343" s="1671"/>
      <c r="S343" s="1672"/>
      <c r="T343" s="1699"/>
      <c r="U343" s="1700"/>
      <c r="V343" s="1700"/>
      <c r="W343" s="1672">
        <f t="shared" si="458"/>
        <v>158511</v>
      </c>
      <c r="X343" s="1672"/>
      <c r="Y343" s="1699"/>
      <c r="Z343" s="1700"/>
      <c r="AA343" s="1699"/>
      <c r="AB343" s="2525">
        <f t="shared" si="426"/>
        <v>99824.36</v>
      </c>
      <c r="AC343" s="1444"/>
      <c r="AD343" s="1467"/>
      <c r="AE343" s="510"/>
      <c r="AF343" s="497"/>
      <c r="AG343" s="2529">
        <v>1</v>
      </c>
      <c r="AH343" s="1397">
        <f t="shared" si="351"/>
        <v>0</v>
      </c>
      <c r="AI343" s="355">
        <f t="shared" si="435"/>
        <v>0</v>
      </c>
      <c r="AJ343" s="351">
        <f t="shared" si="353"/>
        <v>0</v>
      </c>
      <c r="AK343" s="351"/>
      <c r="AL343" s="1398"/>
      <c r="AM343" s="2506"/>
      <c r="AN343" s="2506"/>
      <c r="AO343" s="2530"/>
      <c r="AP343" s="2530"/>
      <c r="AQ343" s="2530"/>
      <c r="AR343" s="2530"/>
      <c r="AS343" s="2530"/>
      <c r="AT343" s="2531"/>
      <c r="AU343" s="2530"/>
      <c r="AV343" s="2530"/>
      <c r="AW343" s="2530"/>
      <c r="AX343" s="2530"/>
      <c r="AY343" s="2532"/>
      <c r="AZ343" s="2533"/>
      <c r="BA343" s="2534"/>
      <c r="BB343" s="2530"/>
      <c r="BC343" s="2530"/>
      <c r="BD343" s="2530"/>
      <c r="BE343" s="2535"/>
      <c r="BF343" s="2535"/>
      <c r="BG343" s="2535">
        <v>99824.36</v>
      </c>
      <c r="BH343" s="2535"/>
      <c r="BI343" s="2535"/>
      <c r="BJ343" s="2535"/>
      <c r="BK343" s="2536"/>
      <c r="BL343" s="2537"/>
      <c r="BM343" s="2537"/>
      <c r="BN343" s="2537"/>
      <c r="BO343" s="2537"/>
      <c r="BP343" s="2537"/>
      <c r="BQ343" s="2538"/>
      <c r="BR343" s="2507"/>
      <c r="BS343" s="2507"/>
      <c r="BT343" s="2507"/>
      <c r="BU343" s="2507"/>
      <c r="BV343" s="2507"/>
      <c r="BW343" s="2514"/>
      <c r="BX343" s="2498"/>
      <c r="BY343" s="2550"/>
      <c r="BZ343" s="2550"/>
      <c r="CA343" s="2435">
        <f t="shared" si="360"/>
        <v>99824.36</v>
      </c>
      <c r="CB343" s="2380">
        <f t="shared" si="361"/>
        <v>1</v>
      </c>
      <c r="CC343" s="365">
        <f t="shared" si="362"/>
        <v>1.0017594903688839E-5</v>
      </c>
      <c r="CD343" s="1380">
        <f t="shared" si="363"/>
        <v>0.37023701825109928</v>
      </c>
      <c r="CE343" s="1381">
        <f t="shared" si="364"/>
        <v>58686.64</v>
      </c>
      <c r="CF343" s="1381"/>
      <c r="CG343" s="501"/>
      <c r="CH343" s="502"/>
      <c r="CI343" s="503"/>
      <c r="CJ343" s="504"/>
      <c r="CK343" s="505"/>
      <c r="CL343" s="329">
        <f t="shared" si="450"/>
        <v>58686.64</v>
      </c>
      <c r="CM343" s="330">
        <f t="shared" si="451"/>
        <v>0</v>
      </c>
      <c r="CN343" s="331">
        <f t="shared" si="369"/>
        <v>-99824.36</v>
      </c>
      <c r="CO343" s="86"/>
      <c r="CP343" s="86">
        <f t="shared" si="422"/>
        <v>0</v>
      </c>
      <c r="CQ343" s="86"/>
      <c r="CR343" s="86"/>
      <c r="CS343" s="86"/>
      <c r="CT343" s="86"/>
      <c r="CU343" s="86"/>
      <c r="CV343" s="86"/>
      <c r="CW343" s="86"/>
      <c r="CX343" s="86"/>
      <c r="CY343" s="86"/>
      <c r="CZ343" s="86"/>
      <c r="DA343" s="86"/>
      <c r="DB343" s="32"/>
      <c r="DC343" s="32"/>
      <c r="DD343" s="35"/>
      <c r="DE343" s="35"/>
      <c r="DF343" s="35"/>
      <c r="DG343" s="1642"/>
      <c r="DH343" s="1642"/>
      <c r="DI343" s="1642"/>
      <c r="DJ343" s="1642"/>
      <c r="DK343" s="1642"/>
      <c r="DL343" s="1642"/>
      <c r="DM343" s="1642"/>
      <c r="DN343" s="1642"/>
      <c r="DO343" s="1642"/>
      <c r="DP343" s="1642"/>
      <c r="DQ343" s="1642"/>
      <c r="DR343" s="1642"/>
      <c r="DS343" s="1642"/>
      <c r="DT343" s="1642"/>
      <c r="DU343" s="1642"/>
      <c r="DV343" s="1642"/>
      <c r="DW343" s="1642"/>
      <c r="DX343" s="1642"/>
      <c r="DY343" s="1642"/>
      <c r="DZ343" s="1642"/>
      <c r="EA343" s="1642"/>
      <c r="EB343" s="1642"/>
      <c r="EC343" s="1642"/>
      <c r="ED343" s="1642"/>
      <c r="EE343" s="1642"/>
      <c r="EF343" s="1642"/>
      <c r="EG343" s="1642"/>
      <c r="EH343" s="35"/>
      <c r="EI343" s="1658"/>
      <c r="EJ343" s="35"/>
      <c r="EK343" s="35"/>
      <c r="EL343" s="35"/>
      <c r="EM343" s="35"/>
      <c r="EN343" s="35"/>
      <c r="EO343" s="35"/>
      <c r="EP343" s="35"/>
      <c r="EQ343" s="35"/>
      <c r="ER343" s="35"/>
      <c r="ES343" s="35"/>
      <c r="ET343" s="35"/>
      <c r="EU343" s="35"/>
      <c r="EV343" s="35"/>
      <c r="EW343" s="35"/>
      <c r="EX343" s="35"/>
      <c r="EY343" s="35"/>
      <c r="EZ343" s="35"/>
      <c r="FA343" s="35"/>
      <c r="FB343" s="35"/>
      <c r="FC343" s="35"/>
      <c r="FD343" s="35"/>
      <c r="FE343" s="35"/>
      <c r="FF343" s="35"/>
      <c r="FG343" s="35"/>
      <c r="FH343" s="35"/>
      <c r="FI343" s="35"/>
      <c r="FJ343" s="35"/>
      <c r="FK343" s="35"/>
      <c r="FL343" s="35"/>
      <c r="FM343" s="35"/>
      <c r="FN343" s="35"/>
      <c r="FO343" s="35"/>
      <c r="FP343" s="35"/>
      <c r="FQ343" s="35"/>
      <c r="FR343" s="35"/>
      <c r="FS343" s="35"/>
      <c r="FT343" s="35"/>
      <c r="FU343" s="35"/>
      <c r="FV343" s="35"/>
      <c r="FW343" s="35"/>
      <c r="FX343" s="35"/>
      <c r="FY343" s="35"/>
      <c r="FZ343" s="35"/>
      <c r="GA343" s="35"/>
      <c r="GB343" s="35"/>
      <c r="GC343" s="35"/>
      <c r="GD343" s="35"/>
      <c r="GE343" s="35"/>
      <c r="GF343" s="35"/>
      <c r="GG343" s="35"/>
      <c r="GH343" s="35"/>
      <c r="GI343" s="35"/>
      <c r="GJ343" s="35"/>
      <c r="GK343" s="35"/>
      <c r="GL343" s="35"/>
      <c r="GM343" s="35"/>
      <c r="GN343" s="35"/>
      <c r="GO343" s="35"/>
      <c r="GP343" s="35"/>
      <c r="GQ343" s="35"/>
      <c r="GR343" s="35"/>
      <c r="GS343" s="35"/>
      <c r="GT343" s="35"/>
      <c r="GU343" s="35"/>
      <c r="GV343" s="35"/>
      <c r="GW343" s="35"/>
      <c r="GX343" s="35"/>
      <c r="GY343" s="35"/>
      <c r="GZ343" s="35"/>
      <c r="HA343" s="35"/>
      <c r="HB343" s="35"/>
      <c r="HC343" s="35"/>
      <c r="HD343" s="35"/>
      <c r="HE343" s="35"/>
      <c r="HF343" s="35"/>
      <c r="HG343" s="35"/>
      <c r="HH343" s="35"/>
      <c r="HI343" s="35"/>
      <c r="HJ343" s="35"/>
      <c r="HK343" s="35"/>
      <c r="HL343" s="35"/>
      <c r="HM343" s="35"/>
      <c r="HN343" s="35"/>
      <c r="HO343" s="35"/>
      <c r="HP343" s="35"/>
      <c r="HQ343" s="35"/>
      <c r="HR343" s="35"/>
      <c r="HS343" s="35"/>
      <c r="HT343" s="35"/>
      <c r="HU343" s="35"/>
      <c r="HV343" s="35"/>
      <c r="HW343" s="35"/>
      <c r="HX343" s="35"/>
      <c r="HY343" s="35"/>
      <c r="HZ343" s="35"/>
      <c r="IA343" s="35"/>
      <c r="IB343" s="35"/>
      <c r="IC343" s="35"/>
      <c r="ID343" s="35"/>
      <c r="IE343" s="35"/>
      <c r="IF343" s="35"/>
      <c r="IG343" s="35"/>
      <c r="IH343" s="35"/>
      <c r="II343" s="35"/>
      <c r="IJ343" s="35"/>
      <c r="IK343" s="35"/>
      <c r="IL343" s="35"/>
      <c r="IM343" s="35"/>
      <c r="IN343" s="35"/>
      <c r="IO343" s="35"/>
      <c r="IP343" s="35"/>
      <c r="IQ343" s="35"/>
      <c r="IR343" s="35"/>
      <c r="IS343" s="35"/>
      <c r="IT343" s="35"/>
      <c r="IU343" s="35"/>
      <c r="IV343" s="35"/>
      <c r="IW343" s="35"/>
      <c r="IX343" s="35"/>
      <c r="IY343" s="35"/>
      <c r="IZ343" s="35"/>
      <c r="JA343" s="35"/>
      <c r="JB343" s="35"/>
      <c r="JC343" s="35"/>
      <c r="JD343" s="35"/>
      <c r="JE343" s="35"/>
      <c r="JF343" s="35"/>
      <c r="JG343" s="35"/>
      <c r="JH343" s="35"/>
      <c r="JI343" s="35"/>
      <c r="JJ343" s="35"/>
      <c r="JK343" s="35"/>
      <c r="JL343" s="35"/>
      <c r="JM343" s="35"/>
      <c r="JN343" s="35"/>
      <c r="JO343" s="35"/>
      <c r="JP343" s="35"/>
      <c r="JQ343" s="35"/>
      <c r="JR343" s="35"/>
      <c r="JS343" s="35"/>
      <c r="JT343" s="35"/>
      <c r="JU343" s="35"/>
      <c r="JV343" s="35"/>
      <c r="JW343" s="35"/>
      <c r="JX343" s="35"/>
      <c r="JY343" s="35"/>
      <c r="JZ343" s="35"/>
      <c r="KA343" s="35"/>
      <c r="KB343" s="35"/>
      <c r="KC343" s="35"/>
      <c r="KD343" s="35"/>
      <c r="KE343" s="35"/>
      <c r="KF343" s="35"/>
      <c r="KG343" s="35"/>
      <c r="KH343" s="35"/>
      <c r="KI343" s="35"/>
      <c r="KJ343" s="35"/>
      <c r="KK343" s="35"/>
      <c r="KL343" s="35"/>
      <c r="KM343" s="35"/>
      <c r="KN343" s="35"/>
      <c r="KO343" s="35"/>
      <c r="KP343" s="1633"/>
    </row>
    <row r="344" spans="1:302" s="92" customFormat="1" ht="25.25" customHeight="1" outlineLevel="1">
      <c r="A344" s="1676" t="s">
        <v>1281</v>
      </c>
      <c r="B344" s="1993"/>
      <c r="C344" s="2019" t="s">
        <v>1290</v>
      </c>
      <c r="D344" s="1363" t="s">
        <v>235</v>
      </c>
      <c r="E344" s="1389"/>
      <c r="F344" s="506"/>
      <c r="G344" s="1402"/>
      <c r="H344" s="1391"/>
      <c r="I344" s="2573">
        <v>0</v>
      </c>
      <c r="J344" s="1672"/>
      <c r="K344" s="1697"/>
      <c r="L344" s="1697"/>
      <c r="M344" s="1701"/>
      <c r="N344" s="1697"/>
      <c r="O344" s="1397">
        <f t="shared" si="421"/>
        <v>0</v>
      </c>
      <c r="P344" s="1671"/>
      <c r="Q344" s="1671"/>
      <c r="R344" s="1671"/>
      <c r="S344" s="1672"/>
      <c r="T344" s="1699"/>
      <c r="U344" s="1700"/>
      <c r="V344" s="1700"/>
      <c r="W344" s="1672">
        <f t="shared" si="458"/>
        <v>0</v>
      </c>
      <c r="X344" s="1672"/>
      <c r="Y344" s="1699"/>
      <c r="Z344" s="1700"/>
      <c r="AA344" s="1699"/>
      <c r="AB344" s="1672">
        <f t="shared" si="426"/>
        <v>45272</v>
      </c>
      <c r="AC344" s="1444" t="s">
        <v>1238</v>
      </c>
      <c r="AD344" s="1467">
        <v>4502943059</v>
      </c>
      <c r="AE344" s="510" t="s">
        <v>564</v>
      </c>
      <c r="AF344" s="497">
        <v>45272</v>
      </c>
      <c r="AG344" s="2529">
        <v>1</v>
      </c>
      <c r="AH344" s="1397">
        <f t="shared" ref="AH344:AH345" si="459">+AF344*AG344</f>
        <v>45272</v>
      </c>
      <c r="AI344" s="355">
        <f t="shared" ref="AI344" si="460">SUMIF($AM$10:$BZ$10,$AI$9,AM344:BZ344)</f>
        <v>45272</v>
      </c>
      <c r="AJ344" s="351">
        <f t="shared" ref="AJ344" si="461">IF($AB344&lt;&gt;0,AI344/$AB344,"")</f>
        <v>1</v>
      </c>
      <c r="AK344" s="351"/>
      <c r="AL344" s="1398"/>
      <c r="AM344" s="2506"/>
      <c r="AN344" s="2506"/>
      <c r="AO344" s="2835">
        <f>45272</f>
        <v>45272</v>
      </c>
      <c r="AP344" s="2530"/>
      <c r="AQ344" s="2724"/>
      <c r="AR344" s="2724"/>
      <c r="AS344" s="2724"/>
      <c r="AT344" s="2531"/>
      <c r="AU344" s="2530"/>
      <c r="AV344" s="2530"/>
      <c r="AW344" s="2530"/>
      <c r="AX344" s="2530"/>
      <c r="AY344" s="2532"/>
      <c r="AZ344" s="2533"/>
      <c r="BA344" s="2534"/>
      <c r="BB344" s="2530"/>
      <c r="BC344" s="2530"/>
      <c r="BD344" s="2530"/>
      <c r="BE344" s="2535"/>
      <c r="BF344" s="2535"/>
      <c r="BG344" s="2535"/>
      <c r="BH344" s="2535"/>
      <c r="BI344" s="2535"/>
      <c r="BJ344" s="2535"/>
      <c r="BK344" s="2536"/>
      <c r="BL344" s="2537"/>
      <c r="BM344" s="2537"/>
      <c r="BN344" s="2537"/>
      <c r="BO344" s="2537"/>
      <c r="BP344" s="2537"/>
      <c r="BQ344" s="2538"/>
      <c r="BR344" s="2507"/>
      <c r="BS344" s="2507"/>
      <c r="BT344" s="2507"/>
      <c r="BU344" s="2507"/>
      <c r="BV344" s="2507"/>
      <c r="BW344" s="2514"/>
      <c r="BX344" s="2498"/>
      <c r="BY344" s="2550"/>
      <c r="BZ344" s="2550"/>
      <c r="CA344" s="2435">
        <f t="shared" si="360"/>
        <v>0</v>
      </c>
      <c r="CB344" s="2380">
        <f t="shared" si="361"/>
        <v>0</v>
      </c>
      <c r="CC344" s="365">
        <f t="shared" si="362"/>
        <v>0</v>
      </c>
      <c r="CD344" s="1380" t="str">
        <f t="shared" si="363"/>
        <v>0,00%</v>
      </c>
      <c r="CE344" s="1381">
        <f t="shared" si="364"/>
        <v>-45272</v>
      </c>
      <c r="CF344" s="1381"/>
      <c r="CG344" s="501"/>
      <c r="CH344" s="502"/>
      <c r="CI344" s="503"/>
      <c r="CJ344" s="504"/>
      <c r="CK344" s="505"/>
      <c r="CL344" s="329">
        <f t="shared" si="450"/>
        <v>0</v>
      </c>
      <c r="CM344" s="330">
        <f t="shared" si="451"/>
        <v>0</v>
      </c>
      <c r="CN344" s="331">
        <f t="shared" si="369"/>
        <v>0</v>
      </c>
      <c r="CO344" s="86"/>
      <c r="CP344" s="86">
        <f t="shared" si="422"/>
        <v>0</v>
      </c>
      <c r="CQ344" s="86"/>
      <c r="CR344" s="86"/>
      <c r="CS344" s="86"/>
      <c r="CT344" s="86"/>
      <c r="CU344" s="86"/>
      <c r="CV344" s="86"/>
      <c r="CW344" s="86"/>
      <c r="CX344" s="86"/>
      <c r="CY344" s="86"/>
      <c r="CZ344" s="86"/>
      <c r="DA344" s="86"/>
      <c r="DB344" s="32"/>
      <c r="DC344" s="32"/>
      <c r="DD344" s="35"/>
      <c r="DE344" s="35"/>
      <c r="DF344" s="35"/>
      <c r="DG344" s="1642"/>
      <c r="DH344" s="1642"/>
      <c r="DI344" s="1642"/>
      <c r="DJ344" s="1642"/>
      <c r="DK344" s="1642"/>
      <c r="DL344" s="1642"/>
      <c r="DM344" s="1642"/>
      <c r="DN344" s="1642"/>
      <c r="DO344" s="1642"/>
      <c r="DP344" s="1642"/>
      <c r="DQ344" s="1642"/>
      <c r="DR344" s="1642"/>
      <c r="DS344" s="1642"/>
      <c r="DT344" s="1642"/>
      <c r="DU344" s="1642"/>
      <c r="DV344" s="1642"/>
      <c r="DW344" s="1642"/>
      <c r="DX344" s="1642"/>
      <c r="DY344" s="1642"/>
      <c r="DZ344" s="1642"/>
      <c r="EA344" s="1642"/>
      <c r="EB344" s="1642"/>
      <c r="EC344" s="1642"/>
      <c r="ED344" s="1642"/>
      <c r="EE344" s="1642"/>
      <c r="EF344" s="1642"/>
      <c r="EG344" s="1642"/>
      <c r="EH344" s="35"/>
      <c r="EI344" s="1658"/>
      <c r="EJ344" s="35"/>
      <c r="EK344" s="35"/>
      <c r="EL344" s="35"/>
      <c r="EM344" s="35"/>
      <c r="EN344" s="35"/>
      <c r="EO344" s="35"/>
      <c r="EP344" s="35"/>
      <c r="EQ344" s="35"/>
      <c r="ER344" s="35"/>
      <c r="ES344" s="35"/>
      <c r="ET344" s="35"/>
      <c r="EU344" s="35"/>
      <c r="EV344" s="35"/>
      <c r="EW344" s="35"/>
      <c r="EX344" s="35"/>
      <c r="EY344" s="35"/>
      <c r="EZ344" s="35"/>
      <c r="FA344" s="35"/>
      <c r="FB344" s="35"/>
      <c r="FC344" s="35"/>
      <c r="FD344" s="35"/>
      <c r="FE344" s="35"/>
      <c r="FF344" s="35"/>
      <c r="FG344" s="35"/>
      <c r="FH344" s="35"/>
      <c r="FI344" s="35"/>
      <c r="FJ344" s="35"/>
      <c r="FK344" s="35"/>
      <c r="FL344" s="35"/>
      <c r="FM344" s="35"/>
      <c r="FN344" s="35"/>
      <c r="FO344" s="35"/>
      <c r="FP344" s="35"/>
      <c r="FQ344" s="35"/>
      <c r="FR344" s="35"/>
      <c r="FS344" s="35"/>
      <c r="FT344" s="35"/>
      <c r="FU344" s="35"/>
      <c r="FV344" s="35"/>
      <c r="FW344" s="35"/>
      <c r="FX344" s="35"/>
      <c r="FY344" s="35"/>
      <c r="FZ344" s="35"/>
      <c r="GA344" s="35"/>
      <c r="GB344" s="35"/>
      <c r="GC344" s="35"/>
      <c r="GD344" s="35"/>
      <c r="GE344" s="35"/>
      <c r="GF344" s="35"/>
      <c r="GG344" s="35"/>
      <c r="GH344" s="35"/>
      <c r="GI344" s="35"/>
      <c r="GJ344" s="35"/>
      <c r="GK344" s="35"/>
      <c r="GL344" s="35"/>
      <c r="GM344" s="35"/>
      <c r="GN344" s="35"/>
      <c r="GO344" s="35"/>
      <c r="GP344" s="35"/>
      <c r="GQ344" s="35"/>
      <c r="GR344" s="35"/>
      <c r="GS344" s="35"/>
      <c r="GT344" s="35"/>
      <c r="GU344" s="35"/>
      <c r="GV344" s="35"/>
      <c r="GW344" s="35"/>
      <c r="GX344" s="35"/>
      <c r="GY344" s="35"/>
      <c r="GZ344" s="35"/>
      <c r="HA344" s="35"/>
      <c r="HB344" s="35"/>
      <c r="HC344" s="35"/>
      <c r="HD344" s="35"/>
      <c r="HE344" s="35"/>
      <c r="HF344" s="35"/>
      <c r="HG344" s="35"/>
      <c r="HH344" s="35"/>
      <c r="HI344" s="35"/>
      <c r="HJ344" s="35"/>
      <c r="HK344" s="35"/>
      <c r="HL344" s="35"/>
      <c r="HM344" s="35"/>
      <c r="HN344" s="35"/>
      <c r="HO344" s="35"/>
      <c r="HP344" s="35"/>
      <c r="HQ344" s="35"/>
      <c r="HR344" s="35"/>
      <c r="HS344" s="35"/>
      <c r="HT344" s="35"/>
      <c r="HU344" s="35"/>
      <c r="HV344" s="35"/>
      <c r="HW344" s="35"/>
      <c r="HX344" s="35"/>
      <c r="HY344" s="35"/>
      <c r="HZ344" s="35"/>
      <c r="IA344" s="35"/>
      <c r="IB344" s="35"/>
      <c r="IC344" s="35"/>
      <c r="ID344" s="35"/>
      <c r="IE344" s="35"/>
      <c r="IF344" s="35"/>
      <c r="IG344" s="35"/>
      <c r="IH344" s="35"/>
      <c r="II344" s="35"/>
      <c r="IJ344" s="35"/>
      <c r="IK344" s="35"/>
      <c r="IL344" s="35"/>
      <c r="IM344" s="35"/>
      <c r="IN344" s="35"/>
      <c r="IO344" s="35"/>
      <c r="IP344" s="35"/>
      <c r="IQ344" s="35"/>
      <c r="IR344" s="35"/>
      <c r="IS344" s="35"/>
      <c r="IT344" s="35"/>
      <c r="IU344" s="35"/>
      <c r="IV344" s="35"/>
      <c r="IW344" s="35"/>
      <c r="IX344" s="35"/>
      <c r="IY344" s="35"/>
      <c r="IZ344" s="35"/>
      <c r="JA344" s="35"/>
      <c r="JB344" s="35"/>
      <c r="JC344" s="35"/>
      <c r="JD344" s="35"/>
      <c r="JE344" s="35"/>
      <c r="JF344" s="35"/>
      <c r="JG344" s="35"/>
      <c r="JH344" s="35"/>
      <c r="JI344" s="35"/>
      <c r="JJ344" s="35"/>
      <c r="JK344" s="35"/>
      <c r="JL344" s="35"/>
      <c r="JM344" s="35"/>
      <c r="JN344" s="35"/>
      <c r="JO344" s="35"/>
      <c r="JP344" s="35"/>
      <c r="JQ344" s="35"/>
      <c r="JR344" s="35"/>
      <c r="JS344" s="35"/>
      <c r="JT344" s="35"/>
      <c r="JU344" s="35"/>
      <c r="JV344" s="35"/>
      <c r="JW344" s="35"/>
      <c r="JX344" s="35"/>
      <c r="JY344" s="35"/>
      <c r="JZ344" s="35"/>
      <c r="KA344" s="35"/>
      <c r="KB344" s="35"/>
      <c r="KC344" s="35"/>
      <c r="KD344" s="35"/>
      <c r="KE344" s="35"/>
      <c r="KF344" s="35"/>
      <c r="KG344" s="35"/>
      <c r="KH344" s="35"/>
      <c r="KI344" s="35"/>
      <c r="KJ344" s="35"/>
      <c r="KK344" s="35"/>
      <c r="KL344" s="35"/>
      <c r="KM344" s="35"/>
      <c r="KN344" s="35"/>
      <c r="KO344" s="35"/>
      <c r="KP344" s="1633"/>
    </row>
    <row r="345" spans="1:302" s="92" customFormat="1" ht="25.25" customHeight="1" outlineLevel="1">
      <c r="A345" s="1676" t="s">
        <v>1356</v>
      </c>
      <c r="B345" s="1993"/>
      <c r="C345" s="2019" t="s">
        <v>1357</v>
      </c>
      <c r="D345" s="1363"/>
      <c r="E345" s="1389"/>
      <c r="F345" s="506"/>
      <c r="G345" s="1402"/>
      <c r="H345" s="1391"/>
      <c r="I345" s="2573">
        <v>0</v>
      </c>
      <c r="J345" s="1672"/>
      <c r="K345" s="1697"/>
      <c r="L345" s="1697"/>
      <c r="M345" s="1701"/>
      <c r="N345" s="1697"/>
      <c r="O345" s="1397">
        <f t="shared" ref="O345" si="462">I345</f>
        <v>0</v>
      </c>
      <c r="P345" s="1671"/>
      <c r="Q345" s="1671"/>
      <c r="R345" s="1671"/>
      <c r="S345" s="1672"/>
      <c r="T345" s="1699"/>
      <c r="U345" s="1700"/>
      <c r="V345" s="1700"/>
      <c r="W345" s="1672">
        <f t="shared" ref="W345" si="463">O345+S345</f>
        <v>0</v>
      </c>
      <c r="X345" s="1672"/>
      <c r="Y345" s="1699"/>
      <c r="Z345" s="1700"/>
      <c r="AA345" s="1699"/>
      <c r="AB345" s="1672">
        <f t="shared" si="426"/>
        <v>13414.64</v>
      </c>
      <c r="AC345" s="1444" t="s">
        <v>1358</v>
      </c>
      <c r="AD345" s="1467"/>
      <c r="AE345" s="510"/>
      <c r="AF345" s="497">
        <v>13414.64</v>
      </c>
      <c r="AG345" s="2529">
        <v>1</v>
      </c>
      <c r="AH345" s="1397">
        <f t="shared" si="459"/>
        <v>13414.64</v>
      </c>
      <c r="AI345" s="355">
        <f t="shared" ref="AI345" si="464">SUMIF($AM$10:$BZ$10,$AI$9,AM345:BZ345)</f>
        <v>0</v>
      </c>
      <c r="AJ345" s="351">
        <f t="shared" ref="AJ345" si="465">IF($AB345&lt;&gt;0,AI345/$AB345,"")</f>
        <v>0</v>
      </c>
      <c r="AK345" s="351"/>
      <c r="AL345" s="1398"/>
      <c r="AM345" s="2506"/>
      <c r="AN345" s="2506"/>
      <c r="AO345" s="2530"/>
      <c r="AP345" s="2823">
        <v>13414.64</v>
      </c>
      <c r="AQ345" s="2724"/>
      <c r="AR345" s="2724"/>
      <c r="AS345" s="2724"/>
      <c r="AT345" s="2531"/>
      <c r="AU345" s="2530"/>
      <c r="AV345" s="2530"/>
      <c r="AW345" s="2530"/>
      <c r="AX345" s="2530"/>
      <c r="AY345" s="2532"/>
      <c r="AZ345" s="2533"/>
      <c r="BA345" s="2534"/>
      <c r="BB345" s="2530"/>
      <c r="BC345" s="2530"/>
      <c r="BD345" s="2530"/>
      <c r="BE345" s="2535"/>
      <c r="BF345" s="2535"/>
      <c r="BG345" s="2535"/>
      <c r="BH345" s="2535"/>
      <c r="BI345" s="2535"/>
      <c r="BJ345" s="2535"/>
      <c r="BK345" s="2536"/>
      <c r="BL345" s="2537"/>
      <c r="BM345" s="2537"/>
      <c r="BN345" s="2537"/>
      <c r="BO345" s="2537"/>
      <c r="BP345" s="2537"/>
      <c r="BQ345" s="2538"/>
      <c r="BR345" s="2507"/>
      <c r="BS345" s="2507"/>
      <c r="BT345" s="2507"/>
      <c r="BU345" s="2507"/>
      <c r="BV345" s="2507"/>
      <c r="BW345" s="2514"/>
      <c r="BX345" s="2498"/>
      <c r="BY345" s="2550"/>
      <c r="BZ345" s="2550"/>
      <c r="CA345" s="2435">
        <f t="shared" si="360"/>
        <v>13414.64</v>
      </c>
      <c r="CB345" s="2380">
        <f t="shared" si="361"/>
        <v>1</v>
      </c>
      <c r="CC345" s="365">
        <f t="shared" si="362"/>
        <v>7.4545422016543129E-5</v>
      </c>
      <c r="CD345" s="1380" t="str">
        <f t="shared" si="363"/>
        <v>0,00%</v>
      </c>
      <c r="CE345" s="1381">
        <f t="shared" si="364"/>
        <v>-13414.64</v>
      </c>
      <c r="CF345" s="1381"/>
      <c r="CG345" s="501"/>
      <c r="CH345" s="502"/>
      <c r="CI345" s="503"/>
      <c r="CJ345" s="504"/>
      <c r="CK345" s="505"/>
      <c r="CL345" s="329">
        <f t="shared" si="450"/>
        <v>-13414.64</v>
      </c>
      <c r="CM345" s="330">
        <f t="shared" si="451"/>
        <v>0</v>
      </c>
      <c r="CN345" s="331"/>
      <c r="CO345" s="86"/>
      <c r="CP345" s="86"/>
      <c r="CQ345" s="86"/>
      <c r="CR345" s="86"/>
      <c r="CS345" s="86"/>
      <c r="CT345" s="86"/>
      <c r="CU345" s="86"/>
      <c r="CV345" s="86"/>
      <c r="CW345" s="86"/>
      <c r="CX345" s="86"/>
      <c r="CY345" s="86"/>
      <c r="CZ345" s="86"/>
      <c r="DA345" s="86"/>
      <c r="DB345" s="32"/>
      <c r="DC345" s="32"/>
      <c r="DD345" s="35"/>
      <c r="DE345" s="35"/>
      <c r="DF345" s="35"/>
      <c r="DG345" s="1642"/>
      <c r="DH345" s="1642"/>
      <c r="DI345" s="1642"/>
      <c r="DJ345" s="1642"/>
      <c r="DK345" s="1642"/>
      <c r="DL345" s="1642"/>
      <c r="DM345" s="1642"/>
      <c r="DN345" s="1642"/>
      <c r="DO345" s="1642"/>
      <c r="DP345" s="1642"/>
      <c r="DQ345" s="1642"/>
      <c r="DR345" s="1642"/>
      <c r="DS345" s="1642"/>
      <c r="DT345" s="1642"/>
      <c r="DU345" s="1642"/>
      <c r="DV345" s="1642"/>
      <c r="DW345" s="1642"/>
      <c r="DX345" s="1642"/>
      <c r="DY345" s="1642"/>
      <c r="DZ345" s="1642"/>
      <c r="EA345" s="1642"/>
      <c r="EB345" s="1642"/>
      <c r="EC345" s="1642"/>
      <c r="ED345" s="1642"/>
      <c r="EE345" s="1642"/>
      <c r="EF345" s="1642"/>
      <c r="EG345" s="1642"/>
      <c r="EH345" s="35"/>
      <c r="EI345" s="1658"/>
      <c r="EJ345" s="35"/>
      <c r="EK345" s="35"/>
      <c r="EL345" s="35"/>
      <c r="EM345" s="35"/>
      <c r="EN345" s="35"/>
      <c r="EO345" s="35"/>
      <c r="EP345" s="35"/>
      <c r="EQ345" s="35"/>
      <c r="ER345" s="35"/>
      <c r="ES345" s="35"/>
      <c r="ET345" s="35"/>
      <c r="EU345" s="35"/>
      <c r="EV345" s="35"/>
      <c r="EW345" s="35"/>
      <c r="EX345" s="35"/>
      <c r="EY345" s="35"/>
      <c r="EZ345" s="35"/>
      <c r="FA345" s="35"/>
      <c r="FB345" s="35"/>
      <c r="FC345" s="35"/>
      <c r="FD345" s="35"/>
      <c r="FE345" s="35"/>
      <c r="FF345" s="35"/>
      <c r="FG345" s="35"/>
      <c r="FH345" s="35"/>
      <c r="FI345" s="35"/>
      <c r="FJ345" s="35"/>
      <c r="FK345" s="35"/>
      <c r="FL345" s="35"/>
      <c r="FM345" s="35"/>
      <c r="FN345" s="35"/>
      <c r="FO345" s="35"/>
      <c r="FP345" s="35"/>
      <c r="FQ345" s="35"/>
      <c r="FR345" s="35"/>
      <c r="FS345" s="35"/>
      <c r="FT345" s="35"/>
      <c r="FU345" s="35"/>
      <c r="FV345" s="35"/>
      <c r="FW345" s="35"/>
      <c r="FX345" s="35"/>
      <c r="FY345" s="35"/>
      <c r="FZ345" s="35"/>
      <c r="GA345" s="35"/>
      <c r="GB345" s="35"/>
      <c r="GC345" s="35"/>
      <c r="GD345" s="35"/>
      <c r="GE345" s="35"/>
      <c r="GF345" s="35"/>
      <c r="GG345" s="35"/>
      <c r="GH345" s="35"/>
      <c r="GI345" s="35"/>
      <c r="GJ345" s="35"/>
      <c r="GK345" s="35"/>
      <c r="GL345" s="35"/>
      <c r="GM345" s="35"/>
      <c r="GN345" s="35"/>
      <c r="GO345" s="35"/>
      <c r="GP345" s="35"/>
      <c r="GQ345" s="35"/>
      <c r="GR345" s="35"/>
      <c r="GS345" s="35"/>
      <c r="GT345" s="35"/>
      <c r="GU345" s="35"/>
      <c r="GV345" s="35"/>
      <c r="GW345" s="35"/>
      <c r="GX345" s="35"/>
      <c r="GY345" s="35"/>
      <c r="GZ345" s="35"/>
      <c r="HA345" s="35"/>
      <c r="HB345" s="35"/>
      <c r="HC345" s="35"/>
      <c r="HD345" s="35"/>
      <c r="HE345" s="35"/>
      <c r="HF345" s="35"/>
      <c r="HG345" s="35"/>
      <c r="HH345" s="35"/>
      <c r="HI345" s="35"/>
      <c r="HJ345" s="35"/>
      <c r="HK345" s="35"/>
      <c r="HL345" s="35"/>
      <c r="HM345" s="35"/>
      <c r="HN345" s="35"/>
      <c r="HO345" s="35"/>
      <c r="HP345" s="35"/>
      <c r="HQ345" s="35"/>
      <c r="HR345" s="35"/>
      <c r="HS345" s="35"/>
      <c r="HT345" s="35"/>
      <c r="HU345" s="35"/>
      <c r="HV345" s="35"/>
      <c r="HW345" s="35"/>
      <c r="HX345" s="35"/>
      <c r="HY345" s="35"/>
      <c r="HZ345" s="35"/>
      <c r="IA345" s="35"/>
      <c r="IB345" s="35"/>
      <c r="IC345" s="35"/>
      <c r="ID345" s="35"/>
      <c r="IE345" s="35"/>
      <c r="IF345" s="35"/>
      <c r="IG345" s="35"/>
      <c r="IH345" s="35"/>
      <c r="II345" s="35"/>
      <c r="IJ345" s="35"/>
      <c r="IK345" s="35"/>
      <c r="IL345" s="35"/>
      <c r="IM345" s="35"/>
      <c r="IN345" s="35"/>
      <c r="IO345" s="35"/>
      <c r="IP345" s="35"/>
      <c r="IQ345" s="35"/>
      <c r="IR345" s="35"/>
      <c r="IS345" s="35"/>
      <c r="IT345" s="35"/>
      <c r="IU345" s="35"/>
      <c r="IV345" s="35"/>
      <c r="IW345" s="35"/>
      <c r="IX345" s="35"/>
      <c r="IY345" s="35"/>
      <c r="IZ345" s="35"/>
      <c r="JA345" s="35"/>
      <c r="JB345" s="35"/>
      <c r="JC345" s="35"/>
      <c r="JD345" s="35"/>
      <c r="JE345" s="35"/>
      <c r="JF345" s="35"/>
      <c r="JG345" s="35"/>
      <c r="JH345" s="35"/>
      <c r="JI345" s="35"/>
      <c r="JJ345" s="35"/>
      <c r="JK345" s="35"/>
      <c r="JL345" s="35"/>
      <c r="JM345" s="35"/>
      <c r="JN345" s="35"/>
      <c r="JO345" s="35"/>
      <c r="JP345" s="35"/>
      <c r="JQ345" s="35"/>
      <c r="JR345" s="35"/>
      <c r="JS345" s="35"/>
      <c r="JT345" s="35"/>
      <c r="JU345" s="35"/>
      <c r="JV345" s="35"/>
      <c r="JW345" s="35"/>
      <c r="JX345" s="35"/>
      <c r="JY345" s="35"/>
      <c r="JZ345" s="35"/>
      <c r="KA345" s="35"/>
      <c r="KB345" s="35"/>
      <c r="KC345" s="35"/>
      <c r="KD345" s="35"/>
      <c r="KE345" s="35"/>
      <c r="KF345" s="35"/>
      <c r="KG345" s="35"/>
      <c r="KH345" s="35"/>
      <c r="KI345" s="35"/>
      <c r="KJ345" s="35"/>
      <c r="KK345" s="35"/>
      <c r="KL345" s="35"/>
      <c r="KM345" s="35"/>
      <c r="KN345" s="35"/>
      <c r="KO345" s="35"/>
      <c r="KP345" s="1633"/>
    </row>
    <row r="346" spans="1:302" s="92" customFormat="1" ht="25.25" customHeight="1" outlineLevel="1">
      <c r="A346" s="1676" t="s">
        <v>166</v>
      </c>
      <c r="B346" s="1993" t="s">
        <v>1156</v>
      </c>
      <c r="C346" s="2020" t="s">
        <v>1289</v>
      </c>
      <c r="D346" s="1363" t="s">
        <v>233</v>
      </c>
      <c r="E346" s="1389"/>
      <c r="F346" s="506"/>
      <c r="G346" s="1402"/>
      <c r="H346" s="1391"/>
      <c r="I346" s="2573">
        <v>50000</v>
      </c>
      <c r="J346" s="1672"/>
      <c r="K346" s="1697"/>
      <c r="L346" s="1697"/>
      <c r="M346" s="1701">
        <v>50000</v>
      </c>
      <c r="N346" s="1697">
        <v>1</v>
      </c>
      <c r="O346" s="1397">
        <f t="shared" si="421"/>
        <v>50000</v>
      </c>
      <c r="P346" s="1671"/>
      <c r="Q346" s="1671"/>
      <c r="R346" s="1671"/>
      <c r="S346" s="1672"/>
      <c r="T346" s="1699"/>
      <c r="U346" s="1700"/>
      <c r="V346" s="1700"/>
      <c r="W346" s="1672">
        <f t="shared" si="458"/>
        <v>50000</v>
      </c>
      <c r="X346" s="1672"/>
      <c r="Y346" s="1699"/>
      <c r="Z346" s="1700"/>
      <c r="AA346" s="1699"/>
      <c r="AB346" s="1672">
        <f t="shared" si="426"/>
        <v>50000</v>
      </c>
      <c r="AC346" s="1444" t="s">
        <v>742</v>
      </c>
      <c r="AD346" s="1467">
        <v>4502939080</v>
      </c>
      <c r="AE346" s="510" t="s">
        <v>564</v>
      </c>
      <c r="AF346" s="497">
        <v>50000</v>
      </c>
      <c r="AG346" s="2529">
        <v>1</v>
      </c>
      <c r="AH346" s="1397">
        <f t="shared" si="351"/>
        <v>50000</v>
      </c>
      <c r="AI346" s="355">
        <f t="shared" si="435"/>
        <v>50000</v>
      </c>
      <c r="AJ346" s="351">
        <f t="shared" si="353"/>
        <v>1</v>
      </c>
      <c r="AK346" s="351"/>
      <c r="AL346" s="1398"/>
      <c r="AM346" s="2273"/>
      <c r="AN346" s="2734"/>
      <c r="AO346" s="2826">
        <v>50000</v>
      </c>
      <c r="AP346" s="1922"/>
      <c r="AQ346" s="1922"/>
      <c r="AR346" s="497"/>
      <c r="AS346" s="497"/>
      <c r="AT346" s="2015"/>
      <c r="AU346" s="497"/>
      <c r="AV346" s="497"/>
      <c r="AW346" s="497"/>
      <c r="AX346" s="497"/>
      <c r="AY346" s="2237"/>
      <c r="AZ346" s="2273"/>
      <c r="BA346" s="497"/>
      <c r="BB346" s="497"/>
      <c r="BC346" s="497"/>
      <c r="BD346" s="497"/>
      <c r="BE346" s="497"/>
      <c r="BF346" s="497"/>
      <c r="BG346" s="497"/>
      <c r="BH346" s="497"/>
      <c r="BI346" s="497"/>
      <c r="BJ346" s="497"/>
      <c r="BK346" s="2137"/>
      <c r="BL346" s="2011"/>
      <c r="BM346" s="2011"/>
      <c r="BN346" s="2011"/>
      <c r="BO346" s="2011"/>
      <c r="BP346" s="2011"/>
      <c r="BQ346" s="2403"/>
      <c r="BR346" s="497"/>
      <c r="BS346" s="497"/>
      <c r="BT346" s="497"/>
      <c r="BU346" s="497"/>
      <c r="BV346" s="497"/>
      <c r="BW346" s="2060"/>
      <c r="BX346" s="2417"/>
      <c r="BY346" s="2549"/>
      <c r="BZ346" s="2549"/>
      <c r="CA346" s="2435">
        <f t="shared" si="360"/>
        <v>0</v>
      </c>
      <c r="CB346" s="2380">
        <f t="shared" si="361"/>
        <v>0</v>
      </c>
      <c r="CC346" s="365">
        <f t="shared" si="362"/>
        <v>0</v>
      </c>
      <c r="CD346" s="1380">
        <f t="shared" si="363"/>
        <v>0</v>
      </c>
      <c r="CE346" s="1381">
        <f t="shared" si="364"/>
        <v>0</v>
      </c>
      <c r="CF346" s="1381"/>
      <c r="CG346" s="501"/>
      <c r="CH346" s="502"/>
      <c r="CI346" s="503"/>
      <c r="CJ346" s="504"/>
      <c r="CK346" s="505"/>
      <c r="CL346" s="329">
        <f t="shared" si="450"/>
        <v>50000</v>
      </c>
      <c r="CM346" s="330">
        <f t="shared" si="451"/>
        <v>0</v>
      </c>
      <c r="CN346" s="331">
        <f t="shared" si="369"/>
        <v>0</v>
      </c>
      <c r="CO346" s="86"/>
      <c r="CP346" s="86">
        <f t="shared" si="422"/>
        <v>0</v>
      </c>
      <c r="CQ346" s="86"/>
      <c r="CR346" s="86"/>
      <c r="CS346" s="86"/>
      <c r="CT346" s="86"/>
      <c r="CU346" s="86"/>
      <c r="CV346" s="86"/>
      <c r="CW346" s="86"/>
      <c r="CX346" s="86"/>
      <c r="CY346" s="86"/>
      <c r="CZ346" s="86"/>
      <c r="DA346" s="86"/>
      <c r="DB346" s="32"/>
      <c r="DC346" s="32"/>
      <c r="DD346" s="35"/>
      <c r="DE346" s="35"/>
      <c r="DF346" s="35"/>
      <c r="DG346" s="1642"/>
      <c r="DH346" s="1642"/>
      <c r="DI346" s="1642"/>
      <c r="DJ346" s="1642"/>
      <c r="DK346" s="1642"/>
      <c r="DL346" s="1642"/>
      <c r="DM346" s="1642"/>
      <c r="DN346" s="1642"/>
      <c r="DO346" s="1642"/>
      <c r="DP346" s="1642"/>
      <c r="DQ346" s="1642"/>
      <c r="DR346" s="1642"/>
      <c r="DS346" s="1642"/>
      <c r="DT346" s="1642"/>
      <c r="DU346" s="1642"/>
      <c r="DV346" s="1642"/>
      <c r="DW346" s="1642"/>
      <c r="DX346" s="1642"/>
      <c r="DY346" s="1642"/>
      <c r="DZ346" s="1642"/>
      <c r="EA346" s="1642"/>
      <c r="EB346" s="1642"/>
      <c r="EC346" s="1642"/>
      <c r="ED346" s="1642"/>
      <c r="EE346" s="1642"/>
      <c r="EF346" s="1642"/>
      <c r="EG346" s="1642"/>
      <c r="EH346" s="35"/>
      <c r="EI346" s="1658"/>
      <c r="EJ346" s="35"/>
      <c r="EK346" s="35"/>
      <c r="EL346" s="35"/>
      <c r="EM346" s="35"/>
      <c r="EN346" s="35"/>
      <c r="EO346" s="35"/>
      <c r="EP346" s="35"/>
      <c r="EQ346" s="35"/>
      <c r="ER346" s="35"/>
      <c r="ES346" s="35"/>
      <c r="ET346" s="35"/>
      <c r="EU346" s="35"/>
      <c r="EV346" s="35"/>
      <c r="EW346" s="35"/>
      <c r="EX346" s="35"/>
      <c r="EY346" s="35"/>
      <c r="EZ346" s="35"/>
      <c r="FA346" s="35"/>
      <c r="FB346" s="35"/>
      <c r="FC346" s="35"/>
      <c r="FD346" s="35"/>
      <c r="FE346" s="35"/>
      <c r="FF346" s="35"/>
      <c r="FG346" s="35"/>
      <c r="FH346" s="35"/>
      <c r="FI346" s="35"/>
      <c r="FJ346" s="35"/>
      <c r="FK346" s="35"/>
      <c r="FL346" s="35"/>
      <c r="FM346" s="35"/>
      <c r="FN346" s="35"/>
      <c r="FO346" s="35"/>
      <c r="FP346" s="35"/>
      <c r="FQ346" s="35"/>
      <c r="FR346" s="35"/>
      <c r="FS346" s="35"/>
      <c r="FT346" s="35"/>
      <c r="FU346" s="35"/>
      <c r="FV346" s="35"/>
      <c r="FW346" s="35"/>
      <c r="FX346" s="35"/>
      <c r="FY346" s="35"/>
      <c r="FZ346" s="35"/>
      <c r="GA346" s="35"/>
      <c r="GB346" s="35"/>
      <c r="GC346" s="35"/>
      <c r="GD346" s="35"/>
      <c r="GE346" s="35"/>
      <c r="GF346" s="35"/>
      <c r="GG346" s="35"/>
      <c r="GH346" s="35"/>
      <c r="GI346" s="35"/>
      <c r="GJ346" s="35"/>
      <c r="GK346" s="35"/>
      <c r="GL346" s="35"/>
      <c r="GM346" s="35"/>
      <c r="GN346" s="35"/>
      <c r="GO346" s="35"/>
      <c r="GP346" s="35"/>
      <c r="GQ346" s="35"/>
      <c r="GR346" s="35"/>
      <c r="GS346" s="35"/>
      <c r="GT346" s="35"/>
      <c r="GU346" s="35"/>
      <c r="GV346" s="35"/>
      <c r="GW346" s="35"/>
      <c r="GX346" s="35"/>
      <c r="GY346" s="35"/>
      <c r="GZ346" s="35"/>
      <c r="HA346" s="35"/>
      <c r="HB346" s="35"/>
      <c r="HC346" s="35"/>
      <c r="HD346" s="35"/>
      <c r="HE346" s="35"/>
      <c r="HF346" s="35"/>
      <c r="HG346" s="35"/>
      <c r="HH346" s="35"/>
      <c r="HI346" s="35"/>
      <c r="HJ346" s="35"/>
      <c r="HK346" s="35"/>
      <c r="HL346" s="35"/>
      <c r="HM346" s="35"/>
      <c r="HN346" s="35"/>
      <c r="HO346" s="35"/>
      <c r="HP346" s="35"/>
      <c r="HQ346" s="35"/>
      <c r="HR346" s="35"/>
      <c r="HS346" s="35"/>
      <c r="HT346" s="35"/>
      <c r="HU346" s="35"/>
      <c r="HV346" s="35"/>
      <c r="HW346" s="35"/>
      <c r="HX346" s="35"/>
      <c r="HY346" s="35"/>
      <c r="HZ346" s="35"/>
      <c r="IA346" s="35"/>
      <c r="IB346" s="35"/>
      <c r="IC346" s="35"/>
      <c r="ID346" s="35"/>
      <c r="IE346" s="35"/>
      <c r="IF346" s="35"/>
      <c r="IG346" s="35"/>
      <c r="IH346" s="35"/>
      <c r="II346" s="35"/>
      <c r="IJ346" s="35"/>
      <c r="IK346" s="35"/>
      <c r="IL346" s="35"/>
      <c r="IM346" s="35"/>
      <c r="IN346" s="35"/>
      <c r="IO346" s="35"/>
      <c r="IP346" s="35"/>
      <c r="IQ346" s="35"/>
      <c r="IR346" s="35"/>
      <c r="IS346" s="35"/>
      <c r="IT346" s="35"/>
      <c r="IU346" s="35"/>
      <c r="IV346" s="35"/>
      <c r="IW346" s="35"/>
      <c r="IX346" s="35"/>
      <c r="IY346" s="35"/>
      <c r="IZ346" s="35"/>
      <c r="JA346" s="35"/>
      <c r="JB346" s="35"/>
      <c r="JC346" s="35"/>
      <c r="JD346" s="35"/>
      <c r="JE346" s="35"/>
      <c r="JF346" s="35"/>
      <c r="JG346" s="35"/>
      <c r="JH346" s="35"/>
      <c r="JI346" s="35"/>
      <c r="JJ346" s="35"/>
      <c r="JK346" s="35"/>
      <c r="JL346" s="35"/>
      <c r="JM346" s="35"/>
      <c r="JN346" s="35"/>
      <c r="JO346" s="35"/>
      <c r="JP346" s="35"/>
      <c r="JQ346" s="35"/>
      <c r="JR346" s="35"/>
      <c r="JS346" s="35"/>
      <c r="JT346" s="35"/>
      <c r="JU346" s="35"/>
      <c r="JV346" s="35"/>
      <c r="JW346" s="35"/>
      <c r="JX346" s="35"/>
      <c r="JY346" s="35"/>
      <c r="JZ346" s="35"/>
      <c r="KA346" s="35"/>
      <c r="KB346" s="35"/>
      <c r="KC346" s="35"/>
      <c r="KD346" s="35"/>
      <c r="KE346" s="35"/>
      <c r="KF346" s="35"/>
      <c r="KG346" s="35"/>
      <c r="KH346" s="35"/>
      <c r="KI346" s="35"/>
      <c r="KJ346" s="35"/>
      <c r="KK346" s="35"/>
      <c r="KL346" s="35"/>
      <c r="KM346" s="35"/>
      <c r="KN346" s="35"/>
      <c r="KO346" s="35"/>
      <c r="KP346" s="1633"/>
    </row>
    <row r="347" spans="1:302" s="92" customFormat="1" ht="30.6" customHeight="1" outlineLevel="1">
      <c r="A347" s="1676" t="s">
        <v>167</v>
      </c>
      <c r="B347" s="2712" t="s">
        <v>1223</v>
      </c>
      <c r="C347" s="2020" t="s">
        <v>1288</v>
      </c>
      <c r="D347" s="1363" t="s">
        <v>302</v>
      </c>
      <c r="E347" s="1389"/>
      <c r="F347" s="506"/>
      <c r="G347" s="1402"/>
      <c r="H347" s="1391"/>
      <c r="I347" s="2711">
        <v>34000</v>
      </c>
      <c r="J347" s="1672"/>
      <c r="K347" s="1697"/>
      <c r="L347" s="1697"/>
      <c r="M347" s="1701">
        <v>34000</v>
      </c>
      <c r="N347" s="1697">
        <v>1</v>
      </c>
      <c r="O347" s="1397">
        <f t="shared" si="421"/>
        <v>34000</v>
      </c>
      <c r="P347" s="1671"/>
      <c r="Q347" s="1671"/>
      <c r="R347" s="1671"/>
      <c r="S347" s="1672"/>
      <c r="T347" s="1699"/>
      <c r="U347" s="1700"/>
      <c r="V347" s="1700"/>
      <c r="W347" s="1672">
        <f t="shared" si="458"/>
        <v>34000</v>
      </c>
      <c r="X347" s="1672"/>
      <c r="Y347" s="1699"/>
      <c r="Z347" s="1700"/>
      <c r="AA347" s="1699"/>
      <c r="AB347" s="2730">
        <f t="shared" si="426"/>
        <v>34000</v>
      </c>
      <c r="AC347" s="1444" t="s">
        <v>1232</v>
      </c>
      <c r="AD347" s="1467">
        <v>4502934293</v>
      </c>
      <c r="AE347" s="510" t="s">
        <v>564</v>
      </c>
      <c r="AF347" s="497">
        <v>34000</v>
      </c>
      <c r="AG347" s="2529">
        <v>1</v>
      </c>
      <c r="AH347" s="1397">
        <f t="shared" si="351"/>
        <v>34000</v>
      </c>
      <c r="AI347" s="355">
        <f t="shared" si="435"/>
        <v>34000</v>
      </c>
      <c r="AJ347" s="351">
        <f t="shared" si="353"/>
        <v>1</v>
      </c>
      <c r="AK347" s="351"/>
      <c r="AL347" s="1398"/>
      <c r="AM347" s="2273"/>
      <c r="AN347" s="2734">
        <v>12419</v>
      </c>
      <c r="AO347" s="2823">
        <v>21581</v>
      </c>
      <c r="AP347" s="1922"/>
      <c r="AQ347" s="497"/>
      <c r="AR347" s="1922"/>
      <c r="AS347" s="1922"/>
      <c r="AT347" s="2015"/>
      <c r="AU347" s="1922"/>
      <c r="AV347" s="1922"/>
      <c r="AW347" s="1922"/>
      <c r="AX347" s="1922"/>
      <c r="AY347" s="2324"/>
      <c r="AZ347" s="2273"/>
      <c r="BA347" s="497"/>
      <c r="BB347" s="497"/>
      <c r="BC347" s="497"/>
      <c r="BD347" s="497"/>
      <c r="BE347" s="497"/>
      <c r="BF347" s="497"/>
      <c r="BG347" s="497"/>
      <c r="BH347" s="497"/>
      <c r="BI347" s="497"/>
      <c r="BJ347" s="497"/>
      <c r="BK347" s="2137"/>
      <c r="BL347" s="2011"/>
      <c r="BM347" s="2011"/>
      <c r="BN347" s="2011"/>
      <c r="BO347" s="2011"/>
      <c r="BP347" s="2011"/>
      <c r="BQ347" s="2403"/>
      <c r="BR347" s="497"/>
      <c r="BS347" s="497"/>
      <c r="BT347" s="497"/>
      <c r="BU347" s="497"/>
      <c r="BV347" s="497"/>
      <c r="BW347" s="2060"/>
      <c r="BX347" s="2417"/>
      <c r="BY347" s="2549"/>
      <c r="BZ347" s="2549"/>
      <c r="CA347" s="2435">
        <f t="shared" si="360"/>
        <v>0</v>
      </c>
      <c r="CB347" s="2380">
        <f t="shared" si="361"/>
        <v>0</v>
      </c>
      <c r="CC347" s="365">
        <f t="shared" si="362"/>
        <v>0</v>
      </c>
      <c r="CD347" s="1380">
        <f t="shared" si="363"/>
        <v>0</v>
      </c>
      <c r="CE347" s="1381">
        <f t="shared" si="364"/>
        <v>0</v>
      </c>
      <c r="CF347" s="1381"/>
      <c r="CG347" s="501"/>
      <c r="CH347" s="502"/>
      <c r="CI347" s="503"/>
      <c r="CJ347" s="504"/>
      <c r="CK347" s="505"/>
      <c r="CL347" s="329">
        <f t="shared" si="450"/>
        <v>34000</v>
      </c>
      <c r="CM347" s="330">
        <f t="shared" si="451"/>
        <v>0</v>
      </c>
      <c r="CN347" s="331">
        <f t="shared" si="369"/>
        <v>0</v>
      </c>
      <c r="CO347" s="86"/>
      <c r="CP347" s="86">
        <f t="shared" si="422"/>
        <v>0</v>
      </c>
      <c r="CQ347" s="86"/>
      <c r="CR347" s="86"/>
      <c r="CS347" s="86"/>
      <c r="CT347" s="86"/>
      <c r="CU347" s="86"/>
      <c r="CV347" s="86"/>
      <c r="CW347" s="86"/>
      <c r="CX347" s="86"/>
      <c r="CY347" s="86"/>
      <c r="CZ347" s="86"/>
      <c r="DA347" s="86"/>
      <c r="DB347" s="32"/>
      <c r="DC347" s="32"/>
      <c r="DD347" s="35"/>
      <c r="DE347" s="35"/>
      <c r="DF347" s="35"/>
      <c r="DG347" s="1642"/>
      <c r="DH347" s="1642"/>
      <c r="DI347" s="1642"/>
      <c r="DJ347" s="1642"/>
      <c r="DK347" s="1642"/>
      <c r="DL347" s="1642"/>
      <c r="DM347" s="1642"/>
      <c r="DN347" s="1642"/>
      <c r="DO347" s="1642"/>
      <c r="DP347" s="1642"/>
      <c r="DQ347" s="1642"/>
      <c r="DR347" s="1642"/>
      <c r="DS347" s="1642"/>
      <c r="DT347" s="1642"/>
      <c r="DU347" s="1642"/>
      <c r="DV347" s="1642"/>
      <c r="DW347" s="1642"/>
      <c r="DX347" s="1642"/>
      <c r="DY347" s="1642"/>
      <c r="DZ347" s="1642"/>
      <c r="EA347" s="1642"/>
      <c r="EB347" s="1642"/>
      <c r="EC347" s="1642"/>
      <c r="ED347" s="1642"/>
      <c r="EE347" s="1642"/>
      <c r="EF347" s="1642"/>
      <c r="EG347" s="1642"/>
      <c r="EH347" s="35"/>
      <c r="EI347" s="1658"/>
      <c r="EJ347" s="35"/>
      <c r="EK347" s="35"/>
      <c r="EL347" s="35"/>
      <c r="EM347" s="35"/>
      <c r="EN347" s="35"/>
      <c r="EO347" s="35"/>
      <c r="EP347" s="35"/>
      <c r="EQ347" s="35"/>
      <c r="ER347" s="35"/>
      <c r="ES347" s="35"/>
      <c r="ET347" s="35"/>
      <c r="EU347" s="35"/>
      <c r="EV347" s="35"/>
      <c r="EW347" s="35"/>
      <c r="EX347" s="35"/>
      <c r="EY347" s="35"/>
      <c r="EZ347" s="35"/>
      <c r="FA347" s="35"/>
      <c r="FB347" s="35"/>
      <c r="FC347" s="35"/>
      <c r="FD347" s="35"/>
      <c r="FE347" s="35"/>
      <c r="FF347" s="35"/>
      <c r="FG347" s="35"/>
      <c r="FH347" s="35"/>
      <c r="FI347" s="35"/>
      <c r="FJ347" s="35"/>
      <c r="FK347" s="35"/>
      <c r="FL347" s="35"/>
      <c r="FM347" s="35"/>
      <c r="FN347" s="35"/>
      <c r="FO347" s="35"/>
      <c r="FP347" s="35"/>
      <c r="FQ347" s="35"/>
      <c r="FR347" s="35"/>
      <c r="FS347" s="35"/>
      <c r="FT347" s="35"/>
      <c r="FU347" s="35"/>
      <c r="FV347" s="35"/>
      <c r="FW347" s="35"/>
      <c r="FX347" s="35"/>
      <c r="FY347" s="35"/>
      <c r="FZ347" s="35"/>
      <c r="GA347" s="35"/>
      <c r="GB347" s="35"/>
      <c r="GC347" s="35"/>
      <c r="GD347" s="35"/>
      <c r="GE347" s="35"/>
      <c r="GF347" s="35"/>
      <c r="GG347" s="35"/>
      <c r="GH347" s="35"/>
      <c r="GI347" s="35"/>
      <c r="GJ347" s="35"/>
      <c r="GK347" s="35"/>
      <c r="GL347" s="35"/>
      <c r="GM347" s="35"/>
      <c r="GN347" s="35"/>
      <c r="GO347" s="35"/>
      <c r="GP347" s="35"/>
      <c r="GQ347" s="35"/>
      <c r="GR347" s="35"/>
      <c r="GS347" s="35"/>
      <c r="GT347" s="35"/>
      <c r="GU347" s="35"/>
      <c r="GV347" s="35"/>
      <c r="GW347" s="35"/>
      <c r="GX347" s="35"/>
      <c r="GY347" s="35"/>
      <c r="GZ347" s="35"/>
      <c r="HA347" s="35"/>
      <c r="HB347" s="35"/>
      <c r="HC347" s="35"/>
      <c r="HD347" s="35"/>
      <c r="HE347" s="35"/>
      <c r="HF347" s="35"/>
      <c r="HG347" s="35"/>
      <c r="HH347" s="35"/>
      <c r="HI347" s="35"/>
      <c r="HJ347" s="35"/>
      <c r="HK347" s="35"/>
      <c r="HL347" s="35"/>
      <c r="HM347" s="35"/>
      <c r="HN347" s="35"/>
      <c r="HO347" s="35"/>
      <c r="HP347" s="35"/>
      <c r="HQ347" s="35"/>
      <c r="HR347" s="35"/>
      <c r="HS347" s="35"/>
      <c r="HT347" s="35"/>
      <c r="HU347" s="35"/>
      <c r="HV347" s="35"/>
      <c r="HW347" s="35"/>
      <c r="HX347" s="35"/>
      <c r="HY347" s="35"/>
      <c r="HZ347" s="35"/>
      <c r="IA347" s="35"/>
      <c r="IB347" s="35"/>
      <c r="IC347" s="35"/>
      <c r="ID347" s="35"/>
      <c r="IE347" s="35"/>
      <c r="IF347" s="35"/>
      <c r="IG347" s="35"/>
      <c r="IH347" s="35"/>
      <c r="II347" s="35"/>
      <c r="IJ347" s="35"/>
      <c r="IK347" s="35"/>
      <c r="IL347" s="35"/>
      <c r="IM347" s="35"/>
      <c r="IN347" s="35"/>
      <c r="IO347" s="35"/>
      <c r="IP347" s="35"/>
      <c r="IQ347" s="35"/>
      <c r="IR347" s="35"/>
      <c r="IS347" s="35"/>
      <c r="IT347" s="35"/>
      <c r="IU347" s="35"/>
      <c r="IV347" s="35"/>
      <c r="IW347" s="35"/>
      <c r="IX347" s="35"/>
      <c r="IY347" s="35"/>
      <c r="IZ347" s="35"/>
      <c r="JA347" s="35"/>
      <c r="JB347" s="35"/>
      <c r="JC347" s="35"/>
      <c r="JD347" s="35"/>
      <c r="JE347" s="35"/>
      <c r="JF347" s="35"/>
      <c r="JG347" s="35"/>
      <c r="JH347" s="35"/>
      <c r="JI347" s="35"/>
      <c r="JJ347" s="35"/>
      <c r="JK347" s="35"/>
      <c r="JL347" s="35"/>
      <c r="JM347" s="35"/>
      <c r="JN347" s="35"/>
      <c r="JO347" s="35"/>
      <c r="JP347" s="35"/>
      <c r="JQ347" s="35"/>
      <c r="JR347" s="35"/>
      <c r="JS347" s="35"/>
      <c r="JT347" s="35"/>
      <c r="JU347" s="35"/>
      <c r="JV347" s="35"/>
      <c r="JW347" s="35"/>
      <c r="JX347" s="35"/>
      <c r="JY347" s="35"/>
      <c r="JZ347" s="35"/>
      <c r="KA347" s="35"/>
      <c r="KB347" s="35"/>
      <c r="KC347" s="35"/>
      <c r="KD347" s="35"/>
      <c r="KE347" s="35"/>
      <c r="KF347" s="35"/>
      <c r="KG347" s="35"/>
      <c r="KH347" s="35"/>
      <c r="KI347" s="35"/>
      <c r="KJ347" s="35"/>
      <c r="KK347" s="35"/>
      <c r="KL347" s="35"/>
      <c r="KM347" s="35"/>
      <c r="KN347" s="35"/>
      <c r="KO347" s="35"/>
      <c r="KP347" s="1633"/>
    </row>
    <row r="348" spans="1:302" s="92" customFormat="1" ht="25.25" customHeight="1" outlineLevel="1">
      <c r="A348" s="1676" t="s">
        <v>168</v>
      </c>
      <c r="B348" s="1993" t="s">
        <v>1168</v>
      </c>
      <c r="C348" s="2019" t="s">
        <v>111</v>
      </c>
      <c r="D348" s="1363" t="s">
        <v>303</v>
      </c>
      <c r="E348" s="1389"/>
      <c r="F348" s="506"/>
      <c r="G348" s="1402"/>
      <c r="H348" s="1391"/>
      <c r="I348" s="2573">
        <v>12500</v>
      </c>
      <c r="J348" s="1672"/>
      <c r="K348" s="1697"/>
      <c r="L348" s="1697"/>
      <c r="M348" s="1701">
        <v>12500</v>
      </c>
      <c r="N348" s="1697">
        <v>1</v>
      </c>
      <c r="O348" s="1397">
        <f t="shared" si="421"/>
        <v>12500</v>
      </c>
      <c r="P348" s="1671"/>
      <c r="Q348" s="1671"/>
      <c r="R348" s="1671"/>
      <c r="S348" s="1672"/>
      <c r="T348" s="1699"/>
      <c r="U348" s="1700"/>
      <c r="V348" s="1700"/>
      <c r="W348" s="1672">
        <f t="shared" si="458"/>
        <v>12500</v>
      </c>
      <c r="X348" s="1672"/>
      <c r="Y348" s="1699"/>
      <c r="Z348" s="1700"/>
      <c r="AA348" s="1699"/>
      <c r="AB348" s="1672">
        <f t="shared" si="426"/>
        <v>12500</v>
      </c>
      <c r="AC348" s="1444"/>
      <c r="AD348" s="1467"/>
      <c r="AE348" s="510"/>
      <c r="AF348" s="497"/>
      <c r="AG348" s="2529">
        <v>1</v>
      </c>
      <c r="AH348" s="1397">
        <f t="shared" si="351"/>
        <v>0</v>
      </c>
      <c r="AI348" s="355">
        <f t="shared" si="435"/>
        <v>0</v>
      </c>
      <c r="AJ348" s="351">
        <f t="shared" si="353"/>
        <v>0</v>
      </c>
      <c r="AK348" s="351"/>
      <c r="AL348" s="1398"/>
      <c r="AM348" s="2273"/>
      <c r="AN348" s="2273"/>
      <c r="AO348" s="497"/>
      <c r="AP348" s="497"/>
      <c r="AQ348" s="497"/>
      <c r="AR348" s="1986"/>
      <c r="AS348" s="1983"/>
      <c r="AT348" s="2015"/>
      <c r="AU348" s="497">
        <v>12500</v>
      </c>
      <c r="AV348" s="1983"/>
      <c r="AW348" s="1983"/>
      <c r="AX348" s="2107"/>
      <c r="AY348" s="2237"/>
      <c r="AZ348" s="2258"/>
      <c r="BA348" s="359"/>
      <c r="BB348" s="497"/>
      <c r="BC348" s="497"/>
      <c r="BD348" s="497"/>
      <c r="BE348" s="497"/>
      <c r="BF348" s="497"/>
      <c r="BG348" s="497"/>
      <c r="BH348" s="497"/>
      <c r="BI348" s="497"/>
      <c r="BJ348" s="497"/>
      <c r="BK348" s="2137"/>
      <c r="BL348" s="2011"/>
      <c r="BM348" s="2011"/>
      <c r="BN348" s="2011"/>
      <c r="BO348" s="2011"/>
      <c r="BP348" s="2011"/>
      <c r="BQ348" s="2403"/>
      <c r="BR348" s="497"/>
      <c r="BS348" s="497"/>
      <c r="BT348" s="497"/>
      <c r="BU348" s="497"/>
      <c r="BV348" s="497"/>
      <c r="BW348" s="2060"/>
      <c r="BX348" s="2417"/>
      <c r="BY348" s="2549"/>
      <c r="BZ348" s="2549"/>
      <c r="CA348" s="2435">
        <f t="shared" si="360"/>
        <v>12500</v>
      </c>
      <c r="CB348" s="2380">
        <f t="shared" si="361"/>
        <v>1</v>
      </c>
      <c r="CC348" s="365">
        <f t="shared" si="362"/>
        <v>8.0000000000000007E-5</v>
      </c>
      <c r="CD348" s="1380">
        <f t="shared" si="363"/>
        <v>0</v>
      </c>
      <c r="CE348" s="1381">
        <f t="shared" si="364"/>
        <v>0</v>
      </c>
      <c r="CF348" s="1381"/>
      <c r="CG348" s="501"/>
      <c r="CH348" s="502"/>
      <c r="CI348" s="503"/>
      <c r="CJ348" s="504"/>
      <c r="CK348" s="505"/>
      <c r="CL348" s="329">
        <f t="shared" si="450"/>
        <v>0</v>
      </c>
      <c r="CM348" s="330">
        <f t="shared" si="451"/>
        <v>0</v>
      </c>
      <c r="CN348" s="331">
        <f t="shared" si="369"/>
        <v>0</v>
      </c>
      <c r="CO348" s="86"/>
      <c r="CP348" s="86">
        <f t="shared" si="422"/>
        <v>0</v>
      </c>
      <c r="CQ348" s="86"/>
      <c r="CR348" s="86"/>
      <c r="CS348" s="86"/>
      <c r="CT348" s="86"/>
      <c r="CU348" s="86"/>
      <c r="CV348" s="86"/>
      <c r="CW348" s="86"/>
      <c r="CX348" s="86"/>
      <c r="CY348" s="86"/>
      <c r="CZ348" s="86"/>
      <c r="DA348" s="86"/>
      <c r="DB348" s="32"/>
      <c r="DC348" s="32"/>
      <c r="DD348" s="35"/>
      <c r="DE348" s="35"/>
      <c r="DF348" s="35"/>
      <c r="DG348" s="1642"/>
      <c r="DH348" s="1642"/>
      <c r="DI348" s="1642"/>
      <c r="DJ348" s="1642"/>
      <c r="DK348" s="1642"/>
      <c r="DL348" s="1642"/>
      <c r="DM348" s="1642"/>
      <c r="DN348" s="1642"/>
      <c r="DO348" s="1642"/>
      <c r="DP348" s="1642"/>
      <c r="DQ348" s="1642"/>
      <c r="DR348" s="1642"/>
      <c r="DS348" s="1642"/>
      <c r="DT348" s="1642"/>
      <c r="DU348" s="1642"/>
      <c r="DV348" s="1642"/>
      <c r="DW348" s="1642"/>
      <c r="DX348" s="1642"/>
      <c r="DY348" s="1642"/>
      <c r="DZ348" s="1642"/>
      <c r="EA348" s="1642"/>
      <c r="EB348" s="1642"/>
      <c r="EC348" s="1642"/>
      <c r="ED348" s="1642"/>
      <c r="EE348" s="1642"/>
      <c r="EF348" s="1642"/>
      <c r="EG348" s="1642"/>
      <c r="EH348" s="35"/>
      <c r="EI348" s="1658"/>
      <c r="EJ348" s="35"/>
      <c r="EK348" s="35"/>
      <c r="EL348" s="35"/>
      <c r="EM348" s="35"/>
      <c r="EN348" s="35"/>
      <c r="EO348" s="35"/>
      <c r="EP348" s="35"/>
      <c r="EQ348" s="35"/>
      <c r="ER348" s="35"/>
      <c r="ES348" s="35"/>
      <c r="ET348" s="35"/>
      <c r="EU348" s="35"/>
      <c r="EV348" s="35"/>
      <c r="EW348" s="35"/>
      <c r="EX348" s="35"/>
      <c r="EY348" s="35"/>
      <c r="EZ348" s="35"/>
      <c r="FA348" s="35"/>
      <c r="FB348" s="35"/>
      <c r="FC348" s="35"/>
      <c r="FD348" s="35"/>
      <c r="FE348" s="35"/>
      <c r="FF348" s="35"/>
      <c r="FG348" s="35"/>
      <c r="FH348" s="35"/>
      <c r="FI348" s="35"/>
      <c r="FJ348" s="35"/>
      <c r="FK348" s="35"/>
      <c r="FL348" s="35"/>
      <c r="FM348" s="35"/>
      <c r="FN348" s="35"/>
      <c r="FO348" s="35"/>
      <c r="FP348" s="35"/>
      <c r="FQ348" s="35"/>
      <c r="FR348" s="35"/>
      <c r="FS348" s="35"/>
      <c r="FT348" s="35"/>
      <c r="FU348" s="35"/>
      <c r="FV348" s="35"/>
      <c r="FW348" s="35"/>
      <c r="FX348" s="35"/>
      <c r="FY348" s="35"/>
      <c r="FZ348" s="35"/>
      <c r="GA348" s="35"/>
      <c r="GB348" s="35"/>
      <c r="GC348" s="35"/>
      <c r="GD348" s="35"/>
      <c r="GE348" s="35"/>
      <c r="GF348" s="35"/>
      <c r="GG348" s="35"/>
      <c r="GH348" s="35"/>
      <c r="GI348" s="35"/>
      <c r="GJ348" s="35"/>
      <c r="GK348" s="35"/>
      <c r="GL348" s="35"/>
      <c r="GM348" s="35"/>
      <c r="GN348" s="35"/>
      <c r="GO348" s="35"/>
      <c r="GP348" s="35"/>
      <c r="GQ348" s="35"/>
      <c r="GR348" s="35"/>
      <c r="GS348" s="35"/>
      <c r="GT348" s="35"/>
      <c r="GU348" s="35"/>
      <c r="GV348" s="35"/>
      <c r="GW348" s="35"/>
      <c r="GX348" s="35"/>
      <c r="GY348" s="35"/>
      <c r="GZ348" s="35"/>
      <c r="HA348" s="35"/>
      <c r="HB348" s="35"/>
      <c r="HC348" s="35"/>
      <c r="HD348" s="35"/>
      <c r="HE348" s="35"/>
      <c r="HF348" s="35"/>
      <c r="HG348" s="35"/>
      <c r="HH348" s="35"/>
      <c r="HI348" s="35"/>
      <c r="HJ348" s="35"/>
      <c r="HK348" s="35"/>
      <c r="HL348" s="35"/>
      <c r="HM348" s="35"/>
      <c r="HN348" s="35"/>
      <c r="HO348" s="35"/>
      <c r="HP348" s="35"/>
      <c r="HQ348" s="35"/>
      <c r="HR348" s="35"/>
      <c r="HS348" s="35"/>
      <c r="HT348" s="35"/>
      <c r="HU348" s="35"/>
      <c r="HV348" s="35"/>
      <c r="HW348" s="35"/>
      <c r="HX348" s="35"/>
      <c r="HY348" s="35"/>
      <c r="HZ348" s="35"/>
      <c r="IA348" s="35"/>
      <c r="IB348" s="35"/>
      <c r="IC348" s="35"/>
      <c r="ID348" s="35"/>
      <c r="IE348" s="35"/>
      <c r="IF348" s="35"/>
      <c r="IG348" s="35"/>
      <c r="IH348" s="35"/>
      <c r="II348" s="35"/>
      <c r="IJ348" s="35"/>
      <c r="IK348" s="35"/>
      <c r="IL348" s="35"/>
      <c r="IM348" s="35"/>
      <c r="IN348" s="35"/>
      <c r="IO348" s="35"/>
      <c r="IP348" s="35"/>
      <c r="IQ348" s="35"/>
      <c r="IR348" s="35"/>
      <c r="IS348" s="35"/>
      <c r="IT348" s="35"/>
      <c r="IU348" s="35"/>
      <c r="IV348" s="35"/>
      <c r="IW348" s="35"/>
      <c r="IX348" s="35"/>
      <c r="IY348" s="35"/>
      <c r="IZ348" s="35"/>
      <c r="JA348" s="35"/>
      <c r="JB348" s="35"/>
      <c r="JC348" s="35"/>
      <c r="JD348" s="35"/>
      <c r="JE348" s="35"/>
      <c r="JF348" s="35"/>
      <c r="JG348" s="35"/>
      <c r="JH348" s="35"/>
      <c r="JI348" s="35"/>
      <c r="JJ348" s="35"/>
      <c r="JK348" s="35"/>
      <c r="JL348" s="35"/>
      <c r="JM348" s="35"/>
      <c r="JN348" s="35"/>
      <c r="JO348" s="35"/>
      <c r="JP348" s="35"/>
      <c r="JQ348" s="35"/>
      <c r="JR348" s="35"/>
      <c r="JS348" s="35"/>
      <c r="JT348" s="35"/>
      <c r="JU348" s="35"/>
      <c r="JV348" s="35"/>
      <c r="JW348" s="35"/>
      <c r="JX348" s="35"/>
      <c r="JY348" s="35"/>
      <c r="JZ348" s="35"/>
      <c r="KA348" s="35"/>
      <c r="KB348" s="35"/>
      <c r="KC348" s="35"/>
      <c r="KD348" s="35"/>
      <c r="KE348" s="35"/>
      <c r="KF348" s="35"/>
      <c r="KG348" s="35"/>
      <c r="KH348" s="35"/>
      <c r="KI348" s="35"/>
      <c r="KJ348" s="35"/>
      <c r="KK348" s="35"/>
      <c r="KL348" s="35"/>
      <c r="KM348" s="35"/>
      <c r="KN348" s="35"/>
      <c r="KO348" s="35"/>
      <c r="KP348" s="1633"/>
    </row>
    <row r="349" spans="1:302" s="92" customFormat="1" ht="25.25" customHeight="1" outlineLevel="1">
      <c r="A349" s="2668" t="s">
        <v>203</v>
      </c>
      <c r="B349" s="1367"/>
      <c r="C349" s="2021" t="s">
        <v>99</v>
      </c>
      <c r="D349" s="1368" t="s">
        <v>231</v>
      </c>
      <c r="E349" s="1382"/>
      <c r="F349" s="1356"/>
      <c r="G349" s="1399"/>
      <c r="H349" s="1384"/>
      <c r="I349" s="1693"/>
      <c r="J349" s="1693"/>
      <c r="K349" s="1695"/>
      <c r="L349" s="1695"/>
      <c r="M349" s="1696"/>
      <c r="N349" s="1695"/>
      <c r="O349" s="1358">
        <f t="shared" ref="O349:O405" si="466">M349*N349</f>
        <v>0</v>
      </c>
      <c r="P349" s="1693"/>
      <c r="Q349" s="1693"/>
      <c r="R349" s="1693"/>
      <c r="S349" s="1693"/>
      <c r="T349" s="1695"/>
      <c r="U349" s="1695"/>
      <c r="V349" s="1695"/>
      <c r="W349" s="1693">
        <f t="shared" si="350"/>
        <v>0</v>
      </c>
      <c r="X349" s="1693"/>
      <c r="Y349" s="1695"/>
      <c r="Z349" s="1695"/>
      <c r="AA349" s="1695"/>
      <c r="AB349" s="1693">
        <f>SUM(AM349:BX349)</f>
        <v>0</v>
      </c>
      <c r="AC349" s="1466"/>
      <c r="AD349" s="1466"/>
      <c r="AE349" s="1357"/>
      <c r="AF349" s="1358"/>
      <c r="AG349" s="1404"/>
      <c r="AH349" s="1358">
        <f t="shared" si="351"/>
        <v>0</v>
      </c>
      <c r="AI349" s="1386">
        <f t="shared" si="435"/>
        <v>0</v>
      </c>
      <c r="AJ349" s="1387" t="str">
        <f t="shared" ref="AJ349:AJ418" si="467">IF($AB349&lt;&gt;0,AI349/$AB349,"")</f>
        <v/>
      </c>
      <c r="AK349" s="1387"/>
      <c r="AL349" s="1388"/>
      <c r="AM349" s="2270"/>
      <c r="AN349" s="2270"/>
      <c r="AO349" s="1358"/>
      <c r="AP349" s="1358"/>
      <c r="AQ349" s="1358"/>
      <c r="AR349" s="1358"/>
      <c r="AS349" s="1358"/>
      <c r="AT349" s="2055"/>
      <c r="AU349" s="1358"/>
      <c r="AV349" s="1358"/>
      <c r="AW349" s="1358"/>
      <c r="AX349" s="1358"/>
      <c r="AY349" s="2055"/>
      <c r="AZ349" s="2270"/>
      <c r="BA349" s="1358"/>
      <c r="BB349" s="1358"/>
      <c r="BC349" s="1358"/>
      <c r="BD349" s="1358"/>
      <c r="BE349" s="1358"/>
      <c r="BF349" s="1358"/>
      <c r="BG349" s="1358"/>
      <c r="BH349" s="1358"/>
      <c r="BI349" s="1358"/>
      <c r="BJ349" s="1358"/>
      <c r="BK349" s="2134"/>
      <c r="BL349" s="2010"/>
      <c r="BM349" s="2010"/>
      <c r="BN349" s="2010"/>
      <c r="BO349" s="2010"/>
      <c r="BP349" s="2010"/>
      <c r="BQ349" s="2402"/>
      <c r="BR349" s="1358"/>
      <c r="BS349" s="1358"/>
      <c r="BT349" s="1358"/>
      <c r="BU349" s="1358"/>
      <c r="BV349" s="1358"/>
      <c r="BW349" s="2055"/>
      <c r="BX349" s="2416"/>
      <c r="BY349" s="2551"/>
      <c r="BZ349" s="2551"/>
      <c r="CA349" s="2435">
        <f t="shared" si="360"/>
        <v>0</v>
      </c>
      <c r="CB349" s="2380" t="str">
        <f t="shared" si="361"/>
        <v/>
      </c>
      <c r="CC349" s="365" t="str">
        <f t="shared" si="362"/>
        <v/>
      </c>
      <c r="CD349" s="1380" t="str">
        <f t="shared" si="363"/>
        <v>0,00%</v>
      </c>
      <c r="CE349" s="1381">
        <f t="shared" si="364"/>
        <v>0</v>
      </c>
      <c r="CF349" s="1381"/>
      <c r="CG349" s="501"/>
      <c r="CH349" s="502"/>
      <c r="CI349" s="503"/>
      <c r="CJ349" s="504"/>
      <c r="CK349" s="505"/>
      <c r="CL349" s="329">
        <f t="shared" si="450"/>
        <v>0</v>
      </c>
      <c r="CM349" s="330">
        <f t="shared" si="451"/>
        <v>0</v>
      </c>
      <c r="CN349" s="331">
        <f t="shared" si="369"/>
        <v>0</v>
      </c>
      <c r="CO349" s="86"/>
      <c r="CP349" s="86">
        <f t="shared" si="422"/>
        <v>0</v>
      </c>
      <c r="CQ349" s="86"/>
      <c r="CR349" s="86"/>
      <c r="CS349" s="86"/>
      <c r="CT349" s="86"/>
      <c r="CU349" s="86"/>
      <c r="CV349" s="86"/>
      <c r="CW349" s="86"/>
      <c r="CX349" s="86"/>
      <c r="CY349" s="86"/>
      <c r="CZ349" s="86"/>
      <c r="DA349" s="86"/>
      <c r="DB349" s="32" t="e">
        <f>#REF!-CA349-AI349</f>
        <v>#REF!</v>
      </c>
      <c r="DC349" s="32" t="e">
        <f>W349-#REF!</f>
        <v>#REF!</v>
      </c>
      <c r="DD349" s="35"/>
      <c r="DE349" s="35"/>
      <c r="DF349" s="35"/>
      <c r="DG349" s="1642" t="e">
        <f>ROUND(#REF!,2)</f>
        <v>#REF!</v>
      </c>
      <c r="DH349" s="1642" t="e">
        <f>ROUND(#REF!,2)</f>
        <v>#REF!</v>
      </c>
      <c r="DI349" s="1642" t="e">
        <f>ROUND(#REF!,2)</f>
        <v>#REF!</v>
      </c>
      <c r="DJ349" s="1642" t="e">
        <f>ROUND(#REF!,2)</f>
        <v>#REF!</v>
      </c>
      <c r="DK349" s="1642" t="e">
        <f>ROUND(#REF!,2)</f>
        <v>#REF!</v>
      </c>
      <c r="DL349" s="1642" t="e">
        <f>ROUND(#REF!,2)</f>
        <v>#REF!</v>
      </c>
      <c r="DM349" s="1642" t="e">
        <f>ROUND(#REF!,2)</f>
        <v>#REF!</v>
      </c>
      <c r="DN349" s="1642" t="e">
        <f>ROUND(#REF!,2)</f>
        <v>#REF!</v>
      </c>
      <c r="DO349" s="1642" t="e">
        <f>ROUND(#REF!,2)</f>
        <v>#REF!</v>
      </c>
      <c r="DP349" s="1642">
        <f t="shared" ref="DP349:EA350" si="468">ROUND(AN349,2)</f>
        <v>0</v>
      </c>
      <c r="DQ349" s="1642">
        <f t="shared" si="468"/>
        <v>0</v>
      </c>
      <c r="DR349" s="1642">
        <f t="shared" si="468"/>
        <v>0</v>
      </c>
      <c r="DS349" s="1642">
        <f t="shared" si="468"/>
        <v>0</v>
      </c>
      <c r="DT349" s="1642">
        <f t="shared" si="468"/>
        <v>0</v>
      </c>
      <c r="DU349" s="1642">
        <f t="shared" si="468"/>
        <v>0</v>
      </c>
      <c r="DV349" s="1642">
        <f t="shared" si="468"/>
        <v>0</v>
      </c>
      <c r="DW349" s="1642">
        <f t="shared" si="468"/>
        <v>0</v>
      </c>
      <c r="DX349" s="1642">
        <f t="shared" si="468"/>
        <v>0</v>
      </c>
      <c r="DY349" s="1642">
        <f t="shared" si="468"/>
        <v>0</v>
      </c>
      <c r="DZ349" s="1642">
        <f t="shared" si="468"/>
        <v>0</v>
      </c>
      <c r="EA349" s="1642">
        <f t="shared" si="468"/>
        <v>0</v>
      </c>
      <c r="EB349" s="1642" t="e">
        <f>ROUND(#REF!,2)</f>
        <v>#REF!</v>
      </c>
      <c r="EC349" s="1642" t="e">
        <f>ROUND(#REF!,2)</f>
        <v>#REF!</v>
      </c>
      <c r="ED349" s="1642" t="e">
        <f>ROUND(#REF!,2)</f>
        <v>#REF!</v>
      </c>
      <c r="EE349" s="1642" t="e">
        <f>ROUND(#REF!,2)</f>
        <v>#REF!</v>
      </c>
      <c r="EF349" s="1642" t="e">
        <f>ROUND(#REF!,2)</f>
        <v>#REF!</v>
      </c>
      <c r="EG349" s="1642" t="e">
        <f>ROUND(#REF!,2)</f>
        <v>#REF!</v>
      </c>
      <c r="EH349" s="35"/>
      <c r="EI349" s="1658"/>
      <c r="EJ349" s="35"/>
      <c r="EK349" s="35"/>
      <c r="EL349" s="35"/>
      <c r="EM349" s="35"/>
      <c r="EN349" s="35"/>
      <c r="EO349" s="35"/>
      <c r="EP349" s="35"/>
      <c r="EQ349" s="35"/>
      <c r="ER349" s="35"/>
      <c r="ES349" s="35"/>
      <c r="ET349" s="35"/>
      <c r="EU349" s="35"/>
      <c r="EV349" s="35"/>
      <c r="EW349" s="35"/>
      <c r="EX349" s="35"/>
      <c r="EY349" s="35"/>
      <c r="EZ349" s="35"/>
      <c r="FA349" s="35"/>
      <c r="FB349" s="35"/>
      <c r="FC349" s="35"/>
      <c r="FD349" s="35"/>
      <c r="FE349" s="35"/>
      <c r="FF349" s="35"/>
      <c r="FG349" s="35"/>
      <c r="FH349" s="35"/>
      <c r="FI349" s="35"/>
      <c r="FJ349" s="35"/>
      <c r="FK349" s="35"/>
      <c r="FL349" s="35"/>
      <c r="FM349" s="35"/>
      <c r="FN349" s="35"/>
      <c r="FO349" s="35"/>
      <c r="FP349" s="35"/>
      <c r="FQ349" s="35"/>
      <c r="FR349" s="35"/>
      <c r="FS349" s="35"/>
      <c r="FT349" s="35"/>
      <c r="FU349" s="35"/>
      <c r="FV349" s="35"/>
      <c r="FW349" s="35"/>
      <c r="FX349" s="35"/>
      <c r="FY349" s="35"/>
      <c r="FZ349" s="35"/>
      <c r="GA349" s="35"/>
      <c r="GB349" s="35"/>
      <c r="GC349" s="35"/>
      <c r="GD349" s="35"/>
      <c r="GE349" s="35"/>
      <c r="GF349" s="35"/>
      <c r="GG349" s="35"/>
      <c r="GH349" s="35"/>
      <c r="GI349" s="35"/>
      <c r="GJ349" s="35"/>
      <c r="GK349" s="35"/>
      <c r="GL349" s="35"/>
      <c r="GM349" s="35"/>
      <c r="GN349" s="35"/>
      <c r="GO349" s="35"/>
      <c r="GP349" s="35"/>
      <c r="GQ349" s="35"/>
      <c r="GR349" s="35"/>
      <c r="GS349" s="35"/>
      <c r="GT349" s="35"/>
      <c r="GU349" s="35"/>
      <c r="GV349" s="35"/>
      <c r="GW349" s="35"/>
      <c r="GX349" s="35"/>
      <c r="GY349" s="35"/>
      <c r="GZ349" s="35"/>
      <c r="HA349" s="35"/>
      <c r="HB349" s="35"/>
      <c r="HC349" s="35"/>
      <c r="HD349" s="35"/>
      <c r="HE349" s="35"/>
      <c r="HF349" s="35"/>
      <c r="HG349" s="35"/>
      <c r="HH349" s="35"/>
      <c r="HI349" s="35"/>
      <c r="HJ349" s="35"/>
      <c r="HK349" s="35"/>
      <c r="HL349" s="35"/>
      <c r="HM349" s="35"/>
      <c r="HN349" s="35"/>
      <c r="HO349" s="35"/>
      <c r="HP349" s="35"/>
      <c r="HQ349" s="35"/>
      <c r="HR349" s="35"/>
      <c r="HS349" s="35"/>
      <c r="HT349" s="35"/>
      <c r="HU349" s="35"/>
      <c r="HV349" s="35"/>
      <c r="HW349" s="35"/>
      <c r="HX349" s="35"/>
      <c r="HY349" s="35"/>
      <c r="HZ349" s="35"/>
      <c r="IA349" s="35"/>
      <c r="IB349" s="35"/>
      <c r="IC349" s="35"/>
      <c r="ID349" s="35"/>
      <c r="IE349" s="35"/>
      <c r="IF349" s="35"/>
      <c r="IG349" s="35"/>
      <c r="IH349" s="35"/>
      <c r="II349" s="35"/>
      <c r="IJ349" s="35"/>
      <c r="IK349" s="35"/>
      <c r="IL349" s="35"/>
      <c r="IM349" s="35"/>
      <c r="IN349" s="35"/>
      <c r="IO349" s="35"/>
      <c r="IP349" s="35"/>
      <c r="IQ349" s="35"/>
      <c r="IR349" s="35"/>
      <c r="IS349" s="35"/>
      <c r="IT349" s="35"/>
      <c r="IU349" s="35"/>
      <c r="IV349" s="35"/>
      <c r="IW349" s="35"/>
      <c r="IX349" s="35"/>
      <c r="IY349" s="35"/>
      <c r="IZ349" s="35"/>
      <c r="JA349" s="35"/>
      <c r="JB349" s="35"/>
      <c r="JC349" s="35"/>
      <c r="JD349" s="35"/>
      <c r="JE349" s="35"/>
      <c r="JF349" s="35"/>
      <c r="JG349" s="35"/>
      <c r="JH349" s="35"/>
      <c r="JI349" s="35"/>
      <c r="JJ349" s="35"/>
      <c r="JK349" s="35"/>
      <c r="JL349" s="35"/>
      <c r="JM349" s="35"/>
      <c r="JN349" s="35"/>
      <c r="JO349" s="35"/>
      <c r="JP349" s="35"/>
      <c r="JQ349" s="35"/>
      <c r="JR349" s="35"/>
      <c r="JS349" s="35"/>
      <c r="JT349" s="35"/>
      <c r="JU349" s="35"/>
      <c r="JV349" s="35"/>
      <c r="JW349" s="35"/>
      <c r="JX349" s="35"/>
      <c r="JY349" s="35"/>
      <c r="JZ349" s="35"/>
      <c r="KA349" s="35"/>
      <c r="KB349" s="35"/>
      <c r="KC349" s="35"/>
      <c r="KD349" s="35"/>
      <c r="KE349" s="35"/>
      <c r="KF349" s="35"/>
      <c r="KG349" s="35"/>
      <c r="KH349" s="35"/>
      <c r="KI349" s="35"/>
      <c r="KJ349" s="35"/>
      <c r="KK349" s="35"/>
      <c r="KL349" s="35"/>
      <c r="KM349" s="35"/>
      <c r="KN349" s="35"/>
      <c r="KO349" s="35"/>
      <c r="KP349" s="1633"/>
    </row>
    <row r="350" spans="1:302" s="92" customFormat="1" ht="25.25" customHeight="1" outlineLevel="1">
      <c r="A350" s="1676" t="s">
        <v>133</v>
      </c>
      <c r="B350" s="1993" t="s">
        <v>1169</v>
      </c>
      <c r="C350" s="1359" t="s">
        <v>290</v>
      </c>
      <c r="D350" s="1359" t="s">
        <v>294</v>
      </c>
      <c r="E350" s="1389"/>
      <c r="F350" s="506"/>
      <c r="G350" s="1402"/>
      <c r="H350" s="1391"/>
      <c r="I350" s="2573">
        <v>1569780</v>
      </c>
      <c r="J350" s="1672"/>
      <c r="K350" s="1697"/>
      <c r="L350" s="1697"/>
      <c r="M350" s="1698">
        <v>1569780</v>
      </c>
      <c r="N350" s="1697">
        <v>1</v>
      </c>
      <c r="O350" s="1397">
        <f>I350</f>
        <v>1569780</v>
      </c>
      <c r="P350" s="1671"/>
      <c r="Q350" s="1671"/>
      <c r="R350" s="1671"/>
      <c r="S350" s="1672"/>
      <c r="T350" s="1699"/>
      <c r="U350" s="1700"/>
      <c r="V350" s="1700"/>
      <c r="W350" s="1672">
        <f>O350+S350</f>
        <v>1569780</v>
      </c>
      <c r="X350" s="1672"/>
      <c r="Y350" s="1699"/>
      <c r="Z350" s="1700"/>
      <c r="AA350" s="1699"/>
      <c r="AB350" s="1672">
        <f>SUM(AM350:BZ350)</f>
        <v>1569779.9974982003</v>
      </c>
      <c r="AC350" s="1444"/>
      <c r="AD350" s="1420"/>
      <c r="AE350" s="510"/>
      <c r="AF350" s="497"/>
      <c r="AG350" s="1403">
        <v>1</v>
      </c>
      <c r="AH350" s="1397">
        <f t="shared" si="351"/>
        <v>0</v>
      </c>
      <c r="AI350" s="355">
        <f t="shared" si="435"/>
        <v>0</v>
      </c>
      <c r="AJ350" s="351">
        <f t="shared" si="467"/>
        <v>0</v>
      </c>
      <c r="AK350" s="351"/>
      <c r="AL350" s="1398"/>
      <c r="AM350" s="2506"/>
      <c r="AN350" s="2273"/>
      <c r="AO350" s="2507"/>
      <c r="AP350" s="2507"/>
      <c r="AQ350" s="2507">
        <v>10000</v>
      </c>
      <c r="AR350" s="2507">
        <v>10000</v>
      </c>
      <c r="AS350" s="2507">
        <v>10000</v>
      </c>
      <c r="AT350" s="2515">
        <v>20000</v>
      </c>
      <c r="AU350" s="2507">
        <v>10000</v>
      </c>
      <c r="AV350" s="2507">
        <v>10000</v>
      </c>
      <c r="AW350" s="2507">
        <v>10000</v>
      </c>
      <c r="AX350" s="2507">
        <v>10000</v>
      </c>
      <c r="AY350" s="2514">
        <v>10000</v>
      </c>
      <c r="AZ350" s="2506">
        <f>49055.625+26862.5462499</f>
        <v>75918.171249899999</v>
      </c>
      <c r="BA350" s="2507">
        <v>75918.171249899999</v>
      </c>
      <c r="BB350" s="2507">
        <v>75918.171249899999</v>
      </c>
      <c r="BC350" s="2507">
        <v>75918.171249899999</v>
      </c>
      <c r="BD350" s="2507">
        <v>75918.171249899999</v>
      </c>
      <c r="BE350" s="2507">
        <v>75918.171249899999</v>
      </c>
      <c r="BF350" s="2507">
        <v>75918.171249899999</v>
      </c>
      <c r="BG350" s="2507">
        <v>75918.171249899999</v>
      </c>
      <c r="BH350" s="2507">
        <v>75918.171249899999</v>
      </c>
      <c r="BI350" s="2507">
        <v>75918.171249899999</v>
      </c>
      <c r="BJ350" s="2507">
        <v>75918.171249899999</v>
      </c>
      <c r="BK350" s="2516">
        <v>75918.171249899999</v>
      </c>
      <c r="BL350" s="2517">
        <v>75918.171249899999</v>
      </c>
      <c r="BM350" s="2517">
        <v>75918.171249899999</v>
      </c>
      <c r="BN350" s="2517">
        <v>75918.171249899999</v>
      </c>
      <c r="BO350" s="2517">
        <v>75918.171249899999</v>
      </c>
      <c r="BP350" s="2517">
        <v>75918.171249899999</v>
      </c>
      <c r="BQ350" s="2518">
        <f>49055.625+5141.67</f>
        <v>54197.294999999998</v>
      </c>
      <c r="BR350" s="497">
        <v>75918.171249899999</v>
      </c>
      <c r="BS350" s="497">
        <v>49055.62</v>
      </c>
      <c r="BT350" s="497"/>
      <c r="BU350" s="497"/>
      <c r="BV350" s="497"/>
      <c r="BW350" s="2060"/>
      <c r="BX350" s="2417"/>
      <c r="BY350" s="2549"/>
      <c r="BZ350" s="2549"/>
      <c r="CA350" s="2435">
        <f t="shared" si="360"/>
        <v>1569779.9974982003</v>
      </c>
      <c r="CB350" s="2380">
        <f t="shared" si="361"/>
        <v>1</v>
      </c>
      <c r="CC350" s="365">
        <f t="shared" si="362"/>
        <v>6.3703194179676539E-7</v>
      </c>
      <c r="CD350" s="1380">
        <f t="shared" si="363"/>
        <v>1.5937263342609091E-9</v>
      </c>
      <c r="CE350" s="1381">
        <f t="shared" si="364"/>
        <v>2.5017997249960899E-3</v>
      </c>
      <c r="CF350" s="1381"/>
      <c r="CG350" s="501"/>
      <c r="CH350" s="502"/>
      <c r="CI350" s="503"/>
      <c r="CJ350" s="504"/>
      <c r="CK350" s="505"/>
      <c r="CL350" s="329">
        <f t="shared" si="450"/>
        <v>2.5017997249960899E-3</v>
      </c>
      <c r="CM350" s="330">
        <f t="shared" si="451"/>
        <v>0</v>
      </c>
      <c r="CN350" s="331">
        <f t="shared" si="369"/>
        <v>-1469779.9974982003</v>
      </c>
      <c r="CO350" s="86"/>
      <c r="CP350" s="86">
        <f t="shared" si="422"/>
        <v>0</v>
      </c>
      <c r="CQ350" s="86"/>
      <c r="CR350" s="86"/>
      <c r="CS350" s="86"/>
      <c r="CT350" s="86"/>
      <c r="CU350" s="86"/>
      <c r="CV350" s="86"/>
      <c r="CW350" s="86"/>
      <c r="CX350" s="86"/>
      <c r="CY350" s="86"/>
      <c r="CZ350" s="86"/>
      <c r="DA350" s="86"/>
      <c r="DB350" s="32" t="e">
        <f>#REF!-CA350-AI350</f>
        <v>#REF!</v>
      </c>
      <c r="DC350" s="32" t="e">
        <f>W350-#REF!</f>
        <v>#REF!</v>
      </c>
      <c r="DD350" s="35"/>
      <c r="DE350" s="35"/>
      <c r="DF350" s="35"/>
      <c r="DG350" s="1642" t="e">
        <f>ROUND(#REF!,2)</f>
        <v>#REF!</v>
      </c>
      <c r="DH350" s="1642" t="e">
        <f>ROUND(#REF!,2)</f>
        <v>#REF!</v>
      </c>
      <c r="DI350" s="1642" t="e">
        <f>ROUND(#REF!,2)</f>
        <v>#REF!</v>
      </c>
      <c r="DJ350" s="1642" t="e">
        <f>ROUND(#REF!,2)</f>
        <v>#REF!</v>
      </c>
      <c r="DK350" s="1642" t="e">
        <f>ROUND(#REF!,2)</f>
        <v>#REF!</v>
      </c>
      <c r="DL350" s="1642" t="e">
        <f>ROUND(#REF!,2)</f>
        <v>#REF!</v>
      </c>
      <c r="DM350" s="1642" t="e">
        <f>ROUND(#REF!,2)</f>
        <v>#REF!</v>
      </c>
      <c r="DN350" s="1642" t="e">
        <f>ROUND(#REF!,2)</f>
        <v>#REF!</v>
      </c>
      <c r="DO350" s="1642" t="e">
        <f>ROUND(#REF!,2)</f>
        <v>#REF!</v>
      </c>
      <c r="DP350" s="1642">
        <f t="shared" si="468"/>
        <v>0</v>
      </c>
      <c r="DQ350" s="1642">
        <f t="shared" si="468"/>
        <v>0</v>
      </c>
      <c r="DR350" s="1642">
        <f t="shared" si="468"/>
        <v>0</v>
      </c>
      <c r="DS350" s="1642">
        <f t="shared" si="468"/>
        <v>10000</v>
      </c>
      <c r="DT350" s="1642">
        <f t="shared" si="468"/>
        <v>10000</v>
      </c>
      <c r="DU350" s="1642">
        <f t="shared" si="468"/>
        <v>10000</v>
      </c>
      <c r="DV350" s="1642">
        <f t="shared" si="468"/>
        <v>20000</v>
      </c>
      <c r="DW350" s="1642">
        <f t="shared" si="468"/>
        <v>10000</v>
      </c>
      <c r="DX350" s="1642">
        <f t="shared" si="468"/>
        <v>10000</v>
      </c>
      <c r="DY350" s="1642">
        <f t="shared" si="468"/>
        <v>10000</v>
      </c>
      <c r="DZ350" s="1642">
        <f t="shared" si="468"/>
        <v>10000</v>
      </c>
      <c r="EA350" s="1642">
        <f t="shared" si="468"/>
        <v>10000</v>
      </c>
      <c r="EB350" s="1642" t="e">
        <f>ROUND(#REF!,2)</f>
        <v>#REF!</v>
      </c>
      <c r="EC350" s="1642" t="e">
        <f>ROUND(#REF!,2)</f>
        <v>#REF!</v>
      </c>
      <c r="ED350" s="1642" t="e">
        <f>ROUND(#REF!,2)</f>
        <v>#REF!</v>
      </c>
      <c r="EE350" s="1642" t="e">
        <f>ROUND(#REF!,2)</f>
        <v>#REF!</v>
      </c>
      <c r="EF350" s="1642" t="e">
        <f>ROUND(#REF!,2)</f>
        <v>#REF!</v>
      </c>
      <c r="EG350" s="1642" t="e">
        <f>ROUND(#REF!,2)</f>
        <v>#REF!</v>
      </c>
      <c r="EH350" s="35"/>
      <c r="EI350" s="1658"/>
      <c r="EJ350" s="35"/>
      <c r="EK350" s="35"/>
      <c r="EL350" s="35"/>
      <c r="EM350" s="35"/>
      <c r="EN350" s="35"/>
      <c r="EO350" s="35"/>
      <c r="EP350" s="35"/>
      <c r="EQ350" s="35"/>
      <c r="ER350" s="35"/>
      <c r="ES350" s="35"/>
      <c r="ET350" s="35"/>
      <c r="EU350" s="35"/>
      <c r="EV350" s="35"/>
      <c r="EW350" s="35"/>
      <c r="EX350" s="35"/>
      <c r="EY350" s="35"/>
      <c r="EZ350" s="35"/>
      <c r="FA350" s="35"/>
      <c r="FB350" s="35"/>
      <c r="FC350" s="35"/>
      <c r="FD350" s="35"/>
      <c r="FE350" s="35"/>
      <c r="FF350" s="35"/>
      <c r="FG350" s="35"/>
      <c r="FH350" s="35"/>
      <c r="FI350" s="35"/>
      <c r="FJ350" s="35"/>
      <c r="FK350" s="35"/>
      <c r="FL350" s="35"/>
      <c r="FM350" s="35"/>
      <c r="FN350" s="35"/>
      <c r="FO350" s="35"/>
      <c r="FP350" s="35"/>
      <c r="FQ350" s="35"/>
      <c r="FR350" s="35"/>
      <c r="FS350" s="35"/>
      <c r="FT350" s="35"/>
      <c r="FU350" s="35"/>
      <c r="FV350" s="35"/>
      <c r="FW350" s="35"/>
      <c r="FX350" s="35"/>
      <c r="FY350" s="35"/>
      <c r="FZ350" s="35"/>
      <c r="GA350" s="35"/>
      <c r="GB350" s="35"/>
      <c r="GC350" s="35"/>
      <c r="GD350" s="35"/>
      <c r="GE350" s="35"/>
      <c r="GF350" s="35"/>
      <c r="GG350" s="35"/>
      <c r="GH350" s="35"/>
      <c r="GI350" s="35"/>
      <c r="GJ350" s="35"/>
      <c r="GK350" s="35"/>
      <c r="GL350" s="35"/>
      <c r="GM350" s="35"/>
      <c r="GN350" s="35"/>
      <c r="GO350" s="35"/>
      <c r="GP350" s="35"/>
      <c r="GQ350" s="35"/>
      <c r="GR350" s="35"/>
      <c r="GS350" s="35"/>
      <c r="GT350" s="35"/>
      <c r="GU350" s="35"/>
      <c r="GV350" s="35"/>
      <c r="GW350" s="35"/>
      <c r="GX350" s="35"/>
      <c r="GY350" s="35"/>
      <c r="GZ350" s="35"/>
      <c r="HA350" s="35"/>
      <c r="HB350" s="35"/>
      <c r="HC350" s="35"/>
      <c r="HD350" s="35"/>
      <c r="HE350" s="35"/>
      <c r="HF350" s="35"/>
      <c r="HG350" s="35"/>
      <c r="HH350" s="35"/>
      <c r="HI350" s="35"/>
      <c r="HJ350" s="35"/>
      <c r="HK350" s="35"/>
      <c r="HL350" s="35"/>
      <c r="HM350" s="35"/>
      <c r="HN350" s="35"/>
      <c r="HO350" s="35"/>
      <c r="HP350" s="35"/>
      <c r="HQ350" s="35"/>
      <c r="HR350" s="35"/>
      <c r="HS350" s="35"/>
      <c r="HT350" s="35"/>
      <c r="HU350" s="35"/>
      <c r="HV350" s="35"/>
      <c r="HW350" s="35"/>
      <c r="HX350" s="35"/>
      <c r="HY350" s="35"/>
      <c r="HZ350" s="35"/>
      <c r="IA350" s="35"/>
      <c r="IB350" s="35"/>
      <c r="IC350" s="35"/>
      <c r="ID350" s="35"/>
      <c r="IE350" s="35"/>
      <c r="IF350" s="35"/>
      <c r="IG350" s="35"/>
      <c r="IH350" s="35"/>
      <c r="II350" s="35"/>
      <c r="IJ350" s="35"/>
      <c r="IK350" s="35"/>
      <c r="IL350" s="35"/>
      <c r="IM350" s="35"/>
      <c r="IN350" s="35"/>
      <c r="IO350" s="35"/>
      <c r="IP350" s="35"/>
      <c r="IQ350" s="35"/>
      <c r="IR350" s="35"/>
      <c r="IS350" s="35"/>
      <c r="IT350" s="35"/>
      <c r="IU350" s="35"/>
      <c r="IV350" s="35"/>
      <c r="IW350" s="35"/>
      <c r="IX350" s="35"/>
      <c r="IY350" s="35"/>
      <c r="IZ350" s="35"/>
      <c r="JA350" s="35"/>
      <c r="JB350" s="35"/>
      <c r="JC350" s="35"/>
      <c r="JD350" s="35"/>
      <c r="JE350" s="35"/>
      <c r="JF350" s="35"/>
      <c r="JG350" s="35"/>
      <c r="JH350" s="35"/>
      <c r="JI350" s="35"/>
      <c r="JJ350" s="35"/>
      <c r="JK350" s="35"/>
      <c r="JL350" s="35"/>
      <c r="JM350" s="35"/>
      <c r="JN350" s="35"/>
      <c r="JO350" s="35"/>
      <c r="JP350" s="35"/>
      <c r="JQ350" s="35"/>
      <c r="JR350" s="35"/>
      <c r="JS350" s="35"/>
      <c r="JT350" s="35"/>
      <c r="JU350" s="35"/>
      <c r="JV350" s="35"/>
      <c r="JW350" s="35"/>
      <c r="JX350" s="35"/>
      <c r="JY350" s="35"/>
      <c r="JZ350" s="35"/>
      <c r="KA350" s="35"/>
      <c r="KB350" s="35"/>
      <c r="KC350" s="35"/>
      <c r="KD350" s="35"/>
      <c r="KE350" s="35"/>
      <c r="KF350" s="35"/>
      <c r="KG350" s="35"/>
      <c r="KH350" s="35"/>
      <c r="KI350" s="35"/>
      <c r="KJ350" s="35"/>
      <c r="KK350" s="35"/>
      <c r="KL350" s="35"/>
      <c r="KM350" s="35"/>
      <c r="KN350" s="35"/>
      <c r="KO350" s="35"/>
      <c r="KP350" s="1633"/>
    </row>
    <row r="351" spans="1:302" s="92" customFormat="1" ht="30" customHeight="1" outlineLevel="1">
      <c r="A351" s="1676" t="s">
        <v>141</v>
      </c>
      <c r="B351" s="1993" t="s">
        <v>1170</v>
      </c>
      <c r="C351" s="1359" t="s">
        <v>105</v>
      </c>
      <c r="D351" s="248" t="s">
        <v>295</v>
      </c>
      <c r="E351" s="1389"/>
      <c r="F351" s="506"/>
      <c r="G351" s="1402"/>
      <c r="H351" s="1391"/>
      <c r="I351" s="2573">
        <v>190400</v>
      </c>
      <c r="J351" s="1672"/>
      <c r="K351" s="1697"/>
      <c r="L351" s="1697"/>
      <c r="M351" s="1698">
        <v>5950</v>
      </c>
      <c r="N351" s="1697">
        <v>32</v>
      </c>
      <c r="O351" s="1397">
        <f t="shared" ref="O351:O368" si="469">I351</f>
        <v>190400</v>
      </c>
      <c r="P351" s="1671"/>
      <c r="Q351" s="1671"/>
      <c r="R351" s="1671"/>
      <c r="S351" s="1672"/>
      <c r="T351" s="1699"/>
      <c r="U351" s="1700"/>
      <c r="V351" s="1700"/>
      <c r="W351" s="1672">
        <f t="shared" ref="W351:W368" si="470">O351+S351</f>
        <v>190400</v>
      </c>
      <c r="X351" s="1672"/>
      <c r="Y351" s="1699"/>
      <c r="Z351" s="1700"/>
      <c r="AA351" s="1699"/>
      <c r="AB351" s="2727">
        <f t="shared" ref="AB351:AB368" si="471">SUM(AM351:BZ351)</f>
        <v>151900</v>
      </c>
      <c r="AC351" s="1444"/>
      <c r="AD351" s="1467"/>
      <c r="AE351" s="510"/>
      <c r="AF351" s="497"/>
      <c r="AG351" s="1403">
        <v>1</v>
      </c>
      <c r="AH351" s="1397">
        <f t="shared" si="351"/>
        <v>0</v>
      </c>
      <c r="AI351" s="355">
        <f t="shared" si="435"/>
        <v>0</v>
      </c>
      <c r="AJ351" s="351">
        <f t="shared" si="467"/>
        <v>0</v>
      </c>
      <c r="AK351" s="351"/>
      <c r="AL351" s="1398"/>
      <c r="AM351" s="2273"/>
      <c r="AN351" s="2273"/>
      <c r="AO351" s="497"/>
      <c r="AP351" s="497"/>
      <c r="AQ351" s="497">
        <v>4450</v>
      </c>
      <c r="AR351" s="497">
        <v>4450</v>
      </c>
      <c r="AS351" s="497">
        <v>4450</v>
      </c>
      <c r="AT351" s="2015">
        <v>4450</v>
      </c>
      <c r="AU351" s="497">
        <v>4450</v>
      </c>
      <c r="AV351" s="497">
        <v>4450</v>
      </c>
      <c r="AW351" s="497">
        <v>4450</v>
      </c>
      <c r="AX351" s="497">
        <v>4450</v>
      </c>
      <c r="AY351" s="2324">
        <f>4450+400</f>
        <v>4850</v>
      </c>
      <c r="AZ351" s="2273">
        <v>4450</v>
      </c>
      <c r="BA351" s="497">
        <v>4450</v>
      </c>
      <c r="BB351" s="497">
        <v>4450</v>
      </c>
      <c r="BC351" s="497">
        <v>4450</v>
      </c>
      <c r="BD351" s="497">
        <v>4450</v>
      </c>
      <c r="BE351" s="497">
        <f>4450+4450</f>
        <v>8900</v>
      </c>
      <c r="BF351" s="497">
        <v>4450</v>
      </c>
      <c r="BG351" s="497">
        <v>4450</v>
      </c>
      <c r="BH351" s="497">
        <v>5950</v>
      </c>
      <c r="BI351" s="497">
        <v>5950</v>
      </c>
      <c r="BJ351" s="497">
        <v>5950</v>
      </c>
      <c r="BK351" s="2137">
        <v>5950</v>
      </c>
      <c r="BL351" s="2011">
        <v>5950</v>
      </c>
      <c r="BM351" s="2011">
        <v>5950</v>
      </c>
      <c r="BN351" s="2011">
        <v>5950</v>
      </c>
      <c r="BO351" s="2011">
        <v>5950</v>
      </c>
      <c r="BP351" s="2011">
        <v>5950</v>
      </c>
      <c r="BQ351" s="497">
        <v>5950</v>
      </c>
      <c r="BR351" s="497">
        <v>5950</v>
      </c>
      <c r="BS351" s="497">
        <v>5950</v>
      </c>
      <c r="BT351" s="497"/>
      <c r="BU351" s="497"/>
      <c r="BV351" s="497"/>
      <c r="BW351" s="2060"/>
      <c r="BX351" s="2417"/>
      <c r="BY351" s="2549"/>
      <c r="BZ351" s="2549"/>
      <c r="CA351" s="2435">
        <f t="shared" si="360"/>
        <v>151900</v>
      </c>
      <c r="CB351" s="2380">
        <f t="shared" si="361"/>
        <v>1</v>
      </c>
      <c r="CC351" s="365">
        <f t="shared" si="362"/>
        <v>6.5832784726793941E-6</v>
      </c>
      <c r="CD351" s="1380">
        <f t="shared" si="363"/>
        <v>0.20220588235294118</v>
      </c>
      <c r="CE351" s="1381">
        <f t="shared" si="364"/>
        <v>38500</v>
      </c>
      <c r="CF351" s="1381"/>
      <c r="CG351" s="501"/>
      <c r="CH351" s="502"/>
      <c r="CI351" s="503"/>
      <c r="CJ351" s="504"/>
      <c r="CK351" s="505"/>
      <c r="CL351" s="329">
        <f t="shared" si="450"/>
        <v>38500</v>
      </c>
      <c r="CM351" s="330">
        <f t="shared" si="451"/>
        <v>0</v>
      </c>
      <c r="CN351" s="331">
        <f t="shared" si="369"/>
        <v>-111450</v>
      </c>
      <c r="CO351" s="86"/>
      <c r="CP351" s="86">
        <f t="shared" si="422"/>
        <v>0</v>
      </c>
      <c r="CQ351" s="86"/>
      <c r="CR351" s="86"/>
      <c r="CS351" s="86"/>
      <c r="CT351" s="86"/>
      <c r="CU351" s="86"/>
      <c r="CV351" s="86"/>
      <c r="CW351" s="86"/>
      <c r="CX351" s="86"/>
      <c r="CY351" s="86"/>
      <c r="CZ351" s="86"/>
      <c r="DA351" s="86"/>
      <c r="DB351" s="32"/>
      <c r="DC351" s="32"/>
      <c r="DD351" s="35"/>
      <c r="DE351" s="35"/>
      <c r="DF351" s="35"/>
      <c r="DG351" s="1642"/>
      <c r="DH351" s="1642"/>
      <c r="DI351" s="1642"/>
      <c r="DJ351" s="1642"/>
      <c r="DK351" s="1642"/>
      <c r="DL351" s="1642"/>
      <c r="DM351" s="1642"/>
      <c r="DN351" s="1642"/>
      <c r="DO351" s="1642"/>
      <c r="DP351" s="1642"/>
      <c r="DQ351" s="1642"/>
      <c r="DR351" s="1642"/>
      <c r="DS351" s="1642"/>
      <c r="DT351" s="1642"/>
      <c r="DU351" s="1642"/>
      <c r="DV351" s="1642"/>
      <c r="DW351" s="1642"/>
      <c r="DX351" s="1642"/>
      <c r="DY351" s="1642"/>
      <c r="DZ351" s="1642"/>
      <c r="EA351" s="1642" t="e">
        <f>ROUND(#REF!,2)</f>
        <v>#REF!</v>
      </c>
      <c r="EB351" s="1642"/>
      <c r="EC351" s="1642"/>
      <c r="ED351" s="1642"/>
      <c r="EE351" s="1642"/>
      <c r="EF351" s="1642"/>
      <c r="EG351" s="1642"/>
      <c r="EH351" s="35"/>
      <c r="EI351" s="1658"/>
      <c r="EJ351" s="35"/>
      <c r="EK351" s="35"/>
      <c r="EL351" s="35"/>
      <c r="EM351" s="35"/>
      <c r="EN351" s="35"/>
      <c r="EO351" s="35"/>
      <c r="EP351" s="35"/>
      <c r="EQ351" s="35"/>
      <c r="ER351" s="35"/>
      <c r="ES351" s="35"/>
      <c r="ET351" s="35"/>
      <c r="EU351" s="35"/>
      <c r="EV351" s="35"/>
      <c r="EW351" s="35"/>
      <c r="EX351" s="35"/>
      <c r="EY351" s="35"/>
      <c r="EZ351" s="35"/>
      <c r="FA351" s="35"/>
      <c r="FB351" s="35"/>
      <c r="FC351" s="35"/>
      <c r="FD351" s="35"/>
      <c r="FE351" s="35"/>
      <c r="FF351" s="35"/>
      <c r="FG351" s="35"/>
      <c r="FH351" s="35"/>
      <c r="FI351" s="35"/>
      <c r="FJ351" s="35"/>
      <c r="FK351" s="35"/>
      <c r="FL351" s="35"/>
      <c r="FM351" s="35"/>
      <c r="FN351" s="35"/>
      <c r="FO351" s="35"/>
      <c r="FP351" s="35"/>
      <c r="FQ351" s="35"/>
      <c r="FR351" s="35"/>
      <c r="FS351" s="35"/>
      <c r="FT351" s="35"/>
      <c r="FU351" s="35"/>
      <c r="FV351" s="35"/>
      <c r="FW351" s="35"/>
      <c r="FX351" s="35"/>
      <c r="FY351" s="35"/>
      <c r="FZ351" s="35"/>
      <c r="GA351" s="35"/>
      <c r="GB351" s="35"/>
      <c r="GC351" s="35"/>
      <c r="GD351" s="35"/>
      <c r="GE351" s="35"/>
      <c r="GF351" s="35"/>
      <c r="GG351" s="35"/>
      <c r="GH351" s="35"/>
      <c r="GI351" s="35"/>
      <c r="GJ351" s="35"/>
      <c r="GK351" s="35"/>
      <c r="GL351" s="35"/>
      <c r="GM351" s="35"/>
      <c r="GN351" s="35"/>
      <c r="GO351" s="35"/>
      <c r="GP351" s="35"/>
      <c r="GQ351" s="35"/>
      <c r="GR351" s="35"/>
      <c r="GS351" s="35"/>
      <c r="GT351" s="35"/>
      <c r="GU351" s="35"/>
      <c r="GV351" s="35"/>
      <c r="GW351" s="35"/>
      <c r="GX351" s="35"/>
      <c r="GY351" s="35"/>
      <c r="GZ351" s="35"/>
      <c r="HA351" s="35"/>
      <c r="HB351" s="35"/>
      <c r="HC351" s="35"/>
      <c r="HD351" s="35"/>
      <c r="HE351" s="35"/>
      <c r="HF351" s="35"/>
      <c r="HG351" s="35"/>
      <c r="HH351" s="35"/>
      <c r="HI351" s="35"/>
      <c r="HJ351" s="35"/>
      <c r="HK351" s="35"/>
      <c r="HL351" s="35"/>
      <c r="HM351" s="35"/>
      <c r="HN351" s="35"/>
      <c r="HO351" s="35"/>
      <c r="HP351" s="35"/>
      <c r="HQ351" s="35"/>
      <c r="HR351" s="35"/>
      <c r="HS351" s="35"/>
      <c r="HT351" s="35"/>
      <c r="HU351" s="35"/>
      <c r="HV351" s="35"/>
      <c r="HW351" s="35"/>
      <c r="HX351" s="35"/>
      <c r="HY351" s="35"/>
      <c r="HZ351" s="35"/>
      <c r="IA351" s="35"/>
      <c r="IB351" s="35"/>
      <c r="IC351" s="35"/>
      <c r="ID351" s="35"/>
      <c r="IE351" s="35"/>
      <c r="IF351" s="35"/>
      <c r="IG351" s="35"/>
      <c r="IH351" s="35"/>
      <c r="II351" s="35"/>
      <c r="IJ351" s="35"/>
      <c r="IK351" s="35"/>
      <c r="IL351" s="35"/>
      <c r="IM351" s="35"/>
      <c r="IN351" s="35"/>
      <c r="IO351" s="35"/>
      <c r="IP351" s="35"/>
      <c r="IQ351" s="35"/>
      <c r="IR351" s="35"/>
      <c r="IS351" s="35"/>
      <c r="IT351" s="35"/>
      <c r="IU351" s="35"/>
      <c r="IV351" s="35"/>
      <c r="IW351" s="35"/>
      <c r="IX351" s="35"/>
      <c r="IY351" s="35"/>
      <c r="IZ351" s="35"/>
      <c r="JA351" s="35"/>
      <c r="JB351" s="35"/>
      <c r="JC351" s="35"/>
      <c r="JD351" s="35"/>
      <c r="JE351" s="35"/>
      <c r="JF351" s="35"/>
      <c r="JG351" s="35"/>
      <c r="JH351" s="35"/>
      <c r="JI351" s="35"/>
      <c r="JJ351" s="35"/>
      <c r="JK351" s="35"/>
      <c r="JL351" s="35"/>
      <c r="JM351" s="35"/>
      <c r="JN351" s="35"/>
      <c r="JO351" s="35"/>
      <c r="JP351" s="35"/>
      <c r="JQ351" s="35"/>
      <c r="JR351" s="35"/>
      <c r="JS351" s="35"/>
      <c r="JT351" s="35"/>
      <c r="JU351" s="35"/>
      <c r="JV351" s="35"/>
      <c r="JW351" s="35"/>
      <c r="JX351" s="35"/>
      <c r="JY351" s="35"/>
      <c r="JZ351" s="35"/>
      <c r="KA351" s="35"/>
      <c r="KB351" s="35"/>
      <c r="KC351" s="35"/>
      <c r="KD351" s="35"/>
      <c r="KE351" s="35"/>
      <c r="KF351" s="35"/>
      <c r="KG351" s="35"/>
      <c r="KH351" s="35"/>
      <c r="KI351" s="35"/>
      <c r="KJ351" s="35"/>
      <c r="KK351" s="35"/>
      <c r="KL351" s="35"/>
      <c r="KM351" s="35"/>
      <c r="KN351" s="35"/>
      <c r="KO351" s="35"/>
      <c r="KP351" s="1633"/>
    </row>
    <row r="352" spans="1:302" s="92" customFormat="1" ht="25.25" customHeight="1" outlineLevel="1">
      <c r="A352" s="1676" t="s">
        <v>257</v>
      </c>
      <c r="B352" s="1993"/>
      <c r="C352" s="1359" t="s">
        <v>1330</v>
      </c>
      <c r="D352" s="248" t="s">
        <v>1329</v>
      </c>
      <c r="E352" s="1389"/>
      <c r="F352" s="506"/>
      <c r="G352" s="1402"/>
      <c r="H352" s="1391"/>
      <c r="I352" s="2573">
        <v>0</v>
      </c>
      <c r="J352" s="1672"/>
      <c r="K352" s="1697"/>
      <c r="L352" s="1697"/>
      <c r="M352" s="1698"/>
      <c r="N352" s="1697"/>
      <c r="O352" s="1397">
        <f t="shared" si="469"/>
        <v>0</v>
      </c>
      <c r="P352" s="1671"/>
      <c r="Q352" s="1671"/>
      <c r="R352" s="1671"/>
      <c r="S352" s="1672"/>
      <c r="T352" s="1699"/>
      <c r="U352" s="1700"/>
      <c r="V352" s="1700"/>
      <c r="W352" s="1672">
        <f t="shared" si="470"/>
        <v>0</v>
      </c>
      <c r="X352" s="1672"/>
      <c r="Y352" s="1699"/>
      <c r="Z352" s="1700"/>
      <c r="AA352" s="1699"/>
      <c r="AB352" s="1672">
        <f t="shared" si="471"/>
        <v>8500.0031034482799</v>
      </c>
      <c r="AC352" s="1444" t="s">
        <v>1331</v>
      </c>
      <c r="AD352" s="1467">
        <v>4502960520</v>
      </c>
      <c r="AE352" s="510" t="s">
        <v>564</v>
      </c>
      <c r="AF352" s="497">
        <v>8500</v>
      </c>
      <c r="AG352" s="1403">
        <v>1</v>
      </c>
      <c r="AH352" s="1397">
        <f t="shared" ref="AH352:AH353" si="472">+AF352*AG352</f>
        <v>8500</v>
      </c>
      <c r="AI352" s="355">
        <f t="shared" ref="AI352" si="473">SUMIF($AM$10:$BZ$10,$AI$9,AM352:BZ352)</f>
        <v>0</v>
      </c>
      <c r="AJ352" s="351">
        <f t="shared" ref="AJ352" si="474">IF($AB352&lt;&gt;0,AI352/$AB352,"")</f>
        <v>0</v>
      </c>
      <c r="AK352" s="351"/>
      <c r="AL352" s="1398"/>
      <c r="AM352" s="2273"/>
      <c r="AN352" s="2273"/>
      <c r="AO352" s="497"/>
      <c r="AP352" s="2823">
        <v>201.64</v>
      </c>
      <c r="AQ352" s="497">
        <v>293.10344827586198</v>
      </c>
      <c r="AR352" s="497">
        <v>293.10344827586209</v>
      </c>
      <c r="AS352" s="497">
        <f>293.103448275862+384.57</f>
        <v>677.67344827586203</v>
      </c>
      <c r="AT352" s="2015">
        <v>293.10344827586209</v>
      </c>
      <c r="AU352" s="497">
        <v>293.10344827586209</v>
      </c>
      <c r="AV352" s="497">
        <v>293.10344827586209</v>
      </c>
      <c r="AW352" s="497">
        <v>293.10344827586209</v>
      </c>
      <c r="AX352" s="497">
        <v>293.10344827586209</v>
      </c>
      <c r="AY352" s="2324">
        <v>293.10344827586209</v>
      </c>
      <c r="AZ352" s="2273">
        <v>293.10344827586209</v>
      </c>
      <c r="BA352" s="497">
        <v>293.10344827586209</v>
      </c>
      <c r="BB352" s="497">
        <v>293.10344827586209</v>
      </c>
      <c r="BC352" s="497">
        <v>293.10344827586209</v>
      </c>
      <c r="BD352" s="497">
        <v>293.10344827586209</v>
      </c>
      <c r="BE352" s="497">
        <v>293.10344827586209</v>
      </c>
      <c r="BF352" s="497">
        <v>293.10344827586209</v>
      </c>
      <c r="BG352" s="497">
        <v>293.10344827586209</v>
      </c>
      <c r="BH352" s="497">
        <v>293.10344827586209</v>
      </c>
      <c r="BI352" s="497">
        <v>293.10344827586209</v>
      </c>
      <c r="BJ352" s="497">
        <v>293.10344827586209</v>
      </c>
      <c r="BK352" s="2137">
        <v>293.10344827586209</v>
      </c>
      <c r="BL352" s="2011">
        <v>293.10344827586209</v>
      </c>
      <c r="BM352" s="2011">
        <v>293.10344827586209</v>
      </c>
      <c r="BN352" s="2011">
        <v>293.10344827586209</v>
      </c>
      <c r="BO352" s="2011">
        <v>293.10344827586209</v>
      </c>
      <c r="BP352" s="2011">
        <v>293.10344827586209</v>
      </c>
      <c r="BQ352" s="497">
        <v>293.10344827586209</v>
      </c>
      <c r="BR352" s="497"/>
      <c r="BS352" s="497"/>
      <c r="BT352" s="497"/>
      <c r="BU352" s="497"/>
      <c r="BV352" s="497"/>
      <c r="BW352" s="2060"/>
      <c r="BX352" s="2417"/>
      <c r="BY352" s="2549"/>
      <c r="BZ352" s="2549"/>
      <c r="CA352" s="2435">
        <f t="shared" si="360"/>
        <v>8500.0031034482799</v>
      </c>
      <c r="CB352" s="2380">
        <f t="shared" si="361"/>
        <v>1</v>
      </c>
      <c r="CC352" s="365">
        <f t="shared" si="362"/>
        <v>1.1764701586924364E-4</v>
      </c>
      <c r="CD352" s="1380" t="str">
        <f t="shared" si="363"/>
        <v>0,00%</v>
      </c>
      <c r="CE352" s="1381">
        <f t="shared" si="364"/>
        <v>-8500.0031034482799</v>
      </c>
      <c r="CF352" s="1381"/>
      <c r="CG352" s="501"/>
      <c r="CH352" s="502"/>
      <c r="CI352" s="503"/>
      <c r="CJ352" s="504"/>
      <c r="CK352" s="505"/>
      <c r="CL352" s="329">
        <f t="shared" si="450"/>
        <v>-8500.0031034482799</v>
      </c>
      <c r="CM352" s="330">
        <f t="shared" si="451"/>
        <v>0</v>
      </c>
      <c r="CN352" s="331"/>
      <c r="CO352" s="86"/>
      <c r="CP352" s="86">
        <f t="shared" si="422"/>
        <v>0</v>
      </c>
      <c r="CQ352" s="86"/>
      <c r="CR352" s="86"/>
      <c r="CS352" s="86"/>
      <c r="CT352" s="86"/>
      <c r="CU352" s="86"/>
      <c r="CV352" s="86"/>
      <c r="CW352" s="86"/>
      <c r="CX352" s="86"/>
      <c r="CY352" s="86"/>
      <c r="CZ352" s="86"/>
      <c r="DA352" s="86"/>
      <c r="DB352" s="32"/>
      <c r="DC352" s="32"/>
      <c r="DD352" s="35"/>
      <c r="DE352" s="35"/>
      <c r="DF352" s="35"/>
      <c r="DG352" s="1642"/>
      <c r="DH352" s="1642"/>
      <c r="DI352" s="1642"/>
      <c r="DJ352" s="1642"/>
      <c r="DK352" s="1642"/>
      <c r="DL352" s="1642"/>
      <c r="DM352" s="1642"/>
      <c r="DN352" s="1642"/>
      <c r="DO352" s="1642"/>
      <c r="DP352" s="1642"/>
      <c r="DQ352" s="1642"/>
      <c r="DR352" s="1642"/>
      <c r="DS352" s="1642"/>
      <c r="DT352" s="1642"/>
      <c r="DU352" s="1642"/>
      <c r="DV352" s="1642"/>
      <c r="DW352" s="1642"/>
      <c r="DX352" s="1642"/>
      <c r="DY352" s="1642"/>
      <c r="DZ352" s="1642"/>
      <c r="EA352" s="1642"/>
      <c r="EB352" s="1642"/>
      <c r="EC352" s="1642"/>
      <c r="ED352" s="1642"/>
      <c r="EE352" s="1642"/>
      <c r="EF352" s="1642"/>
      <c r="EG352" s="1642"/>
      <c r="EH352" s="35"/>
      <c r="EI352" s="1658"/>
      <c r="EJ352" s="35"/>
      <c r="EK352" s="35"/>
      <c r="EL352" s="35"/>
      <c r="EM352" s="35"/>
      <c r="EN352" s="35"/>
      <c r="EO352" s="35"/>
      <c r="EP352" s="35"/>
      <c r="EQ352" s="35"/>
      <c r="ER352" s="35"/>
      <c r="ES352" s="35"/>
      <c r="ET352" s="35"/>
      <c r="EU352" s="35"/>
      <c r="EV352" s="35"/>
      <c r="EW352" s="35"/>
      <c r="EX352" s="35"/>
      <c r="EY352" s="35"/>
      <c r="EZ352" s="35"/>
      <c r="FA352" s="35"/>
      <c r="FB352" s="35"/>
      <c r="FC352" s="35"/>
      <c r="FD352" s="35"/>
      <c r="FE352" s="35"/>
      <c r="FF352" s="35"/>
      <c r="FG352" s="35"/>
      <c r="FH352" s="35"/>
      <c r="FI352" s="35"/>
      <c r="FJ352" s="35"/>
      <c r="FK352" s="35"/>
      <c r="FL352" s="35"/>
      <c r="FM352" s="35"/>
      <c r="FN352" s="35"/>
      <c r="FO352" s="35"/>
      <c r="FP352" s="35"/>
      <c r="FQ352" s="35"/>
      <c r="FR352" s="35"/>
      <c r="FS352" s="35"/>
      <c r="FT352" s="35"/>
      <c r="FU352" s="35"/>
      <c r="FV352" s="35"/>
      <c r="FW352" s="35"/>
      <c r="FX352" s="35"/>
      <c r="FY352" s="35"/>
      <c r="FZ352" s="35"/>
      <c r="GA352" s="35"/>
      <c r="GB352" s="35"/>
      <c r="GC352" s="35"/>
      <c r="GD352" s="35"/>
      <c r="GE352" s="35"/>
      <c r="GF352" s="35"/>
      <c r="GG352" s="35"/>
      <c r="GH352" s="35"/>
      <c r="GI352" s="35"/>
      <c r="GJ352" s="35"/>
      <c r="GK352" s="35"/>
      <c r="GL352" s="35"/>
      <c r="GM352" s="35"/>
      <c r="GN352" s="35"/>
      <c r="GO352" s="35"/>
      <c r="GP352" s="35"/>
      <c r="GQ352" s="35"/>
      <c r="GR352" s="35"/>
      <c r="GS352" s="35"/>
      <c r="GT352" s="35"/>
      <c r="GU352" s="35"/>
      <c r="GV352" s="35"/>
      <c r="GW352" s="35"/>
      <c r="GX352" s="35"/>
      <c r="GY352" s="35"/>
      <c r="GZ352" s="35"/>
      <c r="HA352" s="35"/>
      <c r="HB352" s="35"/>
      <c r="HC352" s="35"/>
      <c r="HD352" s="35"/>
      <c r="HE352" s="35"/>
      <c r="HF352" s="35"/>
      <c r="HG352" s="35"/>
      <c r="HH352" s="35"/>
      <c r="HI352" s="35"/>
      <c r="HJ352" s="35"/>
      <c r="HK352" s="35"/>
      <c r="HL352" s="35"/>
      <c r="HM352" s="35"/>
      <c r="HN352" s="35"/>
      <c r="HO352" s="35"/>
      <c r="HP352" s="35"/>
      <c r="HQ352" s="35"/>
      <c r="HR352" s="35"/>
      <c r="HS352" s="35"/>
      <c r="HT352" s="35"/>
      <c r="HU352" s="35"/>
      <c r="HV352" s="35"/>
      <c r="HW352" s="35"/>
      <c r="HX352" s="35"/>
      <c r="HY352" s="35"/>
      <c r="HZ352" s="35"/>
      <c r="IA352" s="35"/>
      <c r="IB352" s="35"/>
      <c r="IC352" s="35"/>
      <c r="ID352" s="35"/>
      <c r="IE352" s="35"/>
      <c r="IF352" s="35"/>
      <c r="IG352" s="35"/>
      <c r="IH352" s="35"/>
      <c r="II352" s="35"/>
      <c r="IJ352" s="35"/>
      <c r="IK352" s="35"/>
      <c r="IL352" s="35"/>
      <c r="IM352" s="35"/>
      <c r="IN352" s="35"/>
      <c r="IO352" s="35"/>
      <c r="IP352" s="35"/>
      <c r="IQ352" s="35"/>
      <c r="IR352" s="35"/>
      <c r="IS352" s="35"/>
      <c r="IT352" s="35"/>
      <c r="IU352" s="35"/>
      <c r="IV352" s="35"/>
      <c r="IW352" s="35"/>
      <c r="IX352" s="35"/>
      <c r="IY352" s="35"/>
      <c r="IZ352" s="35"/>
      <c r="JA352" s="35"/>
      <c r="JB352" s="35"/>
      <c r="JC352" s="35"/>
      <c r="JD352" s="35"/>
      <c r="JE352" s="35"/>
      <c r="JF352" s="35"/>
      <c r="JG352" s="35"/>
      <c r="JH352" s="35"/>
      <c r="JI352" s="35"/>
      <c r="JJ352" s="35"/>
      <c r="JK352" s="35"/>
      <c r="JL352" s="35"/>
      <c r="JM352" s="35"/>
      <c r="JN352" s="35"/>
      <c r="JO352" s="35"/>
      <c r="JP352" s="35"/>
      <c r="JQ352" s="35"/>
      <c r="JR352" s="35"/>
      <c r="JS352" s="35"/>
      <c r="JT352" s="35"/>
      <c r="JU352" s="35"/>
      <c r="JV352" s="35"/>
      <c r="JW352" s="35"/>
      <c r="JX352" s="35"/>
      <c r="JY352" s="35"/>
      <c r="JZ352" s="35"/>
      <c r="KA352" s="35"/>
      <c r="KB352" s="35"/>
      <c r="KC352" s="35"/>
      <c r="KD352" s="35"/>
      <c r="KE352" s="35"/>
      <c r="KF352" s="35"/>
      <c r="KG352" s="35"/>
      <c r="KH352" s="35"/>
      <c r="KI352" s="35"/>
      <c r="KJ352" s="35"/>
      <c r="KK352" s="35"/>
      <c r="KL352" s="35"/>
      <c r="KM352" s="35"/>
      <c r="KN352" s="35"/>
      <c r="KO352" s="35"/>
      <c r="KP352" s="1633"/>
    </row>
    <row r="353" spans="1:302" s="92" customFormat="1" ht="25.25" customHeight="1" outlineLevel="1">
      <c r="A353" s="1676" t="s">
        <v>258</v>
      </c>
      <c r="B353" s="1993"/>
      <c r="C353" s="1359" t="s">
        <v>1376</v>
      </c>
      <c r="D353" s="248"/>
      <c r="E353" s="1389"/>
      <c r="F353" s="506"/>
      <c r="G353" s="1402"/>
      <c r="H353" s="1391"/>
      <c r="I353" s="2573">
        <v>0</v>
      </c>
      <c r="J353" s="1672"/>
      <c r="K353" s="1697"/>
      <c r="L353" s="1697"/>
      <c r="M353" s="1698"/>
      <c r="N353" s="1697"/>
      <c r="O353" s="1397">
        <f t="shared" si="469"/>
        <v>0</v>
      </c>
      <c r="P353" s="1671"/>
      <c r="Q353" s="1671"/>
      <c r="R353" s="1671"/>
      <c r="S353" s="1672"/>
      <c r="T353" s="1699"/>
      <c r="U353" s="1700"/>
      <c r="V353" s="1700"/>
      <c r="W353" s="1672">
        <f t="shared" si="470"/>
        <v>0</v>
      </c>
      <c r="X353" s="1672"/>
      <c r="Y353" s="1699"/>
      <c r="Z353" s="1700"/>
      <c r="AA353" s="1699"/>
      <c r="AB353" s="1672">
        <f t="shared" si="471"/>
        <v>30000</v>
      </c>
      <c r="AC353" s="1444" t="s">
        <v>1377</v>
      </c>
      <c r="AD353" s="1467">
        <v>4502983881</v>
      </c>
      <c r="AE353" s="510" t="s">
        <v>564</v>
      </c>
      <c r="AF353" s="497">
        <v>30000</v>
      </c>
      <c r="AG353" s="1403">
        <v>1</v>
      </c>
      <c r="AH353" s="1397">
        <f t="shared" si="472"/>
        <v>30000</v>
      </c>
      <c r="AI353" s="355">
        <f t="shared" ref="AI353" si="475">SUMIF($AM$10:$BZ$10,$AI$9,AM353:BZ353)</f>
        <v>0</v>
      </c>
      <c r="AJ353" s="351">
        <f t="shared" ref="AJ353" si="476">IF($AB353&lt;&gt;0,AI353/$AB353,"")</f>
        <v>0</v>
      </c>
      <c r="AK353" s="351"/>
      <c r="AL353" s="1398"/>
      <c r="AM353" s="2273"/>
      <c r="AN353" s="2273"/>
      <c r="AO353" s="497"/>
      <c r="AP353" s="497"/>
      <c r="AQ353" s="497">
        <v>3000</v>
      </c>
      <c r="AR353" s="497">
        <v>1500</v>
      </c>
      <c r="AS353" s="497">
        <v>1500</v>
      </c>
      <c r="AT353" s="2015">
        <v>1500</v>
      </c>
      <c r="AU353" s="497">
        <v>1500</v>
      </c>
      <c r="AV353" s="497">
        <v>1500</v>
      </c>
      <c r="AW353" s="497">
        <v>1500</v>
      </c>
      <c r="AX353" s="497">
        <v>3000</v>
      </c>
      <c r="AY353" s="2324">
        <v>1500</v>
      </c>
      <c r="AZ353" s="2273">
        <v>1500</v>
      </c>
      <c r="BA353" s="497">
        <v>1500</v>
      </c>
      <c r="BB353" s="497">
        <v>1500</v>
      </c>
      <c r="BC353" s="497">
        <v>1500</v>
      </c>
      <c r="BD353" s="497">
        <v>1500</v>
      </c>
      <c r="BE353" s="497">
        <v>1500</v>
      </c>
      <c r="BF353" s="497">
        <v>1500</v>
      </c>
      <c r="BG353" s="497">
        <v>1500</v>
      </c>
      <c r="BH353" s="497">
        <v>1500</v>
      </c>
      <c r="BI353" s="497"/>
      <c r="BJ353" s="497"/>
      <c r="BK353" s="2137"/>
      <c r="BL353" s="2011"/>
      <c r="BM353" s="2011"/>
      <c r="BN353" s="2011"/>
      <c r="BO353" s="2011"/>
      <c r="BP353" s="2011"/>
      <c r="BQ353" s="497"/>
      <c r="BR353" s="497"/>
      <c r="BS353" s="497"/>
      <c r="BT353" s="497"/>
      <c r="BU353" s="497"/>
      <c r="BV353" s="497"/>
      <c r="BW353" s="2060"/>
      <c r="BX353" s="2417"/>
      <c r="BY353" s="2549"/>
      <c r="BZ353" s="2549"/>
      <c r="CA353" s="2435">
        <f t="shared" si="360"/>
        <v>30000</v>
      </c>
      <c r="CB353" s="2380">
        <f t="shared" si="361"/>
        <v>1</v>
      </c>
      <c r="CC353" s="365">
        <f t="shared" si="362"/>
        <v>3.3333333333333335E-5</v>
      </c>
      <c r="CD353" s="1380" t="str">
        <f t="shared" si="363"/>
        <v>0,00%</v>
      </c>
      <c r="CE353" s="1381">
        <f t="shared" si="364"/>
        <v>-30000</v>
      </c>
      <c r="CF353" s="1381"/>
      <c r="CG353" s="501"/>
      <c r="CH353" s="502"/>
      <c r="CI353" s="503"/>
      <c r="CJ353" s="504"/>
      <c r="CK353" s="505"/>
      <c r="CL353" s="329">
        <f t="shared" si="450"/>
        <v>-30000</v>
      </c>
      <c r="CM353" s="330">
        <f t="shared" si="451"/>
        <v>0</v>
      </c>
      <c r="CN353" s="331"/>
      <c r="CO353" s="86"/>
      <c r="CP353" s="86"/>
      <c r="CQ353" s="86"/>
      <c r="CR353" s="86"/>
      <c r="CS353" s="86"/>
      <c r="CT353" s="86"/>
      <c r="CU353" s="86"/>
      <c r="CV353" s="86"/>
      <c r="CW353" s="86"/>
      <c r="CX353" s="86"/>
      <c r="CY353" s="86"/>
      <c r="CZ353" s="86"/>
      <c r="DA353" s="86"/>
      <c r="DB353" s="32"/>
      <c r="DC353" s="32"/>
      <c r="DD353" s="35"/>
      <c r="DE353" s="35"/>
      <c r="DF353" s="35"/>
      <c r="DG353" s="1642"/>
      <c r="DH353" s="1642"/>
      <c r="DI353" s="1642"/>
      <c r="DJ353" s="1642"/>
      <c r="DK353" s="1642"/>
      <c r="DL353" s="1642"/>
      <c r="DM353" s="1642"/>
      <c r="DN353" s="1642"/>
      <c r="DO353" s="1642"/>
      <c r="DP353" s="1642"/>
      <c r="DQ353" s="1642"/>
      <c r="DR353" s="1642"/>
      <c r="DS353" s="1642"/>
      <c r="DT353" s="1642"/>
      <c r="DU353" s="1642"/>
      <c r="DV353" s="1642"/>
      <c r="DW353" s="1642"/>
      <c r="DX353" s="1642"/>
      <c r="DY353" s="1642"/>
      <c r="DZ353" s="1642"/>
      <c r="EA353" s="1642"/>
      <c r="EB353" s="1642"/>
      <c r="EC353" s="1642"/>
      <c r="ED353" s="1642"/>
      <c r="EE353" s="1642"/>
      <c r="EF353" s="1642"/>
      <c r="EG353" s="1642"/>
      <c r="EH353" s="35"/>
      <c r="EI353" s="1658"/>
      <c r="EJ353" s="35"/>
      <c r="EK353" s="35"/>
      <c r="EL353" s="35"/>
      <c r="EM353" s="35"/>
      <c r="EN353" s="35"/>
      <c r="EO353" s="35"/>
      <c r="EP353" s="35"/>
      <c r="EQ353" s="35"/>
      <c r="ER353" s="35"/>
      <c r="ES353" s="35"/>
      <c r="ET353" s="35"/>
      <c r="EU353" s="35"/>
      <c r="EV353" s="35"/>
      <c r="EW353" s="35"/>
      <c r="EX353" s="35"/>
      <c r="EY353" s="35"/>
      <c r="EZ353" s="35"/>
      <c r="FA353" s="35"/>
      <c r="FB353" s="35"/>
      <c r="FC353" s="35"/>
      <c r="FD353" s="35"/>
      <c r="FE353" s="35"/>
      <c r="FF353" s="35"/>
      <c r="FG353" s="35"/>
      <c r="FH353" s="35"/>
      <c r="FI353" s="35"/>
      <c r="FJ353" s="35"/>
      <c r="FK353" s="35"/>
      <c r="FL353" s="35"/>
      <c r="FM353" s="35"/>
      <c r="FN353" s="35"/>
      <c r="FO353" s="35"/>
      <c r="FP353" s="35"/>
      <c r="FQ353" s="35"/>
      <c r="FR353" s="35"/>
      <c r="FS353" s="35"/>
      <c r="FT353" s="35"/>
      <c r="FU353" s="35"/>
      <c r="FV353" s="35"/>
      <c r="FW353" s="35"/>
      <c r="FX353" s="35"/>
      <c r="FY353" s="35"/>
      <c r="FZ353" s="35"/>
      <c r="GA353" s="35"/>
      <c r="GB353" s="35"/>
      <c r="GC353" s="35"/>
      <c r="GD353" s="35"/>
      <c r="GE353" s="35"/>
      <c r="GF353" s="35"/>
      <c r="GG353" s="35"/>
      <c r="GH353" s="35"/>
      <c r="GI353" s="35"/>
      <c r="GJ353" s="35"/>
      <c r="GK353" s="35"/>
      <c r="GL353" s="35"/>
      <c r="GM353" s="35"/>
      <c r="GN353" s="35"/>
      <c r="GO353" s="35"/>
      <c r="GP353" s="35"/>
      <c r="GQ353" s="35"/>
      <c r="GR353" s="35"/>
      <c r="GS353" s="35"/>
      <c r="GT353" s="35"/>
      <c r="GU353" s="35"/>
      <c r="GV353" s="35"/>
      <c r="GW353" s="35"/>
      <c r="GX353" s="35"/>
      <c r="GY353" s="35"/>
      <c r="GZ353" s="35"/>
      <c r="HA353" s="35"/>
      <c r="HB353" s="35"/>
      <c r="HC353" s="35"/>
      <c r="HD353" s="35"/>
      <c r="HE353" s="35"/>
      <c r="HF353" s="35"/>
      <c r="HG353" s="35"/>
      <c r="HH353" s="35"/>
      <c r="HI353" s="35"/>
      <c r="HJ353" s="35"/>
      <c r="HK353" s="35"/>
      <c r="HL353" s="35"/>
      <c r="HM353" s="35"/>
      <c r="HN353" s="35"/>
      <c r="HO353" s="35"/>
      <c r="HP353" s="35"/>
      <c r="HQ353" s="35"/>
      <c r="HR353" s="35"/>
      <c r="HS353" s="35"/>
      <c r="HT353" s="35"/>
      <c r="HU353" s="35"/>
      <c r="HV353" s="35"/>
      <c r="HW353" s="35"/>
      <c r="HX353" s="35"/>
      <c r="HY353" s="35"/>
      <c r="HZ353" s="35"/>
      <c r="IA353" s="35"/>
      <c r="IB353" s="35"/>
      <c r="IC353" s="35"/>
      <c r="ID353" s="35"/>
      <c r="IE353" s="35"/>
      <c r="IF353" s="35"/>
      <c r="IG353" s="35"/>
      <c r="IH353" s="35"/>
      <c r="II353" s="35"/>
      <c r="IJ353" s="35"/>
      <c r="IK353" s="35"/>
      <c r="IL353" s="35"/>
      <c r="IM353" s="35"/>
      <c r="IN353" s="35"/>
      <c r="IO353" s="35"/>
      <c r="IP353" s="35"/>
      <c r="IQ353" s="35"/>
      <c r="IR353" s="35"/>
      <c r="IS353" s="35"/>
      <c r="IT353" s="35"/>
      <c r="IU353" s="35"/>
      <c r="IV353" s="35"/>
      <c r="IW353" s="35"/>
      <c r="IX353" s="35"/>
      <c r="IY353" s="35"/>
      <c r="IZ353" s="35"/>
      <c r="JA353" s="35"/>
      <c r="JB353" s="35"/>
      <c r="JC353" s="35"/>
      <c r="JD353" s="35"/>
      <c r="JE353" s="35"/>
      <c r="JF353" s="35"/>
      <c r="JG353" s="35"/>
      <c r="JH353" s="35"/>
      <c r="JI353" s="35"/>
      <c r="JJ353" s="35"/>
      <c r="JK353" s="35"/>
      <c r="JL353" s="35"/>
      <c r="JM353" s="35"/>
      <c r="JN353" s="35"/>
      <c r="JO353" s="35"/>
      <c r="JP353" s="35"/>
      <c r="JQ353" s="35"/>
      <c r="JR353" s="35"/>
      <c r="JS353" s="35"/>
      <c r="JT353" s="35"/>
      <c r="JU353" s="35"/>
      <c r="JV353" s="35"/>
      <c r="JW353" s="35"/>
      <c r="JX353" s="35"/>
      <c r="JY353" s="35"/>
      <c r="JZ353" s="35"/>
      <c r="KA353" s="35"/>
      <c r="KB353" s="35"/>
      <c r="KC353" s="35"/>
      <c r="KD353" s="35"/>
      <c r="KE353" s="35"/>
      <c r="KF353" s="35"/>
      <c r="KG353" s="35"/>
      <c r="KH353" s="35"/>
      <c r="KI353" s="35"/>
      <c r="KJ353" s="35"/>
      <c r="KK353" s="35"/>
      <c r="KL353" s="35"/>
      <c r="KM353" s="35"/>
      <c r="KN353" s="35"/>
      <c r="KO353" s="35"/>
      <c r="KP353" s="1633"/>
    </row>
    <row r="354" spans="1:302" s="92" customFormat="1" ht="25.25" customHeight="1" outlineLevel="1">
      <c r="A354" s="1676" t="s">
        <v>135</v>
      </c>
      <c r="B354" s="1993" t="s">
        <v>1175</v>
      </c>
      <c r="C354" s="1359" t="s">
        <v>291</v>
      </c>
      <c r="D354" s="1359" t="s">
        <v>296</v>
      </c>
      <c r="E354" s="1389"/>
      <c r="F354" s="506"/>
      <c r="G354" s="1402"/>
      <c r="H354" s="1391"/>
      <c r="I354" s="2573">
        <v>272000</v>
      </c>
      <c r="J354" s="1672"/>
      <c r="K354" s="1697"/>
      <c r="L354" s="1697"/>
      <c r="M354" s="1698">
        <v>8500</v>
      </c>
      <c r="N354" s="1697">
        <v>32</v>
      </c>
      <c r="O354" s="1397">
        <f t="shared" si="469"/>
        <v>272000</v>
      </c>
      <c r="P354" s="1671"/>
      <c r="Q354" s="1671"/>
      <c r="R354" s="1671"/>
      <c r="S354" s="1672"/>
      <c r="T354" s="1699"/>
      <c r="U354" s="1700"/>
      <c r="V354" s="1700"/>
      <c r="W354" s="1672">
        <f t="shared" si="470"/>
        <v>272000</v>
      </c>
      <c r="X354" s="1672"/>
      <c r="Y354" s="1699"/>
      <c r="Z354" s="1700"/>
      <c r="AA354" s="1699"/>
      <c r="AB354" s="2727">
        <f t="shared" si="471"/>
        <v>205120</v>
      </c>
      <c r="AC354" s="1444"/>
      <c r="AD354" s="1678"/>
      <c r="AE354" s="510"/>
      <c r="AF354" s="497"/>
      <c r="AG354" s="1403">
        <v>1</v>
      </c>
      <c r="AH354" s="1397">
        <f t="shared" si="351"/>
        <v>0</v>
      </c>
      <c r="AI354" s="355">
        <f t="shared" si="435"/>
        <v>0</v>
      </c>
      <c r="AJ354" s="351">
        <f t="shared" si="467"/>
        <v>0</v>
      </c>
      <c r="AK354" s="351"/>
      <c r="AL354" s="1398"/>
      <c r="AM354" s="2273"/>
      <c r="AN354" s="2273"/>
      <c r="AO354" s="497"/>
      <c r="AP354" s="497"/>
      <c r="AQ354" s="497"/>
      <c r="AR354" s="1922"/>
      <c r="AS354" s="1922"/>
      <c r="AT354" s="2015"/>
      <c r="AU354" s="2519"/>
      <c r="AV354" s="2519"/>
      <c r="AW354" s="2519"/>
      <c r="AX354" s="2519"/>
      <c r="AY354" s="2521"/>
      <c r="AZ354" s="2522"/>
      <c r="BA354" s="379"/>
      <c r="BB354" s="2519"/>
      <c r="BC354" s="2519"/>
      <c r="BD354" s="2519"/>
      <c r="BE354" s="2519"/>
      <c r="BF354" s="2519"/>
      <c r="BG354" s="2519"/>
      <c r="BH354" s="2519"/>
      <c r="BI354" s="2519"/>
      <c r="BJ354" s="1922"/>
      <c r="BK354" s="2136"/>
      <c r="BL354" s="2011"/>
      <c r="BM354" s="2011"/>
      <c r="BN354" s="2011"/>
      <c r="BO354" s="2011"/>
      <c r="BP354" s="2011"/>
      <c r="BQ354" s="497"/>
      <c r="BR354" s="497"/>
      <c r="BS354" s="497"/>
      <c r="BT354" s="497"/>
      <c r="BU354" s="497"/>
      <c r="BV354" s="497"/>
      <c r="BW354" s="2417">
        <v>205120</v>
      </c>
      <c r="BX354" s="2417"/>
      <c r="BY354" s="2549"/>
      <c r="BZ354" s="2549"/>
      <c r="CA354" s="2435">
        <f t="shared" si="360"/>
        <v>205120</v>
      </c>
      <c r="CB354" s="2380">
        <f t="shared" si="361"/>
        <v>1</v>
      </c>
      <c r="CC354" s="365">
        <f t="shared" si="362"/>
        <v>4.875195007800312E-6</v>
      </c>
      <c r="CD354" s="1380">
        <f t="shared" si="363"/>
        <v>0.24588235294117647</v>
      </c>
      <c r="CE354" s="1381">
        <f t="shared" si="364"/>
        <v>66880</v>
      </c>
      <c r="CF354" s="1381"/>
      <c r="CG354" s="501"/>
      <c r="CH354" s="502"/>
      <c r="CI354" s="503"/>
      <c r="CJ354" s="504"/>
      <c r="CK354" s="505"/>
      <c r="CL354" s="329">
        <f t="shared" si="450"/>
        <v>66880</v>
      </c>
      <c r="CM354" s="330">
        <f t="shared" si="451"/>
        <v>0</v>
      </c>
      <c r="CN354" s="331">
        <f t="shared" si="369"/>
        <v>-205120</v>
      </c>
      <c r="CO354" s="86"/>
      <c r="CP354" s="86">
        <f t="shared" si="422"/>
        <v>0</v>
      </c>
      <c r="CQ354" s="86"/>
      <c r="CR354" s="86"/>
      <c r="CS354" s="86"/>
      <c r="CT354" s="86"/>
      <c r="CU354" s="86"/>
      <c r="CV354" s="86"/>
      <c r="CW354" s="86"/>
      <c r="CX354" s="86"/>
      <c r="CY354" s="86"/>
      <c r="CZ354" s="86"/>
      <c r="DA354" s="86"/>
      <c r="DB354" s="32" t="e">
        <f>#REF!-CA354-AI354</f>
        <v>#REF!</v>
      </c>
      <c r="DC354" s="32" t="e">
        <f>W354-#REF!</f>
        <v>#REF!</v>
      </c>
      <c r="DD354" s="35"/>
      <c r="DE354" s="35"/>
      <c r="DF354" s="35"/>
      <c r="DG354" s="1642" t="e">
        <f>ROUND(#REF!,2)</f>
        <v>#REF!</v>
      </c>
      <c r="DH354" s="1642" t="e">
        <f>ROUND(#REF!,2)</f>
        <v>#REF!</v>
      </c>
      <c r="DI354" s="1642" t="e">
        <f>ROUND(#REF!,2)</f>
        <v>#REF!</v>
      </c>
      <c r="DJ354" s="1642" t="e">
        <f>ROUND(#REF!,2)</f>
        <v>#REF!</v>
      </c>
      <c r="DK354" s="1642" t="e">
        <f>ROUND(#REF!,2)</f>
        <v>#REF!</v>
      </c>
      <c r="DL354" s="1642" t="e">
        <f>ROUND(#REF!,2)</f>
        <v>#REF!</v>
      </c>
      <c r="DM354" s="1642" t="e">
        <f>ROUND(#REF!,2)</f>
        <v>#REF!</v>
      </c>
      <c r="DN354" s="1642" t="e">
        <f>ROUND(#REF!,2)</f>
        <v>#REF!</v>
      </c>
      <c r="DO354" s="1642" t="e">
        <f>ROUND(#REF!,2)</f>
        <v>#REF!</v>
      </c>
      <c r="DP354" s="1642">
        <f>ROUND(AN354,2)</f>
        <v>0</v>
      </c>
      <c r="DQ354" s="1642">
        <f>ROUND(AO354,2)</f>
        <v>0</v>
      </c>
      <c r="DR354" s="1642">
        <f>ROUND(AP354,2)</f>
        <v>0</v>
      </c>
      <c r="DS354" s="1642">
        <f>ROUND(AQ354,2)</f>
        <v>0</v>
      </c>
      <c r="DT354" s="1642" t="e">
        <f>ROUND(#REF!,2)</f>
        <v>#REF!</v>
      </c>
      <c r="DU354" s="1642" t="e">
        <f>ROUND(#REF!,2)</f>
        <v>#REF!</v>
      </c>
      <c r="DV354" s="1642" t="e">
        <f>ROUND(#REF!,2)</f>
        <v>#REF!</v>
      </c>
      <c r="DW354" s="1642" t="e">
        <f>ROUND(#REF!,2)</f>
        <v>#REF!</v>
      </c>
      <c r="DX354" s="1642" t="e">
        <f>ROUND(#REF!,2)</f>
        <v>#REF!</v>
      </c>
      <c r="DY354" s="1642" t="e">
        <f>ROUND(#REF!,2)</f>
        <v>#REF!</v>
      </c>
      <c r="DZ354" s="1642" t="e">
        <f>ROUND(#REF!,2)</f>
        <v>#REF!</v>
      </c>
      <c r="EA354" s="1642" t="e">
        <f>ROUND(#REF!,2)</f>
        <v>#REF!</v>
      </c>
      <c r="EB354" s="1642" t="e">
        <f>ROUND(#REF!,2)</f>
        <v>#REF!</v>
      </c>
      <c r="EC354" s="1642" t="e">
        <f>ROUND(#REF!,2)</f>
        <v>#REF!</v>
      </c>
      <c r="ED354" s="1642" t="e">
        <f>ROUND(#REF!,2)</f>
        <v>#REF!</v>
      </c>
      <c r="EE354" s="1642" t="e">
        <f>ROUND(#REF!,2)</f>
        <v>#REF!</v>
      </c>
      <c r="EF354" s="1642" t="e">
        <f>ROUND(#REF!,2)</f>
        <v>#REF!</v>
      </c>
      <c r="EG354" s="1642" t="e">
        <f>ROUND(#REF!,2)</f>
        <v>#REF!</v>
      </c>
      <c r="EH354" s="35"/>
      <c r="EI354" s="1658"/>
      <c r="EJ354" s="35"/>
      <c r="EK354" s="35"/>
      <c r="EL354" s="35"/>
      <c r="EM354" s="35"/>
      <c r="EN354" s="35"/>
      <c r="EO354" s="35"/>
      <c r="EP354" s="35"/>
      <c r="EQ354" s="35"/>
      <c r="ER354" s="35"/>
      <c r="ES354" s="35"/>
      <c r="ET354" s="35"/>
      <c r="EU354" s="35"/>
      <c r="EV354" s="35"/>
      <c r="EW354" s="35"/>
      <c r="EX354" s="35"/>
      <c r="EY354" s="35"/>
      <c r="EZ354" s="35"/>
      <c r="FA354" s="35"/>
      <c r="FB354" s="35"/>
      <c r="FC354" s="35"/>
      <c r="FD354" s="35"/>
      <c r="FE354" s="35"/>
      <c r="FF354" s="35"/>
      <c r="FG354" s="35"/>
      <c r="FH354" s="35"/>
      <c r="FI354" s="35"/>
      <c r="FJ354" s="35"/>
      <c r="FK354" s="35"/>
      <c r="FL354" s="35"/>
      <c r="FM354" s="35"/>
      <c r="FN354" s="35"/>
      <c r="FO354" s="35"/>
      <c r="FP354" s="35"/>
      <c r="FQ354" s="35"/>
      <c r="FR354" s="35"/>
      <c r="FS354" s="35"/>
      <c r="FT354" s="35"/>
      <c r="FU354" s="35"/>
      <c r="FV354" s="35"/>
      <c r="FW354" s="35"/>
      <c r="FX354" s="35"/>
      <c r="FY354" s="35"/>
      <c r="FZ354" s="35"/>
      <c r="GA354" s="35"/>
      <c r="GB354" s="35"/>
      <c r="GC354" s="35"/>
      <c r="GD354" s="35"/>
      <c r="GE354" s="35"/>
      <c r="GF354" s="35"/>
      <c r="GG354" s="35"/>
      <c r="GH354" s="35"/>
      <c r="GI354" s="35"/>
      <c r="GJ354" s="35"/>
      <c r="GK354" s="35"/>
      <c r="GL354" s="35"/>
      <c r="GM354" s="35"/>
      <c r="GN354" s="35"/>
      <c r="GO354" s="35"/>
      <c r="GP354" s="35"/>
      <c r="GQ354" s="35"/>
      <c r="GR354" s="35"/>
      <c r="GS354" s="35"/>
      <c r="GT354" s="35"/>
      <c r="GU354" s="35"/>
      <c r="GV354" s="35"/>
      <c r="GW354" s="35"/>
      <c r="GX354" s="35"/>
      <c r="GY354" s="35"/>
      <c r="GZ354" s="35"/>
      <c r="HA354" s="35"/>
      <c r="HB354" s="35"/>
      <c r="HC354" s="35"/>
      <c r="HD354" s="35"/>
      <c r="HE354" s="35"/>
      <c r="HF354" s="35"/>
      <c r="HG354" s="35"/>
      <c r="HH354" s="35"/>
      <c r="HI354" s="35"/>
      <c r="HJ354" s="35"/>
      <c r="HK354" s="35"/>
      <c r="HL354" s="35"/>
      <c r="HM354" s="35"/>
      <c r="HN354" s="35"/>
      <c r="HO354" s="35"/>
      <c r="HP354" s="35"/>
      <c r="HQ354" s="35"/>
      <c r="HR354" s="35"/>
      <c r="HS354" s="35"/>
      <c r="HT354" s="35"/>
      <c r="HU354" s="35"/>
      <c r="HV354" s="35"/>
      <c r="HW354" s="35"/>
      <c r="HX354" s="35"/>
      <c r="HY354" s="35"/>
      <c r="HZ354" s="35"/>
      <c r="IA354" s="35"/>
      <c r="IB354" s="35"/>
      <c r="IC354" s="35"/>
      <c r="ID354" s="35"/>
      <c r="IE354" s="35"/>
      <c r="IF354" s="35"/>
      <c r="IG354" s="35"/>
      <c r="IH354" s="35"/>
      <c r="II354" s="35"/>
      <c r="IJ354" s="35"/>
      <c r="IK354" s="35"/>
      <c r="IL354" s="35"/>
      <c r="IM354" s="35"/>
      <c r="IN354" s="35"/>
      <c r="IO354" s="35"/>
      <c r="IP354" s="35"/>
      <c r="IQ354" s="35"/>
      <c r="IR354" s="35"/>
      <c r="IS354" s="35"/>
      <c r="IT354" s="35"/>
      <c r="IU354" s="35"/>
      <c r="IV354" s="35"/>
      <c r="IW354" s="35"/>
      <c r="IX354" s="35"/>
      <c r="IY354" s="35"/>
      <c r="IZ354" s="35"/>
      <c r="JA354" s="35"/>
      <c r="JB354" s="35"/>
      <c r="JC354" s="35"/>
      <c r="JD354" s="35"/>
      <c r="JE354" s="35"/>
      <c r="JF354" s="35"/>
      <c r="JG354" s="35"/>
      <c r="JH354" s="35"/>
      <c r="JI354" s="35"/>
      <c r="JJ354" s="35"/>
      <c r="JK354" s="35"/>
      <c r="JL354" s="35"/>
      <c r="JM354" s="35"/>
      <c r="JN354" s="35"/>
      <c r="JO354" s="35"/>
      <c r="JP354" s="35"/>
      <c r="JQ354" s="35"/>
      <c r="JR354" s="35"/>
      <c r="JS354" s="35"/>
      <c r="JT354" s="35"/>
      <c r="JU354" s="35"/>
      <c r="JV354" s="35"/>
      <c r="JW354" s="35"/>
      <c r="JX354" s="35"/>
      <c r="JY354" s="35"/>
      <c r="JZ354" s="35"/>
      <c r="KA354" s="35"/>
      <c r="KB354" s="35"/>
      <c r="KC354" s="35"/>
      <c r="KD354" s="35"/>
      <c r="KE354" s="35"/>
      <c r="KF354" s="35"/>
      <c r="KG354" s="35"/>
      <c r="KH354" s="35"/>
      <c r="KI354" s="35"/>
      <c r="KJ354" s="35"/>
      <c r="KK354" s="35"/>
      <c r="KL354" s="35"/>
      <c r="KM354" s="35"/>
      <c r="KN354" s="35"/>
      <c r="KO354" s="35"/>
      <c r="KP354" s="1633"/>
    </row>
    <row r="355" spans="1:302" s="92" customFormat="1" ht="25.25" customHeight="1" outlineLevel="1">
      <c r="A355" s="1676" t="s">
        <v>259</v>
      </c>
      <c r="B355" s="1993"/>
      <c r="C355" s="1359" t="s">
        <v>1287</v>
      </c>
      <c r="D355" s="1359" t="s">
        <v>296</v>
      </c>
      <c r="E355" s="1389"/>
      <c r="F355" s="506"/>
      <c r="G355" s="1402"/>
      <c r="H355" s="1391"/>
      <c r="I355" s="2573">
        <v>0</v>
      </c>
      <c r="J355" s="1672"/>
      <c r="K355" s="1697"/>
      <c r="L355" s="1697"/>
      <c r="M355" s="1698"/>
      <c r="N355" s="1697"/>
      <c r="O355" s="1397">
        <f t="shared" si="469"/>
        <v>0</v>
      </c>
      <c r="P355" s="1671"/>
      <c r="Q355" s="1671"/>
      <c r="R355" s="1671"/>
      <c r="S355" s="1672"/>
      <c r="T355" s="1699"/>
      <c r="U355" s="1700"/>
      <c r="V355" s="1700"/>
      <c r="W355" s="1672">
        <f t="shared" si="470"/>
        <v>0</v>
      </c>
      <c r="X355" s="1672"/>
      <c r="Y355" s="1699"/>
      <c r="Z355" s="1700"/>
      <c r="AA355" s="1699"/>
      <c r="AB355" s="1397">
        <f t="shared" si="471"/>
        <v>66880</v>
      </c>
      <c r="AC355" s="1444" t="s">
        <v>1264</v>
      </c>
      <c r="AD355" s="1678"/>
      <c r="AE355" s="510" t="s">
        <v>564</v>
      </c>
      <c r="AF355" s="497">
        <v>66880</v>
      </c>
      <c r="AG355" s="1403">
        <v>1</v>
      </c>
      <c r="AH355" s="1397">
        <f t="shared" si="351"/>
        <v>66880</v>
      </c>
      <c r="AI355" s="355">
        <f t="shared" ref="AI355" si="477">SUMIF($AM$10:$BZ$10,$AI$9,AM355:BZ355)</f>
        <v>0</v>
      </c>
      <c r="AJ355" s="351">
        <f t="shared" ref="AJ355" si="478">IF($AB355&lt;&gt;0,AI355/$AB355,"")</f>
        <v>0</v>
      </c>
      <c r="AK355" s="351"/>
      <c r="AL355" s="1398"/>
      <c r="AM355" s="2273"/>
      <c r="AN355" s="2273"/>
      <c r="AO355" s="497"/>
      <c r="AP355" s="2823">
        <v>7418.16</v>
      </c>
      <c r="AQ355" s="497">
        <v>2090</v>
      </c>
      <c r="AR355" s="497">
        <v>2090</v>
      </c>
      <c r="AS355" s="497">
        <f>2090+2090</f>
        <v>4180</v>
      </c>
      <c r="AT355" s="2015">
        <v>2090</v>
      </c>
      <c r="AU355" s="2273">
        <v>2090</v>
      </c>
      <c r="AV355" s="497">
        <v>2090</v>
      </c>
      <c r="AW355" s="497">
        <v>2090</v>
      </c>
      <c r="AX355" s="497">
        <v>2090</v>
      </c>
      <c r="AY355" s="2015">
        <v>2090</v>
      </c>
      <c r="AZ355" s="2258">
        <v>2090</v>
      </c>
      <c r="BA355" s="359">
        <v>2090</v>
      </c>
      <c r="BB355" s="359">
        <v>2090</v>
      </c>
      <c r="BC355" s="359">
        <v>2090</v>
      </c>
      <c r="BD355" s="359">
        <v>2090</v>
      </c>
      <c r="BE355" s="359">
        <v>2090</v>
      </c>
      <c r="BF355" s="359">
        <v>2090</v>
      </c>
      <c r="BG355" s="359">
        <v>2090</v>
      </c>
      <c r="BH355" s="359">
        <v>2090</v>
      </c>
      <c r="BI355" s="359">
        <v>2090</v>
      </c>
      <c r="BJ355" s="359">
        <v>2090</v>
      </c>
      <c r="BK355" s="2137">
        <v>2090</v>
      </c>
      <c r="BL355" s="2011">
        <v>2090</v>
      </c>
      <c r="BM355" s="2011">
        <v>2090</v>
      </c>
      <c r="BN355" s="2011">
        <v>2090</v>
      </c>
      <c r="BO355" s="2011">
        <v>2090</v>
      </c>
      <c r="BP355" s="2011">
        <v>2090</v>
      </c>
      <c r="BQ355" s="497">
        <v>2090</v>
      </c>
      <c r="BR355" s="497">
        <v>941.84</v>
      </c>
      <c r="BS355" s="497"/>
      <c r="BT355" s="497"/>
      <c r="BU355" s="497"/>
      <c r="BV355" s="497"/>
      <c r="BW355" s="2060"/>
      <c r="BX355" s="2417"/>
      <c r="BY355" s="2549"/>
      <c r="BZ355" s="2549"/>
      <c r="CA355" s="2435">
        <f t="shared" si="360"/>
        <v>66880</v>
      </c>
      <c r="CB355" s="2380">
        <f t="shared" si="361"/>
        <v>1</v>
      </c>
      <c r="CC355" s="365">
        <f t="shared" si="362"/>
        <v>1.4952153110047847E-5</v>
      </c>
      <c r="CD355" s="1380" t="str">
        <f t="shared" si="363"/>
        <v>0,00%</v>
      </c>
      <c r="CE355" s="1381">
        <f t="shared" si="364"/>
        <v>-66880</v>
      </c>
      <c r="CF355" s="1381"/>
      <c r="CG355" s="501"/>
      <c r="CH355" s="502"/>
      <c r="CI355" s="503"/>
      <c r="CJ355" s="504"/>
      <c r="CK355" s="505"/>
      <c r="CL355" s="329">
        <f t="shared" si="450"/>
        <v>-66880</v>
      </c>
      <c r="CM355" s="330">
        <f t="shared" si="451"/>
        <v>0</v>
      </c>
      <c r="CN355" s="331">
        <f t="shared" si="369"/>
        <v>-38561.839999999997</v>
      </c>
      <c r="CO355" s="86"/>
      <c r="CP355" s="86">
        <f t="shared" si="422"/>
        <v>0</v>
      </c>
      <c r="CQ355" s="86"/>
      <c r="CR355" s="86"/>
      <c r="CS355" s="86"/>
      <c r="CT355" s="86"/>
      <c r="CU355" s="86"/>
      <c r="CV355" s="86"/>
      <c r="CW355" s="86"/>
      <c r="CX355" s="86"/>
      <c r="CY355" s="86"/>
      <c r="CZ355" s="86"/>
      <c r="DA355" s="86"/>
      <c r="DB355" s="32"/>
      <c r="DC355" s="32"/>
      <c r="DD355" s="35"/>
      <c r="DE355" s="35"/>
      <c r="DF355" s="35"/>
      <c r="DG355" s="1642"/>
      <c r="DH355" s="1642"/>
      <c r="DI355" s="1642"/>
      <c r="DJ355" s="1642"/>
      <c r="DK355" s="1642"/>
      <c r="DL355" s="1642"/>
      <c r="DM355" s="1642"/>
      <c r="DN355" s="1642"/>
      <c r="DO355" s="1642"/>
      <c r="DP355" s="1642"/>
      <c r="DQ355" s="1642"/>
      <c r="DR355" s="1642"/>
      <c r="DS355" s="1642"/>
      <c r="DT355" s="1642"/>
      <c r="DU355" s="1642"/>
      <c r="DV355" s="1642"/>
      <c r="DW355" s="1642"/>
      <c r="DX355" s="1642"/>
      <c r="DY355" s="1642"/>
      <c r="DZ355" s="1642"/>
      <c r="EA355" s="1642"/>
      <c r="EB355" s="1642"/>
      <c r="EC355" s="1642"/>
      <c r="ED355" s="1642"/>
      <c r="EE355" s="1642"/>
      <c r="EF355" s="1642"/>
      <c r="EG355" s="1642"/>
      <c r="EH355" s="35"/>
      <c r="EI355" s="1658"/>
      <c r="EJ355" s="35"/>
      <c r="EK355" s="35"/>
      <c r="EL355" s="35"/>
      <c r="EM355" s="35"/>
      <c r="EN355" s="35"/>
      <c r="EO355" s="35"/>
      <c r="EP355" s="35"/>
      <c r="EQ355" s="35"/>
      <c r="ER355" s="35"/>
      <c r="ES355" s="35"/>
      <c r="ET355" s="35"/>
      <c r="EU355" s="35"/>
      <c r="EV355" s="35"/>
      <c r="EW355" s="35"/>
      <c r="EX355" s="35"/>
      <c r="EY355" s="35"/>
      <c r="EZ355" s="35"/>
      <c r="FA355" s="35"/>
      <c r="FB355" s="35"/>
      <c r="FC355" s="35"/>
      <c r="FD355" s="35"/>
      <c r="FE355" s="35"/>
      <c r="FF355" s="35"/>
      <c r="FG355" s="35"/>
      <c r="FH355" s="35"/>
      <c r="FI355" s="35"/>
      <c r="FJ355" s="35"/>
      <c r="FK355" s="35"/>
      <c r="FL355" s="35"/>
      <c r="FM355" s="35"/>
      <c r="FN355" s="35"/>
      <c r="FO355" s="35"/>
      <c r="FP355" s="35"/>
      <c r="FQ355" s="35"/>
      <c r="FR355" s="35"/>
      <c r="FS355" s="35"/>
      <c r="FT355" s="35"/>
      <c r="FU355" s="35"/>
      <c r="FV355" s="35"/>
      <c r="FW355" s="35"/>
      <c r="FX355" s="35"/>
      <c r="FY355" s="35"/>
      <c r="FZ355" s="35"/>
      <c r="GA355" s="35"/>
      <c r="GB355" s="35"/>
      <c r="GC355" s="35"/>
      <c r="GD355" s="35"/>
      <c r="GE355" s="35"/>
      <c r="GF355" s="35"/>
      <c r="GG355" s="35"/>
      <c r="GH355" s="35"/>
      <c r="GI355" s="35"/>
      <c r="GJ355" s="35"/>
      <c r="GK355" s="35"/>
      <c r="GL355" s="35"/>
      <c r="GM355" s="35"/>
      <c r="GN355" s="35"/>
      <c r="GO355" s="35"/>
      <c r="GP355" s="35"/>
      <c r="GQ355" s="35"/>
      <c r="GR355" s="35"/>
      <c r="GS355" s="35"/>
      <c r="GT355" s="35"/>
      <c r="GU355" s="35"/>
      <c r="GV355" s="35"/>
      <c r="GW355" s="35"/>
      <c r="GX355" s="35"/>
      <c r="GY355" s="35"/>
      <c r="GZ355" s="35"/>
      <c r="HA355" s="35"/>
      <c r="HB355" s="35"/>
      <c r="HC355" s="35"/>
      <c r="HD355" s="35"/>
      <c r="HE355" s="35"/>
      <c r="HF355" s="35"/>
      <c r="HG355" s="35"/>
      <c r="HH355" s="35"/>
      <c r="HI355" s="35"/>
      <c r="HJ355" s="35"/>
      <c r="HK355" s="35"/>
      <c r="HL355" s="35"/>
      <c r="HM355" s="35"/>
      <c r="HN355" s="35"/>
      <c r="HO355" s="35"/>
      <c r="HP355" s="35"/>
      <c r="HQ355" s="35"/>
      <c r="HR355" s="35"/>
      <c r="HS355" s="35"/>
      <c r="HT355" s="35"/>
      <c r="HU355" s="35"/>
      <c r="HV355" s="35"/>
      <c r="HW355" s="35"/>
      <c r="HX355" s="35"/>
      <c r="HY355" s="35"/>
      <c r="HZ355" s="35"/>
      <c r="IA355" s="35"/>
      <c r="IB355" s="35"/>
      <c r="IC355" s="35"/>
      <c r="ID355" s="35"/>
      <c r="IE355" s="35"/>
      <c r="IF355" s="35"/>
      <c r="IG355" s="35"/>
      <c r="IH355" s="35"/>
      <c r="II355" s="35"/>
      <c r="IJ355" s="35"/>
      <c r="IK355" s="35"/>
      <c r="IL355" s="35"/>
      <c r="IM355" s="35"/>
      <c r="IN355" s="35"/>
      <c r="IO355" s="35"/>
      <c r="IP355" s="35"/>
      <c r="IQ355" s="35"/>
      <c r="IR355" s="35"/>
      <c r="IS355" s="35"/>
      <c r="IT355" s="35"/>
      <c r="IU355" s="35"/>
      <c r="IV355" s="35"/>
      <c r="IW355" s="35"/>
      <c r="IX355" s="35"/>
      <c r="IY355" s="35"/>
      <c r="IZ355" s="35"/>
      <c r="JA355" s="35"/>
      <c r="JB355" s="35"/>
      <c r="JC355" s="35"/>
      <c r="JD355" s="35"/>
      <c r="JE355" s="35"/>
      <c r="JF355" s="35"/>
      <c r="JG355" s="35"/>
      <c r="JH355" s="35"/>
      <c r="JI355" s="35"/>
      <c r="JJ355" s="35"/>
      <c r="JK355" s="35"/>
      <c r="JL355" s="35"/>
      <c r="JM355" s="35"/>
      <c r="JN355" s="35"/>
      <c r="JO355" s="35"/>
      <c r="JP355" s="35"/>
      <c r="JQ355" s="35"/>
      <c r="JR355" s="35"/>
      <c r="JS355" s="35"/>
      <c r="JT355" s="35"/>
      <c r="JU355" s="35"/>
      <c r="JV355" s="35"/>
      <c r="JW355" s="35"/>
      <c r="JX355" s="35"/>
      <c r="JY355" s="35"/>
      <c r="JZ355" s="35"/>
      <c r="KA355" s="35"/>
      <c r="KB355" s="35"/>
      <c r="KC355" s="35"/>
      <c r="KD355" s="35"/>
      <c r="KE355" s="35"/>
      <c r="KF355" s="35"/>
      <c r="KG355" s="35"/>
      <c r="KH355" s="35"/>
      <c r="KI355" s="35"/>
      <c r="KJ355" s="35"/>
      <c r="KK355" s="35"/>
      <c r="KL355" s="35"/>
      <c r="KM355" s="35"/>
      <c r="KN355" s="35"/>
      <c r="KO355" s="35"/>
      <c r="KP355" s="1633"/>
    </row>
    <row r="356" spans="1:302" s="92" customFormat="1" ht="25.25" customHeight="1" outlineLevel="1">
      <c r="A356" s="1676" t="s">
        <v>134</v>
      </c>
      <c r="B356" s="1993" t="s">
        <v>1171</v>
      </c>
      <c r="C356" s="1673" t="s">
        <v>103</v>
      </c>
      <c r="D356" s="1359" t="s">
        <v>297</v>
      </c>
      <c r="E356" s="1389"/>
      <c r="F356" s="506"/>
      <c r="G356" s="1402"/>
      <c r="H356" s="1391"/>
      <c r="I356" s="2573">
        <v>108800</v>
      </c>
      <c r="J356" s="1672"/>
      <c r="K356" s="1697"/>
      <c r="L356" s="1697"/>
      <c r="M356" s="1698">
        <v>3400</v>
      </c>
      <c r="N356" s="1697">
        <v>32</v>
      </c>
      <c r="O356" s="1397">
        <f t="shared" si="469"/>
        <v>108800</v>
      </c>
      <c r="P356" s="1671"/>
      <c r="Q356" s="1671"/>
      <c r="R356" s="1671"/>
      <c r="S356" s="1672"/>
      <c r="T356" s="1699"/>
      <c r="U356" s="1700"/>
      <c r="V356" s="1700"/>
      <c r="W356" s="1672">
        <f t="shared" si="470"/>
        <v>108800</v>
      </c>
      <c r="X356" s="1672"/>
      <c r="Y356" s="1699"/>
      <c r="Z356" s="1700"/>
      <c r="AA356" s="1699"/>
      <c r="AB356" s="1672">
        <f t="shared" si="471"/>
        <v>108800</v>
      </c>
      <c r="AC356" s="1444"/>
      <c r="AD356" s="1467"/>
      <c r="AE356" s="510"/>
      <c r="AF356" s="497"/>
      <c r="AG356" s="1403">
        <v>1</v>
      </c>
      <c r="AH356" s="1397">
        <f t="shared" si="351"/>
        <v>0</v>
      </c>
      <c r="AI356" s="355">
        <f t="shared" si="435"/>
        <v>0</v>
      </c>
      <c r="AJ356" s="351">
        <f t="shared" si="467"/>
        <v>0</v>
      </c>
      <c r="AK356" s="351"/>
      <c r="AL356" s="1398"/>
      <c r="AM356" s="2273"/>
      <c r="AN356" s="2273"/>
      <c r="AO356" s="497"/>
      <c r="AP356" s="497"/>
      <c r="AQ356" s="497"/>
      <c r="AR356" s="497"/>
      <c r="AS356" s="497"/>
      <c r="AT356" s="2015"/>
      <c r="AU356" s="497">
        <f>3400+1000</f>
        <v>4400</v>
      </c>
      <c r="AV356" s="497">
        <f>3400+1000</f>
        <v>4400</v>
      </c>
      <c r="AW356" s="497">
        <f>3400+1000</f>
        <v>4400</v>
      </c>
      <c r="AX356" s="497">
        <f>3400+1080</f>
        <v>4480</v>
      </c>
      <c r="AY356" s="2060">
        <v>3400</v>
      </c>
      <c r="AZ356" s="2273">
        <f>3400+1632</f>
        <v>5032</v>
      </c>
      <c r="BA356" s="497">
        <v>5032</v>
      </c>
      <c r="BB356" s="497">
        <v>5032</v>
      </c>
      <c r="BC356" s="497">
        <v>5032</v>
      </c>
      <c r="BD356" s="497">
        <v>5032</v>
      </c>
      <c r="BE356" s="497">
        <v>5032</v>
      </c>
      <c r="BF356" s="497">
        <v>5032</v>
      </c>
      <c r="BG356" s="497">
        <v>5032</v>
      </c>
      <c r="BH356" s="497">
        <v>5032</v>
      </c>
      <c r="BI356" s="497">
        <v>5032</v>
      </c>
      <c r="BJ356" s="497">
        <v>5032</v>
      </c>
      <c r="BK356" s="2137">
        <v>1768</v>
      </c>
      <c r="BL356" s="2011">
        <v>3400</v>
      </c>
      <c r="BM356" s="2011">
        <v>3400</v>
      </c>
      <c r="BN356" s="2011">
        <v>3400</v>
      </c>
      <c r="BO356" s="2011">
        <v>3400</v>
      </c>
      <c r="BP356" s="2011">
        <v>3400</v>
      </c>
      <c r="BQ356" s="497">
        <v>3400</v>
      </c>
      <c r="BR356" s="497">
        <v>3400</v>
      </c>
      <c r="BS356" s="497">
        <v>3400</v>
      </c>
      <c r="BT356" s="497">
        <v>3400</v>
      </c>
      <c r="BU356" s="497"/>
      <c r="BV356" s="497"/>
      <c r="BW356" s="2060"/>
      <c r="BX356" s="2417"/>
      <c r="BY356" s="2549"/>
      <c r="BZ356" s="2549"/>
      <c r="CA356" s="2435">
        <f t="shared" si="360"/>
        <v>108800</v>
      </c>
      <c r="CB356" s="2380">
        <f t="shared" si="361"/>
        <v>1</v>
      </c>
      <c r="CC356" s="365">
        <f t="shared" si="362"/>
        <v>9.1911764705882345E-6</v>
      </c>
      <c r="CD356" s="1380">
        <f t="shared" si="363"/>
        <v>0</v>
      </c>
      <c r="CE356" s="1381">
        <f t="shared" si="364"/>
        <v>0</v>
      </c>
      <c r="CF356" s="1381"/>
      <c r="CG356" s="501"/>
      <c r="CH356" s="502"/>
      <c r="CI356" s="503"/>
      <c r="CJ356" s="504"/>
      <c r="CK356" s="505"/>
      <c r="CL356" s="329">
        <f t="shared" si="450"/>
        <v>0</v>
      </c>
      <c r="CM356" s="330">
        <f t="shared" si="451"/>
        <v>0</v>
      </c>
      <c r="CN356" s="331">
        <f t="shared" si="369"/>
        <v>-87720</v>
      </c>
      <c r="CO356" s="86"/>
      <c r="CP356" s="86">
        <f t="shared" si="422"/>
        <v>0</v>
      </c>
      <c r="CQ356" s="86"/>
      <c r="CR356" s="86"/>
      <c r="CS356" s="86"/>
      <c r="CT356" s="86"/>
      <c r="CU356" s="86"/>
      <c r="CV356" s="86"/>
      <c r="CW356" s="86"/>
      <c r="CX356" s="86"/>
      <c r="CY356" s="86"/>
      <c r="CZ356" s="86"/>
      <c r="DA356" s="86"/>
      <c r="DB356" s="32"/>
      <c r="DC356" s="32"/>
      <c r="DD356" s="35"/>
      <c r="DE356" s="35"/>
      <c r="DF356" s="35"/>
      <c r="DG356" s="1642"/>
      <c r="DH356" s="1642"/>
      <c r="DI356" s="1642"/>
      <c r="DJ356" s="1642"/>
      <c r="DK356" s="1642"/>
      <c r="DL356" s="1642"/>
      <c r="DM356" s="1642"/>
      <c r="DN356" s="1642"/>
      <c r="DO356" s="1642"/>
      <c r="DP356" s="1642"/>
      <c r="DQ356" s="1642"/>
      <c r="DR356" s="1642"/>
      <c r="DS356" s="1642"/>
      <c r="DT356" s="1642"/>
      <c r="DU356" s="1642"/>
      <c r="DV356" s="1642"/>
      <c r="DW356" s="1642"/>
      <c r="DX356" s="1642"/>
      <c r="DY356" s="1642"/>
      <c r="DZ356" s="1642"/>
      <c r="EA356" s="1642"/>
      <c r="EB356" s="1642"/>
      <c r="EC356" s="1642"/>
      <c r="ED356" s="1642"/>
      <c r="EE356" s="1642"/>
      <c r="EF356" s="1642"/>
      <c r="EG356" s="1642"/>
      <c r="EH356" s="35"/>
      <c r="EI356" s="1658"/>
      <c r="EJ356" s="35"/>
      <c r="EK356" s="35"/>
      <c r="EL356" s="35"/>
      <c r="EM356" s="35"/>
      <c r="EN356" s="35"/>
      <c r="EO356" s="35"/>
      <c r="EP356" s="35"/>
      <c r="EQ356" s="35"/>
      <c r="ER356" s="35"/>
      <c r="ES356" s="35"/>
      <c r="ET356" s="35"/>
      <c r="EU356" s="35"/>
      <c r="EV356" s="35"/>
      <c r="EW356" s="35"/>
      <c r="EX356" s="35"/>
      <c r="EY356" s="35"/>
      <c r="EZ356" s="35"/>
      <c r="FA356" s="35"/>
      <c r="FB356" s="35"/>
      <c r="FC356" s="35"/>
      <c r="FD356" s="35"/>
      <c r="FE356" s="35"/>
      <c r="FF356" s="35"/>
      <c r="FG356" s="35"/>
      <c r="FH356" s="35"/>
      <c r="FI356" s="35"/>
      <c r="FJ356" s="35"/>
      <c r="FK356" s="35"/>
      <c r="FL356" s="35"/>
      <c r="FM356" s="35"/>
      <c r="FN356" s="35"/>
      <c r="FO356" s="35"/>
      <c r="FP356" s="35"/>
      <c r="FQ356" s="35"/>
      <c r="FR356" s="35"/>
      <c r="FS356" s="35"/>
      <c r="FT356" s="35"/>
      <c r="FU356" s="35"/>
      <c r="FV356" s="35"/>
      <c r="FW356" s="35"/>
      <c r="FX356" s="35"/>
      <c r="FY356" s="35"/>
      <c r="FZ356" s="35"/>
      <c r="GA356" s="35"/>
      <c r="GB356" s="35"/>
      <c r="GC356" s="35"/>
      <c r="GD356" s="35"/>
      <c r="GE356" s="35"/>
      <c r="GF356" s="35"/>
      <c r="GG356" s="35"/>
      <c r="GH356" s="35"/>
      <c r="GI356" s="35"/>
      <c r="GJ356" s="35"/>
      <c r="GK356" s="35"/>
      <c r="GL356" s="35"/>
      <c r="GM356" s="35"/>
      <c r="GN356" s="35"/>
      <c r="GO356" s="35"/>
      <c r="GP356" s="35"/>
      <c r="GQ356" s="35"/>
      <c r="GR356" s="35"/>
      <c r="GS356" s="35"/>
      <c r="GT356" s="35"/>
      <c r="GU356" s="35"/>
      <c r="GV356" s="35"/>
      <c r="GW356" s="35"/>
      <c r="GX356" s="35"/>
      <c r="GY356" s="35"/>
      <c r="GZ356" s="35"/>
      <c r="HA356" s="35"/>
      <c r="HB356" s="35"/>
      <c r="HC356" s="35"/>
      <c r="HD356" s="35"/>
      <c r="HE356" s="35"/>
      <c r="HF356" s="35"/>
      <c r="HG356" s="35"/>
      <c r="HH356" s="35"/>
      <c r="HI356" s="35"/>
      <c r="HJ356" s="35"/>
      <c r="HK356" s="35"/>
      <c r="HL356" s="35"/>
      <c r="HM356" s="35"/>
      <c r="HN356" s="35"/>
      <c r="HO356" s="35"/>
      <c r="HP356" s="35"/>
      <c r="HQ356" s="35"/>
      <c r="HR356" s="35"/>
      <c r="HS356" s="35"/>
      <c r="HT356" s="35"/>
      <c r="HU356" s="35"/>
      <c r="HV356" s="35"/>
      <c r="HW356" s="35"/>
      <c r="HX356" s="35"/>
      <c r="HY356" s="35"/>
      <c r="HZ356" s="35"/>
      <c r="IA356" s="35"/>
      <c r="IB356" s="35"/>
      <c r="IC356" s="35"/>
      <c r="ID356" s="35"/>
      <c r="IE356" s="35"/>
      <c r="IF356" s="35"/>
      <c r="IG356" s="35"/>
      <c r="IH356" s="35"/>
      <c r="II356" s="35"/>
      <c r="IJ356" s="35"/>
      <c r="IK356" s="35"/>
      <c r="IL356" s="35"/>
      <c r="IM356" s="35"/>
      <c r="IN356" s="35"/>
      <c r="IO356" s="35"/>
      <c r="IP356" s="35"/>
      <c r="IQ356" s="35"/>
      <c r="IR356" s="35"/>
      <c r="IS356" s="35"/>
      <c r="IT356" s="35"/>
      <c r="IU356" s="35"/>
      <c r="IV356" s="35"/>
      <c r="IW356" s="35"/>
      <c r="IX356" s="35"/>
      <c r="IY356" s="35"/>
      <c r="IZ356" s="35"/>
      <c r="JA356" s="35"/>
      <c r="JB356" s="35"/>
      <c r="JC356" s="35"/>
      <c r="JD356" s="35"/>
      <c r="JE356" s="35"/>
      <c r="JF356" s="35"/>
      <c r="JG356" s="35"/>
      <c r="JH356" s="35"/>
      <c r="JI356" s="35"/>
      <c r="JJ356" s="35"/>
      <c r="JK356" s="35"/>
      <c r="JL356" s="35"/>
      <c r="JM356" s="35"/>
      <c r="JN356" s="35"/>
      <c r="JO356" s="35"/>
      <c r="JP356" s="35"/>
      <c r="JQ356" s="35"/>
      <c r="JR356" s="35"/>
      <c r="JS356" s="35"/>
      <c r="JT356" s="35"/>
      <c r="JU356" s="35"/>
      <c r="JV356" s="35"/>
      <c r="JW356" s="35"/>
      <c r="JX356" s="35"/>
      <c r="JY356" s="35"/>
      <c r="JZ356" s="35"/>
      <c r="KA356" s="35"/>
      <c r="KB356" s="35"/>
      <c r="KC356" s="35"/>
      <c r="KD356" s="35"/>
      <c r="KE356" s="35"/>
      <c r="KF356" s="35"/>
      <c r="KG356" s="35"/>
      <c r="KH356" s="35"/>
      <c r="KI356" s="35"/>
      <c r="KJ356" s="35"/>
      <c r="KK356" s="35"/>
      <c r="KL356" s="35"/>
      <c r="KM356" s="35"/>
      <c r="KN356" s="35"/>
      <c r="KO356" s="35"/>
      <c r="KP356" s="1633"/>
    </row>
    <row r="357" spans="1:302" s="92" customFormat="1" ht="25.25" customHeight="1" outlineLevel="1">
      <c r="A357" s="1676" t="s">
        <v>136</v>
      </c>
      <c r="B357" s="1993" t="s">
        <v>1172</v>
      </c>
      <c r="C357" s="1359" t="s">
        <v>112</v>
      </c>
      <c r="D357" s="1359" t="s">
        <v>230</v>
      </c>
      <c r="E357" s="1389"/>
      <c r="F357" s="506"/>
      <c r="G357" s="1390"/>
      <c r="H357" s="1391"/>
      <c r="I357" s="2573">
        <v>326400</v>
      </c>
      <c r="J357" s="1672"/>
      <c r="K357" s="1697"/>
      <c r="L357" s="1697"/>
      <c r="M357" s="1698">
        <v>10200</v>
      </c>
      <c r="N357" s="1697">
        <v>32</v>
      </c>
      <c r="O357" s="1397">
        <f t="shared" si="469"/>
        <v>326400</v>
      </c>
      <c r="P357" s="1671"/>
      <c r="Q357" s="1671"/>
      <c r="R357" s="1671"/>
      <c r="S357" s="1672"/>
      <c r="T357" s="1699"/>
      <c r="U357" s="1700"/>
      <c r="V357" s="1700"/>
      <c r="W357" s="1672">
        <f t="shared" si="470"/>
        <v>326400</v>
      </c>
      <c r="X357" s="1672"/>
      <c r="Y357" s="1699"/>
      <c r="Z357" s="1700"/>
      <c r="AA357" s="1699"/>
      <c r="AB357" s="1672">
        <f t="shared" si="471"/>
        <v>35680</v>
      </c>
      <c r="AC357" s="1444"/>
      <c r="AD357" s="1467"/>
      <c r="AE357" s="510"/>
      <c r="AF357" s="497"/>
      <c r="AG357" s="1403">
        <v>1</v>
      </c>
      <c r="AH357" s="1397">
        <f t="shared" si="351"/>
        <v>0</v>
      </c>
      <c r="AI357" s="355">
        <f t="shared" si="435"/>
        <v>0</v>
      </c>
      <c r="AJ357" s="351">
        <f t="shared" si="467"/>
        <v>0</v>
      </c>
      <c r="AK357" s="351"/>
      <c r="AL357" s="1398"/>
      <c r="AM357" s="2273"/>
      <c r="AN357" s="2273"/>
      <c r="AO357" s="497"/>
      <c r="AP357" s="497"/>
      <c r="AQ357" s="497"/>
      <c r="AR357" s="497"/>
      <c r="AS357" s="1922"/>
      <c r="AT357" s="2015"/>
      <c r="AU357" s="497"/>
      <c r="AV357" s="497"/>
      <c r="AW357" s="497"/>
      <c r="AX357" s="497"/>
      <c r="AY357" s="2060"/>
      <c r="AZ357" s="2273"/>
      <c r="BA357" s="497"/>
      <c r="BB357" s="497"/>
      <c r="BC357" s="497"/>
      <c r="BD357" s="497"/>
      <c r="BE357" s="497"/>
      <c r="BF357" s="497"/>
      <c r="BG357" s="497"/>
      <c r="BH357" s="497"/>
      <c r="BI357" s="497"/>
      <c r="BJ357" s="497"/>
      <c r="BK357" s="2137"/>
      <c r="BL357" s="2011"/>
      <c r="BM357" s="2011"/>
      <c r="BN357" s="2011"/>
      <c r="BO357" s="2011"/>
      <c r="BP357" s="2011"/>
      <c r="BQ357" s="497"/>
      <c r="BR357" s="497"/>
      <c r="BS357" s="497">
        <v>35680</v>
      </c>
      <c r="BT357" s="497"/>
      <c r="BU357" s="497"/>
      <c r="BV357" s="497"/>
      <c r="BW357" s="2060"/>
      <c r="BX357" s="2417"/>
      <c r="BY357" s="2549"/>
      <c r="BZ357" s="2549"/>
      <c r="CA357" s="2435">
        <f t="shared" si="360"/>
        <v>35680</v>
      </c>
      <c r="CB357" s="2380">
        <f t="shared" si="361"/>
        <v>1</v>
      </c>
      <c r="CC357" s="365">
        <f t="shared" si="362"/>
        <v>2.8026905829596413E-5</v>
      </c>
      <c r="CD357" s="1380">
        <f t="shared" si="363"/>
        <v>0.89068627450980398</v>
      </c>
      <c r="CE357" s="1381">
        <f t="shared" si="364"/>
        <v>290720</v>
      </c>
      <c r="CF357" s="1381"/>
      <c r="CG357" s="501"/>
      <c r="CH357" s="502"/>
      <c r="CI357" s="503"/>
      <c r="CJ357" s="504"/>
      <c r="CK357" s="505"/>
      <c r="CL357" s="329">
        <f t="shared" si="450"/>
        <v>290720</v>
      </c>
      <c r="CM357" s="330">
        <f t="shared" si="451"/>
        <v>0</v>
      </c>
      <c r="CN357" s="331">
        <f t="shared" si="369"/>
        <v>-35680</v>
      </c>
      <c r="CO357" s="86"/>
      <c r="CP357" s="86">
        <f t="shared" si="422"/>
        <v>0</v>
      </c>
      <c r="CQ357" s="86"/>
      <c r="CR357" s="86"/>
      <c r="CS357" s="86"/>
      <c r="CT357" s="86"/>
      <c r="CU357" s="86"/>
      <c r="CV357" s="86"/>
      <c r="CW357" s="86"/>
      <c r="CX357" s="86"/>
      <c r="CY357" s="86"/>
      <c r="CZ357" s="86"/>
      <c r="DA357" s="86"/>
      <c r="DB357" s="32" t="e">
        <f>#REF!-CA357-AI357</f>
        <v>#REF!</v>
      </c>
      <c r="DC357" s="32" t="e">
        <f>W357-#REF!</f>
        <v>#REF!</v>
      </c>
      <c r="DD357" s="1664" t="e">
        <f>SUM(#REF!)</f>
        <v>#REF!</v>
      </c>
      <c r="DE357" s="35"/>
      <c r="DF357" s="35"/>
      <c r="DG357" s="1642" t="e">
        <f>ROUND(#REF!,2)</f>
        <v>#REF!</v>
      </c>
      <c r="DH357" s="1642" t="e">
        <f>ROUND(#REF!,2)</f>
        <v>#REF!</v>
      </c>
      <c r="DI357" s="1642" t="e">
        <f>ROUND(#REF!,2)</f>
        <v>#REF!</v>
      </c>
      <c r="DJ357" s="1642" t="e">
        <f>ROUND(#REF!,2)</f>
        <v>#REF!</v>
      </c>
      <c r="DK357" s="1642" t="e">
        <f>ROUND(#REF!,2)</f>
        <v>#REF!</v>
      </c>
      <c r="DL357" s="1642" t="e">
        <f>ROUND(#REF!,2)</f>
        <v>#REF!</v>
      </c>
      <c r="DM357" s="1642" t="e">
        <f>ROUND(#REF!,2)</f>
        <v>#REF!</v>
      </c>
      <c r="DN357" s="1642" t="e">
        <f>ROUND(#REF!,2)</f>
        <v>#REF!</v>
      </c>
      <c r="DO357" s="1642" t="e">
        <f>ROUND(#REF!,2)</f>
        <v>#REF!</v>
      </c>
      <c r="DP357" s="1642">
        <f>ROUND(AN357,2)</f>
        <v>0</v>
      </c>
      <c r="DQ357" s="1642">
        <f>ROUND(AO357,2)</f>
        <v>0</v>
      </c>
      <c r="DR357" s="1642">
        <f>ROUND(AP357,2)</f>
        <v>0</v>
      </c>
      <c r="DS357" s="1642">
        <f>ROUND(AQ357,2)</f>
        <v>0</v>
      </c>
      <c r="DT357" s="1642">
        <f>ROUND(AR357,2)</f>
        <v>0</v>
      </c>
      <c r="DU357" s="1642">
        <f>ROUND(BL357,2)</f>
        <v>0</v>
      </c>
      <c r="DV357" s="1642">
        <f t="shared" ref="DV357:EA357" si="479">ROUND(AT357,2)</f>
        <v>0</v>
      </c>
      <c r="DW357" s="1642">
        <f t="shared" si="479"/>
        <v>0</v>
      </c>
      <c r="DX357" s="1642">
        <f t="shared" si="479"/>
        <v>0</v>
      </c>
      <c r="DY357" s="1642">
        <f t="shared" si="479"/>
        <v>0</v>
      </c>
      <c r="DZ357" s="1642">
        <f t="shared" si="479"/>
        <v>0</v>
      </c>
      <c r="EA357" s="1642">
        <f t="shared" si="479"/>
        <v>0</v>
      </c>
      <c r="EB357" s="1642" t="e">
        <f>ROUND(#REF!,2)</f>
        <v>#REF!</v>
      </c>
      <c r="EC357" s="1642" t="e">
        <f>ROUND(#REF!,2)</f>
        <v>#REF!</v>
      </c>
      <c r="ED357" s="1642" t="e">
        <f>ROUND(#REF!,2)</f>
        <v>#REF!</v>
      </c>
      <c r="EE357" s="1642" t="e">
        <f>ROUND(#REF!,2)</f>
        <v>#REF!</v>
      </c>
      <c r="EF357" s="1642" t="e">
        <f>ROUND(#REF!,2)</f>
        <v>#REF!</v>
      </c>
      <c r="EG357" s="1642" t="e">
        <f>ROUND(#REF!,2)</f>
        <v>#REF!</v>
      </c>
      <c r="EH357" s="35"/>
      <c r="EI357" s="1658"/>
      <c r="EJ357" s="35"/>
      <c r="EK357" s="35"/>
      <c r="EL357" s="35"/>
      <c r="EM357" s="35"/>
      <c r="EN357" s="35"/>
      <c r="EO357" s="35"/>
      <c r="EP357" s="35"/>
      <c r="EQ357" s="35"/>
      <c r="ER357" s="35"/>
      <c r="ES357" s="35"/>
      <c r="ET357" s="35"/>
      <c r="EU357" s="35"/>
      <c r="EV357" s="35"/>
      <c r="EW357" s="35"/>
      <c r="EX357" s="35"/>
      <c r="EY357" s="35"/>
      <c r="EZ357" s="35"/>
      <c r="FA357" s="35"/>
      <c r="FB357" s="35"/>
      <c r="FC357" s="35"/>
      <c r="FD357" s="35"/>
      <c r="FE357" s="35"/>
      <c r="FF357" s="35"/>
      <c r="FG357" s="35"/>
      <c r="FH357" s="35"/>
      <c r="FI357" s="35"/>
      <c r="FJ357" s="35"/>
      <c r="FK357" s="35"/>
      <c r="FL357" s="35"/>
      <c r="FM357" s="35"/>
      <c r="FN357" s="35"/>
      <c r="FO357" s="35"/>
      <c r="FP357" s="35"/>
      <c r="FQ357" s="35"/>
      <c r="FR357" s="35"/>
      <c r="FS357" s="35"/>
      <c r="FT357" s="35"/>
      <c r="FU357" s="35"/>
      <c r="FV357" s="35"/>
      <c r="FW357" s="35"/>
      <c r="FX357" s="35"/>
      <c r="FY357" s="35"/>
      <c r="FZ357" s="35"/>
      <c r="GA357" s="35"/>
      <c r="GB357" s="35"/>
      <c r="GC357" s="35"/>
      <c r="GD357" s="35"/>
      <c r="GE357" s="35"/>
      <c r="GF357" s="35"/>
      <c r="GG357" s="35"/>
      <c r="GH357" s="35"/>
      <c r="GI357" s="35"/>
      <c r="GJ357" s="35"/>
      <c r="GK357" s="35"/>
      <c r="GL357" s="35"/>
      <c r="GM357" s="35"/>
      <c r="GN357" s="35"/>
      <c r="GO357" s="35"/>
      <c r="GP357" s="35"/>
      <c r="GQ357" s="35"/>
      <c r="GR357" s="35"/>
      <c r="GS357" s="35"/>
      <c r="GT357" s="35"/>
      <c r="GU357" s="35"/>
      <c r="GV357" s="35"/>
      <c r="GW357" s="35"/>
      <c r="GX357" s="35"/>
      <c r="GY357" s="35"/>
      <c r="GZ357" s="35"/>
      <c r="HA357" s="35"/>
      <c r="HB357" s="35"/>
      <c r="HC357" s="35"/>
      <c r="HD357" s="35"/>
      <c r="HE357" s="35"/>
      <c r="HF357" s="35"/>
      <c r="HG357" s="35"/>
      <c r="HH357" s="35"/>
      <c r="HI357" s="35"/>
      <c r="HJ357" s="35"/>
      <c r="HK357" s="35"/>
      <c r="HL357" s="35"/>
      <c r="HM357" s="35"/>
      <c r="HN357" s="35"/>
      <c r="HO357" s="35"/>
      <c r="HP357" s="35"/>
      <c r="HQ357" s="35"/>
      <c r="HR357" s="35"/>
      <c r="HS357" s="35"/>
      <c r="HT357" s="35"/>
      <c r="HU357" s="35"/>
      <c r="HV357" s="35"/>
      <c r="HW357" s="35"/>
      <c r="HX357" s="35"/>
      <c r="HY357" s="35"/>
      <c r="HZ357" s="35"/>
      <c r="IA357" s="35"/>
      <c r="IB357" s="35"/>
      <c r="IC357" s="35"/>
      <c r="ID357" s="35"/>
      <c r="IE357" s="35"/>
      <c r="IF357" s="35"/>
      <c r="IG357" s="35"/>
      <c r="IH357" s="35"/>
      <c r="II357" s="35"/>
      <c r="IJ357" s="35"/>
      <c r="IK357" s="35"/>
      <c r="IL357" s="35"/>
      <c r="IM357" s="35"/>
      <c r="IN357" s="35"/>
      <c r="IO357" s="35"/>
      <c r="IP357" s="35"/>
      <c r="IQ357" s="35"/>
      <c r="IR357" s="35"/>
      <c r="IS357" s="35"/>
      <c r="IT357" s="35"/>
      <c r="IU357" s="35"/>
      <c r="IV357" s="35"/>
      <c r="IW357" s="35"/>
      <c r="IX357" s="35"/>
      <c r="IY357" s="35"/>
      <c r="IZ357" s="35"/>
      <c r="JA357" s="35"/>
      <c r="JB357" s="35"/>
      <c r="JC357" s="35"/>
      <c r="JD357" s="35"/>
      <c r="JE357" s="35"/>
      <c r="JF357" s="35"/>
      <c r="JG357" s="35"/>
      <c r="JH357" s="35"/>
      <c r="JI357" s="35"/>
      <c r="JJ357" s="35"/>
      <c r="JK357" s="35"/>
      <c r="JL357" s="35"/>
      <c r="JM357" s="35"/>
      <c r="JN357" s="35"/>
      <c r="JO357" s="35"/>
      <c r="JP357" s="35"/>
      <c r="JQ357" s="35"/>
      <c r="JR357" s="35"/>
      <c r="JS357" s="35"/>
      <c r="JT357" s="35"/>
      <c r="JU357" s="35"/>
      <c r="JV357" s="35"/>
      <c r="JW357" s="35"/>
      <c r="JX357" s="35"/>
      <c r="JY357" s="35"/>
      <c r="JZ357" s="35"/>
      <c r="KA357" s="35"/>
      <c r="KB357" s="35"/>
      <c r="KC357" s="35"/>
      <c r="KD357" s="35"/>
      <c r="KE357" s="35"/>
      <c r="KF357" s="35"/>
      <c r="KG357" s="35"/>
      <c r="KH357" s="35"/>
      <c r="KI357" s="35"/>
      <c r="KJ357" s="35"/>
      <c r="KK357" s="35"/>
      <c r="KL357" s="35"/>
      <c r="KM357" s="35"/>
      <c r="KN357" s="35"/>
      <c r="KO357" s="35"/>
      <c r="KP357" s="1633"/>
    </row>
    <row r="358" spans="1:302" s="92" customFormat="1" ht="25.25" customHeight="1" outlineLevel="1">
      <c r="A358" s="1676" t="s">
        <v>1371</v>
      </c>
      <c r="B358" s="1993"/>
      <c r="C358" s="1359" t="s">
        <v>1372</v>
      </c>
      <c r="D358" s="1359"/>
      <c r="E358" s="1389"/>
      <c r="F358" s="506"/>
      <c r="G358" s="1390"/>
      <c r="H358" s="1391"/>
      <c r="I358" s="2573">
        <v>0</v>
      </c>
      <c r="J358" s="1672"/>
      <c r="K358" s="1697"/>
      <c r="L358" s="1697"/>
      <c r="M358" s="1698"/>
      <c r="N358" s="1697"/>
      <c r="O358" s="1397">
        <f t="shared" si="469"/>
        <v>0</v>
      </c>
      <c r="P358" s="1671"/>
      <c r="Q358" s="1671"/>
      <c r="R358" s="1671"/>
      <c r="S358" s="1672"/>
      <c r="T358" s="1699"/>
      <c r="U358" s="1700"/>
      <c r="V358" s="1700"/>
      <c r="W358" s="1672">
        <f t="shared" si="470"/>
        <v>0</v>
      </c>
      <c r="X358" s="1672"/>
      <c r="Y358" s="1699"/>
      <c r="Z358" s="1700"/>
      <c r="AA358" s="1699"/>
      <c r="AB358" s="1672">
        <f t="shared" si="471"/>
        <v>290719.99999999953</v>
      </c>
      <c r="AC358" s="1444" t="s">
        <v>1373</v>
      </c>
      <c r="AD358" s="1467">
        <v>4502980901</v>
      </c>
      <c r="AE358" s="510" t="s">
        <v>1247</v>
      </c>
      <c r="AF358" s="497">
        <v>290720</v>
      </c>
      <c r="AG358" s="1403">
        <v>1</v>
      </c>
      <c r="AH358" s="1397">
        <f t="shared" ref="AH358" si="480">+AF358*AG358</f>
        <v>290720</v>
      </c>
      <c r="AI358" s="355">
        <f t="shared" ref="AI358" si="481">SUMIF($AM$10:$BZ$10,$AI$9,AM358:BZ358)</f>
        <v>0</v>
      </c>
      <c r="AJ358" s="351">
        <f t="shared" ref="AJ358" si="482">IF($AB358&lt;&gt;0,AI358/$AB358,"")</f>
        <v>0</v>
      </c>
      <c r="AK358" s="351"/>
      <c r="AL358" s="1398"/>
      <c r="AM358" s="2273"/>
      <c r="AN358" s="2273"/>
      <c r="AO358" s="497"/>
      <c r="AP358" s="2729">
        <f>AF358/28-5000</f>
        <v>5382.8571428571431</v>
      </c>
      <c r="AQ358" s="497">
        <f>10382.8571428571-5000</f>
        <v>5382.8571428570995</v>
      </c>
      <c r="AR358" s="497">
        <f>10382.8571428571-5000</f>
        <v>5382.8571428570995</v>
      </c>
      <c r="AS358" s="1922">
        <f>10382.8571428571-5000</f>
        <v>5382.8571428570995</v>
      </c>
      <c r="AT358" s="2015">
        <f>10382.8571428571-5000</f>
        <v>5382.8571428570995</v>
      </c>
      <c r="AU358" s="497">
        <v>10382.857142857143</v>
      </c>
      <c r="AV358" s="497">
        <v>10382.857142857143</v>
      </c>
      <c r="AW358" s="497">
        <v>10382.857142857143</v>
      </c>
      <c r="AX358" s="497">
        <v>10382.857142857143</v>
      </c>
      <c r="AY358" s="2060">
        <f>10382.8571428571+5000</f>
        <v>15382.857142857099</v>
      </c>
      <c r="AZ358" s="2273">
        <f>10382.8571428571+5000</f>
        <v>15382.857142857099</v>
      </c>
      <c r="BA358" s="497">
        <f>10382.8571428571+5000</f>
        <v>15382.857142857099</v>
      </c>
      <c r="BB358" s="497">
        <f>10382.8571428571+5000</f>
        <v>15382.857142857099</v>
      </c>
      <c r="BC358" s="497">
        <f>10382.8571428571+5000</f>
        <v>15382.857142857099</v>
      </c>
      <c r="BD358" s="497">
        <v>10382.857142857143</v>
      </c>
      <c r="BE358" s="497">
        <v>10382.857142857143</v>
      </c>
      <c r="BF358" s="497">
        <v>10382.857142857143</v>
      </c>
      <c r="BG358" s="497">
        <v>10382.857142857143</v>
      </c>
      <c r="BH358" s="497">
        <v>10382.857142857143</v>
      </c>
      <c r="BI358" s="497">
        <v>10382.857142857143</v>
      </c>
      <c r="BJ358" s="497">
        <v>10382.857142857143</v>
      </c>
      <c r="BK358" s="2137">
        <v>10382.857142857143</v>
      </c>
      <c r="BL358" s="2011">
        <v>10382.857142857143</v>
      </c>
      <c r="BM358" s="2011">
        <v>10382.857142857143</v>
      </c>
      <c r="BN358" s="2011">
        <v>10382.857142857143</v>
      </c>
      <c r="BO358" s="2011">
        <v>10382.857142857143</v>
      </c>
      <c r="BP358" s="2011">
        <v>10382.857142857143</v>
      </c>
      <c r="BQ358" s="497">
        <v>10382.857142857143</v>
      </c>
      <c r="BR358" s="497"/>
      <c r="BS358" s="497"/>
      <c r="BT358" s="497"/>
      <c r="BU358" s="497"/>
      <c r="BV358" s="497"/>
      <c r="BW358" s="2060"/>
      <c r="BX358" s="2417"/>
      <c r="BY358" s="2549"/>
      <c r="BZ358" s="2549"/>
      <c r="CA358" s="2435">
        <f t="shared" si="360"/>
        <v>290719.99999999953</v>
      </c>
      <c r="CB358" s="2380">
        <f t="shared" si="361"/>
        <v>1</v>
      </c>
      <c r="CC358" s="365">
        <f t="shared" si="362"/>
        <v>3.4397358282883929E-6</v>
      </c>
      <c r="CD358" s="1380" t="str">
        <f t="shared" si="363"/>
        <v>0,00%</v>
      </c>
      <c r="CE358" s="1381">
        <f t="shared" si="364"/>
        <v>-290719.99999999953</v>
      </c>
      <c r="CF358" s="1381"/>
      <c r="CG358" s="501"/>
      <c r="CH358" s="502"/>
      <c r="CI358" s="503"/>
      <c r="CJ358" s="504"/>
      <c r="CK358" s="505"/>
      <c r="CL358" s="329">
        <f t="shared" si="450"/>
        <v>-290719.99999999953</v>
      </c>
      <c r="CM358" s="330">
        <f t="shared" si="451"/>
        <v>0</v>
      </c>
      <c r="CN358" s="331"/>
      <c r="CO358" s="86"/>
      <c r="CP358" s="86">
        <f t="shared" si="422"/>
        <v>0</v>
      </c>
      <c r="CQ358" s="86"/>
      <c r="CR358" s="86"/>
      <c r="CS358" s="86"/>
      <c r="CT358" s="86"/>
      <c r="CU358" s="86"/>
      <c r="CV358" s="86"/>
      <c r="CW358" s="86"/>
      <c r="CX358" s="86"/>
      <c r="CY358" s="86"/>
      <c r="CZ358" s="86"/>
      <c r="DA358" s="86"/>
      <c r="DB358" s="32"/>
      <c r="DC358" s="32"/>
      <c r="DD358" s="1664"/>
      <c r="DE358" s="35"/>
      <c r="DF358" s="35"/>
      <c r="DG358" s="1642"/>
      <c r="DH358" s="1642"/>
      <c r="DI358" s="1642"/>
      <c r="DJ358" s="1642"/>
      <c r="DK358" s="1642"/>
      <c r="DL358" s="1642"/>
      <c r="DM358" s="1642"/>
      <c r="DN358" s="1642"/>
      <c r="DO358" s="1642"/>
      <c r="DP358" s="1642"/>
      <c r="DQ358" s="1642"/>
      <c r="DR358" s="1642"/>
      <c r="DS358" s="1642"/>
      <c r="DT358" s="1642"/>
      <c r="DU358" s="1642"/>
      <c r="DV358" s="1642"/>
      <c r="DW358" s="1642"/>
      <c r="DX358" s="1642"/>
      <c r="DY358" s="1642"/>
      <c r="DZ358" s="1642"/>
      <c r="EA358" s="1642"/>
      <c r="EB358" s="1642"/>
      <c r="EC358" s="1642"/>
      <c r="ED358" s="1642"/>
      <c r="EE358" s="1642"/>
      <c r="EF358" s="1642"/>
      <c r="EG358" s="1642"/>
      <c r="EH358" s="35"/>
      <c r="EI358" s="1658"/>
      <c r="EJ358" s="35"/>
      <c r="EK358" s="35"/>
      <c r="EL358" s="35"/>
      <c r="EM358" s="35"/>
      <c r="EN358" s="35"/>
      <c r="EO358" s="35"/>
      <c r="EP358" s="35"/>
      <c r="EQ358" s="35"/>
      <c r="ER358" s="35"/>
      <c r="ES358" s="35"/>
      <c r="ET358" s="35"/>
      <c r="EU358" s="35"/>
      <c r="EV358" s="35"/>
      <c r="EW358" s="35"/>
      <c r="EX358" s="35"/>
      <c r="EY358" s="35"/>
      <c r="EZ358" s="35"/>
      <c r="FA358" s="35"/>
      <c r="FB358" s="35"/>
      <c r="FC358" s="35"/>
      <c r="FD358" s="35"/>
      <c r="FE358" s="35"/>
      <c r="FF358" s="35"/>
      <c r="FG358" s="35"/>
      <c r="FH358" s="35"/>
      <c r="FI358" s="35"/>
      <c r="FJ358" s="35"/>
      <c r="FK358" s="35"/>
      <c r="FL358" s="35"/>
      <c r="FM358" s="35"/>
      <c r="FN358" s="35"/>
      <c r="FO358" s="35"/>
      <c r="FP358" s="35"/>
      <c r="FQ358" s="35"/>
      <c r="FR358" s="35"/>
      <c r="FS358" s="35"/>
      <c r="FT358" s="35"/>
      <c r="FU358" s="35"/>
      <c r="FV358" s="35"/>
      <c r="FW358" s="35"/>
      <c r="FX358" s="35"/>
      <c r="FY358" s="35"/>
      <c r="FZ358" s="35"/>
      <c r="GA358" s="35"/>
      <c r="GB358" s="35"/>
      <c r="GC358" s="35"/>
      <c r="GD358" s="35"/>
      <c r="GE358" s="35"/>
      <c r="GF358" s="35"/>
      <c r="GG358" s="35"/>
      <c r="GH358" s="35"/>
      <c r="GI358" s="35"/>
      <c r="GJ358" s="35"/>
      <c r="GK358" s="35"/>
      <c r="GL358" s="35"/>
      <c r="GM358" s="35"/>
      <c r="GN358" s="35"/>
      <c r="GO358" s="35"/>
      <c r="GP358" s="35"/>
      <c r="GQ358" s="35"/>
      <c r="GR358" s="35"/>
      <c r="GS358" s="35"/>
      <c r="GT358" s="35"/>
      <c r="GU358" s="35"/>
      <c r="GV358" s="35"/>
      <c r="GW358" s="35"/>
      <c r="GX358" s="35"/>
      <c r="GY358" s="35"/>
      <c r="GZ358" s="35"/>
      <c r="HA358" s="35"/>
      <c r="HB358" s="35"/>
      <c r="HC358" s="35"/>
      <c r="HD358" s="35"/>
      <c r="HE358" s="35"/>
      <c r="HF358" s="35"/>
      <c r="HG358" s="35"/>
      <c r="HH358" s="35"/>
      <c r="HI358" s="35"/>
      <c r="HJ358" s="35"/>
      <c r="HK358" s="35"/>
      <c r="HL358" s="35"/>
      <c r="HM358" s="35"/>
      <c r="HN358" s="35"/>
      <c r="HO358" s="35"/>
      <c r="HP358" s="35"/>
      <c r="HQ358" s="35"/>
      <c r="HR358" s="35"/>
      <c r="HS358" s="35"/>
      <c r="HT358" s="35"/>
      <c r="HU358" s="35"/>
      <c r="HV358" s="35"/>
      <c r="HW358" s="35"/>
      <c r="HX358" s="35"/>
      <c r="HY358" s="35"/>
      <c r="HZ358" s="35"/>
      <c r="IA358" s="35"/>
      <c r="IB358" s="35"/>
      <c r="IC358" s="35"/>
      <c r="ID358" s="35"/>
      <c r="IE358" s="35"/>
      <c r="IF358" s="35"/>
      <c r="IG358" s="35"/>
      <c r="IH358" s="35"/>
      <c r="II358" s="35"/>
      <c r="IJ358" s="35"/>
      <c r="IK358" s="35"/>
      <c r="IL358" s="35"/>
      <c r="IM358" s="35"/>
      <c r="IN358" s="35"/>
      <c r="IO358" s="35"/>
      <c r="IP358" s="35"/>
      <c r="IQ358" s="35"/>
      <c r="IR358" s="35"/>
      <c r="IS358" s="35"/>
      <c r="IT358" s="35"/>
      <c r="IU358" s="35"/>
      <c r="IV358" s="35"/>
      <c r="IW358" s="35"/>
      <c r="IX358" s="35"/>
      <c r="IY358" s="35"/>
      <c r="IZ358" s="35"/>
      <c r="JA358" s="35"/>
      <c r="JB358" s="35"/>
      <c r="JC358" s="35"/>
      <c r="JD358" s="35"/>
      <c r="JE358" s="35"/>
      <c r="JF358" s="35"/>
      <c r="JG358" s="35"/>
      <c r="JH358" s="35"/>
      <c r="JI358" s="35"/>
      <c r="JJ358" s="35"/>
      <c r="JK358" s="35"/>
      <c r="JL358" s="35"/>
      <c r="JM358" s="35"/>
      <c r="JN358" s="35"/>
      <c r="JO358" s="35"/>
      <c r="JP358" s="35"/>
      <c r="JQ358" s="35"/>
      <c r="JR358" s="35"/>
      <c r="JS358" s="35"/>
      <c r="JT358" s="35"/>
      <c r="JU358" s="35"/>
      <c r="JV358" s="35"/>
      <c r="JW358" s="35"/>
      <c r="JX358" s="35"/>
      <c r="JY358" s="35"/>
      <c r="JZ358" s="35"/>
      <c r="KA358" s="35"/>
      <c r="KB358" s="35"/>
      <c r="KC358" s="35"/>
      <c r="KD358" s="35"/>
      <c r="KE358" s="35"/>
      <c r="KF358" s="35"/>
      <c r="KG358" s="35"/>
      <c r="KH358" s="35"/>
      <c r="KI358" s="35"/>
      <c r="KJ358" s="35"/>
      <c r="KK358" s="35"/>
      <c r="KL358" s="35"/>
      <c r="KM358" s="35"/>
      <c r="KN358" s="35"/>
      <c r="KO358" s="35"/>
      <c r="KP358" s="1633"/>
    </row>
    <row r="359" spans="1:302" s="92" customFormat="1" ht="25.25" customHeight="1" outlineLevel="1">
      <c r="A359" s="1676" t="s">
        <v>137</v>
      </c>
      <c r="B359" s="1993" t="s">
        <v>1173</v>
      </c>
      <c r="C359" s="1359" t="s">
        <v>292</v>
      </c>
      <c r="D359" s="1670" t="s">
        <v>511</v>
      </c>
      <c r="E359" s="1389"/>
      <c r="F359" s="506"/>
      <c r="G359" s="1390"/>
      <c r="H359" s="1391"/>
      <c r="I359" s="2573">
        <v>585600</v>
      </c>
      <c r="J359" s="1672"/>
      <c r="K359" s="1697"/>
      <c r="L359" s="1697"/>
      <c r="M359" s="1701">
        <v>18300</v>
      </c>
      <c r="N359" s="1697">
        <v>32</v>
      </c>
      <c r="O359" s="1397">
        <f t="shared" si="469"/>
        <v>585600</v>
      </c>
      <c r="P359" s="1671"/>
      <c r="Q359" s="1671"/>
      <c r="R359" s="1671"/>
      <c r="S359" s="1672"/>
      <c r="T359" s="1699"/>
      <c r="U359" s="1700"/>
      <c r="V359" s="1700"/>
      <c r="W359" s="1672">
        <f t="shared" si="470"/>
        <v>585600</v>
      </c>
      <c r="X359" s="1672"/>
      <c r="Y359" s="1699"/>
      <c r="Z359" s="1700"/>
      <c r="AA359" s="1699"/>
      <c r="AB359" s="1672">
        <f t="shared" si="471"/>
        <v>21903.19</v>
      </c>
      <c r="AC359" s="1444"/>
      <c r="AD359" s="1467"/>
      <c r="AE359" s="510"/>
      <c r="AF359" s="497"/>
      <c r="AG359" s="1403">
        <v>1</v>
      </c>
      <c r="AH359" s="1397">
        <f t="shared" ref="AH359" si="483">+AF359*AG359</f>
        <v>0</v>
      </c>
      <c r="AI359" s="355">
        <f t="shared" si="435"/>
        <v>0</v>
      </c>
      <c r="AJ359" s="351">
        <f t="shared" si="467"/>
        <v>0</v>
      </c>
      <c r="AK359" s="351"/>
      <c r="AL359" s="1398"/>
      <c r="AM359" s="2273"/>
      <c r="AN359" s="2273"/>
      <c r="AO359" s="497"/>
      <c r="AP359" s="497"/>
      <c r="AQ359" s="497"/>
      <c r="AR359" s="497"/>
      <c r="AS359" s="497"/>
      <c r="AT359" s="2015"/>
      <c r="AU359" s="497"/>
      <c r="AV359" s="497"/>
      <c r="AW359" s="497"/>
      <c r="AX359" s="497"/>
      <c r="AY359" s="2060"/>
      <c r="AZ359" s="2258"/>
      <c r="BA359" s="359"/>
      <c r="BB359" s="497"/>
      <c r="BC359" s="497"/>
      <c r="BD359" s="497"/>
      <c r="BE359" s="497"/>
      <c r="BF359" s="497">
        <v>21903.19</v>
      </c>
      <c r="BG359" s="497"/>
      <c r="BH359" s="497"/>
      <c r="BI359" s="497"/>
      <c r="BJ359" s="497"/>
      <c r="BK359" s="2137"/>
      <c r="BL359" s="2011"/>
      <c r="BM359" s="2011"/>
      <c r="BN359" s="2011"/>
      <c r="BO359" s="2011"/>
      <c r="BP359" s="2011"/>
      <c r="BQ359" s="497"/>
      <c r="BR359" s="497"/>
      <c r="BS359" s="497"/>
      <c r="BT359" s="497"/>
      <c r="BU359" s="497"/>
      <c r="BV359" s="497"/>
      <c r="BW359" s="2060"/>
      <c r="BX359" s="2417"/>
      <c r="BY359" s="2549"/>
      <c r="BZ359" s="2549"/>
      <c r="CA359" s="2435">
        <f t="shared" ref="CA359:CA415" si="484">SUMIF($AM$10:$BZ$10,$CA$9,AM359:BZ359)</f>
        <v>21903.19</v>
      </c>
      <c r="CB359" s="2380">
        <f t="shared" ref="CB359:CB415" si="485">IF($AB359&lt;&gt;0,CA359/$AB359,"")</f>
        <v>1</v>
      </c>
      <c r="CC359" s="365">
        <f t="shared" ref="CC359:CC415" si="486">IF($AB359&lt;&gt;0,CB359/$AB359,"")</f>
        <v>4.565545018784935E-5</v>
      </c>
      <c r="CD359" s="1380">
        <f t="shared" ref="CD359:CD421" si="487">IF($W359&lt;&gt;0,(CE359)/$W359,"0,00%")</f>
        <v>0.96259701161202194</v>
      </c>
      <c r="CE359" s="1381">
        <f t="shared" ref="CE359:CE421" si="488">W359-AB359</f>
        <v>563696.81000000006</v>
      </c>
      <c r="CF359" s="1381"/>
      <c r="CG359" s="501"/>
      <c r="CH359" s="502"/>
      <c r="CI359" s="503"/>
      <c r="CJ359" s="504"/>
      <c r="CK359" s="505"/>
      <c r="CL359" s="329">
        <f t="shared" si="450"/>
        <v>563696.81000000006</v>
      </c>
      <c r="CM359" s="330">
        <f t="shared" si="451"/>
        <v>0</v>
      </c>
      <c r="CN359" s="331">
        <f t="shared" si="369"/>
        <v>-21903.19</v>
      </c>
      <c r="CO359" s="86"/>
      <c r="CP359" s="86">
        <f t="shared" si="422"/>
        <v>0</v>
      </c>
      <c r="CQ359" s="86"/>
      <c r="CR359" s="86"/>
      <c r="CS359" s="86"/>
      <c r="CT359" s="86"/>
      <c r="CU359" s="86"/>
      <c r="CV359" s="86"/>
      <c r="CW359" s="86"/>
      <c r="CX359" s="86"/>
      <c r="CY359" s="86"/>
      <c r="CZ359" s="86"/>
      <c r="DA359" s="86"/>
      <c r="DB359" s="32"/>
      <c r="DC359" s="32"/>
      <c r="DD359" s="1664"/>
      <c r="DE359" s="35"/>
      <c r="DF359" s="35"/>
      <c r="DG359" s="1642"/>
      <c r="DH359" s="1642"/>
      <c r="DI359" s="1642"/>
      <c r="DJ359" s="1642"/>
      <c r="DK359" s="1642"/>
      <c r="DL359" s="1642"/>
      <c r="DM359" s="1642"/>
      <c r="DN359" s="1642"/>
      <c r="DO359" s="1642"/>
      <c r="DP359" s="1642"/>
      <c r="DQ359" s="1642"/>
      <c r="DR359" s="1642"/>
      <c r="DS359" s="1642">
        <f>ROUND(AQ359,2)</f>
        <v>0</v>
      </c>
      <c r="DT359" s="1642"/>
      <c r="DU359" s="1642"/>
      <c r="DV359" s="1642"/>
      <c r="DW359" s="1642"/>
      <c r="DX359" s="1642"/>
      <c r="DY359" s="1642"/>
      <c r="DZ359" s="1642"/>
      <c r="EA359" s="1642"/>
      <c r="EB359" s="1642"/>
      <c r="EC359" s="1642"/>
      <c r="ED359" s="1642"/>
      <c r="EE359" s="1642"/>
      <c r="EF359" s="1642"/>
      <c r="EG359" s="1642"/>
      <c r="EH359" s="35"/>
      <c r="EI359" s="1658"/>
      <c r="EJ359" s="35"/>
      <c r="EK359" s="35"/>
      <c r="EL359" s="35"/>
      <c r="EM359" s="35"/>
      <c r="EN359" s="35"/>
      <c r="EO359" s="35"/>
      <c r="EP359" s="35"/>
      <c r="EQ359" s="35"/>
      <c r="ER359" s="35"/>
      <c r="ES359" s="35"/>
      <c r="ET359" s="35"/>
      <c r="EU359" s="35"/>
      <c r="EV359" s="35"/>
      <c r="EW359" s="35"/>
      <c r="EX359" s="35"/>
      <c r="EY359" s="35"/>
      <c r="EZ359" s="35"/>
      <c r="FA359" s="35"/>
      <c r="FB359" s="35"/>
      <c r="FC359" s="35"/>
      <c r="FD359" s="35"/>
      <c r="FE359" s="35"/>
      <c r="FF359" s="35"/>
      <c r="FG359" s="35"/>
      <c r="FH359" s="35"/>
      <c r="FI359" s="35"/>
      <c r="FJ359" s="35"/>
      <c r="FK359" s="35"/>
      <c r="FL359" s="35"/>
      <c r="FM359" s="35"/>
      <c r="FN359" s="35"/>
      <c r="FO359" s="35"/>
      <c r="FP359" s="35"/>
      <c r="FQ359" s="35"/>
      <c r="FR359" s="35"/>
      <c r="FS359" s="35"/>
      <c r="FT359" s="35"/>
      <c r="FU359" s="35"/>
      <c r="FV359" s="35"/>
      <c r="FW359" s="35"/>
      <c r="FX359" s="35"/>
      <c r="FY359" s="35"/>
      <c r="FZ359" s="35"/>
      <c r="GA359" s="35"/>
      <c r="GB359" s="35"/>
      <c r="GC359" s="35"/>
      <c r="GD359" s="35"/>
      <c r="GE359" s="35"/>
      <c r="GF359" s="35"/>
      <c r="GG359" s="35"/>
      <c r="GH359" s="35"/>
      <c r="GI359" s="35"/>
      <c r="GJ359" s="35"/>
      <c r="GK359" s="35"/>
      <c r="GL359" s="35"/>
      <c r="GM359" s="35"/>
      <c r="GN359" s="35"/>
      <c r="GO359" s="35"/>
      <c r="GP359" s="35"/>
      <c r="GQ359" s="35"/>
      <c r="GR359" s="35"/>
      <c r="GS359" s="35"/>
      <c r="GT359" s="35"/>
      <c r="GU359" s="35"/>
      <c r="GV359" s="35"/>
      <c r="GW359" s="35"/>
      <c r="GX359" s="35"/>
      <c r="GY359" s="35"/>
      <c r="GZ359" s="35"/>
      <c r="HA359" s="35"/>
      <c r="HB359" s="35"/>
      <c r="HC359" s="35"/>
      <c r="HD359" s="35"/>
      <c r="HE359" s="35"/>
      <c r="HF359" s="35"/>
      <c r="HG359" s="35"/>
      <c r="HH359" s="35"/>
      <c r="HI359" s="35"/>
      <c r="HJ359" s="35"/>
      <c r="HK359" s="35"/>
      <c r="HL359" s="35"/>
      <c r="HM359" s="35"/>
      <c r="HN359" s="35"/>
      <c r="HO359" s="35"/>
      <c r="HP359" s="35"/>
      <c r="HQ359" s="35"/>
      <c r="HR359" s="35"/>
      <c r="HS359" s="35"/>
      <c r="HT359" s="35"/>
      <c r="HU359" s="35"/>
      <c r="HV359" s="35"/>
      <c r="HW359" s="35"/>
      <c r="HX359" s="35"/>
      <c r="HY359" s="35"/>
      <c r="HZ359" s="35"/>
      <c r="IA359" s="35"/>
      <c r="IB359" s="35"/>
      <c r="IC359" s="35"/>
      <c r="ID359" s="35"/>
      <c r="IE359" s="35"/>
      <c r="IF359" s="35"/>
      <c r="IG359" s="35"/>
      <c r="IH359" s="35"/>
      <c r="II359" s="35"/>
      <c r="IJ359" s="35"/>
      <c r="IK359" s="35"/>
      <c r="IL359" s="35"/>
      <c r="IM359" s="35"/>
      <c r="IN359" s="35"/>
      <c r="IO359" s="35"/>
      <c r="IP359" s="35"/>
      <c r="IQ359" s="35"/>
      <c r="IR359" s="35"/>
      <c r="IS359" s="35"/>
      <c r="IT359" s="35"/>
      <c r="IU359" s="35"/>
      <c r="IV359" s="35"/>
      <c r="IW359" s="35"/>
      <c r="IX359" s="35"/>
      <c r="IY359" s="35"/>
      <c r="IZ359" s="35"/>
      <c r="JA359" s="35"/>
      <c r="JB359" s="35"/>
      <c r="JC359" s="35"/>
      <c r="JD359" s="35"/>
      <c r="JE359" s="35"/>
      <c r="JF359" s="35"/>
      <c r="JG359" s="35"/>
      <c r="JH359" s="35"/>
      <c r="JI359" s="35"/>
      <c r="JJ359" s="35"/>
      <c r="JK359" s="35"/>
      <c r="JL359" s="35"/>
      <c r="JM359" s="35"/>
      <c r="JN359" s="35"/>
      <c r="JO359" s="35"/>
      <c r="JP359" s="35"/>
      <c r="JQ359" s="35"/>
      <c r="JR359" s="35"/>
      <c r="JS359" s="35"/>
      <c r="JT359" s="35"/>
      <c r="JU359" s="35"/>
      <c r="JV359" s="35"/>
      <c r="JW359" s="35"/>
      <c r="JX359" s="35"/>
      <c r="JY359" s="35"/>
      <c r="JZ359" s="35"/>
      <c r="KA359" s="35"/>
      <c r="KB359" s="35"/>
      <c r="KC359" s="35"/>
      <c r="KD359" s="35"/>
      <c r="KE359" s="35"/>
      <c r="KF359" s="35"/>
      <c r="KG359" s="35"/>
      <c r="KH359" s="35"/>
      <c r="KI359" s="35"/>
      <c r="KJ359" s="35"/>
      <c r="KK359" s="35"/>
      <c r="KL359" s="35"/>
      <c r="KM359" s="35"/>
      <c r="KN359" s="35"/>
      <c r="KO359" s="35"/>
      <c r="KP359" s="1633"/>
    </row>
    <row r="360" spans="1:302" s="92" customFormat="1" ht="25.25" customHeight="1" outlineLevel="1">
      <c r="A360" s="1676" t="s">
        <v>561</v>
      </c>
      <c r="B360" s="1676" t="s">
        <v>1173</v>
      </c>
      <c r="C360" s="1359" t="s">
        <v>1362</v>
      </c>
      <c r="D360" s="1670" t="s">
        <v>511</v>
      </c>
      <c r="E360" s="1389"/>
      <c r="F360" s="506"/>
      <c r="G360" s="1390"/>
      <c r="H360" s="1391"/>
      <c r="I360" s="2573">
        <v>0</v>
      </c>
      <c r="J360" s="1672"/>
      <c r="K360" s="1697"/>
      <c r="L360" s="1697"/>
      <c r="M360" s="1701"/>
      <c r="N360" s="1697"/>
      <c r="O360" s="1397">
        <f t="shared" si="469"/>
        <v>0</v>
      </c>
      <c r="P360" s="1671"/>
      <c r="Q360" s="1671"/>
      <c r="R360" s="1671"/>
      <c r="S360" s="1672"/>
      <c r="T360" s="1699"/>
      <c r="U360" s="1700"/>
      <c r="V360" s="1700"/>
      <c r="W360" s="1672">
        <f t="shared" si="470"/>
        <v>0</v>
      </c>
      <c r="X360" s="1672"/>
      <c r="Y360" s="1699"/>
      <c r="Z360" s="1700"/>
      <c r="AA360" s="1699"/>
      <c r="AB360" s="1672">
        <f>SUM(AM360:BZ360)</f>
        <v>563696.80730000034</v>
      </c>
      <c r="AC360" s="1444" t="s">
        <v>562</v>
      </c>
      <c r="AD360" s="1467">
        <v>4502939860</v>
      </c>
      <c r="AE360" s="510" t="s">
        <v>564</v>
      </c>
      <c r="AF360" s="497">
        <v>563696.81000000006</v>
      </c>
      <c r="AG360" s="1403">
        <v>1</v>
      </c>
      <c r="AH360" s="1397">
        <f>+AF360*AG360</f>
        <v>563696.81000000006</v>
      </c>
      <c r="AI360" s="355">
        <f t="shared" si="435"/>
        <v>26835.360000000001</v>
      </c>
      <c r="AJ360" s="351">
        <f t="shared" ref="AJ360" si="489">IF($AB360&lt;&gt;0,AI360/$AB360,"")</f>
        <v>4.7606017370465929E-2</v>
      </c>
      <c r="AK360" s="351"/>
      <c r="AL360" s="1398"/>
      <c r="AM360" s="2734">
        <v>2600</v>
      </c>
      <c r="AN360" s="2775">
        <v>2400</v>
      </c>
      <c r="AO360" s="2836">
        <f>9954.7+11880.66</f>
        <v>21835.360000000001</v>
      </c>
      <c r="AP360" s="2823">
        <v>6521.62</v>
      </c>
      <c r="AQ360" s="497">
        <f>18669.8937-2500</f>
        <v>16169.893700000001</v>
      </c>
      <c r="AR360" s="497">
        <f>18669.8937+2554.7-3000</f>
        <v>18224.593700000001</v>
      </c>
      <c r="AS360" s="497">
        <f>18669.8937-3000+1926.65</f>
        <v>17596.543700000002</v>
      </c>
      <c r="AT360" s="2015">
        <f>18669.8937-5109.4+6521.62</f>
        <v>20082.113700000002</v>
      </c>
      <c r="AU360" s="497">
        <f>18669.8937-3380.66</f>
        <v>15289.233700000001</v>
      </c>
      <c r="AV360" s="497">
        <v>18669.893700000001</v>
      </c>
      <c r="AW360" s="497">
        <v>18669.893700000001</v>
      </c>
      <c r="AX360" s="497">
        <v>18669.893700000001</v>
      </c>
      <c r="AY360" s="2060">
        <v>18669.893700000001</v>
      </c>
      <c r="AZ360" s="2273">
        <v>18669.893700000001</v>
      </c>
      <c r="BA360" s="497">
        <v>18669.893700000001</v>
      </c>
      <c r="BB360" s="497">
        <v>18669.893700000001</v>
      </c>
      <c r="BC360" s="497">
        <v>18669.893700000001</v>
      </c>
      <c r="BD360" s="497">
        <v>18669.893700000001</v>
      </c>
      <c r="BE360" s="497">
        <v>18669.893700000001</v>
      </c>
      <c r="BF360" s="497">
        <v>18669.893700000001</v>
      </c>
      <c r="BG360" s="497">
        <v>18669.893700000001</v>
      </c>
      <c r="BH360" s="497">
        <v>18669.893700000001</v>
      </c>
      <c r="BI360" s="497">
        <v>18669.893700000001</v>
      </c>
      <c r="BJ360" s="497">
        <v>18669.893700000001</v>
      </c>
      <c r="BK360" s="2137">
        <v>18669.893700000001</v>
      </c>
      <c r="BL360" s="2011">
        <v>18669.893700000001</v>
      </c>
      <c r="BM360" s="2011">
        <v>18669.893700000001</v>
      </c>
      <c r="BN360" s="2011">
        <v>18669.893700000001</v>
      </c>
      <c r="BO360" s="2011">
        <v>18669.893700000001</v>
      </c>
      <c r="BP360" s="2011">
        <v>18669.893700000001</v>
      </c>
      <c r="BQ360" s="497">
        <v>18669.893700000001</v>
      </c>
      <c r="BR360" s="497">
        <v>18669.893700000001</v>
      </c>
      <c r="BS360" s="497">
        <f>18669.8937-2600-3000+500</f>
        <v>13569.893700000001</v>
      </c>
      <c r="BT360" s="497"/>
      <c r="BU360" s="497"/>
      <c r="BV360" s="497"/>
      <c r="BW360" s="2060"/>
      <c r="BX360" s="2417"/>
      <c r="BY360" s="2549"/>
      <c r="BZ360" s="2549"/>
      <c r="CA360" s="2435">
        <f t="shared" si="484"/>
        <v>536861.44730000035</v>
      </c>
      <c r="CB360" s="2380">
        <f t="shared" si="485"/>
        <v>0.95239398262953412</v>
      </c>
      <c r="CC360" s="365">
        <f t="shared" si="486"/>
        <v>1.6895500742523606E-6</v>
      </c>
      <c r="CD360" s="1380" t="str">
        <f t="shared" si="487"/>
        <v>0,00%</v>
      </c>
      <c r="CE360" s="1381">
        <f t="shared" si="488"/>
        <v>-563696.80730000034</v>
      </c>
      <c r="CF360" s="1381"/>
      <c r="CG360" s="501"/>
      <c r="CH360" s="502"/>
      <c r="CI360" s="503"/>
      <c r="CJ360" s="504"/>
      <c r="CK360" s="505"/>
      <c r="CL360" s="329">
        <f t="shared" si="450"/>
        <v>-536861.44730000035</v>
      </c>
      <c r="CM360" s="330">
        <f t="shared" si="451"/>
        <v>0</v>
      </c>
      <c r="CN360" s="331">
        <f t="shared" si="369"/>
        <v>-370897.8740000003</v>
      </c>
      <c r="CO360" s="86"/>
      <c r="CP360" s="86">
        <f t="shared" si="422"/>
        <v>0</v>
      </c>
      <c r="CQ360" s="86"/>
      <c r="CR360" s="86"/>
      <c r="CS360" s="86"/>
      <c r="CT360" s="86"/>
      <c r="CU360" s="86"/>
      <c r="CV360" s="86"/>
      <c r="CW360" s="86"/>
      <c r="CX360" s="86"/>
      <c r="CY360" s="86"/>
      <c r="CZ360" s="86"/>
      <c r="DA360" s="86"/>
      <c r="DB360" s="32"/>
      <c r="DC360" s="32"/>
      <c r="DD360" s="1664"/>
      <c r="DE360" s="35"/>
      <c r="DF360" s="35"/>
      <c r="DG360" s="1642"/>
      <c r="DH360" s="1642"/>
      <c r="DI360" s="1642"/>
      <c r="DJ360" s="1642"/>
      <c r="DK360" s="1642"/>
      <c r="DL360" s="1642"/>
      <c r="DM360" s="1642"/>
      <c r="DN360" s="1642"/>
      <c r="DO360" s="1642"/>
      <c r="DP360" s="1642"/>
      <c r="DQ360" s="1642"/>
      <c r="DR360" s="1642"/>
      <c r="DS360" s="1642"/>
      <c r="DT360" s="1642"/>
      <c r="DU360" s="1642"/>
      <c r="DV360" s="1642"/>
      <c r="DW360" s="1642"/>
      <c r="DX360" s="1642"/>
      <c r="DY360" s="1642"/>
      <c r="DZ360" s="1642"/>
      <c r="EA360" s="1642"/>
      <c r="EB360" s="1642"/>
      <c r="EC360" s="1642"/>
      <c r="ED360" s="1642"/>
      <c r="EE360" s="1642"/>
      <c r="EF360" s="1642"/>
      <c r="EG360" s="1642"/>
      <c r="EH360" s="35"/>
      <c r="EI360" s="1658"/>
      <c r="EJ360" s="35"/>
      <c r="EK360" s="35"/>
      <c r="EL360" s="35"/>
      <c r="EM360" s="35"/>
      <c r="EN360" s="35"/>
      <c r="EO360" s="35"/>
      <c r="EP360" s="35"/>
      <c r="EQ360" s="35"/>
      <c r="ER360" s="35"/>
      <c r="ES360" s="35"/>
      <c r="ET360" s="35"/>
      <c r="EU360" s="35"/>
      <c r="EV360" s="35"/>
      <c r="EW360" s="35"/>
      <c r="EX360" s="35"/>
      <c r="EY360" s="35"/>
      <c r="EZ360" s="35"/>
      <c r="FA360" s="35"/>
      <c r="FB360" s="35"/>
      <c r="FC360" s="35"/>
      <c r="FD360" s="35"/>
      <c r="FE360" s="35"/>
      <c r="FF360" s="35"/>
      <c r="FG360" s="35"/>
      <c r="FH360" s="35"/>
      <c r="FI360" s="35"/>
      <c r="FJ360" s="35"/>
      <c r="FK360" s="35"/>
      <c r="FL360" s="35"/>
      <c r="FM360" s="35"/>
      <c r="FN360" s="35"/>
      <c r="FO360" s="35"/>
      <c r="FP360" s="35"/>
      <c r="FQ360" s="35"/>
      <c r="FR360" s="35"/>
      <c r="FS360" s="35"/>
      <c r="FT360" s="35"/>
      <c r="FU360" s="35"/>
      <c r="FV360" s="35"/>
      <c r="FW360" s="35"/>
      <c r="FX360" s="35"/>
      <c r="FY360" s="35"/>
      <c r="FZ360" s="35"/>
      <c r="GA360" s="35"/>
      <c r="GB360" s="35"/>
      <c r="GC360" s="35"/>
      <c r="GD360" s="35"/>
      <c r="GE360" s="35"/>
      <c r="GF360" s="35"/>
      <c r="GG360" s="35"/>
      <c r="GH360" s="35"/>
      <c r="GI360" s="35"/>
      <c r="GJ360" s="35"/>
      <c r="GK360" s="35"/>
      <c r="GL360" s="35"/>
      <c r="GM360" s="35"/>
      <c r="GN360" s="35"/>
      <c r="GO360" s="35"/>
      <c r="GP360" s="35"/>
      <c r="GQ360" s="35"/>
      <c r="GR360" s="35"/>
      <c r="GS360" s="35"/>
      <c r="GT360" s="35"/>
      <c r="GU360" s="35"/>
      <c r="GV360" s="35"/>
      <c r="GW360" s="35"/>
      <c r="GX360" s="35"/>
      <c r="GY360" s="35"/>
      <c r="GZ360" s="35"/>
      <c r="HA360" s="35"/>
      <c r="HB360" s="35"/>
      <c r="HC360" s="35"/>
      <c r="HD360" s="35"/>
      <c r="HE360" s="35"/>
      <c r="HF360" s="35"/>
      <c r="HG360" s="35"/>
      <c r="HH360" s="35"/>
      <c r="HI360" s="35"/>
      <c r="HJ360" s="35"/>
      <c r="HK360" s="35"/>
      <c r="HL360" s="35"/>
      <c r="HM360" s="35"/>
      <c r="HN360" s="35"/>
      <c r="HO360" s="35"/>
      <c r="HP360" s="35"/>
      <c r="HQ360" s="35"/>
      <c r="HR360" s="35"/>
      <c r="HS360" s="35"/>
      <c r="HT360" s="35"/>
      <c r="HU360" s="35"/>
      <c r="HV360" s="35"/>
      <c r="HW360" s="35"/>
      <c r="HX360" s="35"/>
      <c r="HY360" s="35"/>
      <c r="HZ360" s="35"/>
      <c r="IA360" s="35"/>
      <c r="IB360" s="35"/>
      <c r="IC360" s="35"/>
      <c r="ID360" s="35"/>
      <c r="IE360" s="35"/>
      <c r="IF360" s="35"/>
      <c r="IG360" s="35"/>
      <c r="IH360" s="35"/>
      <c r="II360" s="35"/>
      <c r="IJ360" s="35"/>
      <c r="IK360" s="35"/>
      <c r="IL360" s="35"/>
      <c r="IM360" s="35"/>
      <c r="IN360" s="35"/>
      <c r="IO360" s="35"/>
      <c r="IP360" s="35"/>
      <c r="IQ360" s="35"/>
      <c r="IR360" s="35"/>
      <c r="IS360" s="35"/>
      <c r="IT360" s="35"/>
      <c r="IU360" s="35"/>
      <c r="IV360" s="35"/>
      <c r="IW360" s="35"/>
      <c r="IX360" s="35"/>
      <c r="IY360" s="35"/>
      <c r="IZ360" s="35"/>
      <c r="JA360" s="35"/>
      <c r="JB360" s="35"/>
      <c r="JC360" s="35"/>
      <c r="JD360" s="35"/>
      <c r="JE360" s="35"/>
      <c r="JF360" s="35"/>
      <c r="JG360" s="35"/>
      <c r="JH360" s="35"/>
      <c r="JI360" s="35"/>
      <c r="JJ360" s="35"/>
      <c r="JK360" s="35"/>
      <c r="JL360" s="35"/>
      <c r="JM360" s="35"/>
      <c r="JN360" s="35"/>
      <c r="JO360" s="35"/>
      <c r="JP360" s="35"/>
      <c r="JQ360" s="35"/>
      <c r="JR360" s="35"/>
      <c r="JS360" s="35"/>
      <c r="JT360" s="35"/>
      <c r="JU360" s="35"/>
      <c r="JV360" s="35"/>
      <c r="JW360" s="35"/>
      <c r="JX360" s="35"/>
      <c r="JY360" s="35"/>
      <c r="JZ360" s="35"/>
      <c r="KA360" s="35"/>
      <c r="KB360" s="35"/>
      <c r="KC360" s="35"/>
      <c r="KD360" s="35"/>
      <c r="KE360" s="35"/>
      <c r="KF360" s="35"/>
      <c r="KG360" s="35"/>
      <c r="KH360" s="35"/>
      <c r="KI360" s="35"/>
      <c r="KJ360" s="35"/>
      <c r="KK360" s="35"/>
      <c r="KL360" s="35"/>
      <c r="KM360" s="35"/>
      <c r="KN360" s="35"/>
      <c r="KO360" s="35"/>
      <c r="KP360" s="1633"/>
    </row>
    <row r="361" spans="1:302" s="92" customFormat="1" ht="25.25" customHeight="1" outlineLevel="1">
      <c r="A361" s="1676" t="s">
        <v>138</v>
      </c>
      <c r="B361" s="1993" t="s">
        <v>1174</v>
      </c>
      <c r="C361" s="1359" t="s">
        <v>293</v>
      </c>
      <c r="D361" s="1359" t="s">
        <v>293</v>
      </c>
      <c r="E361" s="1389"/>
      <c r="F361" s="506"/>
      <c r="G361" s="1390"/>
      <c r="H361" s="1391"/>
      <c r="I361" s="2573">
        <v>44030</v>
      </c>
      <c r="J361" s="1672"/>
      <c r="K361" s="1697"/>
      <c r="L361" s="1697"/>
      <c r="M361" s="1701">
        <v>370</v>
      </c>
      <c r="N361" s="1697">
        <v>119</v>
      </c>
      <c r="O361" s="1397">
        <f t="shared" si="469"/>
        <v>44030</v>
      </c>
      <c r="P361" s="1671"/>
      <c r="Q361" s="1671"/>
      <c r="R361" s="1671"/>
      <c r="S361" s="1672"/>
      <c r="T361" s="1699"/>
      <c r="U361" s="1700"/>
      <c r="V361" s="1700"/>
      <c r="W361" s="1672">
        <f t="shared" si="470"/>
        <v>44030</v>
      </c>
      <c r="X361" s="1672"/>
      <c r="Y361" s="1699"/>
      <c r="Z361" s="1700"/>
      <c r="AA361" s="1699"/>
      <c r="AB361" s="2525">
        <f t="shared" si="471"/>
        <v>17564</v>
      </c>
      <c r="AC361" s="1444"/>
      <c r="AD361" s="1679"/>
      <c r="AE361" s="510"/>
      <c r="AF361" s="497"/>
      <c r="AG361" s="1403">
        <v>1</v>
      </c>
      <c r="AH361" s="1397">
        <f t="shared" si="351"/>
        <v>0</v>
      </c>
      <c r="AI361" s="355">
        <f t="shared" si="435"/>
        <v>0</v>
      </c>
      <c r="AJ361" s="351">
        <f t="shared" si="467"/>
        <v>0</v>
      </c>
      <c r="AK361" s="351"/>
      <c r="AL361" s="1398"/>
      <c r="AM361" s="2273"/>
      <c r="AN361" s="2273"/>
      <c r="AO361" s="497"/>
      <c r="AP361" s="497"/>
      <c r="AQ361" s="497"/>
      <c r="AR361" s="497"/>
      <c r="AS361" s="497"/>
      <c r="AT361" s="2015"/>
      <c r="AU361" s="497"/>
      <c r="AV361" s="497"/>
      <c r="AW361" s="497">
        <v>17564</v>
      </c>
      <c r="AX361" s="497"/>
      <c r="AY361" s="2060"/>
      <c r="AZ361" s="2258"/>
      <c r="BA361" s="359"/>
      <c r="BB361" s="497"/>
      <c r="BC361" s="497"/>
      <c r="BD361" s="497"/>
      <c r="BE361" s="497"/>
      <c r="BF361" s="497"/>
      <c r="BG361" s="497"/>
      <c r="BH361" s="497"/>
      <c r="BI361" s="497"/>
      <c r="BJ361" s="497"/>
      <c r="BK361" s="2137"/>
      <c r="BL361" s="2011"/>
      <c r="BM361" s="2011"/>
      <c r="BN361" s="2011"/>
      <c r="BO361" s="2011"/>
      <c r="BP361" s="2011"/>
      <c r="BQ361" s="497"/>
      <c r="BR361" s="497"/>
      <c r="BS361" s="497"/>
      <c r="BT361" s="497"/>
      <c r="BU361" s="497"/>
      <c r="BV361" s="497"/>
      <c r="BW361" s="2060"/>
      <c r="BX361" s="2417"/>
      <c r="BY361" s="2549"/>
      <c r="BZ361" s="2549"/>
      <c r="CA361" s="2435">
        <f t="shared" si="484"/>
        <v>17564</v>
      </c>
      <c r="CB361" s="2380">
        <f t="shared" si="485"/>
        <v>1</v>
      </c>
      <c r="CC361" s="365">
        <f t="shared" si="486"/>
        <v>5.6934639034388523E-5</v>
      </c>
      <c r="CD361" s="1380">
        <f t="shared" si="487"/>
        <v>0.60109016579604813</v>
      </c>
      <c r="CE361" s="1381">
        <f t="shared" si="488"/>
        <v>26466</v>
      </c>
      <c r="CF361" s="1381"/>
      <c r="CG361" s="501"/>
      <c r="CH361" s="502"/>
      <c r="CI361" s="503"/>
      <c r="CJ361" s="504"/>
      <c r="CK361" s="505"/>
      <c r="CL361" s="329">
        <f t="shared" si="450"/>
        <v>26466</v>
      </c>
      <c r="CM361" s="330">
        <f t="shared" si="451"/>
        <v>0</v>
      </c>
      <c r="CN361" s="331">
        <f t="shared" si="369"/>
        <v>0</v>
      </c>
      <c r="CO361" s="86"/>
      <c r="CP361" s="86">
        <f>I361-O361</f>
        <v>0</v>
      </c>
      <c r="CQ361" s="86"/>
      <c r="CR361" s="86"/>
      <c r="CS361" s="86"/>
      <c r="CT361" s="86"/>
      <c r="CU361" s="86"/>
      <c r="CV361" s="86"/>
      <c r="CW361" s="86"/>
      <c r="CX361" s="86"/>
      <c r="CY361" s="86"/>
      <c r="CZ361" s="86"/>
      <c r="DA361" s="86"/>
      <c r="DB361" s="32"/>
      <c r="DC361" s="32"/>
      <c r="DD361" s="1664"/>
      <c r="DE361" s="35"/>
      <c r="DF361" s="35"/>
      <c r="DG361" s="1642"/>
      <c r="DH361" s="1642"/>
      <c r="DI361" s="1642"/>
      <c r="DJ361" s="1642"/>
      <c r="DK361" s="1642"/>
      <c r="DL361" s="1642"/>
      <c r="DM361" s="1642"/>
      <c r="DN361" s="1642"/>
      <c r="DO361" s="1642"/>
      <c r="DP361" s="1642"/>
      <c r="DQ361" s="1642"/>
      <c r="DR361" s="1642"/>
      <c r="DS361" s="1642"/>
      <c r="DT361" s="1642"/>
      <c r="DU361" s="1642"/>
      <c r="DV361" s="1642"/>
      <c r="DW361" s="1642"/>
      <c r="DX361" s="1642"/>
      <c r="DY361" s="1642"/>
      <c r="DZ361" s="1642"/>
      <c r="EA361" s="1642"/>
      <c r="EB361" s="1642"/>
      <c r="EC361" s="1642"/>
      <c r="ED361" s="1642"/>
      <c r="EE361" s="1642"/>
      <c r="EF361" s="1642"/>
      <c r="EG361" s="1642"/>
      <c r="EH361" s="35"/>
      <c r="EI361" s="1658"/>
      <c r="EJ361" s="35"/>
      <c r="EK361" s="35"/>
      <c r="EL361" s="35"/>
      <c r="EM361" s="35"/>
      <c r="EN361" s="35"/>
      <c r="EO361" s="35"/>
      <c r="EP361" s="35"/>
      <c r="EQ361" s="35"/>
      <c r="ER361" s="35"/>
      <c r="ES361" s="35"/>
      <c r="ET361" s="35"/>
      <c r="EU361" s="35"/>
      <c r="EV361" s="35"/>
      <c r="EW361" s="35"/>
      <c r="EX361" s="35"/>
      <c r="EY361" s="35"/>
      <c r="EZ361" s="35"/>
      <c r="FA361" s="35"/>
      <c r="FB361" s="35"/>
      <c r="FC361" s="35"/>
      <c r="FD361" s="35"/>
      <c r="FE361" s="35"/>
      <c r="FF361" s="35"/>
      <c r="FG361" s="35"/>
      <c r="FH361" s="35"/>
      <c r="FI361" s="35"/>
      <c r="FJ361" s="35"/>
      <c r="FK361" s="35"/>
      <c r="FL361" s="35"/>
      <c r="FM361" s="35"/>
      <c r="FN361" s="35"/>
      <c r="FO361" s="35"/>
      <c r="FP361" s="35"/>
      <c r="FQ361" s="35"/>
      <c r="FR361" s="35"/>
      <c r="FS361" s="35"/>
      <c r="FT361" s="35"/>
      <c r="FU361" s="35"/>
      <c r="FV361" s="35"/>
      <c r="FW361" s="35"/>
      <c r="FX361" s="35"/>
      <c r="FY361" s="35"/>
      <c r="FZ361" s="35"/>
      <c r="GA361" s="35"/>
      <c r="GB361" s="35"/>
      <c r="GC361" s="35"/>
      <c r="GD361" s="35"/>
      <c r="GE361" s="35"/>
      <c r="GF361" s="35"/>
      <c r="GG361" s="35"/>
      <c r="GH361" s="35"/>
      <c r="GI361" s="35"/>
      <c r="GJ361" s="35"/>
      <c r="GK361" s="35"/>
      <c r="GL361" s="35"/>
      <c r="GM361" s="35"/>
      <c r="GN361" s="35"/>
      <c r="GO361" s="35"/>
      <c r="GP361" s="35"/>
      <c r="GQ361" s="35"/>
      <c r="GR361" s="35"/>
      <c r="GS361" s="35"/>
      <c r="GT361" s="35"/>
      <c r="GU361" s="35"/>
      <c r="GV361" s="35"/>
      <c r="GW361" s="35"/>
      <c r="GX361" s="35"/>
      <c r="GY361" s="35"/>
      <c r="GZ361" s="35"/>
      <c r="HA361" s="35"/>
      <c r="HB361" s="35"/>
      <c r="HC361" s="35"/>
      <c r="HD361" s="35"/>
      <c r="HE361" s="35"/>
      <c r="HF361" s="35"/>
      <c r="HG361" s="35"/>
      <c r="HH361" s="35"/>
      <c r="HI361" s="35"/>
      <c r="HJ361" s="35"/>
      <c r="HK361" s="35"/>
      <c r="HL361" s="35"/>
      <c r="HM361" s="35"/>
      <c r="HN361" s="35"/>
      <c r="HO361" s="35"/>
      <c r="HP361" s="35"/>
      <c r="HQ361" s="35"/>
      <c r="HR361" s="35"/>
      <c r="HS361" s="35"/>
      <c r="HT361" s="35"/>
      <c r="HU361" s="35"/>
      <c r="HV361" s="35"/>
      <c r="HW361" s="35"/>
      <c r="HX361" s="35"/>
      <c r="HY361" s="35"/>
      <c r="HZ361" s="35"/>
      <c r="IA361" s="35"/>
      <c r="IB361" s="35"/>
      <c r="IC361" s="35"/>
      <c r="ID361" s="35"/>
      <c r="IE361" s="35"/>
      <c r="IF361" s="35"/>
      <c r="IG361" s="35"/>
      <c r="IH361" s="35"/>
      <c r="II361" s="35"/>
      <c r="IJ361" s="35"/>
      <c r="IK361" s="35"/>
      <c r="IL361" s="35"/>
      <c r="IM361" s="35"/>
      <c r="IN361" s="35"/>
      <c r="IO361" s="35"/>
      <c r="IP361" s="35"/>
      <c r="IQ361" s="35"/>
      <c r="IR361" s="35"/>
      <c r="IS361" s="35"/>
      <c r="IT361" s="35"/>
      <c r="IU361" s="35"/>
      <c r="IV361" s="35"/>
      <c r="IW361" s="35"/>
      <c r="IX361" s="35"/>
      <c r="IY361" s="35"/>
      <c r="IZ361" s="35"/>
      <c r="JA361" s="35"/>
      <c r="JB361" s="35"/>
      <c r="JC361" s="35"/>
      <c r="JD361" s="35"/>
      <c r="JE361" s="35"/>
      <c r="JF361" s="35"/>
      <c r="JG361" s="35"/>
      <c r="JH361" s="35"/>
      <c r="JI361" s="35"/>
      <c r="JJ361" s="35"/>
      <c r="JK361" s="35"/>
      <c r="JL361" s="35"/>
      <c r="JM361" s="35"/>
      <c r="JN361" s="35"/>
      <c r="JO361" s="35"/>
      <c r="JP361" s="35"/>
      <c r="JQ361" s="35"/>
      <c r="JR361" s="35"/>
      <c r="JS361" s="35"/>
      <c r="JT361" s="35"/>
      <c r="JU361" s="35"/>
      <c r="JV361" s="35"/>
      <c r="JW361" s="35"/>
      <c r="JX361" s="35"/>
      <c r="JY361" s="35"/>
      <c r="JZ361" s="35"/>
      <c r="KA361" s="35"/>
      <c r="KB361" s="35"/>
      <c r="KC361" s="35"/>
      <c r="KD361" s="35"/>
      <c r="KE361" s="35"/>
      <c r="KF361" s="35"/>
      <c r="KG361" s="35"/>
      <c r="KH361" s="35"/>
      <c r="KI361" s="35"/>
      <c r="KJ361" s="35"/>
      <c r="KK361" s="35"/>
      <c r="KL361" s="35"/>
      <c r="KM361" s="35"/>
      <c r="KN361" s="35"/>
      <c r="KO361" s="35"/>
      <c r="KP361" s="1633"/>
    </row>
    <row r="362" spans="1:302" s="92" customFormat="1" ht="25.25" customHeight="1" outlineLevel="1">
      <c r="A362" s="1676" t="s">
        <v>1265</v>
      </c>
      <c r="B362" s="1993"/>
      <c r="C362" s="1359" t="s">
        <v>1341</v>
      </c>
      <c r="D362" s="1359" t="s">
        <v>293</v>
      </c>
      <c r="E362" s="1389"/>
      <c r="F362" s="506"/>
      <c r="G362" s="1390"/>
      <c r="H362" s="1391"/>
      <c r="I362" s="2573">
        <v>0</v>
      </c>
      <c r="J362" s="1672"/>
      <c r="K362" s="1697"/>
      <c r="L362" s="1697"/>
      <c r="M362" s="1701"/>
      <c r="N362" s="1697"/>
      <c r="O362" s="1397">
        <f t="shared" si="469"/>
        <v>0</v>
      </c>
      <c r="P362" s="1671"/>
      <c r="Q362" s="1671"/>
      <c r="R362" s="1671"/>
      <c r="S362" s="1672"/>
      <c r="T362" s="1699"/>
      <c r="U362" s="1700"/>
      <c r="V362" s="1700"/>
      <c r="W362" s="1672">
        <f t="shared" si="470"/>
        <v>0</v>
      </c>
      <c r="X362" s="1672"/>
      <c r="Y362" s="1699"/>
      <c r="Z362" s="1700"/>
      <c r="AA362" s="1699"/>
      <c r="AB362" s="1672">
        <f t="shared" si="471"/>
        <v>26465.998461538489</v>
      </c>
      <c r="AC362" s="1444" t="s">
        <v>1266</v>
      </c>
      <c r="AD362" s="1679"/>
      <c r="AE362" s="510" t="s">
        <v>564</v>
      </c>
      <c r="AF362" s="497">
        <v>26466</v>
      </c>
      <c r="AG362" s="1403">
        <v>1</v>
      </c>
      <c r="AH362" s="1397">
        <f t="shared" ref="AH362" si="490">+AF362*AG362</f>
        <v>26466</v>
      </c>
      <c r="AI362" s="355">
        <f t="shared" ref="AI362" si="491">SUMIF($AM$10:$BZ$10,$AI$9,AM362:BZ362)</f>
        <v>732</v>
      </c>
      <c r="AJ362" s="351">
        <f t="shared" ref="AJ362" si="492">IF($AB362&lt;&gt;0,AI362/$AB362,"")</f>
        <v>2.7658129016510501E-2</v>
      </c>
      <c r="AK362" s="351"/>
      <c r="AL362" s="1398"/>
      <c r="AM362" s="2273"/>
      <c r="AN362" s="2273"/>
      <c r="AO362" s="2823">
        <v>732</v>
      </c>
      <c r="AP362" s="2729">
        <f>180.294+223.99</f>
        <v>404.28399999999999</v>
      </c>
      <c r="AQ362" s="497">
        <v>180.29400000000001</v>
      </c>
      <c r="AR362" s="497">
        <v>180.29400000000001</v>
      </c>
      <c r="AS362" s="497">
        <v>180.29400000000001</v>
      </c>
      <c r="AT362" s="497">
        <v>180.29400000000001</v>
      </c>
      <c r="AU362" s="497">
        <v>1017.9230769230769</v>
      </c>
      <c r="AV362" s="497">
        <v>1017.9230769230769</v>
      </c>
      <c r="AW362" s="497">
        <v>2017.9230769230801</v>
      </c>
      <c r="AX362" s="497">
        <v>2017.9230769230801</v>
      </c>
      <c r="AY362" s="2060">
        <f>2017.92307692308-732</f>
        <v>1285.9230769230801</v>
      </c>
      <c r="AZ362" s="2258">
        <v>2017.9230769230801</v>
      </c>
      <c r="BA362" s="359">
        <v>2017.9230769230801</v>
      </c>
      <c r="BB362" s="497">
        <v>2017.9230769230801</v>
      </c>
      <c r="BC362" s="497">
        <v>1017.9230769230769</v>
      </c>
      <c r="BD362" s="497">
        <v>1017.9230769230769</v>
      </c>
      <c r="BE362" s="497">
        <v>1017.9230769230769</v>
      </c>
      <c r="BF362" s="497">
        <v>1017.9230769230769</v>
      </c>
      <c r="BG362" s="497">
        <v>1017.9230769230769</v>
      </c>
      <c r="BH362" s="497">
        <v>1017.9230769230769</v>
      </c>
      <c r="BI362" s="497">
        <v>1017.9230769230769</v>
      </c>
      <c r="BJ362" s="497">
        <v>1017.9230769230769</v>
      </c>
      <c r="BK362" s="2137">
        <v>1017.9230769230769</v>
      </c>
      <c r="BL362" s="2011">
        <v>1017.9230769230769</v>
      </c>
      <c r="BM362" s="2011">
        <v>1017.9230769230769</v>
      </c>
      <c r="BN362" s="2011"/>
      <c r="BO362" s="2011"/>
      <c r="BP362" s="2011"/>
      <c r="BQ362" s="2403"/>
      <c r="BR362" s="497"/>
      <c r="BS362" s="497"/>
      <c r="BT362" s="497"/>
      <c r="BU362" s="497"/>
      <c r="BV362" s="497"/>
      <c r="BW362" s="2060"/>
      <c r="BX362" s="2417"/>
      <c r="BY362" s="2549"/>
      <c r="BZ362" s="2549"/>
      <c r="CA362" s="2435">
        <f t="shared" si="484"/>
        <v>25733.998461538489</v>
      </c>
      <c r="CB362" s="2380">
        <f t="shared" si="485"/>
        <v>0.97234187098348945</v>
      </c>
      <c r="CC362" s="365">
        <f t="shared" si="486"/>
        <v>3.6739285404120986E-5</v>
      </c>
      <c r="CD362" s="1380" t="str">
        <f t="shared" si="487"/>
        <v>0,00%</v>
      </c>
      <c r="CE362" s="1381">
        <f t="shared" si="488"/>
        <v>-26465.998461538489</v>
      </c>
      <c r="CF362" s="1381"/>
      <c r="CG362" s="501"/>
      <c r="CH362" s="502"/>
      <c r="CI362" s="503"/>
      <c r="CJ362" s="504"/>
      <c r="CK362" s="505"/>
      <c r="CL362" s="329">
        <f t="shared" si="450"/>
        <v>-25733.998461538489</v>
      </c>
      <c r="CM362" s="330">
        <f t="shared" si="451"/>
        <v>0</v>
      </c>
      <c r="CN362" s="331">
        <f t="shared" si="369"/>
        <v>-17250.923076923093</v>
      </c>
      <c r="CO362" s="86"/>
      <c r="CP362" s="86">
        <f>I362-O362</f>
        <v>0</v>
      </c>
      <c r="CQ362" s="86"/>
      <c r="CR362" s="86"/>
      <c r="CS362" s="86"/>
      <c r="CT362" s="86"/>
      <c r="CU362" s="86"/>
      <c r="CV362" s="86"/>
      <c r="CW362" s="86"/>
      <c r="CX362" s="86"/>
      <c r="CY362" s="86"/>
      <c r="CZ362" s="86"/>
      <c r="DA362" s="86"/>
      <c r="DB362" s="32"/>
      <c r="DC362" s="32"/>
      <c r="DD362" s="1664"/>
      <c r="DE362" s="35"/>
      <c r="DF362" s="35"/>
      <c r="DG362" s="1642"/>
      <c r="DH362" s="1642"/>
      <c r="DI362" s="1642"/>
      <c r="DJ362" s="1642"/>
      <c r="DK362" s="1642"/>
      <c r="DL362" s="1642"/>
      <c r="DM362" s="1642"/>
      <c r="DN362" s="1642"/>
      <c r="DO362" s="1642"/>
      <c r="DP362" s="1642"/>
      <c r="DQ362" s="1642"/>
      <c r="DR362" s="1642"/>
      <c r="DS362" s="1642"/>
      <c r="DT362" s="1642"/>
      <c r="DU362" s="1642"/>
      <c r="DV362" s="1642"/>
      <c r="DW362" s="1642"/>
      <c r="DX362" s="1642"/>
      <c r="DY362" s="1642"/>
      <c r="DZ362" s="1642"/>
      <c r="EA362" s="1642"/>
      <c r="EB362" s="1642"/>
      <c r="EC362" s="1642"/>
      <c r="ED362" s="1642"/>
      <c r="EE362" s="1642"/>
      <c r="EF362" s="1642"/>
      <c r="EG362" s="1642"/>
      <c r="EH362" s="35"/>
      <c r="EI362" s="1658"/>
      <c r="EJ362" s="35"/>
      <c r="EK362" s="35"/>
      <c r="EL362" s="35"/>
      <c r="EM362" s="35"/>
      <c r="EN362" s="35"/>
      <c r="EO362" s="35"/>
      <c r="EP362" s="35"/>
      <c r="EQ362" s="35"/>
      <c r="ER362" s="35"/>
      <c r="ES362" s="35"/>
      <c r="ET362" s="35"/>
      <c r="EU362" s="35"/>
      <c r="EV362" s="35"/>
      <c r="EW362" s="35"/>
      <c r="EX362" s="35"/>
      <c r="EY362" s="35"/>
      <c r="EZ362" s="35"/>
      <c r="FA362" s="35"/>
      <c r="FB362" s="35"/>
      <c r="FC362" s="35"/>
      <c r="FD362" s="35"/>
      <c r="FE362" s="35"/>
      <c r="FF362" s="35"/>
      <c r="FG362" s="35"/>
      <c r="FH362" s="35"/>
      <c r="FI362" s="35"/>
      <c r="FJ362" s="35"/>
      <c r="FK362" s="35"/>
      <c r="FL362" s="35"/>
      <c r="FM362" s="35"/>
      <c r="FN362" s="35"/>
      <c r="FO362" s="35"/>
      <c r="FP362" s="35"/>
      <c r="FQ362" s="35"/>
      <c r="FR362" s="35"/>
      <c r="FS362" s="35"/>
      <c r="FT362" s="35"/>
      <c r="FU362" s="35"/>
      <c r="FV362" s="35"/>
      <c r="FW362" s="35"/>
      <c r="FX362" s="35"/>
      <c r="FY362" s="35"/>
      <c r="FZ362" s="35"/>
      <c r="GA362" s="35"/>
      <c r="GB362" s="35"/>
      <c r="GC362" s="35"/>
      <c r="GD362" s="35"/>
      <c r="GE362" s="35"/>
      <c r="GF362" s="35"/>
      <c r="GG362" s="35"/>
      <c r="GH362" s="35"/>
      <c r="GI362" s="35"/>
      <c r="GJ362" s="35"/>
      <c r="GK362" s="35"/>
      <c r="GL362" s="35"/>
      <c r="GM362" s="35"/>
      <c r="GN362" s="35"/>
      <c r="GO362" s="35"/>
      <c r="GP362" s="35"/>
      <c r="GQ362" s="35"/>
      <c r="GR362" s="35"/>
      <c r="GS362" s="35"/>
      <c r="GT362" s="35"/>
      <c r="GU362" s="35"/>
      <c r="GV362" s="35"/>
      <c r="GW362" s="35"/>
      <c r="GX362" s="35"/>
      <c r="GY362" s="35"/>
      <c r="GZ362" s="35"/>
      <c r="HA362" s="35"/>
      <c r="HB362" s="35"/>
      <c r="HC362" s="35"/>
      <c r="HD362" s="35"/>
      <c r="HE362" s="35"/>
      <c r="HF362" s="35"/>
      <c r="HG362" s="35"/>
      <c r="HH362" s="35"/>
      <c r="HI362" s="35"/>
      <c r="HJ362" s="35"/>
      <c r="HK362" s="35"/>
      <c r="HL362" s="35"/>
      <c r="HM362" s="35"/>
      <c r="HN362" s="35"/>
      <c r="HO362" s="35"/>
      <c r="HP362" s="35"/>
      <c r="HQ362" s="35"/>
      <c r="HR362" s="35"/>
      <c r="HS362" s="35"/>
      <c r="HT362" s="35"/>
      <c r="HU362" s="35"/>
      <c r="HV362" s="35"/>
      <c r="HW362" s="35"/>
      <c r="HX362" s="35"/>
      <c r="HY362" s="35"/>
      <c r="HZ362" s="35"/>
      <c r="IA362" s="35"/>
      <c r="IB362" s="35"/>
      <c r="IC362" s="35"/>
      <c r="ID362" s="35"/>
      <c r="IE362" s="35"/>
      <c r="IF362" s="35"/>
      <c r="IG362" s="35"/>
      <c r="IH362" s="35"/>
      <c r="II362" s="35"/>
      <c r="IJ362" s="35"/>
      <c r="IK362" s="35"/>
      <c r="IL362" s="35"/>
      <c r="IM362" s="35"/>
      <c r="IN362" s="35"/>
      <c r="IO362" s="35"/>
      <c r="IP362" s="35"/>
      <c r="IQ362" s="35"/>
      <c r="IR362" s="35"/>
      <c r="IS362" s="35"/>
      <c r="IT362" s="35"/>
      <c r="IU362" s="35"/>
      <c r="IV362" s="35"/>
      <c r="IW362" s="35"/>
      <c r="IX362" s="35"/>
      <c r="IY362" s="35"/>
      <c r="IZ362" s="35"/>
      <c r="JA362" s="35"/>
      <c r="JB362" s="35"/>
      <c r="JC362" s="35"/>
      <c r="JD362" s="35"/>
      <c r="JE362" s="35"/>
      <c r="JF362" s="35"/>
      <c r="JG362" s="35"/>
      <c r="JH362" s="35"/>
      <c r="JI362" s="35"/>
      <c r="JJ362" s="35"/>
      <c r="JK362" s="35"/>
      <c r="JL362" s="35"/>
      <c r="JM362" s="35"/>
      <c r="JN362" s="35"/>
      <c r="JO362" s="35"/>
      <c r="JP362" s="35"/>
      <c r="JQ362" s="35"/>
      <c r="JR362" s="35"/>
      <c r="JS362" s="35"/>
      <c r="JT362" s="35"/>
      <c r="JU362" s="35"/>
      <c r="JV362" s="35"/>
      <c r="JW362" s="35"/>
      <c r="JX362" s="35"/>
      <c r="JY362" s="35"/>
      <c r="JZ362" s="35"/>
      <c r="KA362" s="35"/>
      <c r="KB362" s="35"/>
      <c r="KC362" s="35"/>
      <c r="KD362" s="35"/>
      <c r="KE362" s="35"/>
      <c r="KF362" s="35"/>
      <c r="KG362" s="35"/>
      <c r="KH362" s="35"/>
      <c r="KI362" s="35"/>
      <c r="KJ362" s="35"/>
      <c r="KK362" s="35"/>
      <c r="KL362" s="35"/>
      <c r="KM362" s="35"/>
      <c r="KN362" s="35"/>
      <c r="KO362" s="35"/>
      <c r="KP362" s="1633"/>
    </row>
    <row r="363" spans="1:302" s="92" customFormat="1" ht="25.25" customHeight="1" outlineLevel="1">
      <c r="A363" s="1676" t="s">
        <v>139</v>
      </c>
      <c r="B363" s="1993" t="s">
        <v>1157</v>
      </c>
      <c r="C363" s="1673" t="s">
        <v>1286</v>
      </c>
      <c r="D363" s="1675" t="s">
        <v>432</v>
      </c>
      <c r="E363" s="1389"/>
      <c r="F363" s="506"/>
      <c r="G363" s="1390"/>
      <c r="H363" s="1391"/>
      <c r="I363" s="2573">
        <v>350000</v>
      </c>
      <c r="J363" s="1672"/>
      <c r="K363" s="1697"/>
      <c r="L363" s="1697"/>
      <c r="M363" s="1701">
        <v>350000</v>
      </c>
      <c r="N363" s="1697">
        <v>1</v>
      </c>
      <c r="O363" s="1397">
        <f t="shared" si="469"/>
        <v>350000</v>
      </c>
      <c r="P363" s="1671"/>
      <c r="Q363" s="1671"/>
      <c r="R363" s="1671"/>
      <c r="S363" s="1672"/>
      <c r="T363" s="1699"/>
      <c r="U363" s="1700"/>
      <c r="V363" s="1700"/>
      <c r="W363" s="1672">
        <f t="shared" si="470"/>
        <v>350000</v>
      </c>
      <c r="X363" s="1672"/>
      <c r="Y363" s="1699"/>
      <c r="Z363" s="1700"/>
      <c r="AA363" s="1699"/>
      <c r="AB363" s="1672">
        <f t="shared" si="471"/>
        <v>349999.99849999987</v>
      </c>
      <c r="AC363" s="1444" t="s">
        <v>1254</v>
      </c>
      <c r="AD363" s="1467">
        <v>4502939075</v>
      </c>
      <c r="AE363" s="510" t="s">
        <v>564</v>
      </c>
      <c r="AF363" s="497">
        <v>350000</v>
      </c>
      <c r="AG363" s="1403">
        <v>1</v>
      </c>
      <c r="AH363" s="1397">
        <f t="shared" si="351"/>
        <v>350000</v>
      </c>
      <c r="AI363" s="355">
        <f t="shared" si="435"/>
        <v>13850</v>
      </c>
      <c r="AJ363" s="351">
        <f t="shared" si="467"/>
        <v>3.9571428741020424E-2</v>
      </c>
      <c r="AK363" s="351"/>
      <c r="AL363" s="1398"/>
      <c r="AM363" s="2273"/>
      <c r="AN363" s="2273"/>
      <c r="AO363" s="2823">
        <v>13850</v>
      </c>
      <c r="AP363" s="2894">
        <f>9287.93-49.04</f>
        <v>9238.89</v>
      </c>
      <c r="AQ363" s="1922">
        <v>12068.9655</v>
      </c>
      <c r="AR363" s="1922">
        <f>12068.9655+68.9655</f>
        <v>12137.931</v>
      </c>
      <c r="AS363" s="1922">
        <v>12068.9655</v>
      </c>
      <c r="AT363" s="2015">
        <v>12068.9655</v>
      </c>
      <c r="AU363" s="1922">
        <v>12068.9655</v>
      </c>
      <c r="AV363" s="1922">
        <v>12068.9655</v>
      </c>
      <c r="AW363" s="1922">
        <v>12068.9655</v>
      </c>
      <c r="AX363" s="1922">
        <v>12068.9655</v>
      </c>
      <c r="AY363" s="2238">
        <v>12068.9655</v>
      </c>
      <c r="AZ363" s="2258">
        <v>12068.9655</v>
      </c>
      <c r="BA363" s="359">
        <v>12068.9655</v>
      </c>
      <c r="BB363" s="1922">
        <v>12068.9655</v>
      </c>
      <c r="BC363" s="497">
        <v>12068.9655</v>
      </c>
      <c r="BD363" s="497">
        <v>12068.9655</v>
      </c>
      <c r="BE363" s="497">
        <v>12068.9655</v>
      </c>
      <c r="BF363" s="497">
        <v>12068.9655</v>
      </c>
      <c r="BG363" s="497">
        <v>12068.9655</v>
      </c>
      <c r="BH363" s="497">
        <v>12068.9655</v>
      </c>
      <c r="BI363" s="497">
        <v>12068.9655</v>
      </c>
      <c r="BJ363" s="497">
        <v>12068.9655</v>
      </c>
      <c r="BK363" s="2137">
        <v>12068.9655</v>
      </c>
      <c r="BL363" s="2011">
        <v>12068.9655</v>
      </c>
      <c r="BM363" s="2011">
        <v>12068.9655</v>
      </c>
      <c r="BN363" s="2011">
        <v>12068.9655</v>
      </c>
      <c r="BO363" s="2011">
        <v>12068.9655</v>
      </c>
      <c r="BP363" s="2011">
        <v>12068.9655</v>
      </c>
      <c r="BQ363" s="2403">
        <v>13049.04</v>
      </c>
      <c r="BR363" s="497"/>
      <c r="BS363" s="497"/>
      <c r="BT363" s="497"/>
      <c r="BU363" s="497"/>
      <c r="BV363" s="497"/>
      <c r="BW363" s="2060"/>
      <c r="BX363" s="2417"/>
      <c r="BY363" s="2549"/>
      <c r="BZ363" s="2549"/>
      <c r="CA363" s="2435">
        <f t="shared" si="484"/>
        <v>336149.99849999987</v>
      </c>
      <c r="CB363" s="2380">
        <f t="shared" si="485"/>
        <v>0.96042857125897962</v>
      </c>
      <c r="CC363" s="365">
        <f t="shared" si="486"/>
        <v>2.7440816439288641E-6</v>
      </c>
      <c r="CD363" s="1380">
        <f t="shared" si="487"/>
        <v>4.2857146555823941E-9</v>
      </c>
      <c r="CE363" s="1381">
        <f t="shared" si="488"/>
        <v>1.5000001294538379E-3</v>
      </c>
      <c r="CF363" s="1381"/>
      <c r="CG363" s="501"/>
      <c r="CH363" s="502"/>
      <c r="CI363" s="503"/>
      <c r="CJ363" s="504"/>
      <c r="CK363" s="505"/>
      <c r="CL363" s="329">
        <f t="shared" si="450"/>
        <v>13850.001500000129</v>
      </c>
      <c r="CM363" s="330">
        <f t="shared" si="451"/>
        <v>0</v>
      </c>
      <c r="CN363" s="331">
        <f t="shared" si="369"/>
        <v>-218221.45349999986</v>
      </c>
      <c r="CO363" s="86"/>
      <c r="CP363" s="86">
        <f>I363-O363</f>
        <v>0</v>
      </c>
      <c r="CQ363" s="86"/>
      <c r="CR363" s="86"/>
      <c r="CS363" s="86"/>
      <c r="CT363" s="86"/>
      <c r="CU363" s="86"/>
      <c r="CV363" s="86"/>
      <c r="CW363" s="86"/>
      <c r="CX363" s="86"/>
      <c r="CY363" s="86"/>
      <c r="CZ363" s="86"/>
      <c r="DA363" s="86"/>
      <c r="DB363" s="32"/>
      <c r="DC363" s="32"/>
      <c r="DD363" s="1664"/>
      <c r="DE363" s="35"/>
      <c r="DF363" s="35"/>
      <c r="DG363" s="1642"/>
      <c r="DH363" s="1642"/>
      <c r="DI363" s="1642"/>
      <c r="DJ363" s="1642"/>
      <c r="DK363" s="1642"/>
      <c r="DL363" s="1642"/>
      <c r="DM363" s="1642"/>
      <c r="DN363" s="1642"/>
      <c r="DO363" s="1642"/>
      <c r="DP363" s="1642"/>
      <c r="DQ363" s="1642"/>
      <c r="DR363" s="1642"/>
      <c r="DS363" s="1642"/>
      <c r="DT363" s="1642"/>
      <c r="DU363" s="1642"/>
      <c r="DV363" s="1642"/>
      <c r="DW363" s="1642"/>
      <c r="DX363" s="1642"/>
      <c r="DY363" s="1642"/>
      <c r="DZ363" s="1642"/>
      <c r="EA363" s="1642"/>
      <c r="EB363" s="1642"/>
      <c r="EC363" s="1642"/>
      <c r="ED363" s="1642"/>
      <c r="EE363" s="1642"/>
      <c r="EF363" s="1642"/>
      <c r="EG363" s="1642"/>
      <c r="EH363" s="35"/>
      <c r="EI363" s="1658"/>
      <c r="EJ363" s="35"/>
      <c r="EK363" s="35"/>
      <c r="EL363" s="35"/>
      <c r="EM363" s="35"/>
      <c r="EN363" s="35"/>
      <c r="EO363" s="35"/>
      <c r="EP363" s="35"/>
      <c r="EQ363" s="35"/>
      <c r="ER363" s="35"/>
      <c r="ES363" s="35"/>
      <c r="ET363" s="35"/>
      <c r="EU363" s="35"/>
      <c r="EV363" s="35"/>
      <c r="EW363" s="35"/>
      <c r="EX363" s="35"/>
      <c r="EY363" s="35"/>
      <c r="EZ363" s="35"/>
      <c r="FA363" s="35"/>
      <c r="FB363" s="35"/>
      <c r="FC363" s="35"/>
      <c r="FD363" s="35"/>
      <c r="FE363" s="35"/>
      <c r="FF363" s="35"/>
      <c r="FG363" s="35"/>
      <c r="FH363" s="35"/>
      <c r="FI363" s="35"/>
      <c r="FJ363" s="35"/>
      <c r="FK363" s="35"/>
      <c r="FL363" s="35"/>
      <c r="FM363" s="35"/>
      <c r="FN363" s="35"/>
      <c r="FO363" s="35"/>
      <c r="FP363" s="35"/>
      <c r="FQ363" s="35"/>
      <c r="FR363" s="35"/>
      <c r="FS363" s="35"/>
      <c r="FT363" s="35"/>
      <c r="FU363" s="35"/>
      <c r="FV363" s="35"/>
      <c r="FW363" s="35"/>
      <c r="FX363" s="35"/>
      <c r="FY363" s="35"/>
      <c r="FZ363" s="35"/>
      <c r="GA363" s="35"/>
      <c r="GB363" s="35"/>
      <c r="GC363" s="35"/>
      <c r="GD363" s="35"/>
      <c r="GE363" s="35"/>
      <c r="GF363" s="35"/>
      <c r="GG363" s="35"/>
      <c r="GH363" s="35"/>
      <c r="GI363" s="35"/>
      <c r="GJ363" s="35"/>
      <c r="GK363" s="35"/>
      <c r="GL363" s="35"/>
      <c r="GM363" s="35"/>
      <c r="GN363" s="35"/>
      <c r="GO363" s="35"/>
      <c r="GP363" s="35"/>
      <c r="GQ363" s="35"/>
      <c r="GR363" s="35"/>
      <c r="GS363" s="35"/>
      <c r="GT363" s="35"/>
      <c r="GU363" s="35"/>
      <c r="GV363" s="35"/>
      <c r="GW363" s="35"/>
      <c r="GX363" s="35"/>
      <c r="GY363" s="35"/>
      <c r="GZ363" s="35"/>
      <c r="HA363" s="35"/>
      <c r="HB363" s="35"/>
      <c r="HC363" s="35"/>
      <c r="HD363" s="35"/>
      <c r="HE363" s="35"/>
      <c r="HF363" s="35"/>
      <c r="HG363" s="35"/>
      <c r="HH363" s="35"/>
      <c r="HI363" s="35"/>
      <c r="HJ363" s="35"/>
      <c r="HK363" s="35"/>
      <c r="HL363" s="35"/>
      <c r="HM363" s="35"/>
      <c r="HN363" s="35"/>
      <c r="HO363" s="35"/>
      <c r="HP363" s="35"/>
      <c r="HQ363" s="35"/>
      <c r="HR363" s="35"/>
      <c r="HS363" s="35"/>
      <c r="HT363" s="35"/>
      <c r="HU363" s="35"/>
      <c r="HV363" s="35"/>
      <c r="HW363" s="35"/>
      <c r="HX363" s="35"/>
      <c r="HY363" s="35"/>
      <c r="HZ363" s="35"/>
      <c r="IA363" s="35"/>
      <c r="IB363" s="35"/>
      <c r="IC363" s="35"/>
      <c r="ID363" s="35"/>
      <c r="IE363" s="35"/>
      <c r="IF363" s="35"/>
      <c r="IG363" s="35"/>
      <c r="IH363" s="35"/>
      <c r="II363" s="35"/>
      <c r="IJ363" s="35"/>
      <c r="IK363" s="35"/>
      <c r="IL363" s="35"/>
      <c r="IM363" s="35"/>
      <c r="IN363" s="35"/>
      <c r="IO363" s="35"/>
      <c r="IP363" s="35"/>
      <c r="IQ363" s="35"/>
      <c r="IR363" s="35"/>
      <c r="IS363" s="35"/>
      <c r="IT363" s="35"/>
      <c r="IU363" s="35"/>
      <c r="IV363" s="35"/>
      <c r="IW363" s="35"/>
      <c r="IX363" s="35"/>
      <c r="IY363" s="35"/>
      <c r="IZ363" s="35"/>
      <c r="JA363" s="35"/>
      <c r="JB363" s="35"/>
      <c r="JC363" s="35"/>
      <c r="JD363" s="35"/>
      <c r="JE363" s="35"/>
      <c r="JF363" s="35"/>
      <c r="JG363" s="35"/>
      <c r="JH363" s="35"/>
      <c r="JI363" s="35"/>
      <c r="JJ363" s="35"/>
      <c r="JK363" s="35"/>
      <c r="JL363" s="35"/>
      <c r="JM363" s="35"/>
      <c r="JN363" s="35"/>
      <c r="JO363" s="35"/>
      <c r="JP363" s="35"/>
      <c r="JQ363" s="35"/>
      <c r="JR363" s="35"/>
      <c r="JS363" s="35"/>
      <c r="JT363" s="35"/>
      <c r="JU363" s="35"/>
      <c r="JV363" s="35"/>
      <c r="JW363" s="35"/>
      <c r="JX363" s="35"/>
      <c r="JY363" s="35"/>
      <c r="JZ363" s="35"/>
      <c r="KA363" s="35"/>
      <c r="KB363" s="35"/>
      <c r="KC363" s="35"/>
      <c r="KD363" s="35"/>
      <c r="KE363" s="35"/>
      <c r="KF363" s="35"/>
      <c r="KG363" s="35"/>
      <c r="KH363" s="35"/>
      <c r="KI363" s="35"/>
      <c r="KJ363" s="35"/>
      <c r="KK363" s="35"/>
      <c r="KL363" s="35"/>
      <c r="KM363" s="35"/>
      <c r="KN363" s="35"/>
      <c r="KO363" s="35"/>
      <c r="KP363" s="1633"/>
    </row>
    <row r="364" spans="1:302" s="92" customFormat="1" ht="25.25" customHeight="1" outlineLevel="1">
      <c r="A364" s="1676" t="s">
        <v>140</v>
      </c>
      <c r="B364" s="1993" t="s">
        <v>1176</v>
      </c>
      <c r="C364" s="1359" t="s">
        <v>1337</v>
      </c>
      <c r="D364" s="1675" t="s">
        <v>454</v>
      </c>
      <c r="E364" s="1389"/>
      <c r="F364" s="506"/>
      <c r="G364" s="1390"/>
      <c r="H364" s="1391"/>
      <c r="I364" s="2573">
        <v>50000</v>
      </c>
      <c r="J364" s="1672"/>
      <c r="K364" s="1697"/>
      <c r="L364" s="1697"/>
      <c r="M364" s="1701">
        <v>50000</v>
      </c>
      <c r="N364" s="1697">
        <v>1</v>
      </c>
      <c r="O364" s="1397">
        <f t="shared" si="469"/>
        <v>50000</v>
      </c>
      <c r="P364" s="1671"/>
      <c r="Q364" s="1671"/>
      <c r="R364" s="1671"/>
      <c r="S364" s="1672"/>
      <c r="T364" s="1699"/>
      <c r="U364" s="1700"/>
      <c r="V364" s="1700"/>
      <c r="W364" s="1672">
        <f t="shared" si="470"/>
        <v>50000</v>
      </c>
      <c r="X364" s="1672"/>
      <c r="Y364" s="1699"/>
      <c r="Z364" s="1700"/>
      <c r="AA364" s="1699"/>
      <c r="AB364" s="1672">
        <f t="shared" si="471"/>
        <v>50000</v>
      </c>
      <c r="AC364" s="1444" t="s">
        <v>1336</v>
      </c>
      <c r="AD364" s="1467">
        <v>4502968920</v>
      </c>
      <c r="AE364" s="510" t="s">
        <v>564</v>
      </c>
      <c r="AF364" s="497">
        <v>50000</v>
      </c>
      <c r="AG364" s="1403">
        <v>1</v>
      </c>
      <c r="AH364" s="1397">
        <f t="shared" si="351"/>
        <v>50000</v>
      </c>
      <c r="AI364" s="355">
        <f t="shared" si="435"/>
        <v>0</v>
      </c>
      <c r="AJ364" s="351">
        <f t="shared" si="467"/>
        <v>0</v>
      </c>
      <c r="AK364" s="351"/>
      <c r="AL364" s="1398"/>
      <c r="AM364" s="2273"/>
      <c r="AN364" s="2273"/>
      <c r="AO364" s="497"/>
      <c r="AP364" s="497"/>
      <c r="AQ364" s="497"/>
      <c r="AR364" s="497"/>
      <c r="AS364" s="497"/>
      <c r="AT364" s="2015"/>
      <c r="AU364" s="497"/>
      <c r="AV364" s="497"/>
      <c r="AW364" s="497">
        <v>50000</v>
      </c>
      <c r="AX364" s="1922"/>
      <c r="AY364" s="2324"/>
      <c r="AZ364" s="2258"/>
      <c r="BA364" s="380"/>
      <c r="BB364" s="497"/>
      <c r="BC364" s="497"/>
      <c r="BD364" s="497"/>
      <c r="BE364" s="497"/>
      <c r="BF364" s="497"/>
      <c r="BG364" s="497"/>
      <c r="BH364" s="497"/>
      <c r="BI364" s="497"/>
      <c r="BJ364" s="497"/>
      <c r="BK364" s="2137"/>
      <c r="BL364" s="2011"/>
      <c r="BM364" s="2011"/>
      <c r="BN364" s="2011"/>
      <c r="BO364" s="2011"/>
      <c r="BP364" s="2011"/>
      <c r="BQ364" s="2403"/>
      <c r="BR364" s="497"/>
      <c r="BS364" s="497"/>
      <c r="BT364" s="497"/>
      <c r="BU364" s="497"/>
      <c r="BV364" s="497"/>
      <c r="BW364" s="2060"/>
      <c r="BX364" s="2417"/>
      <c r="BY364" s="2549"/>
      <c r="BZ364" s="2549"/>
      <c r="CA364" s="2435">
        <f t="shared" si="484"/>
        <v>50000</v>
      </c>
      <c r="CB364" s="2380">
        <f t="shared" si="485"/>
        <v>1</v>
      </c>
      <c r="CC364" s="365">
        <f t="shared" si="486"/>
        <v>2.0000000000000002E-5</v>
      </c>
      <c r="CD364" s="1380">
        <f t="shared" si="487"/>
        <v>0</v>
      </c>
      <c r="CE364" s="1381">
        <f t="shared" si="488"/>
        <v>0</v>
      </c>
      <c r="CF364" s="1381"/>
      <c r="CG364" s="501"/>
      <c r="CH364" s="502"/>
      <c r="CI364" s="503"/>
      <c r="CJ364" s="504"/>
      <c r="CK364" s="505"/>
      <c r="CL364" s="329">
        <f t="shared" si="450"/>
        <v>0</v>
      </c>
      <c r="CM364" s="330">
        <f t="shared" si="451"/>
        <v>0</v>
      </c>
      <c r="CN364" s="331">
        <f t="shared" si="369"/>
        <v>0</v>
      </c>
      <c r="CO364" s="86"/>
      <c r="CP364" s="86">
        <f>I364-O364</f>
        <v>0</v>
      </c>
      <c r="CQ364" s="86"/>
      <c r="CR364" s="86"/>
      <c r="CS364" s="86"/>
      <c r="CT364" s="86"/>
      <c r="CU364" s="86"/>
      <c r="CV364" s="86"/>
      <c r="CW364" s="86"/>
      <c r="CX364" s="86"/>
      <c r="CY364" s="86"/>
      <c r="CZ364" s="86"/>
      <c r="DA364" s="86"/>
      <c r="DB364" s="32"/>
      <c r="DC364" s="32"/>
      <c r="DD364" s="1664"/>
      <c r="DE364" s="35"/>
      <c r="DF364" s="35"/>
      <c r="DG364" s="1642"/>
      <c r="DH364" s="1642"/>
      <c r="DI364" s="1642"/>
      <c r="DJ364" s="1642"/>
      <c r="DK364" s="1642"/>
      <c r="DL364" s="1642"/>
      <c r="DM364" s="1642"/>
      <c r="DN364" s="1642"/>
      <c r="DO364" s="1642"/>
      <c r="DP364" s="1642"/>
      <c r="DQ364" s="1642"/>
      <c r="DR364" s="1642"/>
      <c r="DS364" s="1642"/>
      <c r="DT364" s="1642"/>
      <c r="DU364" s="1642"/>
      <c r="DV364" s="1642"/>
      <c r="DW364" s="1642"/>
      <c r="DX364" s="1642"/>
      <c r="DY364" s="1642"/>
      <c r="DZ364" s="1642"/>
      <c r="EA364" s="1642"/>
      <c r="EB364" s="1642"/>
      <c r="EC364" s="1642"/>
      <c r="ED364" s="1642"/>
      <c r="EE364" s="1642"/>
      <c r="EF364" s="1642"/>
      <c r="EG364" s="1642"/>
      <c r="EH364" s="35"/>
      <c r="EI364" s="1658"/>
      <c r="EJ364" s="35"/>
      <c r="EK364" s="35"/>
      <c r="EL364" s="35"/>
      <c r="EM364" s="35"/>
      <c r="EN364" s="35"/>
      <c r="EO364" s="35"/>
      <c r="EP364" s="35"/>
      <c r="EQ364" s="35"/>
      <c r="ER364" s="35"/>
      <c r="ES364" s="35"/>
      <c r="ET364" s="35"/>
      <c r="EU364" s="35"/>
      <c r="EV364" s="35"/>
      <c r="EW364" s="35"/>
      <c r="EX364" s="35"/>
      <c r="EY364" s="35"/>
      <c r="EZ364" s="35"/>
      <c r="FA364" s="35"/>
      <c r="FB364" s="35"/>
      <c r="FC364" s="35"/>
      <c r="FD364" s="35"/>
      <c r="FE364" s="35"/>
      <c r="FF364" s="35"/>
      <c r="FG364" s="35"/>
      <c r="FH364" s="35"/>
      <c r="FI364" s="35"/>
      <c r="FJ364" s="35"/>
      <c r="FK364" s="35"/>
      <c r="FL364" s="35"/>
      <c r="FM364" s="35"/>
      <c r="FN364" s="35"/>
      <c r="FO364" s="35"/>
      <c r="FP364" s="35"/>
      <c r="FQ364" s="35"/>
      <c r="FR364" s="35"/>
      <c r="FS364" s="35"/>
      <c r="FT364" s="35"/>
      <c r="FU364" s="35"/>
      <c r="FV364" s="35"/>
      <c r="FW364" s="35"/>
      <c r="FX364" s="35"/>
      <c r="FY364" s="35"/>
      <c r="FZ364" s="35"/>
      <c r="GA364" s="35"/>
      <c r="GB364" s="35"/>
      <c r="GC364" s="35"/>
      <c r="GD364" s="35"/>
      <c r="GE364" s="35"/>
      <c r="GF364" s="35"/>
      <c r="GG364" s="35"/>
      <c r="GH364" s="35"/>
      <c r="GI364" s="35"/>
      <c r="GJ364" s="35"/>
      <c r="GK364" s="35"/>
      <c r="GL364" s="35"/>
      <c r="GM364" s="35"/>
      <c r="GN364" s="35"/>
      <c r="GO364" s="35"/>
      <c r="GP364" s="35"/>
      <c r="GQ364" s="35"/>
      <c r="GR364" s="35"/>
      <c r="GS364" s="35"/>
      <c r="GT364" s="35"/>
      <c r="GU364" s="35"/>
      <c r="GV364" s="35"/>
      <c r="GW364" s="35"/>
      <c r="GX364" s="35"/>
      <c r="GY364" s="35"/>
      <c r="GZ364" s="35"/>
      <c r="HA364" s="35"/>
      <c r="HB364" s="35"/>
      <c r="HC364" s="35"/>
      <c r="HD364" s="35"/>
      <c r="HE364" s="35"/>
      <c r="HF364" s="35"/>
      <c r="HG364" s="35"/>
      <c r="HH364" s="35"/>
      <c r="HI364" s="35"/>
      <c r="HJ364" s="35"/>
      <c r="HK364" s="35"/>
      <c r="HL364" s="35"/>
      <c r="HM364" s="35"/>
      <c r="HN364" s="35"/>
      <c r="HO364" s="35"/>
      <c r="HP364" s="35"/>
      <c r="HQ364" s="35"/>
      <c r="HR364" s="35"/>
      <c r="HS364" s="35"/>
      <c r="HT364" s="35"/>
      <c r="HU364" s="35"/>
      <c r="HV364" s="35"/>
      <c r="HW364" s="35"/>
      <c r="HX364" s="35"/>
      <c r="HY364" s="35"/>
      <c r="HZ364" s="35"/>
      <c r="IA364" s="35"/>
      <c r="IB364" s="35"/>
      <c r="IC364" s="35"/>
      <c r="ID364" s="35"/>
      <c r="IE364" s="35"/>
      <c r="IF364" s="35"/>
      <c r="IG364" s="35"/>
      <c r="IH364" s="35"/>
      <c r="II364" s="35"/>
      <c r="IJ364" s="35"/>
      <c r="IK364" s="35"/>
      <c r="IL364" s="35"/>
      <c r="IM364" s="35"/>
      <c r="IN364" s="35"/>
      <c r="IO364" s="35"/>
      <c r="IP364" s="35"/>
      <c r="IQ364" s="35"/>
      <c r="IR364" s="35"/>
      <c r="IS364" s="35"/>
      <c r="IT364" s="35"/>
      <c r="IU364" s="35"/>
      <c r="IV364" s="35"/>
      <c r="IW364" s="35"/>
      <c r="IX364" s="35"/>
      <c r="IY364" s="35"/>
      <c r="IZ364" s="35"/>
      <c r="JA364" s="35"/>
      <c r="JB364" s="35"/>
      <c r="JC364" s="35"/>
      <c r="JD364" s="35"/>
      <c r="JE364" s="35"/>
      <c r="JF364" s="35"/>
      <c r="JG364" s="35"/>
      <c r="JH364" s="35"/>
      <c r="JI364" s="35"/>
      <c r="JJ364" s="35"/>
      <c r="JK364" s="35"/>
      <c r="JL364" s="35"/>
      <c r="JM364" s="35"/>
      <c r="JN364" s="35"/>
      <c r="JO364" s="35"/>
      <c r="JP364" s="35"/>
      <c r="JQ364" s="35"/>
      <c r="JR364" s="35"/>
      <c r="JS364" s="35"/>
      <c r="JT364" s="35"/>
      <c r="JU364" s="35"/>
      <c r="JV364" s="35"/>
      <c r="JW364" s="35"/>
      <c r="JX364" s="35"/>
      <c r="JY364" s="35"/>
      <c r="JZ364" s="35"/>
      <c r="KA364" s="35"/>
      <c r="KB364" s="35"/>
      <c r="KC364" s="35"/>
      <c r="KD364" s="35"/>
      <c r="KE364" s="35"/>
      <c r="KF364" s="35"/>
      <c r="KG364" s="35"/>
      <c r="KH364" s="35"/>
      <c r="KI364" s="35"/>
      <c r="KJ364" s="35"/>
      <c r="KK364" s="35"/>
      <c r="KL364" s="35"/>
      <c r="KM364" s="35"/>
      <c r="KN364" s="35"/>
      <c r="KO364" s="35"/>
      <c r="KP364" s="1633"/>
    </row>
    <row r="365" spans="1:302" s="92" customFormat="1" ht="25.25" customHeight="1" outlineLevel="1">
      <c r="A365" s="1676" t="s">
        <v>158</v>
      </c>
      <c r="B365" s="2712" t="s">
        <v>1223</v>
      </c>
      <c r="C365" s="2020" t="s">
        <v>1288</v>
      </c>
      <c r="D365" s="1363" t="s">
        <v>302</v>
      </c>
      <c r="E365" s="1389"/>
      <c r="F365" s="506"/>
      <c r="G365" s="1390"/>
      <c r="H365" s="1391"/>
      <c r="I365" s="2711">
        <v>50000</v>
      </c>
      <c r="J365" s="1672"/>
      <c r="K365" s="1697"/>
      <c r="L365" s="1697"/>
      <c r="M365" s="1701">
        <v>50000</v>
      </c>
      <c r="N365" s="1697">
        <v>1</v>
      </c>
      <c r="O365" s="1397">
        <f t="shared" si="469"/>
        <v>50000</v>
      </c>
      <c r="P365" s="1671"/>
      <c r="Q365" s="1671"/>
      <c r="R365" s="1671"/>
      <c r="S365" s="1672"/>
      <c r="T365" s="1699"/>
      <c r="U365" s="1700"/>
      <c r="V365" s="1700"/>
      <c r="W365" s="1672">
        <f>O365+S365</f>
        <v>50000</v>
      </c>
      <c r="X365" s="1672"/>
      <c r="Y365" s="1699"/>
      <c r="Z365" s="1700"/>
      <c r="AA365" s="1699"/>
      <c r="AB365" s="2730">
        <f t="shared" si="471"/>
        <v>50000</v>
      </c>
      <c r="AC365" s="1444" t="s">
        <v>1232</v>
      </c>
      <c r="AD365" s="1467">
        <v>4502934293</v>
      </c>
      <c r="AE365" s="510" t="s">
        <v>564</v>
      </c>
      <c r="AF365" s="497">
        <v>50000</v>
      </c>
      <c r="AG365" s="1403">
        <v>1</v>
      </c>
      <c r="AH365" s="1397">
        <f t="shared" si="351"/>
        <v>50000</v>
      </c>
      <c r="AI365" s="355">
        <f t="shared" si="435"/>
        <v>50000</v>
      </c>
      <c r="AJ365" s="351">
        <f t="shared" si="467"/>
        <v>1</v>
      </c>
      <c r="AK365" s="351"/>
      <c r="AL365" s="1398"/>
      <c r="AM365" s="2273"/>
      <c r="AN365" s="2273"/>
      <c r="AO365" s="2823">
        <v>50000</v>
      </c>
      <c r="AP365" s="497"/>
      <c r="AQ365" s="497"/>
      <c r="AR365" s="497"/>
      <c r="AS365" s="497"/>
      <c r="AT365" s="2015"/>
      <c r="AU365" s="497"/>
      <c r="AV365" s="497"/>
      <c r="AW365" s="497"/>
      <c r="AX365" s="497"/>
      <c r="AY365" s="2060"/>
      <c r="AZ365" s="2273"/>
      <c r="BA365" s="2011"/>
      <c r="BB365" s="497"/>
      <c r="BC365" s="497"/>
      <c r="BD365" s="497"/>
      <c r="BE365" s="497"/>
      <c r="BF365" s="497"/>
      <c r="BG365" s="497"/>
      <c r="BH365" s="497"/>
      <c r="BI365" s="497"/>
      <c r="BJ365" s="497"/>
      <c r="BK365" s="2137"/>
      <c r="BL365" s="2011"/>
      <c r="BM365" s="2011"/>
      <c r="BN365" s="2011"/>
      <c r="BO365" s="2011"/>
      <c r="BP365" s="2011"/>
      <c r="BQ365" s="2403"/>
      <c r="BR365" s="497"/>
      <c r="BS365" s="497"/>
      <c r="BT365" s="497"/>
      <c r="BU365" s="497"/>
      <c r="BV365" s="497"/>
      <c r="BW365" s="2060"/>
      <c r="BX365" s="2417"/>
      <c r="BY365" s="2549"/>
      <c r="BZ365" s="2549"/>
      <c r="CA365" s="2435">
        <f t="shared" si="484"/>
        <v>0</v>
      </c>
      <c r="CB365" s="2380">
        <f t="shared" si="485"/>
        <v>0</v>
      </c>
      <c r="CC365" s="365">
        <f t="shared" si="486"/>
        <v>0</v>
      </c>
      <c r="CD365" s="1380">
        <f t="shared" si="487"/>
        <v>0</v>
      </c>
      <c r="CE365" s="1381">
        <f t="shared" si="488"/>
        <v>0</v>
      </c>
      <c r="CF365" s="1381"/>
      <c r="CG365" s="501"/>
      <c r="CH365" s="502"/>
      <c r="CI365" s="503"/>
      <c r="CJ365" s="504"/>
      <c r="CK365" s="505"/>
      <c r="CL365" s="329">
        <f t="shared" si="450"/>
        <v>50000</v>
      </c>
      <c r="CM365" s="330">
        <f t="shared" si="451"/>
        <v>0</v>
      </c>
      <c r="CN365" s="331">
        <f t="shared" si="369"/>
        <v>0</v>
      </c>
      <c r="CO365" s="86"/>
      <c r="CP365" s="86"/>
      <c r="CQ365" s="86"/>
      <c r="CR365" s="86"/>
      <c r="CS365" s="86"/>
      <c r="CT365" s="86"/>
      <c r="CU365" s="86"/>
      <c r="CV365" s="86"/>
      <c r="CW365" s="86"/>
      <c r="CX365" s="86"/>
      <c r="CY365" s="86"/>
      <c r="CZ365" s="86"/>
      <c r="DA365" s="86"/>
      <c r="DB365" s="32"/>
      <c r="DC365" s="32"/>
      <c r="DD365" s="1664"/>
      <c r="DE365" s="35"/>
      <c r="DF365" s="35"/>
      <c r="DG365" s="1642"/>
      <c r="DH365" s="1642"/>
      <c r="DI365" s="1642"/>
      <c r="DJ365" s="1642"/>
      <c r="DK365" s="1642"/>
      <c r="DL365" s="1642"/>
      <c r="DM365" s="1642"/>
      <c r="DN365" s="1642"/>
      <c r="DO365" s="1642"/>
      <c r="DP365" s="1642"/>
      <c r="DQ365" s="1642"/>
      <c r="DR365" s="1642"/>
      <c r="DS365" s="1642"/>
      <c r="DT365" s="1642"/>
      <c r="DU365" s="1642"/>
      <c r="DV365" s="1642"/>
      <c r="DW365" s="1642"/>
      <c r="DX365" s="1642"/>
      <c r="DY365" s="1642"/>
      <c r="DZ365" s="1642"/>
      <c r="EA365" s="1642"/>
      <c r="EB365" s="1642"/>
      <c r="EC365" s="1642"/>
      <c r="ED365" s="1642"/>
      <c r="EE365" s="1642"/>
      <c r="EF365" s="1642"/>
      <c r="EG365" s="1642"/>
      <c r="EH365" s="35"/>
      <c r="EI365" s="1658"/>
      <c r="EJ365" s="35"/>
      <c r="EK365" s="35"/>
      <c r="EL365" s="35"/>
      <c r="EM365" s="35"/>
      <c r="EN365" s="35"/>
      <c r="EO365" s="35"/>
      <c r="EP365" s="35"/>
      <c r="EQ365" s="35"/>
      <c r="ER365" s="35"/>
      <c r="ES365" s="35"/>
      <c r="ET365" s="35"/>
      <c r="EU365" s="35"/>
      <c r="EV365" s="35"/>
      <c r="EW365" s="35"/>
      <c r="EX365" s="35"/>
      <c r="EY365" s="35"/>
      <c r="EZ365" s="35"/>
      <c r="FA365" s="35"/>
      <c r="FB365" s="35"/>
      <c r="FC365" s="35"/>
      <c r="FD365" s="35"/>
      <c r="FE365" s="35"/>
      <c r="FF365" s="35"/>
      <c r="FG365" s="35"/>
      <c r="FH365" s="35"/>
      <c r="FI365" s="35"/>
      <c r="FJ365" s="35"/>
      <c r="FK365" s="35"/>
      <c r="FL365" s="35"/>
      <c r="FM365" s="35"/>
      <c r="FN365" s="35"/>
      <c r="FO365" s="35"/>
      <c r="FP365" s="35"/>
      <c r="FQ365" s="35"/>
      <c r="FR365" s="35"/>
      <c r="FS365" s="35"/>
      <c r="FT365" s="35"/>
      <c r="FU365" s="35"/>
      <c r="FV365" s="35"/>
      <c r="FW365" s="35"/>
      <c r="FX365" s="35"/>
      <c r="FY365" s="35"/>
      <c r="FZ365" s="35"/>
      <c r="GA365" s="35"/>
      <c r="GB365" s="35"/>
      <c r="GC365" s="35"/>
      <c r="GD365" s="35"/>
      <c r="GE365" s="35"/>
      <c r="GF365" s="35"/>
      <c r="GG365" s="35"/>
      <c r="GH365" s="35"/>
      <c r="GI365" s="35"/>
      <c r="GJ365" s="35"/>
      <c r="GK365" s="35"/>
      <c r="GL365" s="35"/>
      <c r="GM365" s="35"/>
      <c r="GN365" s="35"/>
      <c r="GO365" s="35"/>
      <c r="GP365" s="35"/>
      <c r="GQ365" s="35"/>
      <c r="GR365" s="35"/>
      <c r="GS365" s="35"/>
      <c r="GT365" s="35"/>
      <c r="GU365" s="35"/>
      <c r="GV365" s="35"/>
      <c r="GW365" s="35"/>
      <c r="GX365" s="35"/>
      <c r="GY365" s="35"/>
      <c r="GZ365" s="35"/>
      <c r="HA365" s="35"/>
      <c r="HB365" s="35"/>
      <c r="HC365" s="35"/>
      <c r="HD365" s="35"/>
      <c r="HE365" s="35"/>
      <c r="HF365" s="35"/>
      <c r="HG365" s="35"/>
      <c r="HH365" s="35"/>
      <c r="HI365" s="35"/>
      <c r="HJ365" s="35"/>
      <c r="HK365" s="35"/>
      <c r="HL365" s="35"/>
      <c r="HM365" s="35"/>
      <c r="HN365" s="35"/>
      <c r="HO365" s="35"/>
      <c r="HP365" s="35"/>
      <c r="HQ365" s="35"/>
      <c r="HR365" s="35"/>
      <c r="HS365" s="35"/>
      <c r="HT365" s="35"/>
      <c r="HU365" s="35"/>
      <c r="HV365" s="35"/>
      <c r="HW365" s="35"/>
      <c r="HX365" s="35"/>
      <c r="HY365" s="35"/>
      <c r="HZ365" s="35"/>
      <c r="IA365" s="35"/>
      <c r="IB365" s="35"/>
      <c r="IC365" s="35"/>
      <c r="ID365" s="35"/>
      <c r="IE365" s="35"/>
      <c r="IF365" s="35"/>
      <c r="IG365" s="35"/>
      <c r="IH365" s="35"/>
      <c r="II365" s="35"/>
      <c r="IJ365" s="35"/>
      <c r="IK365" s="35"/>
      <c r="IL365" s="35"/>
      <c r="IM365" s="35"/>
      <c r="IN365" s="35"/>
      <c r="IO365" s="35"/>
      <c r="IP365" s="35"/>
      <c r="IQ365" s="35"/>
      <c r="IR365" s="35"/>
      <c r="IS365" s="35"/>
      <c r="IT365" s="35"/>
      <c r="IU365" s="35"/>
      <c r="IV365" s="35"/>
      <c r="IW365" s="35"/>
      <c r="IX365" s="35"/>
      <c r="IY365" s="35"/>
      <c r="IZ365" s="35"/>
      <c r="JA365" s="35"/>
      <c r="JB365" s="35"/>
      <c r="JC365" s="35"/>
      <c r="JD365" s="35"/>
      <c r="JE365" s="35"/>
      <c r="JF365" s="35"/>
      <c r="JG365" s="35"/>
      <c r="JH365" s="35"/>
      <c r="JI365" s="35"/>
      <c r="JJ365" s="35"/>
      <c r="JK365" s="35"/>
      <c r="JL365" s="35"/>
      <c r="JM365" s="35"/>
      <c r="JN365" s="35"/>
      <c r="JO365" s="35"/>
      <c r="JP365" s="35"/>
      <c r="JQ365" s="35"/>
      <c r="JR365" s="35"/>
      <c r="JS365" s="35"/>
      <c r="JT365" s="35"/>
      <c r="JU365" s="35"/>
      <c r="JV365" s="35"/>
      <c r="JW365" s="35"/>
      <c r="JX365" s="35"/>
      <c r="JY365" s="35"/>
      <c r="JZ365" s="35"/>
      <c r="KA365" s="35"/>
      <c r="KB365" s="35"/>
      <c r="KC365" s="35"/>
      <c r="KD365" s="35"/>
      <c r="KE365" s="35"/>
      <c r="KF365" s="35"/>
      <c r="KG365" s="35"/>
      <c r="KH365" s="35"/>
      <c r="KI365" s="35"/>
      <c r="KJ365" s="35"/>
      <c r="KK365" s="35"/>
      <c r="KL365" s="35"/>
      <c r="KM365" s="35"/>
      <c r="KN365" s="35"/>
      <c r="KO365" s="35"/>
      <c r="KP365" s="1633"/>
    </row>
    <row r="366" spans="1:302" s="92" customFormat="1" ht="25.25" customHeight="1" outlineLevel="1">
      <c r="A366" s="1676" t="s">
        <v>159</v>
      </c>
      <c r="B366" s="1993" t="s">
        <v>1177</v>
      </c>
      <c r="C366" s="1359" t="s">
        <v>184</v>
      </c>
      <c r="D366" s="1675" t="s">
        <v>237</v>
      </c>
      <c r="E366" s="1389"/>
      <c r="F366" s="506"/>
      <c r="G366" s="1390"/>
      <c r="H366" s="1391"/>
      <c r="I366" s="2573">
        <v>120000</v>
      </c>
      <c r="J366" s="1672"/>
      <c r="K366" s="1697"/>
      <c r="L366" s="1697"/>
      <c r="M366" s="1701">
        <v>30000</v>
      </c>
      <c r="N366" s="1697">
        <v>4</v>
      </c>
      <c r="O366" s="1397">
        <f t="shared" si="469"/>
        <v>120000</v>
      </c>
      <c r="P366" s="1671"/>
      <c r="Q366" s="1671"/>
      <c r="R366" s="1671"/>
      <c r="S366" s="1672"/>
      <c r="T366" s="1699"/>
      <c r="U366" s="1700"/>
      <c r="V366" s="1700"/>
      <c r="W366" s="1672">
        <f t="shared" si="470"/>
        <v>120000</v>
      </c>
      <c r="X366" s="1672"/>
      <c r="Y366" s="1699"/>
      <c r="Z366" s="1700"/>
      <c r="AA366" s="1699"/>
      <c r="AB366" s="1672">
        <f t="shared" si="471"/>
        <v>120000</v>
      </c>
      <c r="AC366" s="1444"/>
      <c r="AD366" s="1679"/>
      <c r="AE366" s="510"/>
      <c r="AF366" s="497"/>
      <c r="AG366" s="1403">
        <v>1</v>
      </c>
      <c r="AH366" s="1397">
        <f t="shared" si="351"/>
        <v>0</v>
      </c>
      <c r="AI366" s="355">
        <f t="shared" si="435"/>
        <v>0</v>
      </c>
      <c r="AJ366" s="351">
        <f t="shared" si="467"/>
        <v>0</v>
      </c>
      <c r="AK366" s="351"/>
      <c r="AL366" s="1398"/>
      <c r="AM366" s="2273"/>
      <c r="AN366" s="2273"/>
      <c r="AO366" s="497"/>
      <c r="AP366" s="497"/>
      <c r="AQ366" s="497"/>
      <c r="AR366" s="497"/>
      <c r="AS366" s="1922"/>
      <c r="AT366" s="2015">
        <v>12000</v>
      </c>
      <c r="AU366" s="1922">
        <v>12000</v>
      </c>
      <c r="AV366" s="1922">
        <v>12000</v>
      </c>
      <c r="AW366" s="1922"/>
      <c r="AX366" s="1922"/>
      <c r="AY366" s="2238">
        <v>12000</v>
      </c>
      <c r="AZ366" s="2273">
        <v>12000</v>
      </c>
      <c r="BA366" s="2011">
        <v>12000</v>
      </c>
      <c r="BB366" s="497">
        <v>12000</v>
      </c>
      <c r="BC366" s="497"/>
      <c r="BD366" s="497"/>
      <c r="BE366" s="497"/>
      <c r="BF366" s="497"/>
      <c r="BG366" s="497"/>
      <c r="BH366" s="497"/>
      <c r="BI366" s="497"/>
      <c r="BJ366" s="497"/>
      <c r="BK366" s="2137">
        <v>12000</v>
      </c>
      <c r="BL366" s="2011">
        <v>12000</v>
      </c>
      <c r="BM366" s="2011">
        <v>12000</v>
      </c>
      <c r="BN366" s="2011"/>
      <c r="BO366" s="2011"/>
      <c r="BP366" s="2011"/>
      <c r="BQ366" s="2403"/>
      <c r="BR366" s="497"/>
      <c r="BS366" s="497"/>
      <c r="BT366" s="497"/>
      <c r="BU366" s="497"/>
      <c r="BV366" s="497"/>
      <c r="BW366" s="2060"/>
      <c r="BX366" s="2417"/>
      <c r="BY366" s="2549"/>
      <c r="BZ366" s="2549"/>
      <c r="CA366" s="2435">
        <f t="shared" si="484"/>
        <v>120000</v>
      </c>
      <c r="CB366" s="2380">
        <f t="shared" si="485"/>
        <v>1</v>
      </c>
      <c r="CC366" s="365">
        <f t="shared" si="486"/>
        <v>8.3333333333333337E-6</v>
      </c>
      <c r="CD366" s="1380">
        <f t="shared" si="487"/>
        <v>0</v>
      </c>
      <c r="CE366" s="1381">
        <f t="shared" si="488"/>
        <v>0</v>
      </c>
      <c r="CF366" s="1381"/>
      <c r="CG366" s="501"/>
      <c r="CH366" s="502"/>
      <c r="CI366" s="503"/>
      <c r="CJ366" s="504"/>
      <c r="CK366" s="505"/>
      <c r="CL366" s="329">
        <f t="shared" si="450"/>
        <v>0</v>
      </c>
      <c r="CM366" s="330">
        <f t="shared" si="451"/>
        <v>0</v>
      </c>
      <c r="CN366" s="331">
        <f t="shared" si="369"/>
        <v>-72000</v>
      </c>
      <c r="CO366" s="86"/>
      <c r="CP366" s="86"/>
      <c r="CQ366" s="86"/>
      <c r="CR366" s="86"/>
      <c r="CS366" s="86"/>
      <c r="CT366" s="86"/>
      <c r="CU366" s="86"/>
      <c r="CV366" s="86"/>
      <c r="CW366" s="86"/>
      <c r="CX366" s="86"/>
      <c r="CY366" s="86"/>
      <c r="CZ366" s="86"/>
      <c r="DA366" s="86"/>
      <c r="DB366" s="32"/>
      <c r="DC366" s="32"/>
      <c r="DD366" s="1664"/>
      <c r="DE366" s="35"/>
      <c r="DF366" s="35"/>
      <c r="DG366" s="1642"/>
      <c r="DH366" s="1642"/>
      <c r="DI366" s="1642"/>
      <c r="DJ366" s="1642"/>
      <c r="DK366" s="1642"/>
      <c r="DL366" s="1642"/>
      <c r="DM366" s="1642"/>
      <c r="DN366" s="1642"/>
      <c r="DO366" s="1642"/>
      <c r="DP366" s="1642"/>
      <c r="DQ366" s="1642"/>
      <c r="DR366" s="1642"/>
      <c r="DS366" s="1642"/>
      <c r="DT366" s="1642"/>
      <c r="DU366" s="1642"/>
      <c r="DV366" s="1642"/>
      <c r="DW366" s="1642"/>
      <c r="DX366" s="1642"/>
      <c r="DY366" s="1642"/>
      <c r="DZ366" s="1642"/>
      <c r="EA366" s="1642"/>
      <c r="EB366" s="1642"/>
      <c r="EC366" s="1642"/>
      <c r="ED366" s="1642"/>
      <c r="EE366" s="1642"/>
      <c r="EF366" s="1642"/>
      <c r="EG366" s="1642"/>
      <c r="EH366" s="35"/>
      <c r="EI366" s="1658"/>
      <c r="EJ366" s="35"/>
      <c r="EK366" s="35"/>
      <c r="EL366" s="35"/>
      <c r="EM366" s="35"/>
      <c r="EN366" s="35"/>
      <c r="EO366" s="35"/>
      <c r="EP366" s="35"/>
      <c r="EQ366" s="35"/>
      <c r="ER366" s="35"/>
      <c r="ES366" s="35"/>
      <c r="ET366" s="35"/>
      <c r="EU366" s="35"/>
      <c r="EV366" s="35"/>
      <c r="EW366" s="35"/>
      <c r="EX366" s="35"/>
      <c r="EY366" s="35"/>
      <c r="EZ366" s="35"/>
      <c r="FA366" s="35"/>
      <c r="FB366" s="35"/>
      <c r="FC366" s="35"/>
      <c r="FD366" s="35"/>
      <c r="FE366" s="35"/>
      <c r="FF366" s="35"/>
      <c r="FG366" s="35"/>
      <c r="FH366" s="35"/>
      <c r="FI366" s="35"/>
      <c r="FJ366" s="35"/>
      <c r="FK366" s="35"/>
      <c r="FL366" s="35"/>
      <c r="FM366" s="35"/>
      <c r="FN366" s="35"/>
      <c r="FO366" s="35"/>
      <c r="FP366" s="35"/>
      <c r="FQ366" s="35"/>
      <c r="FR366" s="35"/>
      <c r="FS366" s="35"/>
      <c r="FT366" s="35"/>
      <c r="FU366" s="35"/>
      <c r="FV366" s="35"/>
      <c r="FW366" s="35"/>
      <c r="FX366" s="35"/>
      <c r="FY366" s="35"/>
      <c r="FZ366" s="35"/>
      <c r="GA366" s="35"/>
      <c r="GB366" s="35"/>
      <c r="GC366" s="35"/>
      <c r="GD366" s="35"/>
      <c r="GE366" s="35"/>
      <c r="GF366" s="35"/>
      <c r="GG366" s="35"/>
      <c r="GH366" s="35"/>
      <c r="GI366" s="35"/>
      <c r="GJ366" s="35"/>
      <c r="GK366" s="35"/>
      <c r="GL366" s="35"/>
      <c r="GM366" s="35"/>
      <c r="GN366" s="35"/>
      <c r="GO366" s="35"/>
      <c r="GP366" s="35"/>
      <c r="GQ366" s="35"/>
      <c r="GR366" s="35"/>
      <c r="GS366" s="35"/>
      <c r="GT366" s="35"/>
      <c r="GU366" s="35"/>
      <c r="GV366" s="35"/>
      <c r="GW366" s="35"/>
      <c r="GX366" s="35"/>
      <c r="GY366" s="35"/>
      <c r="GZ366" s="35"/>
      <c r="HA366" s="35"/>
      <c r="HB366" s="35"/>
      <c r="HC366" s="35"/>
      <c r="HD366" s="35"/>
      <c r="HE366" s="35"/>
      <c r="HF366" s="35"/>
      <c r="HG366" s="35"/>
      <c r="HH366" s="35"/>
      <c r="HI366" s="35"/>
      <c r="HJ366" s="35"/>
      <c r="HK366" s="35"/>
      <c r="HL366" s="35"/>
      <c r="HM366" s="35"/>
      <c r="HN366" s="35"/>
      <c r="HO366" s="35"/>
      <c r="HP366" s="35"/>
      <c r="HQ366" s="35"/>
      <c r="HR366" s="35"/>
      <c r="HS366" s="35"/>
      <c r="HT366" s="35"/>
      <c r="HU366" s="35"/>
      <c r="HV366" s="35"/>
      <c r="HW366" s="35"/>
      <c r="HX366" s="35"/>
      <c r="HY366" s="35"/>
      <c r="HZ366" s="35"/>
      <c r="IA366" s="35"/>
      <c r="IB366" s="35"/>
      <c r="IC366" s="35"/>
      <c r="ID366" s="35"/>
      <c r="IE366" s="35"/>
      <c r="IF366" s="35"/>
      <c r="IG366" s="35"/>
      <c r="IH366" s="35"/>
      <c r="II366" s="35"/>
      <c r="IJ366" s="35"/>
      <c r="IK366" s="35"/>
      <c r="IL366" s="35"/>
      <c r="IM366" s="35"/>
      <c r="IN366" s="35"/>
      <c r="IO366" s="35"/>
      <c r="IP366" s="35"/>
      <c r="IQ366" s="35"/>
      <c r="IR366" s="35"/>
      <c r="IS366" s="35"/>
      <c r="IT366" s="35"/>
      <c r="IU366" s="35"/>
      <c r="IV366" s="35"/>
      <c r="IW366" s="35"/>
      <c r="IX366" s="35"/>
      <c r="IY366" s="35"/>
      <c r="IZ366" s="35"/>
      <c r="JA366" s="35"/>
      <c r="JB366" s="35"/>
      <c r="JC366" s="35"/>
      <c r="JD366" s="35"/>
      <c r="JE366" s="35"/>
      <c r="JF366" s="35"/>
      <c r="JG366" s="35"/>
      <c r="JH366" s="35"/>
      <c r="JI366" s="35"/>
      <c r="JJ366" s="35"/>
      <c r="JK366" s="35"/>
      <c r="JL366" s="35"/>
      <c r="JM366" s="35"/>
      <c r="JN366" s="35"/>
      <c r="JO366" s="35"/>
      <c r="JP366" s="35"/>
      <c r="JQ366" s="35"/>
      <c r="JR366" s="35"/>
      <c r="JS366" s="35"/>
      <c r="JT366" s="35"/>
      <c r="JU366" s="35"/>
      <c r="JV366" s="35"/>
      <c r="JW366" s="35"/>
      <c r="JX366" s="35"/>
      <c r="JY366" s="35"/>
      <c r="JZ366" s="35"/>
      <c r="KA366" s="35"/>
      <c r="KB366" s="35"/>
      <c r="KC366" s="35"/>
      <c r="KD366" s="35"/>
      <c r="KE366" s="35"/>
      <c r="KF366" s="35"/>
      <c r="KG366" s="35"/>
      <c r="KH366" s="35"/>
      <c r="KI366" s="35"/>
      <c r="KJ366" s="35"/>
      <c r="KK366" s="35"/>
      <c r="KL366" s="35"/>
      <c r="KM366" s="35"/>
      <c r="KN366" s="35"/>
      <c r="KO366" s="35"/>
      <c r="KP366" s="1633"/>
    </row>
    <row r="367" spans="1:302" s="92" customFormat="1" ht="25.25" customHeight="1" outlineLevel="1">
      <c r="A367" s="1993" t="s">
        <v>1255</v>
      </c>
      <c r="B367" s="1993" t="s">
        <v>1178</v>
      </c>
      <c r="C367" s="1673" t="s">
        <v>185</v>
      </c>
      <c r="D367" s="1675" t="s">
        <v>304</v>
      </c>
      <c r="E367" s="1389"/>
      <c r="F367" s="506"/>
      <c r="G367" s="1390"/>
      <c r="H367" s="1391"/>
      <c r="I367" s="2573">
        <v>100000</v>
      </c>
      <c r="J367" s="1672"/>
      <c r="K367" s="1697"/>
      <c r="L367" s="1697"/>
      <c r="M367" s="1701">
        <v>10000</v>
      </c>
      <c r="N367" s="1697">
        <v>1</v>
      </c>
      <c r="O367" s="1397">
        <f t="shared" si="469"/>
        <v>100000</v>
      </c>
      <c r="P367" s="1671"/>
      <c r="Q367" s="1671"/>
      <c r="R367" s="1671"/>
      <c r="S367" s="1672"/>
      <c r="T367" s="1699"/>
      <c r="U367" s="1700"/>
      <c r="V367" s="1700"/>
      <c r="W367" s="1672">
        <f t="shared" si="470"/>
        <v>100000</v>
      </c>
      <c r="X367" s="1672"/>
      <c r="Y367" s="1699"/>
      <c r="Z367" s="1700"/>
      <c r="AA367" s="1699"/>
      <c r="AB367" s="1672">
        <f t="shared" si="471"/>
        <v>100000</v>
      </c>
      <c r="AC367" s="1444"/>
      <c r="AD367" s="1679"/>
      <c r="AE367" s="510"/>
      <c r="AF367" s="497"/>
      <c r="AG367" s="1403">
        <v>1</v>
      </c>
      <c r="AH367" s="1397">
        <f t="shared" si="351"/>
        <v>0</v>
      </c>
      <c r="AI367" s="355">
        <f t="shared" si="435"/>
        <v>0</v>
      </c>
      <c r="AJ367" s="351">
        <f t="shared" si="467"/>
        <v>0</v>
      </c>
      <c r="AK367" s="351"/>
      <c r="AL367" s="1398"/>
      <c r="AM367" s="2273"/>
      <c r="AN367" s="2273"/>
      <c r="AO367" s="497"/>
      <c r="AP367" s="497"/>
      <c r="AQ367" s="497"/>
      <c r="AR367" s="497"/>
      <c r="AS367" s="497"/>
      <c r="AT367" s="2015"/>
      <c r="AU367" s="497"/>
      <c r="AV367" s="497"/>
      <c r="AW367" s="497"/>
      <c r="AX367" s="497"/>
      <c r="AY367" s="2060"/>
      <c r="AZ367" s="2273"/>
      <c r="BA367" s="2011"/>
      <c r="BB367" s="497"/>
      <c r="BC367" s="497"/>
      <c r="BD367" s="497"/>
      <c r="BE367" s="497"/>
      <c r="BF367" s="497"/>
      <c r="BG367" s="497"/>
      <c r="BH367" s="497"/>
      <c r="BI367" s="497"/>
      <c r="BJ367" s="497"/>
      <c r="BK367" s="2137"/>
      <c r="BL367" s="2011"/>
      <c r="BM367" s="2011"/>
      <c r="BN367" s="2011"/>
      <c r="BO367" s="2011"/>
      <c r="BP367" s="2011">
        <v>25000</v>
      </c>
      <c r="BQ367" s="2403">
        <v>25000</v>
      </c>
      <c r="BR367" s="497">
        <v>25000</v>
      </c>
      <c r="BS367" s="497">
        <v>25000</v>
      </c>
      <c r="BT367" s="497"/>
      <c r="BU367" s="497"/>
      <c r="BV367" s="497"/>
      <c r="BW367" s="2060"/>
      <c r="BX367" s="2417"/>
      <c r="BY367" s="2549"/>
      <c r="BZ367" s="2549"/>
      <c r="CA367" s="2435">
        <f t="shared" si="484"/>
        <v>100000</v>
      </c>
      <c r="CB367" s="2380">
        <f t="shared" si="485"/>
        <v>1</v>
      </c>
      <c r="CC367" s="365">
        <f t="shared" si="486"/>
        <v>1.0000000000000001E-5</v>
      </c>
      <c r="CD367" s="1380">
        <f t="shared" si="487"/>
        <v>0</v>
      </c>
      <c r="CE367" s="1381">
        <f t="shared" si="488"/>
        <v>0</v>
      </c>
      <c r="CF367" s="1381"/>
      <c r="CG367" s="501"/>
      <c r="CH367" s="502"/>
      <c r="CI367" s="503"/>
      <c r="CJ367" s="504"/>
      <c r="CK367" s="505"/>
      <c r="CL367" s="329">
        <f t="shared" si="450"/>
        <v>0</v>
      </c>
      <c r="CM367" s="330">
        <f t="shared" si="451"/>
        <v>0</v>
      </c>
      <c r="CN367" s="331">
        <f t="shared" si="369"/>
        <v>-100000</v>
      </c>
      <c r="CO367" s="86"/>
      <c r="CP367" s="86"/>
      <c r="CQ367" s="86"/>
      <c r="CR367" s="86"/>
      <c r="CS367" s="86"/>
      <c r="CT367" s="86"/>
      <c r="CU367" s="86"/>
      <c r="CV367" s="86"/>
      <c r="CW367" s="86"/>
      <c r="CX367" s="86"/>
      <c r="CY367" s="86"/>
      <c r="CZ367" s="86"/>
      <c r="DA367" s="86"/>
      <c r="DB367" s="32"/>
      <c r="DC367" s="32"/>
      <c r="DD367" s="1664"/>
      <c r="DE367" s="35"/>
      <c r="DF367" s="35"/>
      <c r="DG367" s="1642"/>
      <c r="DH367" s="1642"/>
      <c r="DI367" s="1642"/>
      <c r="DJ367" s="1642"/>
      <c r="DK367" s="1642"/>
      <c r="DL367" s="1642"/>
      <c r="DM367" s="1642"/>
      <c r="DN367" s="1642"/>
      <c r="DO367" s="1642"/>
      <c r="DP367" s="1642"/>
      <c r="DQ367" s="1642"/>
      <c r="DR367" s="1642"/>
      <c r="DS367" s="1642"/>
      <c r="DT367" s="1642"/>
      <c r="DU367" s="1642"/>
      <c r="DV367" s="1642"/>
      <c r="DW367" s="1642"/>
      <c r="DX367" s="1642"/>
      <c r="DY367" s="1642"/>
      <c r="DZ367" s="1642"/>
      <c r="EA367" s="1642"/>
      <c r="EB367" s="1642"/>
      <c r="EC367" s="1642"/>
      <c r="ED367" s="1642"/>
      <c r="EE367" s="1642"/>
      <c r="EF367" s="1642"/>
      <c r="EG367" s="1642"/>
      <c r="EH367" s="35"/>
      <c r="EI367" s="1658"/>
      <c r="EJ367" s="35"/>
      <c r="EK367" s="35"/>
      <c r="EL367" s="35"/>
      <c r="EM367" s="35"/>
      <c r="EN367" s="35"/>
      <c r="EO367" s="35"/>
      <c r="EP367" s="35"/>
      <c r="EQ367" s="35"/>
      <c r="ER367" s="35"/>
      <c r="ES367" s="35"/>
      <c r="ET367" s="35"/>
      <c r="EU367" s="35"/>
      <c r="EV367" s="35"/>
      <c r="EW367" s="35"/>
      <c r="EX367" s="35"/>
      <c r="EY367" s="35"/>
      <c r="EZ367" s="35"/>
      <c r="FA367" s="35"/>
      <c r="FB367" s="35"/>
      <c r="FC367" s="35"/>
      <c r="FD367" s="35"/>
      <c r="FE367" s="35"/>
      <c r="FF367" s="35"/>
      <c r="FG367" s="35"/>
      <c r="FH367" s="35"/>
      <c r="FI367" s="35"/>
      <c r="FJ367" s="35"/>
      <c r="FK367" s="35"/>
      <c r="FL367" s="35"/>
      <c r="FM367" s="35"/>
      <c r="FN367" s="35"/>
      <c r="FO367" s="35"/>
      <c r="FP367" s="35"/>
      <c r="FQ367" s="35"/>
      <c r="FR367" s="35"/>
      <c r="FS367" s="35"/>
      <c r="FT367" s="35"/>
      <c r="FU367" s="35"/>
      <c r="FV367" s="35"/>
      <c r="FW367" s="35"/>
      <c r="FX367" s="35"/>
      <c r="FY367" s="35"/>
      <c r="FZ367" s="35"/>
      <c r="GA367" s="35"/>
      <c r="GB367" s="35"/>
      <c r="GC367" s="35"/>
      <c r="GD367" s="35"/>
      <c r="GE367" s="35"/>
      <c r="GF367" s="35"/>
      <c r="GG367" s="35"/>
      <c r="GH367" s="35"/>
      <c r="GI367" s="35"/>
      <c r="GJ367" s="35"/>
      <c r="GK367" s="35"/>
      <c r="GL367" s="35"/>
      <c r="GM367" s="35"/>
      <c r="GN367" s="35"/>
      <c r="GO367" s="35"/>
      <c r="GP367" s="35"/>
      <c r="GQ367" s="35"/>
      <c r="GR367" s="35"/>
      <c r="GS367" s="35"/>
      <c r="GT367" s="35"/>
      <c r="GU367" s="35"/>
      <c r="GV367" s="35"/>
      <c r="GW367" s="35"/>
      <c r="GX367" s="35"/>
      <c r="GY367" s="35"/>
      <c r="GZ367" s="35"/>
      <c r="HA367" s="35"/>
      <c r="HB367" s="35"/>
      <c r="HC367" s="35"/>
      <c r="HD367" s="35"/>
      <c r="HE367" s="35"/>
      <c r="HF367" s="35"/>
      <c r="HG367" s="35"/>
      <c r="HH367" s="35"/>
      <c r="HI367" s="35"/>
      <c r="HJ367" s="35"/>
      <c r="HK367" s="35"/>
      <c r="HL367" s="35"/>
      <c r="HM367" s="35"/>
      <c r="HN367" s="35"/>
      <c r="HO367" s="35"/>
      <c r="HP367" s="35"/>
      <c r="HQ367" s="35"/>
      <c r="HR367" s="35"/>
      <c r="HS367" s="35"/>
      <c r="HT367" s="35"/>
      <c r="HU367" s="35"/>
      <c r="HV367" s="35"/>
      <c r="HW367" s="35"/>
      <c r="HX367" s="35"/>
      <c r="HY367" s="35"/>
      <c r="HZ367" s="35"/>
      <c r="IA367" s="35"/>
      <c r="IB367" s="35"/>
      <c r="IC367" s="35"/>
      <c r="ID367" s="35"/>
      <c r="IE367" s="35"/>
      <c r="IF367" s="35"/>
      <c r="IG367" s="35"/>
      <c r="IH367" s="35"/>
      <c r="II367" s="35"/>
      <c r="IJ367" s="35"/>
      <c r="IK367" s="35"/>
      <c r="IL367" s="35"/>
      <c r="IM367" s="35"/>
      <c r="IN367" s="35"/>
      <c r="IO367" s="35"/>
      <c r="IP367" s="35"/>
      <c r="IQ367" s="35"/>
      <c r="IR367" s="35"/>
      <c r="IS367" s="35"/>
      <c r="IT367" s="35"/>
      <c r="IU367" s="35"/>
      <c r="IV367" s="35"/>
      <c r="IW367" s="35"/>
      <c r="IX367" s="35"/>
      <c r="IY367" s="35"/>
      <c r="IZ367" s="35"/>
      <c r="JA367" s="35"/>
      <c r="JB367" s="35"/>
      <c r="JC367" s="35"/>
      <c r="JD367" s="35"/>
      <c r="JE367" s="35"/>
      <c r="JF367" s="35"/>
      <c r="JG367" s="35"/>
      <c r="JH367" s="35"/>
      <c r="JI367" s="35"/>
      <c r="JJ367" s="35"/>
      <c r="JK367" s="35"/>
      <c r="JL367" s="35"/>
      <c r="JM367" s="35"/>
      <c r="JN367" s="35"/>
      <c r="JO367" s="35"/>
      <c r="JP367" s="35"/>
      <c r="JQ367" s="35"/>
      <c r="JR367" s="35"/>
      <c r="JS367" s="35"/>
      <c r="JT367" s="35"/>
      <c r="JU367" s="35"/>
      <c r="JV367" s="35"/>
      <c r="JW367" s="35"/>
      <c r="JX367" s="35"/>
      <c r="JY367" s="35"/>
      <c r="JZ367" s="35"/>
      <c r="KA367" s="35"/>
      <c r="KB367" s="35"/>
      <c r="KC367" s="35"/>
      <c r="KD367" s="35"/>
      <c r="KE367" s="35"/>
      <c r="KF367" s="35"/>
      <c r="KG367" s="35"/>
      <c r="KH367" s="35"/>
      <c r="KI367" s="35"/>
      <c r="KJ367" s="35"/>
      <c r="KK367" s="35"/>
      <c r="KL367" s="35"/>
      <c r="KM367" s="35"/>
      <c r="KN367" s="35"/>
      <c r="KO367" s="35"/>
      <c r="KP367" s="1633"/>
    </row>
    <row r="368" spans="1:302" s="92" customFormat="1" ht="25.25" customHeight="1" outlineLevel="1">
      <c r="A368" s="1993" t="s">
        <v>1256</v>
      </c>
      <c r="B368" s="1676"/>
      <c r="C368" s="1673" t="s">
        <v>186</v>
      </c>
      <c r="D368" s="1675" t="s">
        <v>305</v>
      </c>
      <c r="E368" s="1389"/>
      <c r="F368" s="506"/>
      <c r="G368" s="1390"/>
      <c r="H368" s="1391"/>
      <c r="I368" s="1694"/>
      <c r="J368" s="1672"/>
      <c r="K368" s="1697"/>
      <c r="L368" s="1697"/>
      <c r="M368" s="1701"/>
      <c r="N368" s="1697"/>
      <c r="O368" s="1397">
        <f t="shared" si="469"/>
        <v>0</v>
      </c>
      <c r="P368" s="1671"/>
      <c r="Q368" s="1671"/>
      <c r="R368" s="1671"/>
      <c r="S368" s="1672"/>
      <c r="T368" s="1699"/>
      <c r="U368" s="1700"/>
      <c r="V368" s="1700"/>
      <c r="W368" s="1672">
        <f t="shared" si="470"/>
        <v>0</v>
      </c>
      <c r="X368" s="1672"/>
      <c r="Y368" s="1699"/>
      <c r="Z368" s="1700"/>
      <c r="AA368" s="1699"/>
      <c r="AB368" s="1672">
        <f t="shared" si="471"/>
        <v>0</v>
      </c>
      <c r="AC368" s="1444"/>
      <c r="AD368" s="1679"/>
      <c r="AE368" s="510"/>
      <c r="AF368" s="497"/>
      <c r="AG368" s="1403">
        <v>1</v>
      </c>
      <c r="AH368" s="1397">
        <f t="shared" si="351"/>
        <v>0</v>
      </c>
      <c r="AI368" s="355">
        <f t="shared" si="435"/>
        <v>0</v>
      </c>
      <c r="AJ368" s="2526" t="str">
        <f t="shared" si="467"/>
        <v/>
      </c>
      <c r="AK368" s="351"/>
      <c r="AL368" s="1398"/>
      <c r="AM368" s="2273"/>
      <c r="AN368" s="2273"/>
      <c r="AO368" s="1922"/>
      <c r="AP368" s="497"/>
      <c r="AQ368" s="1922"/>
      <c r="AR368" s="1922"/>
      <c r="AS368" s="1922"/>
      <c r="AT368" s="2015"/>
      <c r="AU368" s="1922"/>
      <c r="AV368" s="1922"/>
      <c r="AW368" s="1922"/>
      <c r="AX368" s="1922"/>
      <c r="AY368" s="2238"/>
      <c r="AZ368" s="2273"/>
      <c r="BA368" s="2011"/>
      <c r="BB368" s="497"/>
      <c r="BC368" s="497"/>
      <c r="BD368" s="497"/>
      <c r="BE368" s="497"/>
      <c r="BF368" s="497"/>
      <c r="BG368" s="497"/>
      <c r="BH368" s="497"/>
      <c r="BI368" s="497"/>
      <c r="BJ368" s="497"/>
      <c r="BK368" s="2137"/>
      <c r="BL368" s="2011"/>
      <c r="BM368" s="2011"/>
      <c r="BN368" s="2011"/>
      <c r="BO368" s="2011"/>
      <c r="BP368" s="2011"/>
      <c r="BQ368" s="2403"/>
      <c r="BR368" s="497"/>
      <c r="BS368" s="497"/>
      <c r="BT368" s="497"/>
      <c r="BU368" s="497"/>
      <c r="BV368" s="497"/>
      <c r="BW368" s="2060"/>
      <c r="BX368" s="2417"/>
      <c r="BY368" s="2549"/>
      <c r="BZ368" s="2549"/>
      <c r="CA368" s="2435">
        <f t="shared" ref="CA368:CA381" si="493">SUMIF($AM$10:$BZ$10,$CA$9,AM368:BZ368)</f>
        <v>0</v>
      </c>
      <c r="CB368" s="2380" t="str">
        <f t="shared" ref="CB368:CB381" si="494">IF($AB368&lt;&gt;0,CA368/$AB368,"")</f>
        <v/>
      </c>
      <c r="CC368" s="365" t="str">
        <f t="shared" ref="CC368:CC381" si="495">IF($AB368&lt;&gt;0,CB368/$AB368,"")</f>
        <v/>
      </c>
      <c r="CD368" s="1380" t="str">
        <f t="shared" ref="CD368:CD381" si="496">IF($W368&lt;&gt;0,(CE368)/$W368,"0,00%")</f>
        <v>0,00%</v>
      </c>
      <c r="CE368" s="1381">
        <f t="shared" ref="CE368:CE381" si="497">W368-AB368</f>
        <v>0</v>
      </c>
      <c r="CF368" s="1381"/>
      <c r="CG368" s="501"/>
      <c r="CH368" s="502"/>
      <c r="CI368" s="503"/>
      <c r="CJ368" s="504"/>
      <c r="CK368" s="505"/>
      <c r="CL368" s="329">
        <f t="shared" si="450"/>
        <v>0</v>
      </c>
      <c r="CM368" s="330">
        <f t="shared" si="451"/>
        <v>0</v>
      </c>
      <c r="CN368" s="331">
        <f t="shared" si="369"/>
        <v>0</v>
      </c>
      <c r="CO368" s="86"/>
      <c r="CP368" s="86"/>
      <c r="CQ368" s="86"/>
      <c r="CR368" s="86"/>
      <c r="CS368" s="86"/>
      <c r="CT368" s="86"/>
      <c r="CU368" s="86"/>
      <c r="CV368" s="86"/>
      <c r="CW368" s="86"/>
      <c r="CX368" s="86"/>
      <c r="CY368" s="86"/>
      <c r="CZ368" s="86"/>
      <c r="DA368" s="86"/>
      <c r="DB368" s="32"/>
      <c r="DC368" s="32"/>
      <c r="DD368" s="1664"/>
      <c r="DE368" s="35"/>
      <c r="DF368" s="35"/>
      <c r="DG368" s="1642"/>
      <c r="DH368" s="1642"/>
      <c r="DI368" s="1642"/>
      <c r="DJ368" s="1642"/>
      <c r="DK368" s="1642"/>
      <c r="DL368" s="1642"/>
      <c r="DM368" s="1642"/>
      <c r="DN368" s="1642"/>
      <c r="DO368" s="1642"/>
      <c r="DP368" s="1642"/>
      <c r="DQ368" s="1642"/>
      <c r="DR368" s="1642"/>
      <c r="DS368" s="1642"/>
      <c r="DT368" s="1642"/>
      <c r="DU368" s="1642"/>
      <c r="DV368" s="1642"/>
      <c r="DW368" s="1642"/>
      <c r="DX368" s="1642"/>
      <c r="DY368" s="1642"/>
      <c r="DZ368" s="1642"/>
      <c r="EA368" s="1642"/>
      <c r="EB368" s="1642"/>
      <c r="EC368" s="1642"/>
      <c r="ED368" s="1642"/>
      <c r="EE368" s="1642"/>
      <c r="EF368" s="1642"/>
      <c r="EG368" s="1642"/>
      <c r="EH368" s="35"/>
      <c r="EI368" s="1658"/>
      <c r="EJ368" s="35"/>
      <c r="EK368" s="35"/>
      <c r="EL368" s="35"/>
      <c r="EM368" s="35"/>
      <c r="EN368" s="35"/>
      <c r="EO368" s="35"/>
      <c r="EP368" s="35"/>
      <c r="EQ368" s="35"/>
      <c r="ER368" s="35"/>
      <c r="ES368" s="35"/>
      <c r="ET368" s="35"/>
      <c r="EU368" s="35"/>
      <c r="EV368" s="35"/>
      <c r="EW368" s="35"/>
      <c r="EX368" s="35"/>
      <c r="EY368" s="35"/>
      <c r="EZ368" s="35"/>
      <c r="FA368" s="35"/>
      <c r="FB368" s="35"/>
      <c r="FC368" s="35"/>
      <c r="FD368" s="35"/>
      <c r="FE368" s="35"/>
      <c r="FF368" s="35"/>
      <c r="FG368" s="35"/>
      <c r="FH368" s="35"/>
      <c r="FI368" s="35"/>
      <c r="FJ368" s="35"/>
      <c r="FK368" s="35"/>
      <c r="FL368" s="35"/>
      <c r="FM368" s="35"/>
      <c r="FN368" s="35"/>
      <c r="FO368" s="35"/>
      <c r="FP368" s="35"/>
      <c r="FQ368" s="35"/>
      <c r="FR368" s="35"/>
      <c r="FS368" s="35"/>
      <c r="FT368" s="35"/>
      <c r="FU368" s="35"/>
      <c r="FV368" s="35"/>
      <c r="FW368" s="35"/>
      <c r="FX368" s="35"/>
      <c r="FY368" s="35"/>
      <c r="FZ368" s="35"/>
      <c r="GA368" s="35"/>
      <c r="GB368" s="35"/>
      <c r="GC368" s="35"/>
      <c r="GD368" s="35"/>
      <c r="GE368" s="35"/>
      <c r="GF368" s="35"/>
      <c r="GG368" s="35"/>
      <c r="GH368" s="35"/>
      <c r="GI368" s="35"/>
      <c r="GJ368" s="35"/>
      <c r="GK368" s="35"/>
      <c r="GL368" s="35"/>
      <c r="GM368" s="35"/>
      <c r="GN368" s="35"/>
      <c r="GO368" s="35"/>
      <c r="GP368" s="35"/>
      <c r="GQ368" s="35"/>
      <c r="GR368" s="35"/>
      <c r="GS368" s="35"/>
      <c r="GT368" s="35"/>
      <c r="GU368" s="35"/>
      <c r="GV368" s="35"/>
      <c r="GW368" s="35"/>
      <c r="GX368" s="35"/>
      <c r="GY368" s="35"/>
      <c r="GZ368" s="35"/>
      <c r="HA368" s="35"/>
      <c r="HB368" s="35"/>
      <c r="HC368" s="35"/>
      <c r="HD368" s="35"/>
      <c r="HE368" s="35"/>
      <c r="HF368" s="35"/>
      <c r="HG368" s="35"/>
      <c r="HH368" s="35"/>
      <c r="HI368" s="35"/>
      <c r="HJ368" s="35"/>
      <c r="HK368" s="35"/>
      <c r="HL368" s="35"/>
      <c r="HM368" s="35"/>
      <c r="HN368" s="35"/>
      <c r="HO368" s="35"/>
      <c r="HP368" s="35"/>
      <c r="HQ368" s="35"/>
      <c r="HR368" s="35"/>
      <c r="HS368" s="35"/>
      <c r="HT368" s="35"/>
      <c r="HU368" s="35"/>
      <c r="HV368" s="35"/>
      <c r="HW368" s="35"/>
      <c r="HX368" s="35"/>
      <c r="HY368" s="35"/>
      <c r="HZ368" s="35"/>
      <c r="IA368" s="35"/>
      <c r="IB368" s="35"/>
      <c r="IC368" s="35"/>
      <c r="ID368" s="35"/>
      <c r="IE368" s="35"/>
      <c r="IF368" s="35"/>
      <c r="IG368" s="35"/>
      <c r="IH368" s="35"/>
      <c r="II368" s="35"/>
      <c r="IJ368" s="35"/>
      <c r="IK368" s="35"/>
      <c r="IL368" s="35"/>
      <c r="IM368" s="35"/>
      <c r="IN368" s="35"/>
      <c r="IO368" s="35"/>
      <c r="IP368" s="35"/>
      <c r="IQ368" s="35"/>
      <c r="IR368" s="35"/>
      <c r="IS368" s="35"/>
      <c r="IT368" s="35"/>
      <c r="IU368" s="35"/>
      <c r="IV368" s="35"/>
      <c r="IW368" s="35"/>
      <c r="IX368" s="35"/>
      <c r="IY368" s="35"/>
      <c r="IZ368" s="35"/>
      <c r="JA368" s="35"/>
      <c r="JB368" s="35"/>
      <c r="JC368" s="35"/>
      <c r="JD368" s="35"/>
      <c r="JE368" s="35"/>
      <c r="JF368" s="35"/>
      <c r="JG368" s="35"/>
      <c r="JH368" s="35"/>
      <c r="JI368" s="35"/>
      <c r="JJ368" s="35"/>
      <c r="JK368" s="35"/>
      <c r="JL368" s="35"/>
      <c r="JM368" s="35"/>
      <c r="JN368" s="35"/>
      <c r="JO368" s="35"/>
      <c r="JP368" s="35"/>
      <c r="JQ368" s="35"/>
      <c r="JR368" s="35"/>
      <c r="JS368" s="35"/>
      <c r="JT368" s="35"/>
      <c r="JU368" s="35"/>
      <c r="JV368" s="35"/>
      <c r="JW368" s="35"/>
      <c r="JX368" s="35"/>
      <c r="JY368" s="35"/>
      <c r="JZ368" s="35"/>
      <c r="KA368" s="35"/>
      <c r="KB368" s="35"/>
      <c r="KC368" s="35"/>
      <c r="KD368" s="35"/>
      <c r="KE368" s="35"/>
      <c r="KF368" s="35"/>
      <c r="KG368" s="35"/>
      <c r="KH368" s="35"/>
      <c r="KI368" s="35"/>
      <c r="KJ368" s="35"/>
      <c r="KK368" s="35"/>
      <c r="KL368" s="35"/>
      <c r="KM368" s="35"/>
      <c r="KN368" s="35"/>
      <c r="KO368" s="35"/>
      <c r="KP368" s="1633"/>
    </row>
    <row r="369" spans="1:302" s="92" customFormat="1" ht="25.25" customHeight="1" outlineLevel="1">
      <c r="A369" s="2668" t="s">
        <v>204</v>
      </c>
      <c r="B369" s="1367"/>
      <c r="C369" s="1369" t="s">
        <v>311</v>
      </c>
      <c r="D369" s="1370" t="s">
        <v>312</v>
      </c>
      <c r="E369" s="1382"/>
      <c r="F369" s="1356"/>
      <c r="G369" s="1383"/>
      <c r="H369" s="1384"/>
      <c r="I369" s="1693"/>
      <c r="J369" s="1693"/>
      <c r="K369" s="1695"/>
      <c r="L369" s="1695"/>
      <c r="M369" s="1702"/>
      <c r="N369" s="1695"/>
      <c r="O369" s="1358">
        <f t="shared" si="466"/>
        <v>0</v>
      </c>
      <c r="P369" s="1693"/>
      <c r="Q369" s="1693"/>
      <c r="R369" s="1693"/>
      <c r="S369" s="1693"/>
      <c r="T369" s="1695"/>
      <c r="U369" s="1695"/>
      <c r="V369" s="1695"/>
      <c r="W369" s="1693">
        <f>O369+S369</f>
        <v>0</v>
      </c>
      <c r="X369" s="1693"/>
      <c r="Y369" s="1695"/>
      <c r="Z369" s="1695"/>
      <c r="AA369" s="1695"/>
      <c r="AB369" s="1693">
        <f>SUM(AM369:BX369)</f>
        <v>0</v>
      </c>
      <c r="AC369" s="1444"/>
      <c r="AD369" s="1469"/>
      <c r="AE369" s="1357"/>
      <c r="AF369" s="1358"/>
      <c r="AG369" s="1404"/>
      <c r="AH369" s="1358">
        <f t="shared" si="351"/>
        <v>0</v>
      </c>
      <c r="AI369" s="1386">
        <f t="shared" si="435"/>
        <v>0</v>
      </c>
      <c r="AJ369" s="1387" t="str">
        <f t="shared" si="467"/>
        <v/>
      </c>
      <c r="AK369" s="1387"/>
      <c r="AL369" s="1388"/>
      <c r="AM369" s="2270"/>
      <c r="AN369" s="2270"/>
      <c r="AO369" s="1358"/>
      <c r="AP369" s="1358"/>
      <c r="AQ369" s="1358"/>
      <c r="AR369" s="1358"/>
      <c r="AS369" s="1358"/>
      <c r="AT369" s="2055"/>
      <c r="AU369" s="1358"/>
      <c r="AV369" s="1358"/>
      <c r="AW369" s="1358"/>
      <c r="AX369" s="1358"/>
      <c r="AY369" s="2055"/>
      <c r="AZ369" s="2270"/>
      <c r="BA369" s="2010"/>
      <c r="BB369" s="1358"/>
      <c r="BC369" s="1358"/>
      <c r="BD369" s="1358"/>
      <c r="BE369" s="1358"/>
      <c r="BF369" s="1358"/>
      <c r="BG369" s="1358"/>
      <c r="BH369" s="1358"/>
      <c r="BI369" s="1358"/>
      <c r="BJ369" s="1358"/>
      <c r="BK369" s="2134"/>
      <c r="BL369" s="2010"/>
      <c r="BM369" s="2010"/>
      <c r="BN369" s="2010"/>
      <c r="BO369" s="2010"/>
      <c r="BP369" s="2010"/>
      <c r="BQ369" s="2402"/>
      <c r="BR369" s="1358"/>
      <c r="BS369" s="1358"/>
      <c r="BT369" s="1358"/>
      <c r="BU369" s="1358"/>
      <c r="BV369" s="1358"/>
      <c r="BW369" s="2055"/>
      <c r="BX369" s="2416"/>
      <c r="BY369" s="2551"/>
      <c r="BZ369" s="2551"/>
      <c r="CA369" s="2435">
        <f t="shared" si="493"/>
        <v>0</v>
      </c>
      <c r="CB369" s="2380" t="str">
        <f t="shared" si="494"/>
        <v/>
      </c>
      <c r="CC369" s="365" t="str">
        <f t="shared" si="495"/>
        <v/>
      </c>
      <c r="CD369" s="1380" t="str">
        <f t="shared" si="496"/>
        <v>0,00%</v>
      </c>
      <c r="CE369" s="1381">
        <f t="shared" si="497"/>
        <v>0</v>
      </c>
      <c r="CF369" s="1381"/>
      <c r="CG369" s="501"/>
      <c r="CH369" s="502"/>
      <c r="CI369" s="503"/>
      <c r="CJ369" s="504"/>
      <c r="CK369" s="505"/>
      <c r="CL369" s="329">
        <f t="shared" si="450"/>
        <v>0</v>
      </c>
      <c r="CM369" s="330">
        <f t="shared" si="451"/>
        <v>0</v>
      </c>
      <c r="CN369" s="331">
        <f t="shared" si="369"/>
        <v>0</v>
      </c>
      <c r="CO369" s="86"/>
      <c r="CP369" s="86"/>
      <c r="CQ369" s="86"/>
      <c r="CR369" s="86"/>
      <c r="CS369" s="86"/>
      <c r="CT369" s="86"/>
      <c r="CU369" s="86"/>
      <c r="CV369" s="86"/>
      <c r="CW369" s="86"/>
      <c r="CX369" s="86"/>
      <c r="CY369" s="86"/>
      <c r="CZ369" s="86"/>
      <c r="DA369" s="86"/>
      <c r="DB369" s="32"/>
      <c r="DC369" s="32"/>
      <c r="DD369" s="1664"/>
      <c r="DE369" s="35"/>
      <c r="DF369" s="35"/>
      <c r="DG369" s="1642"/>
      <c r="DH369" s="1642"/>
      <c r="DI369" s="1642"/>
      <c r="DJ369" s="1642"/>
      <c r="DK369" s="1642"/>
      <c r="DL369" s="1642"/>
      <c r="DM369" s="1642"/>
      <c r="DN369" s="1642"/>
      <c r="DO369" s="1642"/>
      <c r="DP369" s="1642"/>
      <c r="DQ369" s="1642"/>
      <c r="DR369" s="1642"/>
      <c r="DS369" s="1642"/>
      <c r="DT369" s="1642"/>
      <c r="DU369" s="1642"/>
      <c r="DV369" s="1642"/>
      <c r="DW369" s="1642"/>
      <c r="DX369" s="1642"/>
      <c r="DY369" s="1642"/>
      <c r="DZ369" s="1642"/>
      <c r="EA369" s="1642"/>
      <c r="EB369" s="1642"/>
      <c r="EC369" s="1642"/>
      <c r="ED369" s="1642"/>
      <c r="EE369" s="1642"/>
      <c r="EF369" s="1642"/>
      <c r="EG369" s="1642"/>
      <c r="EH369" s="35"/>
      <c r="EI369" s="1658"/>
      <c r="EJ369" s="35"/>
      <c r="EK369" s="35"/>
      <c r="EL369" s="35"/>
      <c r="EM369" s="35"/>
      <c r="EN369" s="35"/>
      <c r="EO369" s="35"/>
      <c r="EP369" s="35"/>
      <c r="EQ369" s="35"/>
      <c r="ER369" s="35"/>
      <c r="ES369" s="35"/>
      <c r="ET369" s="35"/>
      <c r="EU369" s="35"/>
      <c r="EV369" s="35"/>
      <c r="EW369" s="35"/>
      <c r="EX369" s="35"/>
      <c r="EY369" s="35"/>
      <c r="EZ369" s="35"/>
      <c r="FA369" s="35"/>
      <c r="FB369" s="35"/>
      <c r="FC369" s="35"/>
      <c r="FD369" s="35"/>
      <c r="FE369" s="35"/>
      <c r="FF369" s="35"/>
      <c r="FG369" s="35"/>
      <c r="FH369" s="35"/>
      <c r="FI369" s="35"/>
      <c r="FJ369" s="35"/>
      <c r="FK369" s="35"/>
      <c r="FL369" s="35"/>
      <c r="FM369" s="35"/>
      <c r="FN369" s="35"/>
      <c r="FO369" s="35"/>
      <c r="FP369" s="35"/>
      <c r="FQ369" s="35"/>
      <c r="FR369" s="35"/>
      <c r="FS369" s="35"/>
      <c r="FT369" s="35"/>
      <c r="FU369" s="35"/>
      <c r="FV369" s="35"/>
      <c r="FW369" s="35"/>
      <c r="FX369" s="35"/>
      <c r="FY369" s="35"/>
      <c r="FZ369" s="35"/>
      <c r="GA369" s="35"/>
      <c r="GB369" s="35"/>
      <c r="GC369" s="35"/>
      <c r="GD369" s="35"/>
      <c r="GE369" s="35"/>
      <c r="GF369" s="35"/>
      <c r="GG369" s="35"/>
      <c r="GH369" s="35"/>
      <c r="GI369" s="35"/>
      <c r="GJ369" s="35"/>
      <c r="GK369" s="35"/>
      <c r="GL369" s="35"/>
      <c r="GM369" s="35"/>
      <c r="GN369" s="35"/>
      <c r="GO369" s="35"/>
      <c r="GP369" s="35"/>
      <c r="GQ369" s="35"/>
      <c r="GR369" s="35"/>
      <c r="GS369" s="35"/>
      <c r="GT369" s="35"/>
      <c r="GU369" s="35"/>
      <c r="GV369" s="35"/>
      <c r="GW369" s="35"/>
      <c r="GX369" s="35"/>
      <c r="GY369" s="35"/>
      <c r="GZ369" s="35"/>
      <c r="HA369" s="35"/>
      <c r="HB369" s="35"/>
      <c r="HC369" s="35"/>
      <c r="HD369" s="35"/>
      <c r="HE369" s="35"/>
      <c r="HF369" s="35"/>
      <c r="HG369" s="35"/>
      <c r="HH369" s="35"/>
      <c r="HI369" s="35"/>
      <c r="HJ369" s="35"/>
      <c r="HK369" s="35"/>
      <c r="HL369" s="35"/>
      <c r="HM369" s="35"/>
      <c r="HN369" s="35"/>
      <c r="HO369" s="35"/>
      <c r="HP369" s="35"/>
      <c r="HQ369" s="35"/>
      <c r="HR369" s="35"/>
      <c r="HS369" s="35"/>
      <c r="HT369" s="35"/>
      <c r="HU369" s="35"/>
      <c r="HV369" s="35"/>
      <c r="HW369" s="35"/>
      <c r="HX369" s="35"/>
      <c r="HY369" s="35"/>
      <c r="HZ369" s="35"/>
      <c r="IA369" s="35"/>
      <c r="IB369" s="35"/>
      <c r="IC369" s="35"/>
      <c r="ID369" s="35"/>
      <c r="IE369" s="35"/>
      <c r="IF369" s="35"/>
      <c r="IG369" s="35"/>
      <c r="IH369" s="35"/>
      <c r="II369" s="35"/>
      <c r="IJ369" s="35"/>
      <c r="IK369" s="35"/>
      <c r="IL369" s="35"/>
      <c r="IM369" s="35"/>
      <c r="IN369" s="35"/>
      <c r="IO369" s="35"/>
      <c r="IP369" s="35"/>
      <c r="IQ369" s="35"/>
      <c r="IR369" s="35"/>
      <c r="IS369" s="35"/>
      <c r="IT369" s="35"/>
      <c r="IU369" s="35"/>
      <c r="IV369" s="35"/>
      <c r="IW369" s="35"/>
      <c r="IX369" s="35"/>
      <c r="IY369" s="35"/>
      <c r="IZ369" s="35"/>
      <c r="JA369" s="35"/>
      <c r="JB369" s="35"/>
      <c r="JC369" s="35"/>
      <c r="JD369" s="35"/>
      <c r="JE369" s="35"/>
      <c r="JF369" s="35"/>
      <c r="JG369" s="35"/>
      <c r="JH369" s="35"/>
      <c r="JI369" s="35"/>
      <c r="JJ369" s="35"/>
      <c r="JK369" s="35"/>
      <c r="JL369" s="35"/>
      <c r="JM369" s="35"/>
      <c r="JN369" s="35"/>
      <c r="JO369" s="35"/>
      <c r="JP369" s="35"/>
      <c r="JQ369" s="35"/>
      <c r="JR369" s="35"/>
      <c r="JS369" s="35"/>
      <c r="JT369" s="35"/>
      <c r="JU369" s="35"/>
      <c r="JV369" s="35"/>
      <c r="JW369" s="35"/>
      <c r="JX369" s="35"/>
      <c r="JY369" s="35"/>
      <c r="JZ369" s="35"/>
      <c r="KA369" s="35"/>
      <c r="KB369" s="35"/>
      <c r="KC369" s="35"/>
      <c r="KD369" s="35"/>
      <c r="KE369" s="35"/>
      <c r="KF369" s="35"/>
      <c r="KG369" s="35"/>
      <c r="KH369" s="35"/>
      <c r="KI369" s="35"/>
      <c r="KJ369" s="35"/>
      <c r="KK369" s="35"/>
      <c r="KL369" s="35"/>
      <c r="KM369" s="35"/>
      <c r="KN369" s="35"/>
      <c r="KO369" s="35"/>
      <c r="KP369" s="1633"/>
    </row>
    <row r="370" spans="1:302" s="92" customFormat="1" ht="25.25" customHeight="1" outlineLevel="1">
      <c r="A370" s="1676" t="s">
        <v>142</v>
      </c>
      <c r="B370" s="2713" t="s">
        <v>1223</v>
      </c>
      <c r="C370" s="1359" t="s">
        <v>178</v>
      </c>
      <c r="D370" s="1675" t="s">
        <v>306</v>
      </c>
      <c r="E370" s="1389"/>
      <c r="F370" s="506"/>
      <c r="G370" s="1390"/>
      <c r="H370" s="1391"/>
      <c r="I370" s="2711">
        <v>200000</v>
      </c>
      <c r="J370" s="1672"/>
      <c r="K370" s="1697"/>
      <c r="L370" s="1697"/>
      <c r="M370" s="1701">
        <v>200000</v>
      </c>
      <c r="N370" s="1697">
        <v>1</v>
      </c>
      <c r="O370" s="1397">
        <f>I370</f>
        <v>200000</v>
      </c>
      <c r="P370" s="1671"/>
      <c r="Q370" s="1671"/>
      <c r="R370" s="1671"/>
      <c r="S370" s="1672"/>
      <c r="T370" s="1699"/>
      <c r="U370" s="1700"/>
      <c r="V370" s="1700"/>
      <c r="W370" s="1672">
        <f>O370+S370</f>
        <v>200000</v>
      </c>
      <c r="X370" s="1672"/>
      <c r="Y370" s="1699"/>
      <c r="Z370" s="1700"/>
      <c r="AA370" s="1699"/>
      <c r="AB370" s="1672">
        <f>SUM(AM370:BZ370)</f>
        <v>0</v>
      </c>
      <c r="AC370" s="1444"/>
      <c r="AD370" s="1460"/>
      <c r="AE370" s="510"/>
      <c r="AF370" s="497"/>
      <c r="AG370" s="1403">
        <v>1</v>
      </c>
      <c r="AH370" s="1397">
        <f t="shared" si="351"/>
        <v>0</v>
      </c>
      <c r="AI370" s="355">
        <f t="shared" si="435"/>
        <v>0</v>
      </c>
      <c r="AJ370" s="351" t="str">
        <f t="shared" si="467"/>
        <v/>
      </c>
      <c r="AK370" s="351"/>
      <c r="AL370" s="1398"/>
      <c r="AM370" s="2273"/>
      <c r="AN370" s="2273"/>
      <c r="AO370" s="497"/>
      <c r="AP370" s="497"/>
      <c r="AQ370" s="497"/>
      <c r="AR370" s="1922"/>
      <c r="AS370" s="1922"/>
      <c r="AT370" s="2015"/>
      <c r="AU370" s="1922"/>
      <c r="AV370" s="1922"/>
      <c r="AW370" s="1922"/>
      <c r="AX370" s="1922"/>
      <c r="AY370" s="2238"/>
      <c r="AZ370" s="2273"/>
      <c r="BA370" s="2011"/>
      <c r="BB370" s="497"/>
      <c r="BC370" s="497"/>
      <c r="BD370" s="497"/>
      <c r="BE370" s="497"/>
      <c r="BF370" s="497"/>
      <c r="BG370" s="497"/>
      <c r="BH370" s="497"/>
      <c r="BI370" s="497"/>
      <c r="BJ370" s="497"/>
      <c r="BK370" s="2137"/>
      <c r="BL370" s="2011"/>
      <c r="BM370" s="2011"/>
      <c r="BN370" s="2011"/>
      <c r="BO370" s="2011"/>
      <c r="BP370" s="2011"/>
      <c r="BQ370" s="2403"/>
      <c r="BR370" s="497"/>
      <c r="BS370" s="497"/>
      <c r="BT370" s="497"/>
      <c r="BU370" s="497"/>
      <c r="BV370" s="497"/>
      <c r="BW370" s="2060"/>
      <c r="BX370" s="2417"/>
      <c r="BY370" s="2549"/>
      <c r="BZ370" s="2549"/>
      <c r="CA370" s="2435">
        <f t="shared" si="493"/>
        <v>0</v>
      </c>
      <c r="CB370" s="2380" t="str">
        <f t="shared" si="494"/>
        <v/>
      </c>
      <c r="CC370" s="365" t="str">
        <f t="shared" si="495"/>
        <v/>
      </c>
      <c r="CD370" s="1380">
        <f t="shared" si="496"/>
        <v>1</v>
      </c>
      <c r="CE370" s="1381">
        <f t="shared" si="497"/>
        <v>200000</v>
      </c>
      <c r="CF370" s="1381"/>
      <c r="CG370" s="501"/>
      <c r="CH370" s="502"/>
      <c r="CI370" s="503"/>
      <c r="CJ370" s="504"/>
      <c r="CK370" s="505"/>
      <c r="CL370" s="329">
        <f t="shared" si="450"/>
        <v>200000</v>
      </c>
      <c r="CM370" s="330">
        <f t="shared" si="451"/>
        <v>0</v>
      </c>
      <c r="CN370" s="331">
        <f t="shared" si="369"/>
        <v>0</v>
      </c>
      <c r="CO370" s="86"/>
      <c r="CP370" s="86"/>
      <c r="CQ370" s="86"/>
      <c r="CR370" s="86"/>
      <c r="CS370" s="86"/>
      <c r="CT370" s="86"/>
      <c r="CU370" s="86"/>
      <c r="CV370" s="86"/>
      <c r="CW370" s="86"/>
      <c r="CX370" s="86"/>
      <c r="CY370" s="86"/>
      <c r="CZ370" s="86"/>
      <c r="DA370" s="86"/>
      <c r="DB370" s="32"/>
      <c r="DC370" s="32"/>
      <c r="DD370" s="1664"/>
      <c r="DE370" s="35"/>
      <c r="DF370" s="35"/>
      <c r="DG370" s="1642"/>
      <c r="DH370" s="1642"/>
      <c r="DI370" s="1642"/>
      <c r="DJ370" s="1642"/>
      <c r="DK370" s="1642"/>
      <c r="DL370" s="1642"/>
      <c r="DM370" s="1642"/>
      <c r="DN370" s="1642"/>
      <c r="DO370" s="1642"/>
      <c r="DP370" s="1642"/>
      <c r="DQ370" s="1642"/>
      <c r="DR370" s="1642"/>
      <c r="DS370" s="1642"/>
      <c r="DT370" s="1642"/>
      <c r="DU370" s="1642"/>
      <c r="DV370" s="1642"/>
      <c r="DW370" s="1642"/>
      <c r="DX370" s="1642"/>
      <c r="DY370" s="1642"/>
      <c r="DZ370" s="1642"/>
      <c r="EA370" s="1642"/>
      <c r="EB370" s="1642"/>
      <c r="EC370" s="1642"/>
      <c r="ED370" s="1642"/>
      <c r="EE370" s="1642"/>
      <c r="EF370" s="1642"/>
      <c r="EG370" s="1642"/>
      <c r="EH370" s="35"/>
      <c r="EI370" s="1658"/>
      <c r="EJ370" s="35"/>
      <c r="EK370" s="35"/>
      <c r="EL370" s="35"/>
      <c r="EM370" s="35"/>
      <c r="EN370" s="35"/>
      <c r="EO370" s="35"/>
      <c r="EP370" s="35"/>
      <c r="EQ370" s="35"/>
      <c r="ER370" s="35"/>
      <c r="ES370" s="35"/>
      <c r="ET370" s="35"/>
      <c r="EU370" s="35"/>
      <c r="EV370" s="35"/>
      <c r="EW370" s="35"/>
      <c r="EX370" s="35"/>
      <c r="EY370" s="35"/>
      <c r="EZ370" s="35"/>
      <c r="FA370" s="35"/>
      <c r="FB370" s="35"/>
      <c r="FC370" s="35"/>
      <c r="FD370" s="35"/>
      <c r="FE370" s="35"/>
      <c r="FF370" s="35"/>
      <c r="FG370" s="35"/>
      <c r="FH370" s="35"/>
      <c r="FI370" s="35"/>
      <c r="FJ370" s="35"/>
      <c r="FK370" s="35"/>
      <c r="FL370" s="35"/>
      <c r="FM370" s="35"/>
      <c r="FN370" s="35"/>
      <c r="FO370" s="35"/>
      <c r="FP370" s="35"/>
      <c r="FQ370" s="35"/>
      <c r="FR370" s="35"/>
      <c r="FS370" s="35"/>
      <c r="FT370" s="35"/>
      <c r="FU370" s="35"/>
      <c r="FV370" s="35"/>
      <c r="FW370" s="35"/>
      <c r="FX370" s="35"/>
      <c r="FY370" s="35"/>
      <c r="FZ370" s="35"/>
      <c r="GA370" s="35"/>
      <c r="GB370" s="35"/>
      <c r="GC370" s="35"/>
      <c r="GD370" s="35"/>
      <c r="GE370" s="35"/>
      <c r="GF370" s="35"/>
      <c r="GG370" s="35"/>
      <c r="GH370" s="35"/>
      <c r="GI370" s="35"/>
      <c r="GJ370" s="35"/>
      <c r="GK370" s="35"/>
      <c r="GL370" s="35"/>
      <c r="GM370" s="35"/>
      <c r="GN370" s="35"/>
      <c r="GO370" s="35"/>
      <c r="GP370" s="35"/>
      <c r="GQ370" s="35"/>
      <c r="GR370" s="35"/>
      <c r="GS370" s="35"/>
      <c r="GT370" s="35"/>
      <c r="GU370" s="35"/>
      <c r="GV370" s="35"/>
      <c r="GW370" s="35"/>
      <c r="GX370" s="35"/>
      <c r="GY370" s="35"/>
      <c r="GZ370" s="35"/>
      <c r="HA370" s="35"/>
      <c r="HB370" s="35"/>
      <c r="HC370" s="35"/>
      <c r="HD370" s="35"/>
      <c r="HE370" s="35"/>
      <c r="HF370" s="35"/>
      <c r="HG370" s="35"/>
      <c r="HH370" s="35"/>
      <c r="HI370" s="35"/>
      <c r="HJ370" s="35"/>
      <c r="HK370" s="35"/>
      <c r="HL370" s="35"/>
      <c r="HM370" s="35"/>
      <c r="HN370" s="35"/>
      <c r="HO370" s="35"/>
      <c r="HP370" s="35"/>
      <c r="HQ370" s="35"/>
      <c r="HR370" s="35"/>
      <c r="HS370" s="35"/>
      <c r="HT370" s="35"/>
      <c r="HU370" s="35"/>
      <c r="HV370" s="35"/>
      <c r="HW370" s="35"/>
      <c r="HX370" s="35"/>
      <c r="HY370" s="35"/>
      <c r="HZ370" s="35"/>
      <c r="IA370" s="35"/>
      <c r="IB370" s="35"/>
      <c r="IC370" s="35"/>
      <c r="ID370" s="35"/>
      <c r="IE370" s="35"/>
      <c r="IF370" s="35"/>
      <c r="IG370" s="35"/>
      <c r="IH370" s="35"/>
      <c r="II370" s="35"/>
      <c r="IJ370" s="35"/>
      <c r="IK370" s="35"/>
      <c r="IL370" s="35"/>
      <c r="IM370" s="35"/>
      <c r="IN370" s="35"/>
      <c r="IO370" s="35"/>
      <c r="IP370" s="35"/>
      <c r="IQ370" s="35"/>
      <c r="IR370" s="35"/>
      <c r="IS370" s="35"/>
      <c r="IT370" s="35"/>
      <c r="IU370" s="35"/>
      <c r="IV370" s="35"/>
      <c r="IW370" s="35"/>
      <c r="IX370" s="35"/>
      <c r="IY370" s="35"/>
      <c r="IZ370" s="35"/>
      <c r="JA370" s="35"/>
      <c r="JB370" s="35"/>
      <c r="JC370" s="35"/>
      <c r="JD370" s="35"/>
      <c r="JE370" s="35"/>
      <c r="JF370" s="35"/>
      <c r="JG370" s="35"/>
      <c r="JH370" s="35"/>
      <c r="JI370" s="35"/>
      <c r="JJ370" s="35"/>
      <c r="JK370" s="35"/>
      <c r="JL370" s="35"/>
      <c r="JM370" s="35"/>
      <c r="JN370" s="35"/>
      <c r="JO370" s="35"/>
      <c r="JP370" s="35"/>
      <c r="JQ370" s="35"/>
      <c r="JR370" s="35"/>
      <c r="JS370" s="35"/>
      <c r="JT370" s="35"/>
      <c r="JU370" s="35"/>
      <c r="JV370" s="35"/>
      <c r="JW370" s="35"/>
      <c r="JX370" s="35"/>
      <c r="JY370" s="35"/>
      <c r="JZ370" s="35"/>
      <c r="KA370" s="35"/>
      <c r="KB370" s="35"/>
      <c r="KC370" s="35"/>
      <c r="KD370" s="35"/>
      <c r="KE370" s="35"/>
      <c r="KF370" s="35"/>
      <c r="KG370" s="35"/>
      <c r="KH370" s="35"/>
      <c r="KI370" s="35"/>
      <c r="KJ370" s="35"/>
      <c r="KK370" s="35"/>
      <c r="KL370" s="35"/>
      <c r="KM370" s="35"/>
      <c r="KN370" s="35"/>
      <c r="KO370" s="35"/>
      <c r="KP370" s="1633"/>
    </row>
    <row r="371" spans="1:302" s="92" customFormat="1" ht="25.8" customHeight="1" outlineLevel="1">
      <c r="A371" s="1993" t="s">
        <v>208</v>
      </c>
      <c r="B371" s="2713" t="s">
        <v>1183</v>
      </c>
      <c r="C371" s="2539" t="s">
        <v>1305</v>
      </c>
      <c r="D371" s="1675"/>
      <c r="E371" s="1389"/>
      <c r="F371" s="506"/>
      <c r="G371" s="1390"/>
      <c r="H371" s="1391"/>
      <c r="I371" s="2573"/>
      <c r="J371" s="1672"/>
      <c r="K371" s="1697"/>
      <c r="L371" s="1697"/>
      <c r="M371" s="1701"/>
      <c r="N371" s="1697"/>
      <c r="O371" s="1397"/>
      <c r="P371" s="1671"/>
      <c r="Q371" s="1671"/>
      <c r="R371" s="1671"/>
      <c r="S371" s="1672"/>
      <c r="T371" s="1699"/>
      <c r="U371" s="1700"/>
      <c r="V371" s="1700"/>
      <c r="W371" s="1672"/>
      <c r="X371" s="1672"/>
      <c r="Y371" s="1699"/>
      <c r="Z371" s="1700"/>
      <c r="AA371" s="1699"/>
      <c r="AB371" s="2719">
        <f>SUM(AM371:BZ371)</f>
        <v>200000</v>
      </c>
      <c r="AC371" s="1444" t="s">
        <v>554</v>
      </c>
      <c r="AD371" s="1467">
        <v>4502902128</v>
      </c>
      <c r="AE371" s="510" t="s">
        <v>564</v>
      </c>
      <c r="AF371" s="2507">
        <v>200000</v>
      </c>
      <c r="AG371" s="1403">
        <v>1</v>
      </c>
      <c r="AH371" s="1397">
        <f t="shared" ref="AH371:AH383" si="498">+AF371*AG371</f>
        <v>200000</v>
      </c>
      <c r="AI371" s="355">
        <f t="shared" si="435"/>
        <v>186868</v>
      </c>
      <c r="AJ371" s="351">
        <f t="shared" ref="AJ371:AJ383" si="499">IF($AB371&lt;&gt;0,AI371/$AB371,"")</f>
        <v>0.93433999999999995</v>
      </c>
      <c r="AK371" s="351"/>
      <c r="AL371" s="1398"/>
      <c r="AM371" s="2734">
        <v>44086</v>
      </c>
      <c r="AN371" s="2273"/>
      <c r="AO371" s="2823">
        <f>155914-13132</f>
        <v>142782</v>
      </c>
      <c r="AP371" s="2835">
        <v>13132</v>
      </c>
      <c r="AQ371" s="497"/>
      <c r="AR371" s="1922"/>
      <c r="AS371" s="1922"/>
      <c r="AT371" s="2015"/>
      <c r="AU371" s="1922"/>
      <c r="AV371" s="1922"/>
      <c r="AW371" s="1922"/>
      <c r="AX371" s="1922"/>
      <c r="AY371" s="2238"/>
      <c r="AZ371" s="2273"/>
      <c r="BA371" s="2011"/>
      <c r="BB371" s="497"/>
      <c r="BC371" s="497"/>
      <c r="BD371" s="497"/>
      <c r="BE371" s="497"/>
      <c r="BF371" s="497"/>
      <c r="BG371" s="497"/>
      <c r="BH371" s="497"/>
      <c r="BI371" s="497"/>
      <c r="BJ371" s="497"/>
      <c r="BK371" s="2137"/>
      <c r="BL371" s="2011"/>
      <c r="BM371" s="2011"/>
      <c r="BN371" s="2011"/>
      <c r="BO371" s="2011"/>
      <c r="BP371" s="2011"/>
      <c r="BQ371" s="2403"/>
      <c r="BR371" s="497"/>
      <c r="BS371" s="497"/>
      <c r="BT371" s="497"/>
      <c r="BU371" s="497"/>
      <c r="BV371" s="497"/>
      <c r="BW371" s="2060"/>
      <c r="BX371" s="2417"/>
      <c r="BY371" s="2549"/>
      <c r="BZ371" s="2549"/>
      <c r="CA371" s="2435">
        <f t="shared" si="493"/>
        <v>13132</v>
      </c>
      <c r="CB371" s="2380">
        <f t="shared" si="494"/>
        <v>6.5659999999999996E-2</v>
      </c>
      <c r="CC371" s="365">
        <f t="shared" si="495"/>
        <v>3.2829999999999999E-7</v>
      </c>
      <c r="CD371" s="1380" t="str">
        <f t="shared" si="496"/>
        <v>0,00%</v>
      </c>
      <c r="CE371" s="1381">
        <f t="shared" si="497"/>
        <v>-200000</v>
      </c>
      <c r="CF371" s="1381"/>
      <c r="CG371" s="501"/>
      <c r="CH371" s="502"/>
      <c r="CI371" s="503"/>
      <c r="CJ371" s="504"/>
      <c r="CK371" s="505"/>
      <c r="CL371" s="329">
        <f t="shared" si="450"/>
        <v>-13132</v>
      </c>
      <c r="CM371" s="330">
        <f t="shared" si="451"/>
        <v>0</v>
      </c>
      <c r="CN371" s="331">
        <f t="shared" si="369"/>
        <v>-44086</v>
      </c>
      <c r="CO371" s="86"/>
      <c r="CP371" s="86"/>
      <c r="CQ371" s="86"/>
      <c r="CR371" s="86"/>
      <c r="CS371" s="86"/>
      <c r="CT371" s="86"/>
      <c r="CU371" s="86"/>
      <c r="CV371" s="86"/>
      <c r="CW371" s="86"/>
      <c r="CX371" s="86"/>
      <c r="CY371" s="86"/>
      <c r="CZ371" s="86"/>
      <c r="DA371" s="86"/>
      <c r="DB371" s="32"/>
      <c r="DC371" s="32"/>
      <c r="DD371" s="1664"/>
      <c r="DE371" s="35"/>
      <c r="DF371" s="35"/>
      <c r="DG371" s="1642"/>
      <c r="DH371" s="1642"/>
      <c r="DI371" s="1642"/>
      <c r="DJ371" s="1642"/>
      <c r="DK371" s="1642"/>
      <c r="DL371" s="1642"/>
      <c r="DM371" s="1642"/>
      <c r="DN371" s="1642"/>
      <c r="DO371" s="1642"/>
      <c r="DP371" s="1642"/>
      <c r="DQ371" s="1642"/>
      <c r="DR371" s="1642"/>
      <c r="DS371" s="1642"/>
      <c r="DT371" s="1642"/>
      <c r="DU371" s="1642"/>
      <c r="DV371" s="1642"/>
      <c r="DW371" s="1642"/>
      <c r="DX371" s="1642"/>
      <c r="DY371" s="1642"/>
      <c r="DZ371" s="1642"/>
      <c r="EA371" s="1642"/>
      <c r="EB371" s="1642"/>
      <c r="EC371" s="1642"/>
      <c r="ED371" s="1642"/>
      <c r="EE371" s="1642"/>
      <c r="EF371" s="1642"/>
      <c r="EG371" s="1642"/>
      <c r="EH371" s="35"/>
      <c r="EI371" s="1658"/>
      <c r="EJ371" s="35"/>
      <c r="EK371" s="35"/>
      <c r="EL371" s="35"/>
      <c r="EM371" s="35"/>
      <c r="EN371" s="35"/>
      <c r="EO371" s="35"/>
      <c r="EP371" s="35"/>
      <c r="EQ371" s="35"/>
      <c r="ER371" s="35"/>
      <c r="ES371" s="35"/>
      <c r="ET371" s="35"/>
      <c r="EU371" s="35"/>
      <c r="EV371" s="35"/>
      <c r="EW371" s="35"/>
      <c r="EX371" s="35"/>
      <c r="EY371" s="35"/>
      <c r="EZ371" s="35"/>
      <c r="FA371" s="35"/>
      <c r="FB371" s="35"/>
      <c r="FC371" s="35"/>
      <c r="FD371" s="35"/>
      <c r="FE371" s="35"/>
      <c r="FF371" s="35"/>
      <c r="FG371" s="35"/>
      <c r="FH371" s="35"/>
      <c r="FI371" s="35"/>
      <c r="FJ371" s="35"/>
      <c r="FK371" s="35"/>
      <c r="FL371" s="35"/>
      <c r="FM371" s="35"/>
      <c r="FN371" s="35"/>
      <c r="FO371" s="35"/>
      <c r="FP371" s="35"/>
      <c r="FQ371" s="35"/>
      <c r="FR371" s="35"/>
      <c r="FS371" s="35"/>
      <c r="FT371" s="35"/>
      <c r="FU371" s="35"/>
      <c r="FV371" s="35"/>
      <c r="FW371" s="35"/>
      <c r="FX371" s="35"/>
      <c r="FY371" s="35"/>
      <c r="FZ371" s="35"/>
      <c r="GA371" s="35"/>
      <c r="GB371" s="35"/>
      <c r="GC371" s="35"/>
      <c r="GD371" s="35"/>
      <c r="GE371" s="35"/>
      <c r="GF371" s="35"/>
      <c r="GG371" s="35"/>
      <c r="GH371" s="35"/>
      <c r="GI371" s="35"/>
      <c r="GJ371" s="35"/>
      <c r="GK371" s="35"/>
      <c r="GL371" s="35"/>
      <c r="GM371" s="35"/>
      <c r="GN371" s="35"/>
      <c r="GO371" s="35"/>
      <c r="GP371" s="35"/>
      <c r="GQ371" s="35"/>
      <c r="GR371" s="35"/>
      <c r="GS371" s="35"/>
      <c r="GT371" s="35"/>
      <c r="GU371" s="35"/>
      <c r="GV371" s="35"/>
      <c r="GW371" s="35"/>
      <c r="GX371" s="35"/>
      <c r="GY371" s="35"/>
      <c r="GZ371" s="35"/>
      <c r="HA371" s="35"/>
      <c r="HB371" s="35"/>
      <c r="HC371" s="35"/>
      <c r="HD371" s="35"/>
      <c r="HE371" s="35"/>
      <c r="HF371" s="35"/>
      <c r="HG371" s="35"/>
      <c r="HH371" s="35"/>
      <c r="HI371" s="35"/>
      <c r="HJ371" s="35"/>
      <c r="HK371" s="35"/>
      <c r="HL371" s="35"/>
      <c r="HM371" s="35"/>
      <c r="HN371" s="35"/>
      <c r="HO371" s="35"/>
      <c r="HP371" s="35"/>
      <c r="HQ371" s="35"/>
      <c r="HR371" s="35"/>
      <c r="HS371" s="35"/>
      <c r="HT371" s="35"/>
      <c r="HU371" s="35"/>
      <c r="HV371" s="35"/>
      <c r="HW371" s="35"/>
      <c r="HX371" s="35"/>
      <c r="HY371" s="35"/>
      <c r="HZ371" s="35"/>
      <c r="IA371" s="35"/>
      <c r="IB371" s="35"/>
      <c r="IC371" s="35"/>
      <c r="ID371" s="35"/>
      <c r="IE371" s="35"/>
      <c r="IF371" s="35"/>
      <c r="IG371" s="35"/>
      <c r="IH371" s="35"/>
      <c r="II371" s="35"/>
      <c r="IJ371" s="35"/>
      <c r="IK371" s="35"/>
      <c r="IL371" s="35"/>
      <c r="IM371" s="35"/>
      <c r="IN371" s="35"/>
      <c r="IO371" s="35"/>
      <c r="IP371" s="35"/>
      <c r="IQ371" s="35"/>
      <c r="IR371" s="35"/>
      <c r="IS371" s="35"/>
      <c r="IT371" s="35"/>
      <c r="IU371" s="35"/>
      <c r="IV371" s="35"/>
      <c r="IW371" s="35"/>
      <c r="IX371" s="35"/>
      <c r="IY371" s="35"/>
      <c r="IZ371" s="35"/>
      <c r="JA371" s="35"/>
      <c r="JB371" s="35"/>
      <c r="JC371" s="35"/>
      <c r="JD371" s="35"/>
      <c r="JE371" s="35"/>
      <c r="JF371" s="35"/>
      <c r="JG371" s="35"/>
      <c r="JH371" s="35"/>
      <c r="JI371" s="35"/>
      <c r="JJ371" s="35"/>
      <c r="JK371" s="35"/>
      <c r="JL371" s="35"/>
      <c r="JM371" s="35"/>
      <c r="JN371" s="35"/>
      <c r="JO371" s="35"/>
      <c r="JP371" s="35"/>
      <c r="JQ371" s="35"/>
      <c r="JR371" s="35"/>
      <c r="JS371" s="35"/>
      <c r="JT371" s="35"/>
      <c r="JU371" s="35"/>
      <c r="JV371" s="35"/>
      <c r="JW371" s="35"/>
      <c r="JX371" s="35"/>
      <c r="JY371" s="35"/>
      <c r="JZ371" s="35"/>
      <c r="KA371" s="35"/>
      <c r="KB371" s="35"/>
      <c r="KC371" s="35"/>
      <c r="KD371" s="35"/>
      <c r="KE371" s="35"/>
      <c r="KF371" s="35"/>
      <c r="KG371" s="35"/>
      <c r="KH371" s="35"/>
      <c r="KI371" s="35"/>
      <c r="KJ371" s="35"/>
      <c r="KK371" s="35"/>
      <c r="KL371" s="35"/>
      <c r="KM371" s="35"/>
      <c r="KN371" s="35"/>
      <c r="KO371" s="35"/>
      <c r="KP371" s="1633"/>
    </row>
    <row r="372" spans="1:302" s="92" customFormat="1" ht="32" customHeight="1" outlineLevel="1">
      <c r="A372" s="1993" t="s">
        <v>143</v>
      </c>
      <c r="B372" s="1993" t="s">
        <v>1183</v>
      </c>
      <c r="C372" s="2600" t="s">
        <v>747</v>
      </c>
      <c r="D372" s="1675"/>
      <c r="E372" s="1389"/>
      <c r="F372" s="506"/>
      <c r="G372" s="1390"/>
      <c r="H372" s="1391"/>
      <c r="I372" s="2573">
        <v>1040000</v>
      </c>
      <c r="J372" s="1672"/>
      <c r="K372" s="1697"/>
      <c r="L372" s="1697"/>
      <c r="M372" s="1701"/>
      <c r="N372" s="1697"/>
      <c r="O372" s="1397">
        <f t="shared" ref="O372" si="500">I372</f>
        <v>1040000</v>
      </c>
      <c r="P372" s="1671"/>
      <c r="Q372" s="1671"/>
      <c r="R372" s="1671"/>
      <c r="S372" s="1672"/>
      <c r="T372" s="1699"/>
      <c r="U372" s="1700"/>
      <c r="V372" s="1700"/>
      <c r="W372" s="1672">
        <f t="shared" ref="W372" si="501">O372+S372</f>
        <v>1040000</v>
      </c>
      <c r="X372" s="1672"/>
      <c r="Y372" s="1699"/>
      <c r="Z372" s="1700"/>
      <c r="AA372" s="1699"/>
      <c r="AB372" s="2525">
        <f>SUM(AM372:BZ372)</f>
        <v>168000</v>
      </c>
      <c r="AC372" s="1444"/>
      <c r="AD372" s="1467"/>
      <c r="AE372" s="510"/>
      <c r="AF372" s="2507"/>
      <c r="AG372" s="1403"/>
      <c r="AH372" s="1397"/>
      <c r="AI372" s="355">
        <f t="shared" si="435"/>
        <v>0</v>
      </c>
      <c r="AJ372" s="351"/>
      <c r="AK372" s="351"/>
      <c r="AL372" s="1398"/>
      <c r="AM372" s="2506"/>
      <c r="AN372" s="2273"/>
      <c r="AO372" s="497"/>
      <c r="AP372" s="497"/>
      <c r="AQ372" s="2729"/>
      <c r="AR372" s="1922"/>
      <c r="AS372" s="1922"/>
      <c r="AT372" s="2015"/>
      <c r="AU372" s="1922"/>
      <c r="AV372" s="1922"/>
      <c r="AW372" s="1922"/>
      <c r="AX372" s="1922"/>
      <c r="AY372" s="2238"/>
      <c r="AZ372" s="2273"/>
      <c r="BA372" s="2011"/>
      <c r="BB372" s="497"/>
      <c r="BC372" s="497"/>
      <c r="BD372" s="497"/>
      <c r="BE372" s="497"/>
      <c r="BF372" s="497"/>
      <c r="BG372" s="497"/>
      <c r="BH372" s="497"/>
      <c r="BI372" s="497"/>
      <c r="BJ372" s="497"/>
      <c r="BK372" s="2137"/>
      <c r="BL372" s="2011"/>
      <c r="BM372" s="2011"/>
      <c r="BN372" s="2011"/>
      <c r="BO372" s="2011"/>
      <c r="BP372" s="2011"/>
      <c r="BQ372" s="2403"/>
      <c r="BR372" s="497"/>
      <c r="BS372" s="497"/>
      <c r="BT372" s="497"/>
      <c r="BU372" s="497"/>
      <c r="BV372" s="497"/>
      <c r="BW372" s="2417">
        <v>168000</v>
      </c>
      <c r="BX372" s="2417"/>
      <c r="BY372" s="2549"/>
      <c r="BZ372" s="2549"/>
      <c r="CA372" s="2435">
        <f t="shared" si="493"/>
        <v>168000</v>
      </c>
      <c r="CB372" s="2380">
        <f t="shared" si="494"/>
        <v>1</v>
      </c>
      <c r="CC372" s="365">
        <f t="shared" si="495"/>
        <v>5.9523809523809525E-6</v>
      </c>
      <c r="CD372" s="1380">
        <f t="shared" si="496"/>
        <v>0.83846153846153848</v>
      </c>
      <c r="CE372" s="1381">
        <f t="shared" si="497"/>
        <v>872000</v>
      </c>
      <c r="CF372" s="1381"/>
      <c r="CG372" s="501"/>
      <c r="CH372" s="502"/>
      <c r="CI372" s="503"/>
      <c r="CJ372" s="504"/>
      <c r="CK372" s="505"/>
      <c r="CL372" s="329">
        <f t="shared" si="450"/>
        <v>872000</v>
      </c>
      <c r="CM372" s="330">
        <f t="shared" si="451"/>
        <v>0</v>
      </c>
      <c r="CN372" s="331">
        <f t="shared" si="369"/>
        <v>-168000</v>
      </c>
      <c r="CO372" s="86"/>
      <c r="CP372" s="86"/>
      <c r="CQ372" s="86"/>
      <c r="CR372" s="86"/>
      <c r="CS372" s="86"/>
      <c r="CT372" s="86"/>
      <c r="CU372" s="86"/>
      <c r="CV372" s="86"/>
      <c r="CW372" s="86"/>
      <c r="CX372" s="86"/>
      <c r="CY372" s="86"/>
      <c r="CZ372" s="86"/>
      <c r="DA372" s="86"/>
      <c r="DB372" s="32"/>
      <c r="DC372" s="32"/>
      <c r="DD372" s="1664"/>
      <c r="DE372" s="35"/>
      <c r="DF372" s="35"/>
      <c r="DG372" s="1642"/>
      <c r="DH372" s="1642"/>
      <c r="DI372" s="1642"/>
      <c r="DJ372" s="1642"/>
      <c r="DK372" s="1642"/>
      <c r="DL372" s="1642"/>
      <c r="DM372" s="1642"/>
      <c r="DN372" s="1642"/>
      <c r="DO372" s="1642"/>
      <c r="DP372" s="1642"/>
      <c r="DQ372" s="1642"/>
      <c r="DR372" s="1642"/>
      <c r="DS372" s="1642"/>
      <c r="DT372" s="1642"/>
      <c r="DU372" s="1642"/>
      <c r="DV372" s="1642"/>
      <c r="DW372" s="1642"/>
      <c r="DX372" s="1642"/>
      <c r="DY372" s="1642"/>
      <c r="DZ372" s="1642"/>
      <c r="EA372" s="1642"/>
      <c r="EB372" s="1642"/>
      <c r="EC372" s="1642"/>
      <c r="ED372" s="1642"/>
      <c r="EE372" s="1642"/>
      <c r="EF372" s="1642"/>
      <c r="EG372" s="1642"/>
      <c r="EH372" s="35"/>
      <c r="EI372" s="1658"/>
      <c r="EJ372" s="35"/>
      <c r="EK372" s="35"/>
      <c r="EL372" s="35"/>
      <c r="EM372" s="35"/>
      <c r="EN372" s="35"/>
      <c r="EO372" s="35"/>
      <c r="EP372" s="35"/>
      <c r="EQ372" s="35"/>
      <c r="ER372" s="35"/>
      <c r="ES372" s="35"/>
      <c r="ET372" s="35"/>
      <c r="EU372" s="35"/>
      <c r="EV372" s="35"/>
      <c r="EW372" s="35"/>
      <c r="EX372" s="35"/>
      <c r="EY372" s="35"/>
      <c r="EZ372" s="35"/>
      <c r="FA372" s="35"/>
      <c r="FB372" s="35"/>
      <c r="FC372" s="35"/>
      <c r="FD372" s="35"/>
      <c r="FE372" s="35"/>
      <c r="FF372" s="35"/>
      <c r="FG372" s="35"/>
      <c r="FH372" s="35"/>
      <c r="FI372" s="35"/>
      <c r="FJ372" s="35"/>
      <c r="FK372" s="35"/>
      <c r="FL372" s="35"/>
      <c r="FM372" s="35"/>
      <c r="FN372" s="35"/>
      <c r="FO372" s="35"/>
      <c r="FP372" s="35"/>
      <c r="FQ372" s="35"/>
      <c r="FR372" s="35"/>
      <c r="FS372" s="35"/>
      <c r="FT372" s="35"/>
      <c r="FU372" s="35"/>
      <c r="FV372" s="35"/>
      <c r="FW372" s="35"/>
      <c r="FX372" s="35"/>
      <c r="FY372" s="35"/>
      <c r="FZ372" s="35"/>
      <c r="GA372" s="35"/>
      <c r="GB372" s="35"/>
      <c r="GC372" s="35"/>
      <c r="GD372" s="35"/>
      <c r="GE372" s="35"/>
      <c r="GF372" s="35"/>
      <c r="GG372" s="35"/>
      <c r="GH372" s="35"/>
      <c r="GI372" s="35"/>
      <c r="GJ372" s="35"/>
      <c r="GK372" s="35"/>
      <c r="GL372" s="35"/>
      <c r="GM372" s="35"/>
      <c r="GN372" s="35"/>
      <c r="GO372" s="35"/>
      <c r="GP372" s="35"/>
      <c r="GQ372" s="35"/>
      <c r="GR372" s="35"/>
      <c r="GS372" s="35"/>
      <c r="GT372" s="35"/>
      <c r="GU372" s="35"/>
      <c r="GV372" s="35"/>
      <c r="GW372" s="35"/>
      <c r="GX372" s="35"/>
      <c r="GY372" s="35"/>
      <c r="GZ372" s="35"/>
      <c r="HA372" s="35"/>
      <c r="HB372" s="35"/>
      <c r="HC372" s="35"/>
      <c r="HD372" s="35"/>
      <c r="HE372" s="35"/>
      <c r="HF372" s="35"/>
      <c r="HG372" s="35"/>
      <c r="HH372" s="35"/>
      <c r="HI372" s="35"/>
      <c r="HJ372" s="35"/>
      <c r="HK372" s="35"/>
      <c r="HL372" s="35"/>
      <c r="HM372" s="35"/>
      <c r="HN372" s="35"/>
      <c r="HO372" s="35"/>
      <c r="HP372" s="35"/>
      <c r="HQ372" s="35"/>
      <c r="HR372" s="35"/>
      <c r="HS372" s="35"/>
      <c r="HT372" s="35"/>
      <c r="HU372" s="35"/>
      <c r="HV372" s="35"/>
      <c r="HW372" s="35"/>
      <c r="HX372" s="35"/>
      <c r="HY372" s="35"/>
      <c r="HZ372" s="35"/>
      <c r="IA372" s="35"/>
      <c r="IB372" s="35"/>
      <c r="IC372" s="35"/>
      <c r="ID372" s="35"/>
      <c r="IE372" s="35"/>
      <c r="IF372" s="35"/>
      <c r="IG372" s="35"/>
      <c r="IH372" s="35"/>
      <c r="II372" s="35"/>
      <c r="IJ372" s="35"/>
      <c r="IK372" s="35"/>
      <c r="IL372" s="35"/>
      <c r="IM372" s="35"/>
      <c r="IN372" s="35"/>
      <c r="IO372" s="35"/>
      <c r="IP372" s="35"/>
      <c r="IQ372" s="35"/>
      <c r="IR372" s="35"/>
      <c r="IS372" s="35"/>
      <c r="IT372" s="35"/>
      <c r="IU372" s="35"/>
      <c r="IV372" s="35"/>
      <c r="IW372" s="35"/>
      <c r="IX372" s="35"/>
      <c r="IY372" s="35"/>
      <c r="IZ372" s="35"/>
      <c r="JA372" s="35"/>
      <c r="JB372" s="35"/>
      <c r="JC372" s="35"/>
      <c r="JD372" s="35"/>
      <c r="JE372" s="35"/>
      <c r="JF372" s="35"/>
      <c r="JG372" s="35"/>
      <c r="JH372" s="35"/>
      <c r="JI372" s="35"/>
      <c r="JJ372" s="35"/>
      <c r="JK372" s="35"/>
      <c r="JL372" s="35"/>
      <c r="JM372" s="35"/>
      <c r="JN372" s="35"/>
      <c r="JO372" s="35"/>
      <c r="JP372" s="35"/>
      <c r="JQ372" s="35"/>
      <c r="JR372" s="35"/>
      <c r="JS372" s="35"/>
      <c r="JT372" s="35"/>
      <c r="JU372" s="35"/>
      <c r="JV372" s="35"/>
      <c r="JW372" s="35"/>
      <c r="JX372" s="35"/>
      <c r="JY372" s="35"/>
      <c r="JZ372" s="35"/>
      <c r="KA372" s="35"/>
      <c r="KB372" s="35"/>
      <c r="KC372" s="35"/>
      <c r="KD372" s="35"/>
      <c r="KE372" s="35"/>
      <c r="KF372" s="35"/>
      <c r="KG372" s="35"/>
      <c r="KH372" s="35"/>
      <c r="KI372" s="35"/>
      <c r="KJ372" s="35"/>
      <c r="KK372" s="35"/>
      <c r="KL372" s="35"/>
      <c r="KM372" s="35"/>
      <c r="KN372" s="35"/>
      <c r="KO372" s="35"/>
      <c r="KP372" s="1633"/>
    </row>
    <row r="373" spans="1:302" s="92" customFormat="1" ht="25.25" customHeight="1" outlineLevel="1">
      <c r="A373" s="1676" t="s">
        <v>744</v>
      </c>
      <c r="B373" s="1676" t="s">
        <v>1183</v>
      </c>
      <c r="C373" s="1359" t="s">
        <v>1285</v>
      </c>
      <c r="D373" s="1675" t="s">
        <v>307</v>
      </c>
      <c r="E373" s="1389"/>
      <c r="F373" s="506"/>
      <c r="G373" s="1390"/>
      <c r="H373" s="1391"/>
      <c r="I373" s="2599"/>
      <c r="J373" s="1672"/>
      <c r="K373" s="1697"/>
      <c r="L373" s="1697"/>
      <c r="M373" s="1701">
        <v>680000</v>
      </c>
      <c r="N373" s="1697">
        <v>1</v>
      </c>
      <c r="O373" s="1397">
        <f t="shared" ref="O373:O389" si="502">I373</f>
        <v>0</v>
      </c>
      <c r="P373" s="1671"/>
      <c r="Q373" s="1671"/>
      <c r="R373" s="1671"/>
      <c r="S373" s="1672"/>
      <c r="T373" s="1699"/>
      <c r="U373" s="1700"/>
      <c r="V373" s="1700"/>
      <c r="W373" s="1672">
        <f t="shared" ref="W373:W389" si="503">O373+S373</f>
        <v>0</v>
      </c>
      <c r="X373" s="1672"/>
      <c r="Y373" s="1699"/>
      <c r="Z373" s="1700"/>
      <c r="AA373" s="1699"/>
      <c r="AB373" s="1672">
        <f t="shared" ref="AB373:AB379" si="504">SUM(AM373:BZ373)</f>
        <v>647500</v>
      </c>
      <c r="AC373" s="1444" t="s">
        <v>1324</v>
      </c>
      <c r="AD373" s="1467">
        <v>4502939085</v>
      </c>
      <c r="AE373" s="510" t="s">
        <v>564</v>
      </c>
      <c r="AF373" s="497">
        <v>680000</v>
      </c>
      <c r="AG373" s="1403">
        <v>1</v>
      </c>
      <c r="AH373" s="1397">
        <f t="shared" si="498"/>
        <v>680000</v>
      </c>
      <c r="AI373" s="355">
        <f t="shared" si="435"/>
        <v>0</v>
      </c>
      <c r="AJ373" s="351">
        <f t="shared" si="499"/>
        <v>0</v>
      </c>
      <c r="AK373" s="351"/>
      <c r="AL373" s="1398"/>
      <c r="AM373" s="2273"/>
      <c r="AN373" s="2273"/>
      <c r="AO373" s="497"/>
      <c r="AP373" s="2823">
        <v>525500</v>
      </c>
      <c r="AQ373" s="497">
        <v>122000</v>
      </c>
      <c r="AR373" s="497"/>
      <c r="AS373" s="2834"/>
      <c r="AT373" s="2015"/>
      <c r="AU373" s="1922"/>
      <c r="AV373" s="1922"/>
      <c r="AW373" s="497"/>
      <c r="AX373" s="497"/>
      <c r="AY373" s="2238"/>
      <c r="AZ373" s="2273"/>
      <c r="BA373" s="2011"/>
      <c r="BB373" s="497"/>
      <c r="BC373" s="497"/>
      <c r="BD373" s="497"/>
      <c r="BE373" s="497"/>
      <c r="BF373" s="497"/>
      <c r="BG373" s="497"/>
      <c r="BH373" s="497"/>
      <c r="BI373" s="497"/>
      <c r="BJ373" s="497"/>
      <c r="BK373" s="2137"/>
      <c r="BL373" s="2011"/>
      <c r="BM373" s="2011"/>
      <c r="BN373" s="2011"/>
      <c r="BO373" s="2011"/>
      <c r="BP373" s="2011"/>
      <c r="BQ373" s="2403"/>
      <c r="BR373" s="497"/>
      <c r="BS373" s="497"/>
      <c r="BT373" s="497"/>
      <c r="BU373" s="497"/>
      <c r="BV373" s="497"/>
      <c r="BW373" s="2417"/>
      <c r="BX373" s="2417"/>
      <c r="BY373" s="2549"/>
      <c r="BZ373" s="2549"/>
      <c r="CA373" s="2435">
        <f t="shared" si="493"/>
        <v>647500</v>
      </c>
      <c r="CB373" s="2380">
        <f t="shared" si="494"/>
        <v>1</v>
      </c>
      <c r="CC373" s="365">
        <f t="shared" si="495"/>
        <v>1.5444015444015443E-6</v>
      </c>
      <c r="CD373" s="1380" t="str">
        <f t="shared" si="496"/>
        <v>0,00%</v>
      </c>
      <c r="CE373" s="1381">
        <f t="shared" si="497"/>
        <v>-647500</v>
      </c>
      <c r="CF373" s="1381"/>
      <c r="CG373" s="501"/>
      <c r="CH373" s="502"/>
      <c r="CI373" s="503"/>
      <c r="CJ373" s="504"/>
      <c r="CK373" s="505"/>
      <c r="CL373" s="329">
        <f t="shared" si="450"/>
        <v>-647500</v>
      </c>
      <c r="CM373" s="330">
        <f t="shared" si="451"/>
        <v>0</v>
      </c>
      <c r="CN373" s="331">
        <f t="shared" si="369"/>
        <v>0</v>
      </c>
      <c r="CO373" s="86"/>
      <c r="CP373" s="86"/>
      <c r="CQ373" s="86"/>
      <c r="CR373" s="86"/>
      <c r="CS373" s="86"/>
      <c r="CT373" s="86"/>
      <c r="CU373" s="86"/>
      <c r="CV373" s="86"/>
      <c r="CW373" s="86"/>
      <c r="CX373" s="86"/>
      <c r="CY373" s="86"/>
      <c r="CZ373" s="86"/>
      <c r="DA373" s="86"/>
      <c r="DB373" s="32"/>
      <c r="DC373" s="32"/>
      <c r="DD373" s="1664"/>
      <c r="DE373" s="35"/>
      <c r="DF373" s="35"/>
      <c r="DG373" s="1642"/>
      <c r="DH373" s="1642"/>
      <c r="DI373" s="1642"/>
      <c r="DJ373" s="1642"/>
      <c r="DK373" s="1642"/>
      <c r="DL373" s="1642"/>
      <c r="DM373" s="1642"/>
      <c r="DN373" s="1642"/>
      <c r="DO373" s="1642"/>
      <c r="DP373" s="1642"/>
      <c r="DQ373" s="1642"/>
      <c r="DR373" s="1642"/>
      <c r="DS373" s="1642"/>
      <c r="DT373" s="1642"/>
      <c r="DU373" s="1642"/>
      <c r="DV373" s="1642"/>
      <c r="DW373" s="1642"/>
      <c r="DX373" s="1642"/>
      <c r="DY373" s="1642"/>
      <c r="DZ373" s="1642"/>
      <c r="EA373" s="1642"/>
      <c r="EB373" s="1642"/>
      <c r="EC373" s="1642"/>
      <c r="ED373" s="1642"/>
      <c r="EE373" s="1642"/>
      <c r="EF373" s="1642"/>
      <c r="EG373" s="1642"/>
      <c r="EH373" s="35"/>
      <c r="EI373" s="1658"/>
      <c r="EJ373" s="35"/>
      <c r="EK373" s="35"/>
      <c r="EL373" s="35"/>
      <c r="EM373" s="35"/>
      <c r="EN373" s="35"/>
      <c r="EO373" s="35"/>
      <c r="EP373" s="35"/>
      <c r="EQ373" s="35"/>
      <c r="ER373" s="35"/>
      <c r="ES373" s="35"/>
      <c r="ET373" s="35"/>
      <c r="EU373" s="35"/>
      <c r="EV373" s="35"/>
      <c r="EW373" s="35"/>
      <c r="EX373" s="35"/>
      <c r="EY373" s="35"/>
      <c r="EZ373" s="35"/>
      <c r="FA373" s="35"/>
      <c r="FB373" s="35"/>
      <c r="FC373" s="35"/>
      <c r="FD373" s="35"/>
      <c r="FE373" s="35"/>
      <c r="FF373" s="35"/>
      <c r="FG373" s="35"/>
      <c r="FH373" s="35"/>
      <c r="FI373" s="35"/>
      <c r="FJ373" s="35"/>
      <c r="FK373" s="35"/>
      <c r="FL373" s="35"/>
      <c r="FM373" s="35"/>
      <c r="FN373" s="35"/>
      <c r="FO373" s="35"/>
      <c r="FP373" s="35"/>
      <c r="FQ373" s="35"/>
      <c r="FR373" s="35"/>
      <c r="FS373" s="35"/>
      <c r="FT373" s="35"/>
      <c r="FU373" s="35"/>
      <c r="FV373" s="35"/>
      <c r="FW373" s="35"/>
      <c r="FX373" s="35"/>
      <c r="FY373" s="35"/>
      <c r="FZ373" s="35"/>
      <c r="GA373" s="35"/>
      <c r="GB373" s="35"/>
      <c r="GC373" s="35"/>
      <c r="GD373" s="35"/>
      <c r="GE373" s="35"/>
      <c r="GF373" s="35"/>
      <c r="GG373" s="35"/>
      <c r="GH373" s="35"/>
      <c r="GI373" s="35"/>
      <c r="GJ373" s="35"/>
      <c r="GK373" s="35"/>
      <c r="GL373" s="35"/>
      <c r="GM373" s="35"/>
      <c r="GN373" s="35"/>
      <c r="GO373" s="35"/>
      <c r="GP373" s="35"/>
      <c r="GQ373" s="35"/>
      <c r="GR373" s="35"/>
      <c r="GS373" s="35"/>
      <c r="GT373" s="35"/>
      <c r="GU373" s="35"/>
      <c r="GV373" s="35"/>
      <c r="GW373" s="35"/>
      <c r="GX373" s="35"/>
      <c r="GY373" s="35"/>
      <c r="GZ373" s="35"/>
      <c r="HA373" s="35"/>
      <c r="HB373" s="35"/>
      <c r="HC373" s="35"/>
      <c r="HD373" s="35"/>
      <c r="HE373" s="35"/>
      <c r="HF373" s="35"/>
      <c r="HG373" s="35"/>
      <c r="HH373" s="35"/>
      <c r="HI373" s="35"/>
      <c r="HJ373" s="35"/>
      <c r="HK373" s="35"/>
      <c r="HL373" s="35"/>
      <c r="HM373" s="35"/>
      <c r="HN373" s="35"/>
      <c r="HO373" s="35"/>
      <c r="HP373" s="35"/>
      <c r="HQ373" s="35"/>
      <c r="HR373" s="35"/>
      <c r="HS373" s="35"/>
      <c r="HT373" s="35"/>
      <c r="HU373" s="35"/>
      <c r="HV373" s="35"/>
      <c r="HW373" s="35"/>
      <c r="HX373" s="35"/>
      <c r="HY373" s="35"/>
      <c r="HZ373" s="35"/>
      <c r="IA373" s="35"/>
      <c r="IB373" s="35"/>
      <c r="IC373" s="35"/>
      <c r="ID373" s="35"/>
      <c r="IE373" s="35"/>
      <c r="IF373" s="35"/>
      <c r="IG373" s="35"/>
      <c r="IH373" s="35"/>
      <c r="II373" s="35"/>
      <c r="IJ373" s="35"/>
      <c r="IK373" s="35"/>
      <c r="IL373" s="35"/>
      <c r="IM373" s="35"/>
      <c r="IN373" s="35"/>
      <c r="IO373" s="35"/>
      <c r="IP373" s="35"/>
      <c r="IQ373" s="35"/>
      <c r="IR373" s="35"/>
      <c r="IS373" s="35"/>
      <c r="IT373" s="35"/>
      <c r="IU373" s="35"/>
      <c r="IV373" s="35"/>
      <c r="IW373" s="35"/>
      <c r="IX373" s="35"/>
      <c r="IY373" s="35"/>
      <c r="IZ373" s="35"/>
      <c r="JA373" s="35"/>
      <c r="JB373" s="35"/>
      <c r="JC373" s="35"/>
      <c r="JD373" s="35"/>
      <c r="JE373" s="35"/>
      <c r="JF373" s="35"/>
      <c r="JG373" s="35"/>
      <c r="JH373" s="35"/>
      <c r="JI373" s="35"/>
      <c r="JJ373" s="35"/>
      <c r="JK373" s="35"/>
      <c r="JL373" s="35"/>
      <c r="JM373" s="35"/>
      <c r="JN373" s="35"/>
      <c r="JO373" s="35"/>
      <c r="JP373" s="35"/>
      <c r="JQ373" s="35"/>
      <c r="JR373" s="35"/>
      <c r="JS373" s="35"/>
      <c r="JT373" s="35"/>
      <c r="JU373" s="35"/>
      <c r="JV373" s="35"/>
      <c r="JW373" s="35"/>
      <c r="JX373" s="35"/>
      <c r="JY373" s="35"/>
      <c r="JZ373" s="35"/>
      <c r="KA373" s="35"/>
      <c r="KB373" s="35"/>
      <c r="KC373" s="35"/>
      <c r="KD373" s="35"/>
      <c r="KE373" s="35"/>
      <c r="KF373" s="35"/>
      <c r="KG373" s="35"/>
      <c r="KH373" s="35"/>
      <c r="KI373" s="35"/>
      <c r="KJ373" s="35"/>
      <c r="KK373" s="35"/>
      <c r="KL373" s="35"/>
      <c r="KM373" s="35"/>
      <c r="KN373" s="35"/>
      <c r="KO373" s="35"/>
      <c r="KP373" s="1633"/>
    </row>
    <row r="374" spans="1:302" s="92" customFormat="1" ht="25.25" customHeight="1" outlineLevel="1">
      <c r="A374" s="1676" t="s">
        <v>745</v>
      </c>
      <c r="B374" s="1676" t="s">
        <v>1183</v>
      </c>
      <c r="C374" s="1359" t="s">
        <v>1284</v>
      </c>
      <c r="D374" s="1675" t="s">
        <v>239</v>
      </c>
      <c r="E374" s="1389"/>
      <c r="F374" s="506"/>
      <c r="G374" s="1390"/>
      <c r="H374" s="1391"/>
      <c r="I374" s="2599"/>
      <c r="J374" s="1672"/>
      <c r="K374" s="1697"/>
      <c r="L374" s="1697"/>
      <c r="M374" s="1701">
        <v>160000</v>
      </c>
      <c r="N374" s="1697">
        <v>1</v>
      </c>
      <c r="O374" s="1397">
        <f>I374</f>
        <v>0</v>
      </c>
      <c r="P374" s="1671"/>
      <c r="Q374" s="1671"/>
      <c r="R374" s="1671"/>
      <c r="S374" s="1672"/>
      <c r="T374" s="1699"/>
      <c r="U374" s="1700"/>
      <c r="V374" s="1700"/>
      <c r="W374" s="1672">
        <f>O374+S374</f>
        <v>0</v>
      </c>
      <c r="X374" s="1672"/>
      <c r="Y374" s="1699"/>
      <c r="Z374" s="1700"/>
      <c r="AA374" s="1699"/>
      <c r="AB374" s="1672">
        <f t="shared" si="504"/>
        <v>89500</v>
      </c>
      <c r="AC374" s="1444" t="s">
        <v>1324</v>
      </c>
      <c r="AD374" s="1467">
        <v>4502939085</v>
      </c>
      <c r="AE374" s="510" t="s">
        <v>564</v>
      </c>
      <c r="AF374" s="497">
        <v>57000</v>
      </c>
      <c r="AG374" s="1403">
        <v>1</v>
      </c>
      <c r="AH374" s="1397">
        <f>+AF374*AG374</f>
        <v>57000</v>
      </c>
      <c r="AI374" s="355">
        <f t="shared" si="435"/>
        <v>0</v>
      </c>
      <c r="AJ374" s="351">
        <f>IF($AB374&lt;&gt;0,AI374/$AB374,"")</f>
        <v>0</v>
      </c>
      <c r="AK374" s="351"/>
      <c r="AL374" s="1398"/>
      <c r="AM374" s="2273"/>
      <c r="AN374" s="2273"/>
      <c r="AO374" s="1922"/>
      <c r="AP374" s="2823">
        <v>89500</v>
      </c>
      <c r="AQ374" s="1922"/>
      <c r="AR374" s="1922"/>
      <c r="AS374" s="1922"/>
      <c r="AT374" s="2017"/>
      <c r="AU374" s="1922"/>
      <c r="AV374" s="1922"/>
      <c r="AW374" s="1922"/>
      <c r="AX374" s="1922"/>
      <c r="AY374" s="2060"/>
      <c r="AZ374" s="2273"/>
      <c r="BA374" s="2011"/>
      <c r="BB374" s="497"/>
      <c r="BC374" s="497"/>
      <c r="BD374" s="497"/>
      <c r="BE374" s="497"/>
      <c r="BF374" s="497"/>
      <c r="BG374" s="497"/>
      <c r="BH374" s="497"/>
      <c r="BI374" s="497"/>
      <c r="BJ374" s="497"/>
      <c r="BK374" s="2137"/>
      <c r="BL374" s="2011"/>
      <c r="BM374" s="2011"/>
      <c r="BN374" s="2011"/>
      <c r="BO374" s="2011"/>
      <c r="BP374" s="2011"/>
      <c r="BQ374" s="2403"/>
      <c r="BR374" s="497"/>
      <c r="BS374" s="497"/>
      <c r="BT374" s="497"/>
      <c r="BU374" s="497"/>
      <c r="BV374" s="497"/>
      <c r="BW374" s="2417"/>
      <c r="BX374" s="2417"/>
      <c r="BY374" s="2549"/>
      <c r="BZ374" s="2549"/>
      <c r="CA374" s="2435">
        <f t="shared" si="493"/>
        <v>89500</v>
      </c>
      <c r="CB374" s="2380">
        <f t="shared" si="494"/>
        <v>1</v>
      </c>
      <c r="CC374" s="365">
        <f t="shared" si="495"/>
        <v>1.11731843575419E-5</v>
      </c>
      <c r="CD374" s="1380" t="str">
        <f t="shared" si="496"/>
        <v>0,00%</v>
      </c>
      <c r="CE374" s="1381">
        <f t="shared" si="497"/>
        <v>-89500</v>
      </c>
      <c r="CF374" s="1381"/>
      <c r="CG374" s="501"/>
      <c r="CH374" s="502"/>
      <c r="CI374" s="503"/>
      <c r="CJ374" s="504"/>
      <c r="CK374" s="505"/>
      <c r="CL374" s="329">
        <f t="shared" si="450"/>
        <v>-89500</v>
      </c>
      <c r="CM374" s="330">
        <f t="shared" si="451"/>
        <v>0</v>
      </c>
      <c r="CN374" s="331">
        <f>SUM(AN374:AY374)-CA374-AI374</f>
        <v>0</v>
      </c>
      <c r="CO374" s="86"/>
      <c r="CP374" s="86"/>
      <c r="CQ374" s="86"/>
      <c r="CR374" s="86"/>
      <c r="CS374" s="86"/>
      <c r="CT374" s="86"/>
      <c r="CU374" s="86"/>
      <c r="CV374" s="86"/>
      <c r="CW374" s="86"/>
      <c r="CX374" s="86"/>
      <c r="CY374" s="86"/>
      <c r="CZ374" s="86"/>
      <c r="DA374" s="86"/>
      <c r="DB374" s="32"/>
      <c r="DC374" s="32"/>
      <c r="DD374" s="1664"/>
      <c r="DE374" s="35"/>
      <c r="DF374" s="35"/>
      <c r="DG374" s="1642"/>
      <c r="DH374" s="1642"/>
      <c r="DI374" s="1642"/>
      <c r="DJ374" s="1642"/>
      <c r="DK374" s="1642"/>
      <c r="DL374" s="1642"/>
      <c r="DM374" s="1642"/>
      <c r="DN374" s="1642"/>
      <c r="DO374" s="1642"/>
      <c r="DP374" s="1642"/>
      <c r="DQ374" s="1642"/>
      <c r="DR374" s="1642"/>
      <c r="DS374" s="1642"/>
      <c r="DT374" s="1642"/>
      <c r="DU374" s="1642"/>
      <c r="DV374" s="1642"/>
      <c r="DW374" s="1642"/>
      <c r="DX374" s="1642"/>
      <c r="DY374" s="1642"/>
      <c r="DZ374" s="1642"/>
      <c r="EA374" s="1642"/>
      <c r="EB374" s="1642"/>
      <c r="EC374" s="1642"/>
      <c r="ED374" s="1642"/>
      <c r="EE374" s="1642"/>
      <c r="EF374" s="1642"/>
      <c r="EG374" s="1642"/>
      <c r="EH374" s="35"/>
      <c r="EI374" s="1658"/>
      <c r="EJ374" s="35"/>
      <c r="EK374" s="35"/>
      <c r="EL374" s="35"/>
      <c r="EM374" s="35"/>
      <c r="EN374" s="35"/>
      <c r="EO374" s="35"/>
      <c r="EP374" s="35"/>
      <c r="EQ374" s="35"/>
      <c r="ER374" s="35"/>
      <c r="ES374" s="35"/>
      <c r="ET374" s="35"/>
      <c r="EU374" s="35"/>
      <c r="EV374" s="35"/>
      <c r="EW374" s="35"/>
      <c r="EX374" s="35"/>
      <c r="EY374" s="35"/>
      <c r="EZ374" s="35"/>
      <c r="FA374" s="35"/>
      <c r="FB374" s="35"/>
      <c r="FC374" s="35"/>
      <c r="FD374" s="35"/>
      <c r="FE374" s="35"/>
      <c r="FF374" s="35"/>
      <c r="FG374" s="35"/>
      <c r="FH374" s="35"/>
      <c r="FI374" s="35"/>
      <c r="FJ374" s="35"/>
      <c r="FK374" s="35"/>
      <c r="FL374" s="35"/>
      <c r="FM374" s="35"/>
      <c r="FN374" s="35"/>
      <c r="FO374" s="35"/>
      <c r="FP374" s="35"/>
      <c r="FQ374" s="35"/>
      <c r="FR374" s="35"/>
      <c r="FS374" s="35"/>
      <c r="FT374" s="35"/>
      <c r="FU374" s="35"/>
      <c r="FV374" s="35"/>
      <c r="FW374" s="35"/>
      <c r="FX374" s="35"/>
      <c r="FY374" s="35"/>
      <c r="FZ374" s="35"/>
      <c r="GA374" s="35"/>
      <c r="GB374" s="35"/>
      <c r="GC374" s="35"/>
      <c r="GD374" s="35"/>
      <c r="GE374" s="35"/>
      <c r="GF374" s="35"/>
      <c r="GG374" s="35"/>
      <c r="GH374" s="35"/>
      <c r="GI374" s="35"/>
      <c r="GJ374" s="35"/>
      <c r="GK374" s="35"/>
      <c r="GL374" s="35"/>
      <c r="GM374" s="35"/>
      <c r="GN374" s="35"/>
      <c r="GO374" s="35"/>
      <c r="GP374" s="35"/>
      <c r="GQ374" s="35"/>
      <c r="GR374" s="35"/>
      <c r="GS374" s="35"/>
      <c r="GT374" s="35"/>
      <c r="GU374" s="35"/>
      <c r="GV374" s="35"/>
      <c r="GW374" s="35"/>
      <c r="GX374" s="35"/>
      <c r="GY374" s="35"/>
      <c r="GZ374" s="35"/>
      <c r="HA374" s="35"/>
      <c r="HB374" s="35"/>
      <c r="HC374" s="35"/>
      <c r="HD374" s="35"/>
      <c r="HE374" s="35"/>
      <c r="HF374" s="35"/>
      <c r="HG374" s="35"/>
      <c r="HH374" s="35"/>
      <c r="HI374" s="35"/>
      <c r="HJ374" s="35"/>
      <c r="HK374" s="35"/>
      <c r="HL374" s="35"/>
      <c r="HM374" s="35"/>
      <c r="HN374" s="35"/>
      <c r="HO374" s="35"/>
      <c r="HP374" s="35"/>
      <c r="HQ374" s="35"/>
      <c r="HR374" s="35"/>
      <c r="HS374" s="35"/>
      <c r="HT374" s="35"/>
      <c r="HU374" s="35"/>
      <c r="HV374" s="35"/>
      <c r="HW374" s="35"/>
      <c r="HX374" s="35"/>
      <c r="HY374" s="35"/>
      <c r="HZ374" s="35"/>
      <c r="IA374" s="35"/>
      <c r="IB374" s="35"/>
      <c r="IC374" s="35"/>
      <c r="ID374" s="35"/>
      <c r="IE374" s="35"/>
      <c r="IF374" s="35"/>
      <c r="IG374" s="35"/>
      <c r="IH374" s="35"/>
      <c r="II374" s="35"/>
      <c r="IJ374" s="35"/>
      <c r="IK374" s="35"/>
      <c r="IL374" s="35"/>
      <c r="IM374" s="35"/>
      <c r="IN374" s="35"/>
      <c r="IO374" s="35"/>
      <c r="IP374" s="35"/>
      <c r="IQ374" s="35"/>
      <c r="IR374" s="35"/>
      <c r="IS374" s="35"/>
      <c r="IT374" s="35"/>
      <c r="IU374" s="35"/>
      <c r="IV374" s="35"/>
      <c r="IW374" s="35"/>
      <c r="IX374" s="35"/>
      <c r="IY374" s="35"/>
      <c r="IZ374" s="35"/>
      <c r="JA374" s="35"/>
      <c r="JB374" s="35"/>
      <c r="JC374" s="35"/>
      <c r="JD374" s="35"/>
      <c r="JE374" s="35"/>
      <c r="JF374" s="35"/>
      <c r="JG374" s="35"/>
      <c r="JH374" s="35"/>
      <c r="JI374" s="35"/>
      <c r="JJ374" s="35"/>
      <c r="JK374" s="35"/>
      <c r="JL374" s="35"/>
      <c r="JM374" s="35"/>
      <c r="JN374" s="35"/>
      <c r="JO374" s="35"/>
      <c r="JP374" s="35"/>
      <c r="JQ374" s="35"/>
      <c r="JR374" s="35"/>
      <c r="JS374" s="35"/>
      <c r="JT374" s="35"/>
      <c r="JU374" s="35"/>
      <c r="JV374" s="35"/>
      <c r="JW374" s="35"/>
      <c r="JX374" s="35"/>
      <c r="JY374" s="35"/>
      <c r="JZ374" s="35"/>
      <c r="KA374" s="35"/>
      <c r="KB374" s="35"/>
      <c r="KC374" s="35"/>
      <c r="KD374" s="35"/>
      <c r="KE374" s="35"/>
      <c r="KF374" s="35"/>
      <c r="KG374" s="35"/>
      <c r="KH374" s="35"/>
      <c r="KI374" s="35"/>
      <c r="KJ374" s="35"/>
      <c r="KK374" s="35"/>
      <c r="KL374" s="35"/>
      <c r="KM374" s="35"/>
      <c r="KN374" s="35"/>
      <c r="KO374" s="35"/>
      <c r="KP374" s="1633"/>
    </row>
    <row r="375" spans="1:302" s="92" customFormat="1" ht="25.25" customHeight="1" outlineLevel="1">
      <c r="A375" s="1676" t="s">
        <v>746</v>
      </c>
      <c r="B375" s="1676"/>
      <c r="C375" s="1359" t="s">
        <v>1323</v>
      </c>
      <c r="D375" s="1675" t="s">
        <v>239</v>
      </c>
      <c r="E375" s="1389"/>
      <c r="F375" s="506"/>
      <c r="G375" s="1390"/>
      <c r="H375" s="1391"/>
      <c r="I375" s="2599"/>
      <c r="J375" s="1672"/>
      <c r="K375" s="1697"/>
      <c r="L375" s="1697"/>
      <c r="M375" s="1701"/>
      <c r="N375" s="1697"/>
      <c r="O375" s="1397">
        <f>I375</f>
        <v>0</v>
      </c>
      <c r="P375" s="1671"/>
      <c r="Q375" s="1671"/>
      <c r="R375" s="1671"/>
      <c r="S375" s="1672"/>
      <c r="T375" s="1699"/>
      <c r="U375" s="1700"/>
      <c r="V375" s="1700"/>
      <c r="W375" s="1672">
        <f>O375+S375</f>
        <v>0</v>
      </c>
      <c r="X375" s="1672"/>
      <c r="Y375" s="1699"/>
      <c r="Z375" s="1700"/>
      <c r="AA375" s="1699"/>
      <c r="AB375" s="1672">
        <f t="shared" si="504"/>
        <v>135000</v>
      </c>
      <c r="AC375" s="1444" t="s">
        <v>1324</v>
      </c>
      <c r="AD375" s="1467">
        <v>4502939085</v>
      </c>
      <c r="AE375" s="510" t="s">
        <v>564</v>
      </c>
      <c r="AF375" s="497">
        <v>135000</v>
      </c>
      <c r="AG375" s="1403">
        <v>1</v>
      </c>
      <c r="AH375" s="1397">
        <f>+AF375*AG375</f>
        <v>135000</v>
      </c>
      <c r="AI375" s="355">
        <f t="shared" ref="AI375" si="505">SUMIF($AM$10:$BZ$10,$AI$9,AM375:BZ375)</f>
        <v>0</v>
      </c>
      <c r="AJ375" s="351">
        <f>IF($AB375&lt;&gt;0,AI375/$AB375,"")</f>
        <v>0</v>
      </c>
      <c r="AK375" s="351"/>
      <c r="AL375" s="1398"/>
      <c r="AM375" s="2273"/>
      <c r="AN375" s="2273"/>
      <c r="AO375" s="1922"/>
      <c r="AP375" s="2823">
        <v>135000</v>
      </c>
      <c r="AQ375" s="1922"/>
      <c r="AR375" s="1922"/>
      <c r="AS375" s="1922"/>
      <c r="AT375" s="2017"/>
      <c r="AU375" s="1922"/>
      <c r="AV375" s="1922"/>
      <c r="AW375" s="1922"/>
      <c r="AX375" s="1922"/>
      <c r="AY375" s="2060"/>
      <c r="AZ375" s="2273"/>
      <c r="BA375" s="2011"/>
      <c r="BB375" s="497"/>
      <c r="BC375" s="497"/>
      <c r="BD375" s="497"/>
      <c r="BE375" s="497"/>
      <c r="BF375" s="497"/>
      <c r="BG375" s="497"/>
      <c r="BH375" s="497"/>
      <c r="BI375" s="497"/>
      <c r="BJ375" s="497"/>
      <c r="BK375" s="2137"/>
      <c r="BL375" s="2011"/>
      <c r="BM375" s="2011"/>
      <c r="BN375" s="2011"/>
      <c r="BO375" s="2011"/>
      <c r="BP375" s="2011"/>
      <c r="BQ375" s="2403"/>
      <c r="BR375" s="497"/>
      <c r="BS375" s="497"/>
      <c r="BT375" s="497"/>
      <c r="BU375" s="497"/>
      <c r="BV375" s="497"/>
      <c r="BW375" s="2417"/>
      <c r="BX375" s="2417"/>
      <c r="BY375" s="2549"/>
      <c r="BZ375" s="2549"/>
      <c r="CA375" s="2435">
        <f t="shared" si="493"/>
        <v>135000</v>
      </c>
      <c r="CB375" s="2380">
        <f t="shared" si="494"/>
        <v>1</v>
      </c>
      <c r="CC375" s="365">
        <f t="shared" si="495"/>
        <v>7.4074074074074075E-6</v>
      </c>
      <c r="CD375" s="1380" t="str">
        <f t="shared" si="496"/>
        <v>0,00%</v>
      </c>
      <c r="CE375" s="1381">
        <f t="shared" si="497"/>
        <v>-135000</v>
      </c>
      <c r="CF375" s="1381"/>
      <c r="CG375" s="501"/>
      <c r="CH375" s="502"/>
      <c r="CI375" s="503"/>
      <c r="CJ375" s="504"/>
      <c r="CK375" s="505"/>
      <c r="CL375" s="329">
        <f t="shared" si="450"/>
        <v>-135000</v>
      </c>
      <c r="CM375" s="330">
        <f t="shared" si="451"/>
        <v>0</v>
      </c>
      <c r="CN375" s="331"/>
      <c r="CO375" s="86"/>
      <c r="CP375" s="86"/>
      <c r="CQ375" s="86"/>
      <c r="CR375" s="86"/>
      <c r="CS375" s="86"/>
      <c r="CT375" s="86"/>
      <c r="CU375" s="86"/>
      <c r="CV375" s="86"/>
      <c r="CW375" s="86"/>
      <c r="CX375" s="86"/>
      <c r="CY375" s="86"/>
      <c r="CZ375" s="86"/>
      <c r="DA375" s="86"/>
      <c r="DB375" s="32"/>
      <c r="DC375" s="32"/>
      <c r="DD375" s="1664"/>
      <c r="DE375" s="35"/>
      <c r="DF375" s="35"/>
      <c r="DG375" s="1642"/>
      <c r="DH375" s="1642"/>
      <c r="DI375" s="1642"/>
      <c r="DJ375" s="1642"/>
      <c r="DK375" s="1642"/>
      <c r="DL375" s="1642"/>
      <c r="DM375" s="1642"/>
      <c r="DN375" s="1642"/>
      <c r="DO375" s="1642"/>
      <c r="DP375" s="1642"/>
      <c r="DQ375" s="1642"/>
      <c r="DR375" s="1642"/>
      <c r="DS375" s="1642"/>
      <c r="DT375" s="1642"/>
      <c r="DU375" s="1642"/>
      <c r="DV375" s="1642"/>
      <c r="DW375" s="1642"/>
      <c r="DX375" s="1642"/>
      <c r="DY375" s="1642"/>
      <c r="DZ375" s="1642"/>
      <c r="EA375" s="1642"/>
      <c r="EB375" s="1642"/>
      <c r="EC375" s="1642"/>
      <c r="ED375" s="1642"/>
      <c r="EE375" s="1642"/>
      <c r="EF375" s="1642"/>
      <c r="EG375" s="1642"/>
      <c r="EH375" s="35"/>
      <c r="EI375" s="1658"/>
      <c r="EJ375" s="35"/>
      <c r="EK375" s="35"/>
      <c r="EL375" s="35"/>
      <c r="EM375" s="35"/>
      <c r="EN375" s="35"/>
      <c r="EO375" s="35"/>
      <c r="EP375" s="35"/>
      <c r="EQ375" s="35"/>
      <c r="ER375" s="35"/>
      <c r="ES375" s="35"/>
      <c r="ET375" s="35"/>
      <c r="EU375" s="35"/>
      <c r="EV375" s="35"/>
      <c r="EW375" s="35"/>
      <c r="EX375" s="35"/>
      <c r="EY375" s="35"/>
      <c r="EZ375" s="35"/>
      <c r="FA375" s="35"/>
      <c r="FB375" s="35"/>
      <c r="FC375" s="35"/>
      <c r="FD375" s="35"/>
      <c r="FE375" s="35"/>
      <c r="FF375" s="35"/>
      <c r="FG375" s="35"/>
      <c r="FH375" s="35"/>
      <c r="FI375" s="35"/>
      <c r="FJ375" s="35"/>
      <c r="FK375" s="35"/>
      <c r="FL375" s="35"/>
      <c r="FM375" s="35"/>
      <c r="FN375" s="35"/>
      <c r="FO375" s="35"/>
      <c r="FP375" s="35"/>
      <c r="FQ375" s="35"/>
      <c r="FR375" s="35"/>
      <c r="FS375" s="35"/>
      <c r="FT375" s="35"/>
      <c r="FU375" s="35"/>
      <c r="FV375" s="35"/>
      <c r="FW375" s="35"/>
      <c r="FX375" s="35"/>
      <c r="FY375" s="35"/>
      <c r="FZ375" s="35"/>
      <c r="GA375" s="35"/>
      <c r="GB375" s="35"/>
      <c r="GC375" s="35"/>
      <c r="GD375" s="35"/>
      <c r="GE375" s="35"/>
      <c r="GF375" s="35"/>
      <c r="GG375" s="35"/>
      <c r="GH375" s="35"/>
      <c r="GI375" s="35"/>
      <c r="GJ375" s="35"/>
      <c r="GK375" s="35"/>
      <c r="GL375" s="35"/>
      <c r="GM375" s="35"/>
      <c r="GN375" s="35"/>
      <c r="GO375" s="35"/>
      <c r="GP375" s="35"/>
      <c r="GQ375" s="35"/>
      <c r="GR375" s="35"/>
      <c r="GS375" s="35"/>
      <c r="GT375" s="35"/>
      <c r="GU375" s="35"/>
      <c r="GV375" s="35"/>
      <c r="GW375" s="35"/>
      <c r="GX375" s="35"/>
      <c r="GY375" s="35"/>
      <c r="GZ375" s="35"/>
      <c r="HA375" s="35"/>
      <c r="HB375" s="35"/>
      <c r="HC375" s="35"/>
      <c r="HD375" s="35"/>
      <c r="HE375" s="35"/>
      <c r="HF375" s="35"/>
      <c r="HG375" s="35"/>
      <c r="HH375" s="35"/>
      <c r="HI375" s="35"/>
      <c r="HJ375" s="35"/>
      <c r="HK375" s="35"/>
      <c r="HL375" s="35"/>
      <c r="HM375" s="35"/>
      <c r="HN375" s="35"/>
      <c r="HO375" s="35"/>
      <c r="HP375" s="35"/>
      <c r="HQ375" s="35"/>
      <c r="HR375" s="35"/>
      <c r="HS375" s="35"/>
      <c r="HT375" s="35"/>
      <c r="HU375" s="35"/>
      <c r="HV375" s="35"/>
      <c r="HW375" s="35"/>
      <c r="HX375" s="35"/>
      <c r="HY375" s="35"/>
      <c r="HZ375" s="35"/>
      <c r="IA375" s="35"/>
      <c r="IB375" s="35"/>
      <c r="IC375" s="35"/>
      <c r="ID375" s="35"/>
      <c r="IE375" s="35"/>
      <c r="IF375" s="35"/>
      <c r="IG375" s="35"/>
      <c r="IH375" s="35"/>
      <c r="II375" s="35"/>
      <c r="IJ375" s="35"/>
      <c r="IK375" s="35"/>
      <c r="IL375" s="35"/>
      <c r="IM375" s="35"/>
      <c r="IN375" s="35"/>
      <c r="IO375" s="35"/>
      <c r="IP375" s="35"/>
      <c r="IQ375" s="35"/>
      <c r="IR375" s="35"/>
      <c r="IS375" s="35"/>
      <c r="IT375" s="35"/>
      <c r="IU375" s="35"/>
      <c r="IV375" s="35"/>
      <c r="IW375" s="35"/>
      <c r="IX375" s="35"/>
      <c r="IY375" s="35"/>
      <c r="IZ375" s="35"/>
      <c r="JA375" s="35"/>
      <c r="JB375" s="35"/>
      <c r="JC375" s="35"/>
      <c r="JD375" s="35"/>
      <c r="JE375" s="35"/>
      <c r="JF375" s="35"/>
      <c r="JG375" s="35"/>
      <c r="JH375" s="35"/>
      <c r="JI375" s="35"/>
      <c r="JJ375" s="35"/>
      <c r="JK375" s="35"/>
      <c r="JL375" s="35"/>
      <c r="JM375" s="35"/>
      <c r="JN375" s="35"/>
      <c r="JO375" s="35"/>
      <c r="JP375" s="35"/>
      <c r="JQ375" s="35"/>
      <c r="JR375" s="35"/>
      <c r="JS375" s="35"/>
      <c r="JT375" s="35"/>
      <c r="JU375" s="35"/>
      <c r="JV375" s="35"/>
      <c r="JW375" s="35"/>
      <c r="JX375" s="35"/>
      <c r="JY375" s="35"/>
      <c r="JZ375" s="35"/>
      <c r="KA375" s="35"/>
      <c r="KB375" s="35"/>
      <c r="KC375" s="35"/>
      <c r="KD375" s="35"/>
      <c r="KE375" s="35"/>
      <c r="KF375" s="35"/>
      <c r="KG375" s="35"/>
      <c r="KH375" s="35"/>
      <c r="KI375" s="35"/>
      <c r="KJ375" s="35"/>
      <c r="KK375" s="35"/>
      <c r="KL375" s="35"/>
      <c r="KM375" s="35"/>
      <c r="KN375" s="35"/>
      <c r="KO375" s="35"/>
      <c r="KP375" s="1633"/>
    </row>
    <row r="376" spans="1:302" s="92" customFormat="1" ht="25.25" customHeight="1" outlineLevel="1">
      <c r="A376" s="1676" t="s">
        <v>746</v>
      </c>
      <c r="B376" s="1676" t="s">
        <v>1183</v>
      </c>
      <c r="C376" s="2019" t="s">
        <v>300</v>
      </c>
      <c r="D376" s="1363" t="s">
        <v>301</v>
      </c>
      <c r="E376" s="1389"/>
      <c r="F376" s="506"/>
      <c r="G376" s="1402"/>
      <c r="H376" s="1391"/>
      <c r="I376" s="2599"/>
      <c r="J376" s="1672"/>
      <c r="K376" s="1697"/>
      <c r="L376" s="1697"/>
      <c r="M376" s="1701">
        <v>200000</v>
      </c>
      <c r="N376" s="1697">
        <v>1</v>
      </c>
      <c r="O376" s="1397">
        <f t="shared" ref="O376" si="506">I376</f>
        <v>0</v>
      </c>
      <c r="P376" s="1671"/>
      <c r="Q376" s="1671"/>
      <c r="R376" s="1671"/>
      <c r="S376" s="1672"/>
      <c r="T376" s="1699"/>
      <c r="U376" s="1700"/>
      <c r="V376" s="1700"/>
      <c r="W376" s="1672">
        <f t="shared" ref="W376" si="507">O376+S376</f>
        <v>0</v>
      </c>
      <c r="X376" s="1672"/>
      <c r="Y376" s="1699"/>
      <c r="Z376" s="1700"/>
      <c r="AA376" s="1699"/>
      <c r="AB376" s="1672">
        <f t="shared" si="504"/>
        <v>0</v>
      </c>
      <c r="AC376" s="1444"/>
      <c r="AD376" s="1467"/>
      <c r="AE376" s="510"/>
      <c r="AF376" s="497"/>
      <c r="AG376" s="2529">
        <v>1</v>
      </c>
      <c r="AH376" s="1397">
        <f>+AF376*AG376</f>
        <v>0</v>
      </c>
      <c r="AI376" s="355">
        <f t="shared" si="435"/>
        <v>0</v>
      </c>
      <c r="AJ376" s="351" t="str">
        <f>IF($AB376&lt;&gt;0,AI376/$AB376,"")</f>
        <v/>
      </c>
      <c r="AK376" s="351"/>
      <c r="AL376" s="1398"/>
      <c r="AM376" s="2506"/>
      <c r="AN376" s="2273"/>
      <c r="AO376" s="2507"/>
      <c r="AP376" s="2507"/>
      <c r="AQ376" s="2519"/>
      <c r="AR376" s="2519"/>
      <c r="AS376" s="2519"/>
      <c r="AT376" s="2520"/>
      <c r="AU376" s="2519"/>
      <c r="AV376" s="2519"/>
      <c r="AW376" s="2519"/>
      <c r="AX376" s="2519"/>
      <c r="AY376" s="2521"/>
      <c r="AZ376" s="2522"/>
      <c r="BA376" s="379"/>
      <c r="BB376" s="2507"/>
      <c r="BC376" s="2507"/>
      <c r="BD376" s="2507"/>
      <c r="BE376" s="2507"/>
      <c r="BF376" s="2507"/>
      <c r="BG376" s="2507"/>
      <c r="BH376" s="2507"/>
      <c r="BI376" s="2507"/>
      <c r="BJ376" s="2507"/>
      <c r="BK376" s="2516"/>
      <c r="BL376" s="2517"/>
      <c r="BM376" s="2517"/>
      <c r="BN376" s="2517"/>
      <c r="BO376" s="2517"/>
      <c r="BP376" s="2517"/>
      <c r="BQ376" s="2518"/>
      <c r="BR376" s="497"/>
      <c r="BS376" s="497"/>
      <c r="BT376" s="497"/>
      <c r="BU376" s="497"/>
      <c r="BV376" s="497"/>
      <c r="BW376" s="2417"/>
      <c r="BX376" s="2417"/>
      <c r="BY376" s="2549"/>
      <c r="BZ376" s="2549"/>
      <c r="CA376" s="2435">
        <f t="shared" si="493"/>
        <v>0</v>
      </c>
      <c r="CB376" s="2380" t="str">
        <f t="shared" si="494"/>
        <v/>
      </c>
      <c r="CC376" s="365" t="str">
        <f t="shared" si="495"/>
        <v/>
      </c>
      <c r="CD376" s="1380" t="str">
        <f t="shared" si="496"/>
        <v>0,00%</v>
      </c>
      <c r="CE376" s="1381">
        <f t="shared" si="497"/>
        <v>0</v>
      </c>
      <c r="CF376" s="1381"/>
      <c r="CG376" s="501"/>
      <c r="CH376" s="502"/>
      <c r="CI376" s="503"/>
      <c r="CJ376" s="504"/>
      <c r="CK376" s="505"/>
      <c r="CL376" s="329">
        <f t="shared" si="450"/>
        <v>0</v>
      </c>
      <c r="CM376" s="330">
        <f t="shared" si="451"/>
        <v>0</v>
      </c>
      <c r="CN376" s="331">
        <f t="shared" si="369"/>
        <v>0</v>
      </c>
      <c r="CO376" s="86"/>
      <c r="CP376" s="86">
        <f>I376-O376</f>
        <v>0</v>
      </c>
      <c r="CQ376" s="86"/>
      <c r="CR376" s="86"/>
      <c r="CS376" s="86"/>
      <c r="CT376" s="86"/>
      <c r="CU376" s="86"/>
      <c r="CV376" s="86"/>
      <c r="CW376" s="86"/>
      <c r="CX376" s="86"/>
      <c r="CY376" s="86"/>
      <c r="CZ376" s="86"/>
      <c r="DA376" s="86"/>
      <c r="DB376" s="32"/>
      <c r="DC376" s="32"/>
      <c r="DD376" s="35"/>
      <c r="DE376" s="35"/>
      <c r="DF376" s="35"/>
      <c r="DG376" s="1642"/>
      <c r="DH376" s="1642"/>
      <c r="DI376" s="1642"/>
      <c r="DJ376" s="1642"/>
      <c r="DK376" s="1642"/>
      <c r="DL376" s="1642"/>
      <c r="DM376" s="1642"/>
      <c r="DN376" s="1642"/>
      <c r="DO376" s="1642"/>
      <c r="DP376" s="1642"/>
      <c r="DQ376" s="1642"/>
      <c r="DR376" s="1642"/>
      <c r="DS376" s="1642"/>
      <c r="DT376" s="1642"/>
      <c r="DU376" s="1642"/>
      <c r="DV376" s="1642"/>
      <c r="DW376" s="1642"/>
      <c r="DX376" s="1642"/>
      <c r="DY376" s="1642"/>
      <c r="DZ376" s="1642"/>
      <c r="EA376" s="1642"/>
      <c r="EB376" s="1642"/>
      <c r="EC376" s="1642"/>
      <c r="ED376" s="1642"/>
      <c r="EE376" s="1642"/>
      <c r="EF376" s="1642"/>
      <c r="EG376" s="1642"/>
      <c r="EH376" s="35"/>
      <c r="EI376" s="1658"/>
      <c r="EJ376" s="35"/>
      <c r="EK376" s="35"/>
      <c r="EL376" s="35"/>
      <c r="EM376" s="35"/>
      <c r="EN376" s="35"/>
      <c r="EO376" s="35"/>
      <c r="EP376" s="35"/>
      <c r="EQ376" s="35"/>
      <c r="ER376" s="35"/>
      <c r="ES376" s="35"/>
      <c r="ET376" s="35"/>
      <c r="EU376" s="35"/>
      <c r="EV376" s="35"/>
      <c r="EW376" s="35"/>
      <c r="EX376" s="35"/>
      <c r="EY376" s="35"/>
      <c r="EZ376" s="35"/>
      <c r="FA376" s="35"/>
      <c r="FB376" s="35"/>
      <c r="FC376" s="35"/>
      <c r="FD376" s="35"/>
      <c r="FE376" s="35"/>
      <c r="FF376" s="35"/>
      <c r="FG376" s="35"/>
      <c r="FH376" s="35"/>
      <c r="FI376" s="35"/>
      <c r="FJ376" s="35"/>
      <c r="FK376" s="35"/>
      <c r="FL376" s="35"/>
      <c r="FM376" s="35"/>
      <c r="FN376" s="35"/>
      <c r="FO376" s="35"/>
      <c r="FP376" s="35"/>
      <c r="FQ376" s="35"/>
      <c r="FR376" s="35"/>
      <c r="FS376" s="35"/>
      <c r="FT376" s="35"/>
      <c r="FU376" s="35"/>
      <c r="FV376" s="35"/>
      <c r="FW376" s="35"/>
      <c r="FX376" s="35"/>
      <c r="FY376" s="35"/>
      <c r="FZ376" s="35"/>
      <c r="GA376" s="35"/>
      <c r="GB376" s="35"/>
      <c r="GC376" s="35"/>
      <c r="GD376" s="35"/>
      <c r="GE376" s="35"/>
      <c r="GF376" s="35"/>
      <c r="GG376" s="35"/>
      <c r="GH376" s="35"/>
      <c r="GI376" s="35"/>
      <c r="GJ376" s="35"/>
      <c r="GK376" s="35"/>
      <c r="GL376" s="35"/>
      <c r="GM376" s="35"/>
      <c r="GN376" s="35"/>
      <c r="GO376" s="35"/>
      <c r="GP376" s="35"/>
      <c r="GQ376" s="35"/>
      <c r="GR376" s="35"/>
      <c r="GS376" s="35"/>
      <c r="GT376" s="35"/>
      <c r="GU376" s="35"/>
      <c r="GV376" s="35"/>
      <c r="GW376" s="35"/>
      <c r="GX376" s="35"/>
      <c r="GY376" s="35"/>
      <c r="GZ376" s="35"/>
      <c r="HA376" s="35"/>
      <c r="HB376" s="35"/>
      <c r="HC376" s="35"/>
      <c r="HD376" s="35"/>
      <c r="HE376" s="35"/>
      <c r="HF376" s="35"/>
      <c r="HG376" s="35"/>
      <c r="HH376" s="35"/>
      <c r="HI376" s="35"/>
      <c r="HJ376" s="35"/>
      <c r="HK376" s="35"/>
      <c r="HL376" s="35"/>
      <c r="HM376" s="35"/>
      <c r="HN376" s="35"/>
      <c r="HO376" s="35"/>
      <c r="HP376" s="35"/>
      <c r="HQ376" s="35"/>
      <c r="HR376" s="35"/>
      <c r="HS376" s="35"/>
      <c r="HT376" s="35"/>
      <c r="HU376" s="35"/>
      <c r="HV376" s="35"/>
      <c r="HW376" s="35"/>
      <c r="HX376" s="35"/>
      <c r="HY376" s="35"/>
      <c r="HZ376" s="35"/>
      <c r="IA376" s="35"/>
      <c r="IB376" s="35"/>
      <c r="IC376" s="35"/>
      <c r="ID376" s="35"/>
      <c r="IE376" s="35"/>
      <c r="IF376" s="35"/>
      <c r="IG376" s="35"/>
      <c r="IH376" s="35"/>
      <c r="II376" s="35"/>
      <c r="IJ376" s="35"/>
      <c r="IK376" s="35"/>
      <c r="IL376" s="35"/>
      <c r="IM376" s="35"/>
      <c r="IN376" s="35"/>
      <c r="IO376" s="35"/>
      <c r="IP376" s="35"/>
      <c r="IQ376" s="35"/>
      <c r="IR376" s="35"/>
      <c r="IS376" s="35"/>
      <c r="IT376" s="35"/>
      <c r="IU376" s="35"/>
      <c r="IV376" s="35"/>
      <c r="IW376" s="35"/>
      <c r="IX376" s="35"/>
      <c r="IY376" s="35"/>
      <c r="IZ376" s="35"/>
      <c r="JA376" s="35"/>
      <c r="JB376" s="35"/>
      <c r="JC376" s="35"/>
      <c r="JD376" s="35"/>
      <c r="JE376" s="35"/>
      <c r="JF376" s="35"/>
      <c r="JG376" s="35"/>
      <c r="JH376" s="35"/>
      <c r="JI376" s="35"/>
      <c r="JJ376" s="35"/>
      <c r="JK376" s="35"/>
      <c r="JL376" s="35"/>
      <c r="JM376" s="35"/>
      <c r="JN376" s="35"/>
      <c r="JO376" s="35"/>
      <c r="JP376" s="35"/>
      <c r="JQ376" s="35"/>
      <c r="JR376" s="35"/>
      <c r="JS376" s="35"/>
      <c r="JT376" s="35"/>
      <c r="JU376" s="35"/>
      <c r="JV376" s="35"/>
      <c r="JW376" s="35"/>
      <c r="JX376" s="35"/>
      <c r="JY376" s="35"/>
      <c r="JZ376" s="35"/>
      <c r="KA376" s="35"/>
      <c r="KB376" s="35"/>
      <c r="KC376" s="35"/>
      <c r="KD376" s="35"/>
      <c r="KE376" s="35"/>
      <c r="KF376" s="35"/>
      <c r="KG376" s="35"/>
      <c r="KH376" s="35"/>
      <c r="KI376" s="35"/>
      <c r="KJ376" s="35"/>
      <c r="KK376" s="35"/>
      <c r="KL376" s="35"/>
      <c r="KM376" s="35"/>
      <c r="KN376" s="35"/>
      <c r="KO376" s="35"/>
      <c r="KP376" s="1633"/>
    </row>
    <row r="377" spans="1:302" s="92" customFormat="1" ht="25.25" customHeight="1" outlineLevel="1">
      <c r="A377" s="2101" t="s">
        <v>146</v>
      </c>
      <c r="B377" s="2713" t="s">
        <v>1223</v>
      </c>
      <c r="C377" s="1359" t="s">
        <v>513</v>
      </c>
      <c r="D377" s="1675" t="s">
        <v>571</v>
      </c>
      <c r="E377" s="1389"/>
      <c r="F377" s="506"/>
      <c r="G377" s="1390"/>
      <c r="H377" s="1391"/>
      <c r="I377" s="2711">
        <v>300000</v>
      </c>
      <c r="J377" s="1672"/>
      <c r="K377" s="1697"/>
      <c r="L377" s="1697"/>
      <c r="M377" s="1701">
        <v>300000</v>
      </c>
      <c r="N377" s="1697">
        <v>1</v>
      </c>
      <c r="O377" s="1397">
        <f t="shared" si="502"/>
        <v>300000</v>
      </c>
      <c r="P377" s="1671"/>
      <c r="Q377" s="1671"/>
      <c r="R377" s="1671"/>
      <c r="S377" s="1672"/>
      <c r="T377" s="1699"/>
      <c r="U377" s="1700"/>
      <c r="V377" s="1700"/>
      <c r="W377" s="1672">
        <f t="shared" si="503"/>
        <v>300000</v>
      </c>
      <c r="X377" s="1672"/>
      <c r="Y377" s="1699"/>
      <c r="Z377" s="1700"/>
      <c r="AA377" s="1699"/>
      <c r="AB377" s="2731">
        <f t="shared" si="504"/>
        <v>0</v>
      </c>
      <c r="AC377" s="1444"/>
      <c r="AD377" s="1467"/>
      <c r="AE377" s="510"/>
      <c r="AF377" s="497"/>
      <c r="AG377" s="1403">
        <v>1</v>
      </c>
      <c r="AH377" s="1397">
        <f t="shared" si="498"/>
        <v>0</v>
      </c>
      <c r="AI377" s="355">
        <f t="shared" si="435"/>
        <v>0</v>
      </c>
      <c r="AJ377" s="351" t="str">
        <f t="shared" si="499"/>
        <v/>
      </c>
      <c r="AK377" s="351"/>
      <c r="AL377" s="1398"/>
      <c r="AM377" s="2273"/>
      <c r="AN377" s="2273"/>
      <c r="AO377" s="497"/>
      <c r="AP377" s="497"/>
      <c r="AQ377" s="497"/>
      <c r="AR377" s="497"/>
      <c r="AS377" s="1922"/>
      <c r="AT377" s="2015"/>
      <c r="AU377" s="1922"/>
      <c r="AV377" s="1922"/>
      <c r="AW377" s="497"/>
      <c r="AX377" s="497"/>
      <c r="AY377" s="2060"/>
      <c r="AZ377" s="2273"/>
      <c r="BA377" s="2011"/>
      <c r="BB377" s="497"/>
      <c r="BC377" s="497"/>
      <c r="BD377" s="497"/>
      <c r="BE377" s="497"/>
      <c r="BF377" s="497"/>
      <c r="BG377" s="497"/>
      <c r="BH377" s="497"/>
      <c r="BI377" s="497"/>
      <c r="BJ377" s="497"/>
      <c r="BK377" s="2137"/>
      <c r="BL377" s="2011"/>
      <c r="BM377" s="2011"/>
      <c r="BN377" s="2011"/>
      <c r="BO377" s="2011"/>
      <c r="BP377" s="2011"/>
      <c r="BQ377" s="2403"/>
      <c r="BR377" s="497"/>
      <c r="BS377" s="497"/>
      <c r="BT377" s="497"/>
      <c r="BU377" s="497"/>
      <c r="BV377" s="497"/>
      <c r="BW377" s="2417"/>
      <c r="BX377" s="2417"/>
      <c r="BY377" s="2549"/>
      <c r="BZ377" s="2549"/>
      <c r="CA377" s="2435">
        <f t="shared" si="493"/>
        <v>0</v>
      </c>
      <c r="CB377" s="2380" t="str">
        <f t="shared" si="494"/>
        <v/>
      </c>
      <c r="CC377" s="365" t="str">
        <f t="shared" si="495"/>
        <v/>
      </c>
      <c r="CD377" s="1380">
        <f t="shared" si="496"/>
        <v>1</v>
      </c>
      <c r="CE377" s="1381">
        <f t="shared" si="497"/>
        <v>300000</v>
      </c>
      <c r="CF377" s="1381"/>
      <c r="CG377" s="501"/>
      <c r="CH377" s="502"/>
      <c r="CI377" s="503"/>
      <c r="CJ377" s="504"/>
      <c r="CK377" s="505"/>
      <c r="CL377" s="329">
        <f t="shared" si="450"/>
        <v>300000</v>
      </c>
      <c r="CM377" s="330">
        <f t="shared" si="451"/>
        <v>0</v>
      </c>
      <c r="CN377" s="331">
        <f t="shared" si="369"/>
        <v>0</v>
      </c>
      <c r="CO377" s="86"/>
      <c r="CP377" s="86"/>
      <c r="CQ377" s="86"/>
      <c r="CR377" s="86"/>
      <c r="CS377" s="86"/>
      <c r="CT377" s="86"/>
      <c r="CU377" s="86"/>
      <c r="CV377" s="86"/>
      <c r="CW377" s="86"/>
      <c r="CX377" s="86"/>
      <c r="CY377" s="86"/>
      <c r="CZ377" s="86"/>
      <c r="DA377" s="86"/>
      <c r="DB377" s="32"/>
      <c r="DC377" s="32"/>
      <c r="DD377" s="1664"/>
      <c r="DE377" s="35"/>
      <c r="DF377" s="35"/>
      <c r="DG377" s="1642"/>
      <c r="DH377" s="1642"/>
      <c r="DI377" s="1642"/>
      <c r="DJ377" s="1642"/>
      <c r="DK377" s="1642"/>
      <c r="DL377" s="1642"/>
      <c r="DM377" s="1642"/>
      <c r="DN377" s="1642"/>
      <c r="DO377" s="1642"/>
      <c r="DP377" s="1642"/>
      <c r="DQ377" s="1642"/>
      <c r="DR377" s="1642"/>
      <c r="DS377" s="1642"/>
      <c r="DT377" s="1642"/>
      <c r="DU377" s="1642"/>
      <c r="DV377" s="1642"/>
      <c r="DW377" s="1642"/>
      <c r="DX377" s="1642"/>
      <c r="DY377" s="1642"/>
      <c r="DZ377" s="1642"/>
      <c r="EA377" s="1642"/>
      <c r="EB377" s="1642"/>
      <c r="EC377" s="1642"/>
      <c r="ED377" s="1642"/>
      <c r="EE377" s="1642"/>
      <c r="EF377" s="1642"/>
      <c r="EG377" s="1642"/>
      <c r="EH377" s="35"/>
      <c r="EI377" s="1658"/>
      <c r="EJ377" s="35"/>
      <c r="EK377" s="35"/>
      <c r="EL377" s="35"/>
      <c r="EM377" s="35"/>
      <c r="EN377" s="35"/>
      <c r="EO377" s="35"/>
      <c r="EP377" s="35"/>
      <c r="EQ377" s="35"/>
      <c r="ER377" s="35"/>
      <c r="ES377" s="35"/>
      <c r="ET377" s="35"/>
      <c r="EU377" s="35"/>
      <c r="EV377" s="35"/>
      <c r="EW377" s="35"/>
      <c r="EX377" s="35"/>
      <c r="EY377" s="35"/>
      <c r="EZ377" s="35"/>
      <c r="FA377" s="35"/>
      <c r="FB377" s="35"/>
      <c r="FC377" s="35"/>
      <c r="FD377" s="35"/>
      <c r="FE377" s="35"/>
      <c r="FF377" s="35"/>
      <c r="FG377" s="35"/>
      <c r="FH377" s="35"/>
      <c r="FI377" s="35"/>
      <c r="FJ377" s="35"/>
      <c r="FK377" s="35"/>
      <c r="FL377" s="35"/>
      <c r="FM377" s="35"/>
      <c r="FN377" s="35"/>
      <c r="FO377" s="35"/>
      <c r="FP377" s="35"/>
      <c r="FQ377" s="35"/>
      <c r="FR377" s="35"/>
      <c r="FS377" s="35"/>
      <c r="FT377" s="35"/>
      <c r="FU377" s="35"/>
      <c r="FV377" s="35"/>
      <c r="FW377" s="35"/>
      <c r="FX377" s="35"/>
      <c r="FY377" s="35"/>
      <c r="FZ377" s="35"/>
      <c r="GA377" s="35"/>
      <c r="GB377" s="35"/>
      <c r="GC377" s="35"/>
      <c r="GD377" s="35"/>
      <c r="GE377" s="35"/>
      <c r="GF377" s="35"/>
      <c r="GG377" s="35"/>
      <c r="GH377" s="35"/>
      <c r="GI377" s="35"/>
      <c r="GJ377" s="35"/>
      <c r="GK377" s="35"/>
      <c r="GL377" s="35"/>
      <c r="GM377" s="35"/>
      <c r="GN377" s="35"/>
      <c r="GO377" s="35"/>
      <c r="GP377" s="35"/>
      <c r="GQ377" s="35"/>
      <c r="GR377" s="35"/>
      <c r="GS377" s="35"/>
      <c r="GT377" s="35"/>
      <c r="GU377" s="35"/>
      <c r="GV377" s="35"/>
      <c r="GW377" s="35"/>
      <c r="GX377" s="35"/>
      <c r="GY377" s="35"/>
      <c r="GZ377" s="35"/>
      <c r="HA377" s="35"/>
      <c r="HB377" s="35"/>
      <c r="HC377" s="35"/>
      <c r="HD377" s="35"/>
      <c r="HE377" s="35"/>
      <c r="HF377" s="35"/>
      <c r="HG377" s="35"/>
      <c r="HH377" s="35"/>
      <c r="HI377" s="35"/>
      <c r="HJ377" s="35"/>
      <c r="HK377" s="35"/>
      <c r="HL377" s="35"/>
      <c r="HM377" s="35"/>
      <c r="HN377" s="35"/>
      <c r="HO377" s="35"/>
      <c r="HP377" s="35"/>
      <c r="HQ377" s="35"/>
      <c r="HR377" s="35"/>
      <c r="HS377" s="35"/>
      <c r="HT377" s="35"/>
      <c r="HU377" s="35"/>
      <c r="HV377" s="35"/>
      <c r="HW377" s="35"/>
      <c r="HX377" s="35"/>
      <c r="HY377" s="35"/>
      <c r="HZ377" s="35"/>
      <c r="IA377" s="35"/>
      <c r="IB377" s="35"/>
      <c r="IC377" s="35"/>
      <c r="ID377" s="35"/>
      <c r="IE377" s="35"/>
      <c r="IF377" s="35"/>
      <c r="IG377" s="35"/>
      <c r="IH377" s="35"/>
      <c r="II377" s="35"/>
      <c r="IJ377" s="35"/>
      <c r="IK377" s="35"/>
      <c r="IL377" s="35"/>
      <c r="IM377" s="35"/>
      <c r="IN377" s="35"/>
      <c r="IO377" s="35"/>
      <c r="IP377" s="35"/>
      <c r="IQ377" s="35"/>
      <c r="IR377" s="35"/>
      <c r="IS377" s="35"/>
      <c r="IT377" s="35"/>
      <c r="IU377" s="35"/>
      <c r="IV377" s="35"/>
      <c r="IW377" s="35"/>
      <c r="IX377" s="35"/>
      <c r="IY377" s="35"/>
      <c r="IZ377" s="35"/>
      <c r="JA377" s="35"/>
      <c r="JB377" s="35"/>
      <c r="JC377" s="35"/>
      <c r="JD377" s="35"/>
      <c r="JE377" s="35"/>
      <c r="JF377" s="35"/>
      <c r="JG377" s="35"/>
      <c r="JH377" s="35"/>
      <c r="JI377" s="35"/>
      <c r="JJ377" s="35"/>
      <c r="JK377" s="35"/>
      <c r="JL377" s="35"/>
      <c r="JM377" s="35"/>
      <c r="JN377" s="35"/>
      <c r="JO377" s="35"/>
      <c r="JP377" s="35"/>
      <c r="JQ377" s="35"/>
      <c r="JR377" s="35"/>
      <c r="JS377" s="35"/>
      <c r="JT377" s="35"/>
      <c r="JU377" s="35"/>
      <c r="JV377" s="35"/>
      <c r="JW377" s="35"/>
      <c r="JX377" s="35"/>
      <c r="JY377" s="35"/>
      <c r="JZ377" s="35"/>
      <c r="KA377" s="35"/>
      <c r="KB377" s="35"/>
      <c r="KC377" s="35"/>
      <c r="KD377" s="35"/>
      <c r="KE377" s="35"/>
      <c r="KF377" s="35"/>
      <c r="KG377" s="35"/>
      <c r="KH377" s="35"/>
      <c r="KI377" s="35"/>
      <c r="KJ377" s="35"/>
      <c r="KK377" s="35"/>
      <c r="KL377" s="35"/>
      <c r="KM377" s="35"/>
      <c r="KN377" s="35"/>
      <c r="KO377" s="35"/>
      <c r="KP377" s="1633"/>
    </row>
    <row r="378" spans="1:302" s="92" customFormat="1" ht="35" customHeight="1" outlineLevel="1">
      <c r="A378" s="2101" t="s">
        <v>555</v>
      </c>
      <c r="B378" s="2101"/>
      <c r="C378" s="2539" t="s">
        <v>1305</v>
      </c>
      <c r="D378" s="1675" t="s">
        <v>572</v>
      </c>
      <c r="E378" s="1389"/>
      <c r="F378" s="506"/>
      <c r="G378" s="1390"/>
      <c r="H378" s="1391"/>
      <c r="I378" s="2573"/>
      <c r="J378" s="1672"/>
      <c r="K378" s="1697"/>
      <c r="L378" s="1697"/>
      <c r="M378" s="1701"/>
      <c r="N378" s="1697"/>
      <c r="O378" s="1397">
        <f t="shared" si="502"/>
        <v>0</v>
      </c>
      <c r="P378" s="1671"/>
      <c r="Q378" s="1671"/>
      <c r="R378" s="1671"/>
      <c r="S378" s="1672"/>
      <c r="T378" s="1699"/>
      <c r="U378" s="1700"/>
      <c r="V378" s="1700"/>
      <c r="W378" s="1672">
        <f t="shared" si="503"/>
        <v>0</v>
      </c>
      <c r="X378" s="1672"/>
      <c r="Y378" s="1699"/>
      <c r="Z378" s="1700"/>
      <c r="AA378" s="1699"/>
      <c r="AB378" s="1397">
        <f t="shared" si="504"/>
        <v>269000</v>
      </c>
      <c r="AC378" s="1444" t="s">
        <v>554</v>
      </c>
      <c r="AD378" s="1467">
        <v>4502902128</v>
      </c>
      <c r="AE378" s="510" t="s">
        <v>564</v>
      </c>
      <c r="AF378" s="2507">
        <v>269000</v>
      </c>
      <c r="AG378" s="1403">
        <v>1</v>
      </c>
      <c r="AH378" s="1397">
        <f t="shared" si="498"/>
        <v>269000</v>
      </c>
      <c r="AI378" s="355">
        <f t="shared" si="435"/>
        <v>269000</v>
      </c>
      <c r="AJ378" s="351">
        <f t="shared" si="499"/>
        <v>1</v>
      </c>
      <c r="AK378" s="351"/>
      <c r="AL378" s="1398"/>
      <c r="AM378" s="2273"/>
      <c r="AN378" s="2273"/>
      <c r="AO378" s="2823">
        <f>19000+250000</f>
        <v>269000</v>
      </c>
      <c r="AP378" s="497"/>
      <c r="AQ378" s="497"/>
      <c r="AR378" s="497"/>
      <c r="AS378" s="1922"/>
      <c r="AT378" s="2015"/>
      <c r="AU378" s="1922"/>
      <c r="AV378" s="1922"/>
      <c r="AW378" s="497"/>
      <c r="AX378" s="497"/>
      <c r="AY378" s="2060"/>
      <c r="AZ378" s="2273"/>
      <c r="BA378" s="2011"/>
      <c r="BB378" s="497"/>
      <c r="BC378" s="497"/>
      <c r="BD378" s="497"/>
      <c r="BE378" s="497"/>
      <c r="BF378" s="497"/>
      <c r="BG378" s="497"/>
      <c r="BH378" s="497"/>
      <c r="BI378" s="497"/>
      <c r="BJ378" s="497"/>
      <c r="BK378" s="2137"/>
      <c r="BL378" s="2011"/>
      <c r="BM378" s="2011"/>
      <c r="BN378" s="2011"/>
      <c r="BO378" s="2011"/>
      <c r="BP378" s="2011"/>
      <c r="BQ378" s="2403"/>
      <c r="BR378" s="497"/>
      <c r="BS378" s="497"/>
      <c r="BT378" s="497"/>
      <c r="BU378" s="497"/>
      <c r="BV378" s="497"/>
      <c r="BW378" s="2417"/>
      <c r="BX378" s="2417"/>
      <c r="BY378" s="2549"/>
      <c r="BZ378" s="2549"/>
      <c r="CA378" s="2435">
        <f t="shared" si="493"/>
        <v>0</v>
      </c>
      <c r="CB378" s="2380">
        <f t="shared" si="494"/>
        <v>0</v>
      </c>
      <c r="CC378" s="365">
        <f t="shared" si="495"/>
        <v>0</v>
      </c>
      <c r="CD378" s="1380" t="str">
        <f t="shared" si="496"/>
        <v>0,00%</v>
      </c>
      <c r="CE378" s="1381">
        <f t="shared" si="497"/>
        <v>-269000</v>
      </c>
      <c r="CF378" s="1381"/>
      <c r="CG378" s="501"/>
      <c r="CH378" s="502"/>
      <c r="CI378" s="503"/>
      <c r="CJ378" s="504"/>
      <c r="CK378" s="505"/>
      <c r="CL378" s="329">
        <f t="shared" si="450"/>
        <v>0</v>
      </c>
      <c r="CM378" s="330">
        <f t="shared" si="451"/>
        <v>0</v>
      </c>
      <c r="CN378" s="331">
        <f t="shared" si="369"/>
        <v>0</v>
      </c>
      <c r="CO378" s="86"/>
      <c r="CP378" s="86"/>
      <c r="CQ378" s="86"/>
      <c r="CR378" s="86"/>
      <c r="CS378" s="86"/>
      <c r="CT378" s="86"/>
      <c r="CU378" s="86"/>
      <c r="CV378" s="86"/>
      <c r="CW378" s="86"/>
      <c r="CX378" s="86"/>
      <c r="CY378" s="86"/>
      <c r="CZ378" s="86"/>
      <c r="DA378" s="86"/>
      <c r="DB378" s="32"/>
      <c r="DC378" s="32"/>
      <c r="DD378" s="1664"/>
      <c r="DE378" s="35"/>
      <c r="DF378" s="35"/>
      <c r="DG378" s="1642"/>
      <c r="DH378" s="1642"/>
      <c r="DI378" s="1642"/>
      <c r="DJ378" s="1642"/>
      <c r="DK378" s="1642"/>
      <c r="DL378" s="1642"/>
      <c r="DM378" s="1642"/>
      <c r="DN378" s="1642"/>
      <c r="DO378" s="1642"/>
      <c r="DP378" s="1642"/>
      <c r="DQ378" s="1642"/>
      <c r="DR378" s="1642"/>
      <c r="DS378" s="1642"/>
      <c r="DT378" s="1642"/>
      <c r="DU378" s="1642"/>
      <c r="DV378" s="1642"/>
      <c r="DW378" s="1642"/>
      <c r="DX378" s="1642"/>
      <c r="DY378" s="1642"/>
      <c r="DZ378" s="1642"/>
      <c r="EA378" s="1642"/>
      <c r="EB378" s="1642"/>
      <c r="EC378" s="1642"/>
      <c r="ED378" s="1642"/>
      <c r="EE378" s="1642"/>
      <c r="EF378" s="1642"/>
      <c r="EG378" s="1642"/>
      <c r="EH378" s="35"/>
      <c r="EI378" s="1658"/>
      <c r="EJ378" s="35"/>
      <c r="EK378" s="35"/>
      <c r="EL378" s="35"/>
      <c r="EM378" s="35"/>
      <c r="EN378" s="35"/>
      <c r="EO378" s="35"/>
      <c r="EP378" s="35"/>
      <c r="EQ378" s="35"/>
      <c r="ER378" s="35"/>
      <c r="ES378" s="35"/>
      <c r="ET378" s="35"/>
      <c r="EU378" s="35"/>
      <c r="EV378" s="35"/>
      <c r="EW378" s="35"/>
      <c r="EX378" s="35"/>
      <c r="EY378" s="35"/>
      <c r="EZ378" s="35"/>
      <c r="FA378" s="35"/>
      <c r="FB378" s="35"/>
      <c r="FC378" s="35"/>
      <c r="FD378" s="35"/>
      <c r="FE378" s="35"/>
      <c r="FF378" s="35"/>
      <c r="FG378" s="35"/>
      <c r="FH378" s="35"/>
      <c r="FI378" s="35"/>
      <c r="FJ378" s="35"/>
      <c r="FK378" s="35"/>
      <c r="FL378" s="35"/>
      <c r="FM378" s="35"/>
      <c r="FN378" s="35"/>
      <c r="FO378" s="35"/>
      <c r="FP378" s="35"/>
      <c r="FQ378" s="35"/>
      <c r="FR378" s="35"/>
      <c r="FS378" s="35"/>
      <c r="FT378" s="35"/>
      <c r="FU378" s="35"/>
      <c r="FV378" s="35"/>
      <c r="FW378" s="35"/>
      <c r="FX378" s="35"/>
      <c r="FY378" s="35"/>
      <c r="FZ378" s="35"/>
      <c r="GA378" s="35"/>
      <c r="GB378" s="35"/>
      <c r="GC378" s="35"/>
      <c r="GD378" s="35"/>
      <c r="GE378" s="35"/>
      <c r="GF378" s="35"/>
      <c r="GG378" s="35"/>
      <c r="GH378" s="35"/>
      <c r="GI378" s="35"/>
      <c r="GJ378" s="35"/>
      <c r="GK378" s="35"/>
      <c r="GL378" s="35"/>
      <c r="GM378" s="35"/>
      <c r="GN378" s="35"/>
      <c r="GO378" s="35"/>
      <c r="GP378" s="35"/>
      <c r="GQ378" s="35"/>
      <c r="GR378" s="35"/>
      <c r="GS378" s="35"/>
      <c r="GT378" s="35"/>
      <c r="GU378" s="35"/>
      <c r="GV378" s="35"/>
      <c r="GW378" s="35"/>
      <c r="GX378" s="35"/>
      <c r="GY378" s="35"/>
      <c r="GZ378" s="35"/>
      <c r="HA378" s="35"/>
      <c r="HB378" s="35"/>
      <c r="HC378" s="35"/>
      <c r="HD378" s="35"/>
      <c r="HE378" s="35"/>
      <c r="HF378" s="35"/>
      <c r="HG378" s="35"/>
      <c r="HH378" s="35"/>
      <c r="HI378" s="35"/>
      <c r="HJ378" s="35"/>
      <c r="HK378" s="35"/>
      <c r="HL378" s="35"/>
      <c r="HM378" s="35"/>
      <c r="HN378" s="35"/>
      <c r="HO378" s="35"/>
      <c r="HP378" s="35"/>
      <c r="HQ378" s="35"/>
      <c r="HR378" s="35"/>
      <c r="HS378" s="35"/>
      <c r="HT378" s="35"/>
      <c r="HU378" s="35"/>
      <c r="HV378" s="35"/>
      <c r="HW378" s="35"/>
      <c r="HX378" s="35"/>
      <c r="HY378" s="35"/>
      <c r="HZ378" s="35"/>
      <c r="IA378" s="35"/>
      <c r="IB378" s="35"/>
      <c r="IC378" s="35"/>
      <c r="ID378" s="35"/>
      <c r="IE378" s="35"/>
      <c r="IF378" s="35"/>
      <c r="IG378" s="35"/>
      <c r="IH378" s="35"/>
      <c r="II378" s="35"/>
      <c r="IJ378" s="35"/>
      <c r="IK378" s="35"/>
      <c r="IL378" s="35"/>
      <c r="IM378" s="35"/>
      <c r="IN378" s="35"/>
      <c r="IO378" s="35"/>
      <c r="IP378" s="35"/>
      <c r="IQ378" s="35"/>
      <c r="IR378" s="35"/>
      <c r="IS378" s="35"/>
      <c r="IT378" s="35"/>
      <c r="IU378" s="35"/>
      <c r="IV378" s="35"/>
      <c r="IW378" s="35"/>
      <c r="IX378" s="35"/>
      <c r="IY378" s="35"/>
      <c r="IZ378" s="35"/>
      <c r="JA378" s="35"/>
      <c r="JB378" s="35"/>
      <c r="JC378" s="35"/>
      <c r="JD378" s="35"/>
      <c r="JE378" s="35"/>
      <c r="JF378" s="35"/>
      <c r="JG378" s="35"/>
      <c r="JH378" s="35"/>
      <c r="JI378" s="35"/>
      <c r="JJ378" s="35"/>
      <c r="JK378" s="35"/>
      <c r="JL378" s="35"/>
      <c r="JM378" s="35"/>
      <c r="JN378" s="35"/>
      <c r="JO378" s="35"/>
      <c r="JP378" s="35"/>
      <c r="JQ378" s="35"/>
      <c r="JR378" s="35"/>
      <c r="JS378" s="35"/>
      <c r="JT378" s="35"/>
      <c r="JU378" s="35"/>
      <c r="JV378" s="35"/>
      <c r="JW378" s="35"/>
      <c r="JX378" s="35"/>
      <c r="JY378" s="35"/>
      <c r="JZ378" s="35"/>
      <c r="KA378" s="35"/>
      <c r="KB378" s="35"/>
      <c r="KC378" s="35"/>
      <c r="KD378" s="35"/>
      <c r="KE378" s="35"/>
      <c r="KF378" s="35"/>
      <c r="KG378" s="35"/>
      <c r="KH378" s="35"/>
      <c r="KI378" s="35"/>
      <c r="KJ378" s="35"/>
      <c r="KK378" s="35"/>
      <c r="KL378" s="35"/>
      <c r="KM378" s="35"/>
      <c r="KN378" s="35"/>
      <c r="KO378" s="35"/>
      <c r="KP378" s="1633"/>
    </row>
    <row r="379" spans="1:302" s="92" customFormat="1" ht="35" customHeight="1" outlineLevel="1">
      <c r="A379" s="2101" t="s">
        <v>895</v>
      </c>
      <c r="B379" s="2713" t="s">
        <v>1223</v>
      </c>
      <c r="C379" s="2020" t="s">
        <v>1306</v>
      </c>
      <c r="D379" s="1363" t="s">
        <v>302</v>
      </c>
      <c r="E379" s="1389"/>
      <c r="F379" s="506"/>
      <c r="G379" s="1390"/>
      <c r="H379" s="1391"/>
      <c r="I379" s="2573"/>
      <c r="J379" s="1672"/>
      <c r="K379" s="1697"/>
      <c r="L379" s="1697"/>
      <c r="M379" s="1701"/>
      <c r="N379" s="1697"/>
      <c r="O379" s="1397">
        <f t="shared" si="502"/>
        <v>0</v>
      </c>
      <c r="P379" s="1671"/>
      <c r="Q379" s="1671"/>
      <c r="R379" s="1671"/>
      <c r="S379" s="1672"/>
      <c r="T379" s="1699"/>
      <c r="U379" s="1700"/>
      <c r="V379" s="1700"/>
      <c r="W379" s="1672">
        <f t="shared" si="503"/>
        <v>0</v>
      </c>
      <c r="X379" s="1672"/>
      <c r="Y379" s="1699"/>
      <c r="Z379" s="1700"/>
      <c r="AA379" s="1699"/>
      <c r="AB379" s="2756">
        <f t="shared" si="504"/>
        <v>31000</v>
      </c>
      <c r="AC379" s="1444" t="s">
        <v>1232</v>
      </c>
      <c r="AD379" s="1467">
        <v>4502934293</v>
      </c>
      <c r="AE379" s="510" t="s">
        <v>564</v>
      </c>
      <c r="AF379" s="497">
        <v>31000</v>
      </c>
      <c r="AG379" s="1403">
        <v>1</v>
      </c>
      <c r="AH379" s="1397">
        <f t="shared" si="498"/>
        <v>31000</v>
      </c>
      <c r="AI379" s="355">
        <f t="shared" ref="AI379" si="508">SUMIF($AM$10:$BZ$10,$AI$9,AM379:BZ379)</f>
        <v>31000</v>
      </c>
      <c r="AJ379" s="351">
        <f t="shared" ref="AJ379" si="509">IF($AB379&lt;&gt;0,AI379/$AB379,"")</f>
        <v>1</v>
      </c>
      <c r="AK379" s="351"/>
      <c r="AL379" s="1398"/>
      <c r="AM379" s="2273"/>
      <c r="AN379" s="2273"/>
      <c r="AO379" s="2823">
        <v>31000</v>
      </c>
      <c r="AP379" s="497"/>
      <c r="AQ379" s="497"/>
      <c r="AR379" s="497"/>
      <c r="AS379" s="497"/>
      <c r="AT379" s="2015"/>
      <c r="AU379" s="1922"/>
      <c r="AV379" s="1922"/>
      <c r="AW379" s="497"/>
      <c r="AX379" s="497"/>
      <c r="AY379" s="2060"/>
      <c r="AZ379" s="2273"/>
      <c r="BA379" s="2011"/>
      <c r="BB379" s="497"/>
      <c r="BC379" s="497"/>
      <c r="BD379" s="497"/>
      <c r="BE379" s="497"/>
      <c r="BF379" s="497"/>
      <c r="BG379" s="497"/>
      <c r="BH379" s="497"/>
      <c r="BI379" s="497"/>
      <c r="BJ379" s="497"/>
      <c r="BK379" s="2137"/>
      <c r="BL379" s="2011"/>
      <c r="BM379" s="2011"/>
      <c r="BN379" s="2011"/>
      <c r="BO379" s="2011"/>
      <c r="BP379" s="2011"/>
      <c r="BQ379" s="2403"/>
      <c r="BR379" s="497"/>
      <c r="BS379" s="497"/>
      <c r="BT379" s="497"/>
      <c r="BU379" s="497"/>
      <c r="BV379" s="497"/>
      <c r="BW379" s="2417"/>
      <c r="BX379" s="2417"/>
      <c r="BY379" s="2549"/>
      <c r="BZ379" s="2549"/>
      <c r="CA379" s="2435">
        <f t="shared" si="493"/>
        <v>0</v>
      </c>
      <c r="CB379" s="2380">
        <f t="shared" si="494"/>
        <v>0</v>
      </c>
      <c r="CC379" s="365">
        <f t="shared" si="495"/>
        <v>0</v>
      </c>
      <c r="CD379" s="1380" t="str">
        <f t="shared" si="496"/>
        <v>0,00%</v>
      </c>
      <c r="CE379" s="1381">
        <f t="shared" si="497"/>
        <v>-31000</v>
      </c>
      <c r="CF379" s="1381"/>
      <c r="CG379" s="501"/>
      <c r="CH379" s="502"/>
      <c r="CI379" s="503"/>
      <c r="CJ379" s="504"/>
      <c r="CK379" s="505"/>
      <c r="CL379" s="329">
        <f t="shared" si="450"/>
        <v>0</v>
      </c>
      <c r="CM379" s="330">
        <f t="shared" si="451"/>
        <v>0</v>
      </c>
      <c r="CN379" s="331">
        <f t="shared" si="369"/>
        <v>0</v>
      </c>
      <c r="CO379" s="86"/>
      <c r="CP379" s="86"/>
      <c r="CQ379" s="86"/>
      <c r="CR379" s="86"/>
      <c r="CS379" s="86"/>
      <c r="CT379" s="86"/>
      <c r="CU379" s="86"/>
      <c r="CV379" s="86"/>
      <c r="CW379" s="86"/>
      <c r="CX379" s="86"/>
      <c r="CY379" s="86"/>
      <c r="CZ379" s="86"/>
      <c r="DA379" s="86"/>
      <c r="DB379" s="32"/>
      <c r="DC379" s="32"/>
      <c r="DD379" s="1664"/>
      <c r="DE379" s="35"/>
      <c r="DF379" s="35"/>
      <c r="DG379" s="1642"/>
      <c r="DH379" s="1642"/>
      <c r="DI379" s="1642"/>
      <c r="DJ379" s="1642"/>
      <c r="DK379" s="1642"/>
      <c r="DL379" s="1642"/>
      <c r="DM379" s="1642"/>
      <c r="DN379" s="1642"/>
      <c r="DO379" s="1642"/>
      <c r="DP379" s="1642"/>
      <c r="DQ379" s="1642"/>
      <c r="DR379" s="1642"/>
      <c r="DS379" s="1642"/>
      <c r="DT379" s="1642"/>
      <c r="DU379" s="1642"/>
      <c r="DV379" s="1642"/>
      <c r="DW379" s="1642"/>
      <c r="DX379" s="1642"/>
      <c r="DY379" s="1642"/>
      <c r="DZ379" s="1642"/>
      <c r="EA379" s="1642"/>
      <c r="EB379" s="1642"/>
      <c r="EC379" s="1642"/>
      <c r="ED379" s="1642"/>
      <c r="EE379" s="1642"/>
      <c r="EF379" s="1642"/>
      <c r="EG379" s="1642"/>
      <c r="EH379" s="35"/>
      <c r="EI379" s="1658"/>
      <c r="EJ379" s="35"/>
      <c r="EK379" s="35"/>
      <c r="EL379" s="35"/>
      <c r="EM379" s="35"/>
      <c r="EN379" s="35"/>
      <c r="EO379" s="35"/>
      <c r="EP379" s="35"/>
      <c r="EQ379" s="35"/>
      <c r="ER379" s="35"/>
      <c r="ES379" s="35"/>
      <c r="ET379" s="35"/>
      <c r="EU379" s="35"/>
      <c r="EV379" s="35"/>
      <c r="EW379" s="35"/>
      <c r="EX379" s="35"/>
      <c r="EY379" s="35"/>
      <c r="EZ379" s="35"/>
      <c r="FA379" s="35"/>
      <c r="FB379" s="35"/>
      <c r="FC379" s="35"/>
      <c r="FD379" s="35"/>
      <c r="FE379" s="35"/>
      <c r="FF379" s="35"/>
      <c r="FG379" s="35"/>
      <c r="FH379" s="35"/>
      <c r="FI379" s="35"/>
      <c r="FJ379" s="35"/>
      <c r="FK379" s="35"/>
      <c r="FL379" s="35"/>
      <c r="FM379" s="35"/>
      <c r="FN379" s="35"/>
      <c r="FO379" s="35"/>
      <c r="FP379" s="35"/>
      <c r="FQ379" s="35"/>
      <c r="FR379" s="35"/>
      <c r="FS379" s="35"/>
      <c r="FT379" s="35"/>
      <c r="FU379" s="35"/>
      <c r="FV379" s="35"/>
      <c r="FW379" s="35"/>
      <c r="FX379" s="35"/>
      <c r="FY379" s="35"/>
      <c r="FZ379" s="35"/>
      <c r="GA379" s="35"/>
      <c r="GB379" s="35"/>
      <c r="GC379" s="35"/>
      <c r="GD379" s="35"/>
      <c r="GE379" s="35"/>
      <c r="GF379" s="35"/>
      <c r="GG379" s="35"/>
      <c r="GH379" s="35"/>
      <c r="GI379" s="35"/>
      <c r="GJ379" s="35"/>
      <c r="GK379" s="35"/>
      <c r="GL379" s="35"/>
      <c r="GM379" s="35"/>
      <c r="GN379" s="35"/>
      <c r="GO379" s="35"/>
      <c r="GP379" s="35"/>
      <c r="GQ379" s="35"/>
      <c r="GR379" s="35"/>
      <c r="GS379" s="35"/>
      <c r="GT379" s="35"/>
      <c r="GU379" s="35"/>
      <c r="GV379" s="35"/>
      <c r="GW379" s="35"/>
      <c r="GX379" s="35"/>
      <c r="GY379" s="35"/>
      <c r="GZ379" s="35"/>
      <c r="HA379" s="35"/>
      <c r="HB379" s="35"/>
      <c r="HC379" s="35"/>
      <c r="HD379" s="35"/>
      <c r="HE379" s="35"/>
      <c r="HF379" s="35"/>
      <c r="HG379" s="35"/>
      <c r="HH379" s="35"/>
      <c r="HI379" s="35"/>
      <c r="HJ379" s="35"/>
      <c r="HK379" s="35"/>
      <c r="HL379" s="35"/>
      <c r="HM379" s="35"/>
      <c r="HN379" s="35"/>
      <c r="HO379" s="35"/>
      <c r="HP379" s="35"/>
      <c r="HQ379" s="35"/>
      <c r="HR379" s="35"/>
      <c r="HS379" s="35"/>
      <c r="HT379" s="35"/>
      <c r="HU379" s="35"/>
      <c r="HV379" s="35"/>
      <c r="HW379" s="35"/>
      <c r="HX379" s="35"/>
      <c r="HY379" s="35"/>
      <c r="HZ379" s="35"/>
      <c r="IA379" s="35"/>
      <c r="IB379" s="35"/>
      <c r="IC379" s="35"/>
      <c r="ID379" s="35"/>
      <c r="IE379" s="35"/>
      <c r="IF379" s="35"/>
      <c r="IG379" s="35"/>
      <c r="IH379" s="35"/>
      <c r="II379" s="35"/>
      <c r="IJ379" s="35"/>
      <c r="IK379" s="35"/>
      <c r="IL379" s="35"/>
      <c r="IM379" s="35"/>
      <c r="IN379" s="35"/>
      <c r="IO379" s="35"/>
      <c r="IP379" s="35"/>
      <c r="IQ379" s="35"/>
      <c r="IR379" s="35"/>
      <c r="IS379" s="35"/>
      <c r="IT379" s="35"/>
      <c r="IU379" s="35"/>
      <c r="IV379" s="35"/>
      <c r="IW379" s="35"/>
      <c r="IX379" s="35"/>
      <c r="IY379" s="35"/>
      <c r="IZ379" s="35"/>
      <c r="JA379" s="35"/>
      <c r="JB379" s="35"/>
      <c r="JC379" s="35"/>
      <c r="JD379" s="35"/>
      <c r="JE379" s="35"/>
      <c r="JF379" s="35"/>
      <c r="JG379" s="35"/>
      <c r="JH379" s="35"/>
      <c r="JI379" s="35"/>
      <c r="JJ379" s="35"/>
      <c r="JK379" s="35"/>
      <c r="JL379" s="35"/>
      <c r="JM379" s="35"/>
      <c r="JN379" s="35"/>
      <c r="JO379" s="35"/>
      <c r="JP379" s="35"/>
      <c r="JQ379" s="35"/>
      <c r="JR379" s="35"/>
      <c r="JS379" s="35"/>
      <c r="JT379" s="35"/>
      <c r="JU379" s="35"/>
      <c r="JV379" s="35"/>
      <c r="JW379" s="35"/>
      <c r="JX379" s="35"/>
      <c r="JY379" s="35"/>
      <c r="JZ379" s="35"/>
      <c r="KA379" s="35"/>
      <c r="KB379" s="35"/>
      <c r="KC379" s="35"/>
      <c r="KD379" s="35"/>
      <c r="KE379" s="35"/>
      <c r="KF379" s="35"/>
      <c r="KG379" s="35"/>
      <c r="KH379" s="35"/>
      <c r="KI379" s="35"/>
      <c r="KJ379" s="35"/>
      <c r="KK379" s="35"/>
      <c r="KL379" s="35"/>
      <c r="KM379" s="35"/>
      <c r="KN379" s="35"/>
      <c r="KO379" s="35"/>
      <c r="KP379" s="1633"/>
    </row>
    <row r="380" spans="1:302" s="92" customFormat="1" ht="25.25" customHeight="1" outlineLevel="1">
      <c r="A380" s="2101" t="s">
        <v>504</v>
      </c>
      <c r="B380" s="2713" t="s">
        <v>1223</v>
      </c>
      <c r="C380" s="1359" t="s">
        <v>512</v>
      </c>
      <c r="D380" s="1675" t="s">
        <v>570</v>
      </c>
      <c r="E380" s="1389"/>
      <c r="F380" s="506"/>
      <c r="G380" s="1390"/>
      <c r="H380" s="1391"/>
      <c r="I380" s="2711">
        <v>250000</v>
      </c>
      <c r="J380" s="1672"/>
      <c r="K380" s="1697"/>
      <c r="L380" s="1697"/>
      <c r="M380" s="1701">
        <v>250000</v>
      </c>
      <c r="N380" s="1697">
        <v>1</v>
      </c>
      <c r="O380" s="1397">
        <f t="shared" si="502"/>
        <v>250000</v>
      </c>
      <c r="P380" s="1671"/>
      <c r="Q380" s="1671"/>
      <c r="R380" s="1671"/>
      <c r="S380" s="1672"/>
      <c r="T380" s="1699"/>
      <c r="U380" s="1700"/>
      <c r="V380" s="1700"/>
      <c r="W380" s="1672">
        <f t="shared" si="503"/>
        <v>250000</v>
      </c>
      <c r="X380" s="1672"/>
      <c r="Y380" s="1699"/>
      <c r="Z380" s="1700"/>
      <c r="AA380" s="1699"/>
      <c r="AB380" s="2727">
        <f t="shared" ref="AB380:AB390" si="510">SUM(AM380:BZ380)</f>
        <v>92289.73</v>
      </c>
      <c r="AC380" s="1444"/>
      <c r="AD380" s="1467"/>
      <c r="AE380" s="510"/>
      <c r="AF380" s="497"/>
      <c r="AG380" s="1403">
        <v>1</v>
      </c>
      <c r="AH380" s="1397">
        <f>+AF380*AG380</f>
        <v>0</v>
      </c>
      <c r="AI380" s="355">
        <f t="shared" si="435"/>
        <v>0</v>
      </c>
      <c r="AJ380" s="351">
        <f>IF($AB380&lt;&gt;0,AI380/$AB380,"")</f>
        <v>0</v>
      </c>
      <c r="AK380" s="351"/>
      <c r="AL380" s="1398"/>
      <c r="AM380" s="2273"/>
      <c r="AN380" s="2273"/>
      <c r="AO380" s="497"/>
      <c r="AP380" s="497"/>
      <c r="AQ380" s="497"/>
      <c r="AR380" s="497"/>
      <c r="AS380" s="1922"/>
      <c r="AT380" s="2015"/>
      <c r="AU380" s="1922"/>
      <c r="AV380" s="1922"/>
      <c r="AW380" s="497"/>
      <c r="AX380" s="497"/>
      <c r="AY380" s="2060"/>
      <c r="AZ380" s="2273"/>
      <c r="BA380" s="2011"/>
      <c r="BB380" s="497"/>
      <c r="BC380" s="497"/>
      <c r="BD380" s="497"/>
      <c r="BE380" s="497"/>
      <c r="BF380" s="497"/>
      <c r="BG380" s="497"/>
      <c r="BH380" s="497"/>
      <c r="BI380" s="497"/>
      <c r="BJ380" s="497"/>
      <c r="BK380" s="2137"/>
      <c r="BL380" s="2011"/>
      <c r="BM380" s="2011"/>
      <c r="BN380" s="2011"/>
      <c r="BO380" s="2011"/>
      <c r="BP380" s="2011"/>
      <c r="BQ380" s="2403"/>
      <c r="BR380" s="497"/>
      <c r="BS380" s="497"/>
      <c r="BT380" s="497"/>
      <c r="BU380" s="497"/>
      <c r="BV380" s="497"/>
      <c r="BW380" s="2417">
        <v>92289.73</v>
      </c>
      <c r="BX380" s="2417"/>
      <c r="BY380" s="2549"/>
      <c r="BZ380" s="2549"/>
      <c r="CA380" s="2435">
        <f t="shared" si="493"/>
        <v>92289.73</v>
      </c>
      <c r="CB380" s="2380">
        <f t="shared" si="494"/>
        <v>1</v>
      </c>
      <c r="CC380" s="365">
        <f t="shared" si="495"/>
        <v>1.0835441820016161E-5</v>
      </c>
      <c r="CD380" s="1380">
        <f t="shared" si="496"/>
        <v>0.63084108000000005</v>
      </c>
      <c r="CE380" s="1381">
        <f t="shared" si="497"/>
        <v>157710.27000000002</v>
      </c>
      <c r="CF380" s="1381"/>
      <c r="CG380" s="501"/>
      <c r="CH380" s="502"/>
      <c r="CI380" s="503"/>
      <c r="CJ380" s="504"/>
      <c r="CK380" s="505"/>
      <c r="CL380" s="329">
        <f t="shared" si="450"/>
        <v>157710.27000000002</v>
      </c>
      <c r="CM380" s="330">
        <f t="shared" si="451"/>
        <v>0</v>
      </c>
      <c r="CN380" s="331">
        <f t="shared" si="369"/>
        <v>-92289.73</v>
      </c>
      <c r="CO380" s="86"/>
      <c r="CP380" s="86"/>
      <c r="CQ380" s="86"/>
      <c r="CR380" s="86"/>
      <c r="CS380" s="86"/>
      <c r="CT380" s="86"/>
      <c r="CU380" s="86"/>
      <c r="CV380" s="86"/>
      <c r="CW380" s="86"/>
      <c r="CX380" s="86"/>
      <c r="CY380" s="86"/>
      <c r="CZ380" s="86"/>
      <c r="DA380" s="86"/>
      <c r="DB380" s="32"/>
      <c r="DC380" s="32"/>
      <c r="DD380" s="1664"/>
      <c r="DE380" s="35"/>
      <c r="DF380" s="35"/>
      <c r="DG380" s="1642"/>
      <c r="DH380" s="1642"/>
      <c r="DI380" s="1642"/>
      <c r="DJ380" s="1642"/>
      <c r="DK380" s="1642"/>
      <c r="DL380" s="1642"/>
      <c r="DM380" s="1642"/>
      <c r="DN380" s="1642"/>
      <c r="DO380" s="1642"/>
      <c r="DP380" s="1642"/>
      <c r="DQ380" s="1642"/>
      <c r="DR380" s="1642"/>
      <c r="DS380" s="1642"/>
      <c r="DT380" s="1642"/>
      <c r="DU380" s="1642"/>
      <c r="DV380" s="1642"/>
      <c r="DW380" s="1642"/>
      <c r="DX380" s="1642"/>
      <c r="DY380" s="1642"/>
      <c r="DZ380" s="1642"/>
      <c r="EA380" s="1642"/>
      <c r="EB380" s="1642"/>
      <c r="EC380" s="1642"/>
      <c r="ED380" s="1642"/>
      <c r="EE380" s="1642"/>
      <c r="EF380" s="1642"/>
      <c r="EG380" s="1642"/>
      <c r="EH380" s="35"/>
      <c r="EI380" s="1658"/>
      <c r="EJ380" s="35"/>
      <c r="EK380" s="35"/>
      <c r="EL380" s="35"/>
      <c r="EM380" s="35"/>
      <c r="EN380" s="35"/>
      <c r="EO380" s="35"/>
      <c r="EP380" s="35"/>
      <c r="EQ380" s="35"/>
      <c r="ER380" s="35"/>
      <c r="ES380" s="35"/>
      <c r="ET380" s="35"/>
      <c r="EU380" s="35"/>
      <c r="EV380" s="35"/>
      <c r="EW380" s="35"/>
      <c r="EX380" s="35"/>
      <c r="EY380" s="35"/>
      <c r="EZ380" s="35"/>
      <c r="FA380" s="35"/>
      <c r="FB380" s="35"/>
      <c r="FC380" s="35"/>
      <c r="FD380" s="35"/>
      <c r="FE380" s="35"/>
      <c r="FF380" s="35"/>
      <c r="FG380" s="35"/>
      <c r="FH380" s="35"/>
      <c r="FI380" s="35"/>
      <c r="FJ380" s="35"/>
      <c r="FK380" s="35"/>
      <c r="FL380" s="35"/>
      <c r="FM380" s="35"/>
      <c r="FN380" s="35"/>
      <c r="FO380" s="35"/>
      <c r="FP380" s="35"/>
      <c r="FQ380" s="35"/>
      <c r="FR380" s="35"/>
      <c r="FS380" s="35"/>
      <c r="FT380" s="35"/>
      <c r="FU380" s="35"/>
      <c r="FV380" s="35"/>
      <c r="FW380" s="35"/>
      <c r="FX380" s="35"/>
      <c r="FY380" s="35"/>
      <c r="FZ380" s="35"/>
      <c r="GA380" s="35"/>
      <c r="GB380" s="35"/>
      <c r="GC380" s="35"/>
      <c r="GD380" s="35"/>
      <c r="GE380" s="35"/>
      <c r="GF380" s="35"/>
      <c r="GG380" s="35"/>
      <c r="GH380" s="35"/>
      <c r="GI380" s="35"/>
      <c r="GJ380" s="35"/>
      <c r="GK380" s="35"/>
      <c r="GL380" s="35"/>
      <c r="GM380" s="35"/>
      <c r="GN380" s="35"/>
      <c r="GO380" s="35"/>
      <c r="GP380" s="35"/>
      <c r="GQ380" s="35"/>
      <c r="GR380" s="35"/>
      <c r="GS380" s="35"/>
      <c r="GT380" s="35"/>
      <c r="GU380" s="35"/>
      <c r="GV380" s="35"/>
      <c r="GW380" s="35"/>
      <c r="GX380" s="35"/>
      <c r="GY380" s="35"/>
      <c r="GZ380" s="35"/>
      <c r="HA380" s="35"/>
      <c r="HB380" s="35"/>
      <c r="HC380" s="35"/>
      <c r="HD380" s="35"/>
      <c r="HE380" s="35"/>
      <c r="HF380" s="35"/>
      <c r="HG380" s="35"/>
      <c r="HH380" s="35"/>
      <c r="HI380" s="35"/>
      <c r="HJ380" s="35"/>
      <c r="HK380" s="35"/>
      <c r="HL380" s="35"/>
      <c r="HM380" s="35"/>
      <c r="HN380" s="35"/>
      <c r="HO380" s="35"/>
      <c r="HP380" s="35"/>
      <c r="HQ380" s="35"/>
      <c r="HR380" s="35"/>
      <c r="HS380" s="35"/>
      <c r="HT380" s="35"/>
      <c r="HU380" s="35"/>
      <c r="HV380" s="35"/>
      <c r="HW380" s="35"/>
      <c r="HX380" s="35"/>
      <c r="HY380" s="35"/>
      <c r="HZ380" s="35"/>
      <c r="IA380" s="35"/>
      <c r="IB380" s="35"/>
      <c r="IC380" s="35"/>
      <c r="ID380" s="35"/>
      <c r="IE380" s="35"/>
      <c r="IF380" s="35"/>
      <c r="IG380" s="35"/>
      <c r="IH380" s="35"/>
      <c r="II380" s="35"/>
      <c r="IJ380" s="35"/>
      <c r="IK380" s="35"/>
      <c r="IL380" s="35"/>
      <c r="IM380" s="35"/>
      <c r="IN380" s="35"/>
      <c r="IO380" s="35"/>
      <c r="IP380" s="35"/>
      <c r="IQ380" s="35"/>
      <c r="IR380" s="35"/>
      <c r="IS380" s="35"/>
      <c r="IT380" s="35"/>
      <c r="IU380" s="35"/>
      <c r="IV380" s="35"/>
      <c r="IW380" s="35"/>
      <c r="IX380" s="35"/>
      <c r="IY380" s="35"/>
      <c r="IZ380" s="35"/>
      <c r="JA380" s="35"/>
      <c r="JB380" s="35"/>
      <c r="JC380" s="35"/>
      <c r="JD380" s="35"/>
      <c r="JE380" s="35"/>
      <c r="JF380" s="35"/>
      <c r="JG380" s="35"/>
      <c r="JH380" s="35"/>
      <c r="JI380" s="35"/>
      <c r="JJ380" s="35"/>
      <c r="JK380" s="35"/>
      <c r="JL380" s="35"/>
      <c r="JM380" s="35"/>
      <c r="JN380" s="35"/>
      <c r="JO380" s="35"/>
      <c r="JP380" s="35"/>
      <c r="JQ380" s="35"/>
      <c r="JR380" s="35"/>
      <c r="JS380" s="35"/>
      <c r="JT380" s="35"/>
      <c r="JU380" s="35"/>
      <c r="JV380" s="35"/>
      <c r="JW380" s="35"/>
      <c r="JX380" s="35"/>
      <c r="JY380" s="35"/>
      <c r="JZ380" s="35"/>
      <c r="KA380" s="35"/>
      <c r="KB380" s="35"/>
      <c r="KC380" s="35"/>
      <c r="KD380" s="35"/>
      <c r="KE380" s="35"/>
      <c r="KF380" s="35"/>
      <c r="KG380" s="35"/>
      <c r="KH380" s="35"/>
      <c r="KI380" s="35"/>
      <c r="KJ380" s="35"/>
      <c r="KK380" s="35"/>
      <c r="KL380" s="35"/>
      <c r="KM380" s="35"/>
      <c r="KN380" s="35"/>
      <c r="KO380" s="35"/>
      <c r="KP380" s="1633"/>
    </row>
    <row r="381" spans="1:302" s="92" customFormat="1" ht="25.25" customHeight="1" outlineLevel="1">
      <c r="A381" s="2101" t="s">
        <v>1224</v>
      </c>
      <c r="B381" s="2713"/>
      <c r="C381" s="1359" t="s">
        <v>1441</v>
      </c>
      <c r="D381" s="1675" t="s">
        <v>570</v>
      </c>
      <c r="E381" s="1389"/>
      <c r="F381" s="506"/>
      <c r="G381" s="1390"/>
      <c r="H381" s="1391"/>
      <c r="I381" s="2711"/>
      <c r="J381" s="1672"/>
      <c r="K381" s="1697"/>
      <c r="L381" s="1697"/>
      <c r="M381" s="1701"/>
      <c r="N381" s="1697"/>
      <c r="O381" s="1397">
        <f t="shared" si="502"/>
        <v>0</v>
      </c>
      <c r="P381" s="1671"/>
      <c r="Q381" s="1671"/>
      <c r="R381" s="1671"/>
      <c r="S381" s="1672"/>
      <c r="T381" s="1699"/>
      <c r="U381" s="1700"/>
      <c r="V381" s="1700"/>
      <c r="W381" s="1672">
        <f t="shared" si="503"/>
        <v>0</v>
      </c>
      <c r="X381" s="1672"/>
      <c r="Y381" s="1699"/>
      <c r="Z381" s="1700"/>
      <c r="AA381" s="1699"/>
      <c r="AB381" s="2898">
        <f t="shared" si="510"/>
        <v>42355.267</v>
      </c>
      <c r="AC381" s="2896" t="s">
        <v>740</v>
      </c>
      <c r="AD381" s="1681">
        <v>4502939064</v>
      </c>
      <c r="AE381" s="510" t="s">
        <v>564</v>
      </c>
      <c r="AF381" s="497">
        <v>42355.27</v>
      </c>
      <c r="AG381" s="1403">
        <v>1</v>
      </c>
      <c r="AH381" s="1397">
        <f>+AF381*AG381</f>
        <v>42355.27</v>
      </c>
      <c r="AI381" s="355">
        <f>SUMIF($AM$10:$BZ$10,$AI$9,AM381:BZ381)</f>
        <v>4235.527</v>
      </c>
      <c r="AJ381" s="351">
        <f>IF($AB381&lt;&gt;0,AI381/$AB381,"")</f>
        <v>0.10000000708294438</v>
      </c>
      <c r="AK381" s="351"/>
      <c r="AL381" s="1398"/>
      <c r="AM381" s="2273"/>
      <c r="AN381" s="2775">
        <f>AF381/10</f>
        <v>4235.527</v>
      </c>
      <c r="AO381" s="2823"/>
      <c r="AP381" s="2823">
        <f>13464.5+13646.5+3441.42</f>
        <v>30552.42</v>
      </c>
      <c r="AQ381" s="497">
        <v>7567.32</v>
      </c>
      <c r="AR381" s="497"/>
      <c r="AS381" s="1922"/>
      <c r="AT381" s="2015"/>
      <c r="AU381" s="1922"/>
      <c r="AV381" s="1922"/>
      <c r="AW381" s="497"/>
      <c r="AX381" s="497"/>
      <c r="AY381" s="2060"/>
      <c r="AZ381" s="2273"/>
      <c r="BA381" s="2011"/>
      <c r="BB381" s="497"/>
      <c r="BC381" s="497"/>
      <c r="BD381" s="497"/>
      <c r="BE381" s="497"/>
      <c r="BF381" s="497"/>
      <c r="BG381" s="497"/>
      <c r="BH381" s="497"/>
      <c r="BI381" s="497"/>
      <c r="BJ381" s="497"/>
      <c r="BK381" s="2137"/>
      <c r="BL381" s="2011"/>
      <c r="BM381" s="2011"/>
      <c r="BN381" s="2011"/>
      <c r="BO381" s="2011"/>
      <c r="BP381" s="2011"/>
      <c r="BQ381" s="2403"/>
      <c r="BR381" s="497"/>
      <c r="BS381" s="497"/>
      <c r="BT381" s="497"/>
      <c r="BU381" s="497"/>
      <c r="BV381" s="497"/>
      <c r="BW381" s="2417"/>
      <c r="BX381" s="2417"/>
      <c r="BY381" s="2549"/>
      <c r="BZ381" s="2549"/>
      <c r="CA381" s="2435">
        <f t="shared" si="493"/>
        <v>38119.74</v>
      </c>
      <c r="CB381" s="2380">
        <f t="shared" si="494"/>
        <v>0.89999999291705557</v>
      </c>
      <c r="CC381" s="365">
        <f t="shared" si="495"/>
        <v>2.1248832947200061E-5</v>
      </c>
      <c r="CD381" s="1380" t="str">
        <f t="shared" si="496"/>
        <v>0,00%</v>
      </c>
      <c r="CE381" s="1381">
        <f t="shared" si="497"/>
        <v>-42355.267</v>
      </c>
      <c r="CF381" s="1381"/>
      <c r="CG381" s="501"/>
      <c r="CH381" s="502"/>
      <c r="CI381" s="503"/>
      <c r="CJ381" s="504"/>
      <c r="CK381" s="505"/>
      <c r="CL381" s="329">
        <f t="shared" si="450"/>
        <v>-38119.74</v>
      </c>
      <c r="CM381" s="330">
        <f t="shared" si="451"/>
        <v>0</v>
      </c>
      <c r="CN381" s="331">
        <f t="shared" si="369"/>
        <v>0</v>
      </c>
      <c r="CO381" s="86"/>
      <c r="CP381" s="86"/>
      <c r="CQ381" s="86"/>
      <c r="CR381" s="86"/>
      <c r="CS381" s="86"/>
      <c r="CT381" s="86"/>
      <c r="CU381" s="86"/>
      <c r="CV381" s="86"/>
      <c r="CW381" s="86"/>
      <c r="CX381" s="86"/>
      <c r="CY381" s="86"/>
      <c r="CZ381" s="86"/>
      <c r="DA381" s="86"/>
      <c r="DB381" s="32"/>
      <c r="DC381" s="32"/>
      <c r="DD381" s="1664"/>
      <c r="DE381" s="35"/>
      <c r="DF381" s="35"/>
      <c r="DG381" s="1642"/>
      <c r="DH381" s="1642"/>
      <c r="DI381" s="1642"/>
      <c r="DJ381" s="1642"/>
      <c r="DK381" s="1642"/>
      <c r="DL381" s="1642"/>
      <c r="DM381" s="1642"/>
      <c r="DN381" s="1642"/>
      <c r="DO381" s="1642"/>
      <c r="DP381" s="1642"/>
      <c r="DQ381" s="1642"/>
      <c r="DR381" s="1642"/>
      <c r="DS381" s="1642"/>
      <c r="DT381" s="1642"/>
      <c r="DU381" s="1642"/>
      <c r="DV381" s="1642"/>
      <c r="DW381" s="1642"/>
      <c r="DX381" s="1642"/>
      <c r="DY381" s="1642"/>
      <c r="DZ381" s="1642"/>
      <c r="EA381" s="1642"/>
      <c r="EB381" s="1642"/>
      <c r="EC381" s="1642"/>
      <c r="ED381" s="1642"/>
      <c r="EE381" s="1642"/>
      <c r="EF381" s="1642"/>
      <c r="EG381" s="1642"/>
      <c r="EH381" s="35"/>
      <c r="EI381" s="1658"/>
      <c r="EJ381" s="35"/>
      <c r="EK381" s="35"/>
      <c r="EL381" s="35"/>
      <c r="EM381" s="35"/>
      <c r="EN381" s="35"/>
      <c r="EO381" s="35"/>
      <c r="EP381" s="35"/>
      <c r="EQ381" s="35"/>
      <c r="ER381" s="35"/>
      <c r="ES381" s="35"/>
      <c r="ET381" s="35"/>
      <c r="EU381" s="35"/>
      <c r="EV381" s="35"/>
      <c r="EW381" s="35"/>
      <c r="EX381" s="35"/>
      <c r="EY381" s="35"/>
      <c r="EZ381" s="35"/>
      <c r="FA381" s="35"/>
      <c r="FB381" s="35"/>
      <c r="FC381" s="35"/>
      <c r="FD381" s="35"/>
      <c r="FE381" s="35"/>
      <c r="FF381" s="35"/>
      <c r="FG381" s="35"/>
      <c r="FH381" s="35"/>
      <c r="FI381" s="35"/>
      <c r="FJ381" s="35"/>
      <c r="FK381" s="35"/>
      <c r="FL381" s="35"/>
      <c r="FM381" s="35"/>
      <c r="FN381" s="35"/>
      <c r="FO381" s="35"/>
      <c r="FP381" s="35"/>
      <c r="FQ381" s="35"/>
      <c r="FR381" s="35"/>
      <c r="FS381" s="35"/>
      <c r="FT381" s="35"/>
      <c r="FU381" s="35"/>
      <c r="FV381" s="35"/>
      <c r="FW381" s="35"/>
      <c r="FX381" s="35"/>
      <c r="FY381" s="35"/>
      <c r="FZ381" s="35"/>
      <c r="GA381" s="35"/>
      <c r="GB381" s="35"/>
      <c r="GC381" s="35"/>
      <c r="GD381" s="35"/>
      <c r="GE381" s="35"/>
      <c r="GF381" s="35"/>
      <c r="GG381" s="35"/>
      <c r="GH381" s="35"/>
      <c r="GI381" s="35"/>
      <c r="GJ381" s="35"/>
      <c r="GK381" s="35"/>
      <c r="GL381" s="35"/>
      <c r="GM381" s="35"/>
      <c r="GN381" s="35"/>
      <c r="GO381" s="35"/>
      <c r="GP381" s="35"/>
      <c r="GQ381" s="35"/>
      <c r="GR381" s="35"/>
      <c r="GS381" s="35"/>
      <c r="GT381" s="35"/>
      <c r="GU381" s="35"/>
      <c r="GV381" s="35"/>
      <c r="GW381" s="35"/>
      <c r="GX381" s="35"/>
      <c r="GY381" s="35"/>
      <c r="GZ381" s="35"/>
      <c r="HA381" s="35"/>
      <c r="HB381" s="35"/>
      <c r="HC381" s="35"/>
      <c r="HD381" s="35"/>
      <c r="HE381" s="35"/>
      <c r="HF381" s="35"/>
      <c r="HG381" s="35"/>
      <c r="HH381" s="35"/>
      <c r="HI381" s="35"/>
      <c r="HJ381" s="35"/>
      <c r="HK381" s="35"/>
      <c r="HL381" s="35"/>
      <c r="HM381" s="35"/>
      <c r="HN381" s="35"/>
      <c r="HO381" s="35"/>
      <c r="HP381" s="35"/>
      <c r="HQ381" s="35"/>
      <c r="HR381" s="35"/>
      <c r="HS381" s="35"/>
      <c r="HT381" s="35"/>
      <c r="HU381" s="35"/>
      <c r="HV381" s="35"/>
      <c r="HW381" s="35"/>
      <c r="HX381" s="35"/>
      <c r="HY381" s="35"/>
      <c r="HZ381" s="35"/>
      <c r="IA381" s="35"/>
      <c r="IB381" s="35"/>
      <c r="IC381" s="35"/>
      <c r="ID381" s="35"/>
      <c r="IE381" s="35"/>
      <c r="IF381" s="35"/>
      <c r="IG381" s="35"/>
      <c r="IH381" s="35"/>
      <c r="II381" s="35"/>
      <c r="IJ381" s="35"/>
      <c r="IK381" s="35"/>
      <c r="IL381" s="35"/>
      <c r="IM381" s="35"/>
      <c r="IN381" s="35"/>
      <c r="IO381" s="35"/>
      <c r="IP381" s="35"/>
      <c r="IQ381" s="35"/>
      <c r="IR381" s="35"/>
      <c r="IS381" s="35"/>
      <c r="IT381" s="35"/>
      <c r="IU381" s="35"/>
      <c r="IV381" s="35"/>
      <c r="IW381" s="35"/>
      <c r="IX381" s="35"/>
      <c r="IY381" s="35"/>
      <c r="IZ381" s="35"/>
      <c r="JA381" s="35"/>
      <c r="JB381" s="35"/>
      <c r="JC381" s="35"/>
      <c r="JD381" s="35"/>
      <c r="JE381" s="35"/>
      <c r="JF381" s="35"/>
      <c r="JG381" s="35"/>
      <c r="JH381" s="35"/>
      <c r="JI381" s="35"/>
      <c r="JJ381" s="35"/>
      <c r="JK381" s="35"/>
      <c r="JL381" s="35"/>
      <c r="JM381" s="35"/>
      <c r="JN381" s="35"/>
      <c r="JO381" s="35"/>
      <c r="JP381" s="35"/>
      <c r="JQ381" s="35"/>
      <c r="JR381" s="35"/>
      <c r="JS381" s="35"/>
      <c r="JT381" s="35"/>
      <c r="JU381" s="35"/>
      <c r="JV381" s="35"/>
      <c r="JW381" s="35"/>
      <c r="JX381" s="35"/>
      <c r="JY381" s="35"/>
      <c r="JZ381" s="35"/>
      <c r="KA381" s="35"/>
      <c r="KB381" s="35"/>
      <c r="KC381" s="35"/>
      <c r="KD381" s="35"/>
      <c r="KE381" s="35"/>
      <c r="KF381" s="35"/>
      <c r="KG381" s="35"/>
      <c r="KH381" s="35"/>
      <c r="KI381" s="35"/>
      <c r="KJ381" s="35"/>
      <c r="KK381" s="35"/>
      <c r="KL381" s="35"/>
      <c r="KM381" s="35"/>
      <c r="KN381" s="35"/>
      <c r="KO381" s="35"/>
      <c r="KP381" s="1633"/>
    </row>
    <row r="382" spans="1:302" s="92" customFormat="1" ht="25.25" customHeight="1" outlineLevel="1">
      <c r="A382" s="2101" t="s">
        <v>1257</v>
      </c>
      <c r="B382" s="2713"/>
      <c r="C382" s="1359" t="s">
        <v>1307</v>
      </c>
      <c r="D382" s="1363" t="s">
        <v>302</v>
      </c>
      <c r="E382" s="1389"/>
      <c r="F382" s="506"/>
      <c r="G382" s="1390"/>
      <c r="H382" s="1391"/>
      <c r="I382" s="2711"/>
      <c r="J382" s="1672"/>
      <c r="K382" s="1697"/>
      <c r="L382" s="1697"/>
      <c r="M382" s="1701"/>
      <c r="N382" s="1697"/>
      <c r="O382" s="1397">
        <f t="shared" si="502"/>
        <v>0</v>
      </c>
      <c r="P382" s="1671"/>
      <c r="Q382" s="1671"/>
      <c r="R382" s="1671"/>
      <c r="S382" s="1672"/>
      <c r="T382" s="1699"/>
      <c r="U382" s="1700"/>
      <c r="V382" s="1700"/>
      <c r="W382" s="1672">
        <f t="shared" si="503"/>
        <v>0</v>
      </c>
      <c r="X382" s="1672"/>
      <c r="Y382" s="1699"/>
      <c r="Z382" s="1700"/>
      <c r="AA382" s="1699"/>
      <c r="AB382" s="2728">
        <f t="shared" si="510"/>
        <v>115355.0033333333</v>
      </c>
      <c r="AC382" s="1444" t="s">
        <v>1232</v>
      </c>
      <c r="AD382" s="1467">
        <v>4502934293</v>
      </c>
      <c r="AE382" s="510" t="s">
        <v>564</v>
      </c>
      <c r="AF382" s="497">
        <v>115355</v>
      </c>
      <c r="AG382" s="1403">
        <v>1</v>
      </c>
      <c r="AH382" s="1397">
        <f>+AF382*AG382</f>
        <v>115355</v>
      </c>
      <c r="AI382" s="355">
        <f t="shared" ref="AI382" si="511">SUMIF($AM$10:$BZ$10,$AI$9,AM382:BZ382)</f>
        <v>115355.0033333333</v>
      </c>
      <c r="AJ382" s="351">
        <f>IF($AB382&lt;&gt;0,AI382/$AB382,"")</f>
        <v>1</v>
      </c>
      <c r="AK382" s="351"/>
      <c r="AL382" s="1398"/>
      <c r="AM382" s="2273"/>
      <c r="AN382" s="2734">
        <f>19225.8333333333+17994.17-2148.64</f>
        <v>35071.363333333298</v>
      </c>
      <c r="AO382" s="2823">
        <f>80283.64</f>
        <v>80283.64</v>
      </c>
      <c r="AP382" s="497"/>
      <c r="AQ382" s="497"/>
      <c r="AR382" s="497"/>
      <c r="AS382" s="1922"/>
      <c r="AT382" s="2015"/>
      <c r="AU382" s="1922"/>
      <c r="AV382" s="1922"/>
      <c r="AW382" s="497"/>
      <c r="AX382" s="497"/>
      <c r="AY382" s="2060"/>
      <c r="AZ382" s="2273"/>
      <c r="BA382" s="2011"/>
      <c r="BB382" s="497"/>
      <c r="BC382" s="497"/>
      <c r="BD382" s="497"/>
      <c r="BE382" s="497"/>
      <c r="BF382" s="497"/>
      <c r="BG382" s="497"/>
      <c r="BH382" s="497"/>
      <c r="BI382" s="497"/>
      <c r="BJ382" s="497"/>
      <c r="BK382" s="2137"/>
      <c r="BL382" s="2011"/>
      <c r="BM382" s="2011"/>
      <c r="BN382" s="2011"/>
      <c r="BO382" s="2011"/>
      <c r="BP382" s="2011"/>
      <c r="BQ382" s="2403"/>
      <c r="BR382" s="497"/>
      <c r="BS382" s="497"/>
      <c r="BT382" s="497"/>
      <c r="BU382" s="497"/>
      <c r="BV382" s="497"/>
      <c r="BW382" s="2417"/>
      <c r="BX382" s="2417"/>
      <c r="BY382" s="2549"/>
      <c r="BZ382" s="2549"/>
      <c r="CA382" s="2435">
        <f t="shared" ref="CA382:CA386" si="512">SUMIF($AM$10:$BZ$10,$CA$9,AM382:BZ382)</f>
        <v>0</v>
      </c>
      <c r="CB382" s="2380">
        <f t="shared" ref="CB382:CB386" si="513">IF($AB382&lt;&gt;0,CA382/$AB382,"")</f>
        <v>0</v>
      </c>
      <c r="CC382" s="365">
        <f t="shared" ref="CC382:CC386" si="514">IF($AB382&lt;&gt;0,CB382/$AB382,"")</f>
        <v>0</v>
      </c>
      <c r="CD382" s="1380" t="str">
        <f t="shared" ref="CD382:CD386" si="515">IF($W382&lt;&gt;0,(CE382)/$W382,"0,00%")</f>
        <v>0,00%</v>
      </c>
      <c r="CE382" s="1381">
        <f t="shared" ref="CE382:CE386" si="516">W382-AB382</f>
        <v>-115355.0033333333</v>
      </c>
      <c r="CF382" s="1381"/>
      <c r="CG382" s="501"/>
      <c r="CH382" s="502"/>
      <c r="CI382" s="503"/>
      <c r="CJ382" s="504"/>
      <c r="CK382" s="505"/>
      <c r="CL382" s="329">
        <f t="shared" si="450"/>
        <v>0</v>
      </c>
      <c r="CM382" s="330">
        <f t="shared" si="451"/>
        <v>0</v>
      </c>
      <c r="CN382" s="331">
        <f t="shared" si="369"/>
        <v>0</v>
      </c>
      <c r="CO382" s="86"/>
      <c r="CP382" s="86"/>
      <c r="CQ382" s="86"/>
      <c r="CR382" s="86"/>
      <c r="CS382" s="86"/>
      <c r="CT382" s="86"/>
      <c r="CU382" s="86"/>
      <c r="CV382" s="86"/>
      <c r="CW382" s="86"/>
      <c r="CX382" s="86"/>
      <c r="CY382" s="497">
        <v>20472.79</v>
      </c>
      <c r="CZ382" s="86"/>
      <c r="DA382" s="86"/>
      <c r="DB382" s="32"/>
      <c r="DC382" s="32"/>
      <c r="DD382" s="1664"/>
      <c r="DE382" s="35"/>
      <c r="DF382" s="35"/>
      <c r="DG382" s="1642"/>
      <c r="DH382" s="1642"/>
      <c r="DI382" s="1642"/>
      <c r="DJ382" s="1642"/>
      <c r="DK382" s="1642"/>
      <c r="DL382" s="1642"/>
      <c r="DM382" s="1642"/>
      <c r="DN382" s="1642"/>
      <c r="DO382" s="1642"/>
      <c r="DP382" s="1642"/>
      <c r="DQ382" s="1642"/>
      <c r="DR382" s="1642"/>
      <c r="DS382" s="1642"/>
      <c r="DT382" s="1642"/>
      <c r="DU382" s="1642"/>
      <c r="DV382" s="1642"/>
      <c r="DW382" s="1642"/>
      <c r="DX382" s="1642"/>
      <c r="DY382" s="1642"/>
      <c r="DZ382" s="1642"/>
      <c r="EA382" s="1642"/>
      <c r="EB382" s="1642"/>
      <c r="EC382" s="1642"/>
      <c r="ED382" s="1642"/>
      <c r="EE382" s="1642"/>
      <c r="EF382" s="1642"/>
      <c r="EG382" s="1642"/>
      <c r="EH382" s="35"/>
      <c r="EI382" s="1658"/>
      <c r="EJ382" s="35"/>
      <c r="EK382" s="35"/>
      <c r="EL382" s="35"/>
      <c r="EM382" s="35"/>
      <c r="EN382" s="35"/>
      <c r="EO382" s="35"/>
      <c r="EP382" s="35"/>
      <c r="EQ382" s="35"/>
      <c r="ER382" s="35"/>
      <c r="ES382" s="35"/>
      <c r="ET382" s="35"/>
      <c r="EU382" s="35"/>
      <c r="EV382" s="35"/>
      <c r="EW382" s="35"/>
      <c r="EX382" s="35"/>
      <c r="EY382" s="35"/>
      <c r="EZ382" s="35"/>
      <c r="FA382" s="35"/>
      <c r="FB382" s="35"/>
      <c r="FC382" s="35"/>
      <c r="FD382" s="35"/>
      <c r="FE382" s="35"/>
      <c r="FF382" s="35"/>
      <c r="FG382" s="35"/>
      <c r="FH382" s="35"/>
      <c r="FI382" s="35"/>
      <c r="FJ382" s="35"/>
      <c r="FK382" s="35"/>
      <c r="FL382" s="35"/>
      <c r="FM382" s="35"/>
      <c r="FN382" s="35"/>
      <c r="FO382" s="35"/>
      <c r="FP382" s="35"/>
      <c r="FQ382" s="35"/>
      <c r="FR382" s="35"/>
      <c r="FS382" s="35"/>
      <c r="FT382" s="35"/>
      <c r="FU382" s="35"/>
      <c r="FV382" s="35"/>
      <c r="FW382" s="35"/>
      <c r="FX382" s="35"/>
      <c r="FY382" s="35"/>
      <c r="FZ382" s="35"/>
      <c r="GA382" s="35"/>
      <c r="GB382" s="35"/>
      <c r="GC382" s="35"/>
      <c r="GD382" s="35"/>
      <c r="GE382" s="35"/>
      <c r="GF382" s="35"/>
      <c r="GG382" s="35"/>
      <c r="GH382" s="35"/>
      <c r="GI382" s="35"/>
      <c r="GJ382" s="35"/>
      <c r="GK382" s="35"/>
      <c r="GL382" s="35"/>
      <c r="GM382" s="35"/>
      <c r="GN382" s="35"/>
      <c r="GO382" s="35"/>
      <c r="GP382" s="35"/>
      <c r="GQ382" s="35"/>
      <c r="GR382" s="35"/>
      <c r="GS382" s="35"/>
      <c r="GT382" s="35"/>
      <c r="GU382" s="35"/>
      <c r="GV382" s="35"/>
      <c r="GW382" s="35"/>
      <c r="GX382" s="35"/>
      <c r="GY382" s="35"/>
      <c r="GZ382" s="35"/>
      <c r="HA382" s="35"/>
      <c r="HB382" s="35"/>
      <c r="HC382" s="35"/>
      <c r="HD382" s="35"/>
      <c r="HE382" s="35"/>
      <c r="HF382" s="35"/>
      <c r="HG382" s="35"/>
      <c r="HH382" s="35"/>
      <c r="HI382" s="35"/>
      <c r="HJ382" s="35"/>
      <c r="HK382" s="35"/>
      <c r="HL382" s="35"/>
      <c r="HM382" s="35"/>
      <c r="HN382" s="35"/>
      <c r="HO382" s="35"/>
      <c r="HP382" s="35"/>
      <c r="HQ382" s="35"/>
      <c r="HR382" s="35"/>
      <c r="HS382" s="35"/>
      <c r="HT382" s="35"/>
      <c r="HU382" s="35"/>
      <c r="HV382" s="35"/>
      <c r="HW382" s="35"/>
      <c r="HX382" s="35"/>
      <c r="HY382" s="35"/>
      <c r="HZ382" s="35"/>
      <c r="IA382" s="35"/>
      <c r="IB382" s="35"/>
      <c r="IC382" s="35"/>
      <c r="ID382" s="35"/>
      <c r="IE382" s="35"/>
      <c r="IF382" s="35"/>
      <c r="IG382" s="35"/>
      <c r="IH382" s="35"/>
      <c r="II382" s="35"/>
      <c r="IJ382" s="35"/>
      <c r="IK382" s="35"/>
      <c r="IL382" s="35"/>
      <c r="IM382" s="35"/>
      <c r="IN382" s="35"/>
      <c r="IO382" s="35"/>
      <c r="IP382" s="35"/>
      <c r="IQ382" s="35"/>
      <c r="IR382" s="35"/>
      <c r="IS382" s="35"/>
      <c r="IT382" s="35"/>
      <c r="IU382" s="35"/>
      <c r="IV382" s="35"/>
      <c r="IW382" s="35"/>
      <c r="IX382" s="35"/>
      <c r="IY382" s="35"/>
      <c r="IZ382" s="35"/>
      <c r="JA382" s="35"/>
      <c r="JB382" s="35"/>
      <c r="JC382" s="35"/>
      <c r="JD382" s="35"/>
      <c r="JE382" s="35"/>
      <c r="JF382" s="35"/>
      <c r="JG382" s="35"/>
      <c r="JH382" s="35"/>
      <c r="JI382" s="35"/>
      <c r="JJ382" s="35"/>
      <c r="JK382" s="35"/>
      <c r="JL382" s="35"/>
      <c r="JM382" s="35"/>
      <c r="JN382" s="35"/>
      <c r="JO382" s="35"/>
      <c r="JP382" s="35"/>
      <c r="JQ382" s="35"/>
      <c r="JR382" s="35"/>
      <c r="JS382" s="35"/>
      <c r="JT382" s="35"/>
      <c r="JU382" s="35"/>
      <c r="JV382" s="35"/>
      <c r="JW382" s="35"/>
      <c r="JX382" s="35"/>
      <c r="JY382" s="35"/>
      <c r="JZ382" s="35"/>
      <c r="KA382" s="35"/>
      <c r="KB382" s="35"/>
      <c r="KC382" s="35"/>
      <c r="KD382" s="35"/>
      <c r="KE382" s="35"/>
      <c r="KF382" s="35"/>
      <c r="KG382" s="35"/>
      <c r="KH382" s="35"/>
      <c r="KI382" s="35"/>
      <c r="KJ382" s="35"/>
      <c r="KK382" s="35"/>
      <c r="KL382" s="35"/>
      <c r="KM382" s="35"/>
      <c r="KN382" s="35"/>
      <c r="KO382" s="35"/>
      <c r="KP382" s="1633"/>
    </row>
    <row r="383" spans="1:302" s="92" customFormat="1" ht="25.25" customHeight="1" outlineLevel="1">
      <c r="A383" s="1676" t="s">
        <v>144</v>
      </c>
      <c r="B383" s="1993" t="s">
        <v>1219</v>
      </c>
      <c r="C383" s="1673" t="s">
        <v>96</v>
      </c>
      <c r="D383" s="1675" t="s">
        <v>238</v>
      </c>
      <c r="E383" s="1389"/>
      <c r="F383" s="506"/>
      <c r="G383" s="1390"/>
      <c r="H383" s="1391"/>
      <c r="I383" s="2573">
        <v>100000</v>
      </c>
      <c r="J383" s="1672"/>
      <c r="K383" s="1697"/>
      <c r="L383" s="1697"/>
      <c r="M383" s="1701">
        <v>100000</v>
      </c>
      <c r="N383" s="1697">
        <v>1</v>
      </c>
      <c r="O383" s="1397">
        <f t="shared" si="502"/>
        <v>100000</v>
      </c>
      <c r="P383" s="1671"/>
      <c r="Q383" s="1671"/>
      <c r="R383" s="1671"/>
      <c r="S383" s="1672"/>
      <c r="T383" s="1699"/>
      <c r="U383" s="1700"/>
      <c r="V383" s="1700"/>
      <c r="W383" s="1672">
        <f t="shared" si="503"/>
        <v>100000</v>
      </c>
      <c r="X383" s="1672"/>
      <c r="Y383" s="1699"/>
      <c r="Z383" s="1700"/>
      <c r="AA383" s="1699"/>
      <c r="AB383" s="1672">
        <f t="shared" si="510"/>
        <v>100000</v>
      </c>
      <c r="AC383" s="510"/>
      <c r="AD383" s="1460"/>
      <c r="AE383" s="510"/>
      <c r="AF383" s="497"/>
      <c r="AG383" s="1403">
        <v>1</v>
      </c>
      <c r="AH383" s="1397">
        <f t="shared" si="498"/>
        <v>0</v>
      </c>
      <c r="AI383" s="355">
        <f t="shared" si="435"/>
        <v>0</v>
      </c>
      <c r="AJ383" s="351">
        <f t="shared" si="499"/>
        <v>0</v>
      </c>
      <c r="AK383" s="351"/>
      <c r="AL383" s="1398"/>
      <c r="AM383" s="2273"/>
      <c r="AN383" s="2273"/>
      <c r="AO383" s="497"/>
      <c r="AP383" s="497"/>
      <c r="AQ383" s="497"/>
      <c r="AR383" s="1922"/>
      <c r="AS383" s="1922"/>
      <c r="AT383" s="2017"/>
      <c r="AU383" s="1922"/>
      <c r="AV383" s="1922"/>
      <c r="AW383" s="1922"/>
      <c r="AX383" s="497"/>
      <c r="AY383" s="2237"/>
      <c r="AZ383" s="2273"/>
      <c r="BA383" s="497"/>
      <c r="BB383" s="497"/>
      <c r="BC383" s="497"/>
      <c r="BD383" s="497"/>
      <c r="BE383" s="497"/>
      <c r="BF383" s="497"/>
      <c r="BG383" s="497"/>
      <c r="BH383" s="497"/>
      <c r="BI383" s="497"/>
      <c r="BJ383" s="497"/>
      <c r="BK383" s="2137"/>
      <c r="BL383" s="2011"/>
      <c r="BM383" s="2011"/>
      <c r="BN383" s="2011"/>
      <c r="BO383" s="2011"/>
      <c r="BP383" s="2011"/>
      <c r="BQ383" s="2403"/>
      <c r="BR383" s="497"/>
      <c r="BS383" s="497"/>
      <c r="BT383" s="497"/>
      <c r="BU383" s="497"/>
      <c r="BV383" s="497"/>
      <c r="BW383" s="2417">
        <v>100000</v>
      </c>
      <c r="BX383" s="2417"/>
      <c r="BY383" s="2549"/>
      <c r="BZ383" s="2549"/>
      <c r="CA383" s="2435">
        <f t="shared" si="512"/>
        <v>100000</v>
      </c>
      <c r="CB383" s="2380">
        <f t="shared" si="513"/>
        <v>1</v>
      </c>
      <c r="CC383" s="365">
        <f t="shared" si="514"/>
        <v>1.0000000000000001E-5</v>
      </c>
      <c r="CD383" s="1380">
        <f t="shared" si="515"/>
        <v>0</v>
      </c>
      <c r="CE383" s="1381">
        <f t="shared" si="516"/>
        <v>0</v>
      </c>
      <c r="CF383" s="1381"/>
      <c r="CG383" s="501"/>
      <c r="CH383" s="502"/>
      <c r="CI383" s="503"/>
      <c r="CJ383" s="504"/>
      <c r="CK383" s="505"/>
      <c r="CL383" s="329">
        <f t="shared" si="450"/>
        <v>0</v>
      </c>
      <c r="CM383" s="330">
        <f t="shared" si="451"/>
        <v>0</v>
      </c>
      <c r="CN383" s="331">
        <f t="shared" ref="CN383:CN455" si="517">SUM(AN383:AY383)-CA383-AI383</f>
        <v>-100000</v>
      </c>
      <c r="CO383" s="86"/>
      <c r="CP383" s="86"/>
      <c r="CQ383" s="86"/>
      <c r="CR383" s="86"/>
      <c r="CS383" s="86"/>
      <c r="CT383" s="86"/>
      <c r="CU383" s="86"/>
      <c r="CV383" s="86"/>
      <c r="CW383" s="86"/>
      <c r="CX383" s="86"/>
      <c r="CY383" s="86"/>
      <c r="CZ383" s="86"/>
      <c r="DA383" s="86"/>
      <c r="DB383" s="32"/>
      <c r="DC383" s="32"/>
      <c r="DD383" s="1664"/>
      <c r="DE383" s="35"/>
      <c r="DF383" s="35"/>
      <c r="DG383" s="1642"/>
      <c r="DH383" s="1642"/>
      <c r="DI383" s="1642"/>
      <c r="DJ383" s="1642"/>
      <c r="DK383" s="1642"/>
      <c r="DL383" s="1642"/>
      <c r="DM383" s="1642"/>
      <c r="DN383" s="1642"/>
      <c r="DO383" s="1642"/>
      <c r="DP383" s="1642"/>
      <c r="DQ383" s="1642"/>
      <c r="DR383" s="1642"/>
      <c r="DS383" s="1642"/>
      <c r="DT383" s="1642"/>
      <c r="DU383" s="1642"/>
      <c r="DV383" s="1642"/>
      <c r="DW383" s="1642"/>
      <c r="DX383" s="1642"/>
      <c r="DY383" s="1642"/>
      <c r="DZ383" s="1642"/>
      <c r="EA383" s="1642"/>
      <c r="EB383" s="1642"/>
      <c r="EC383" s="1642"/>
      <c r="ED383" s="1642"/>
      <c r="EE383" s="1642"/>
      <c r="EF383" s="1642"/>
      <c r="EG383" s="1642"/>
      <c r="EH383" s="35"/>
      <c r="EI383" s="1658"/>
      <c r="EJ383" s="35"/>
      <c r="EK383" s="35"/>
      <c r="EL383" s="35"/>
      <c r="EM383" s="35"/>
      <c r="EN383" s="35"/>
      <c r="EO383" s="35"/>
      <c r="EP383" s="35"/>
      <c r="EQ383" s="35"/>
      <c r="ER383" s="35"/>
      <c r="ES383" s="35"/>
      <c r="ET383" s="35"/>
      <c r="EU383" s="35"/>
      <c r="EV383" s="35"/>
      <c r="EW383" s="35"/>
      <c r="EX383" s="35"/>
      <c r="EY383" s="35"/>
      <c r="EZ383" s="35"/>
      <c r="FA383" s="35"/>
      <c r="FB383" s="35"/>
      <c r="FC383" s="35"/>
      <c r="FD383" s="35"/>
      <c r="FE383" s="35"/>
      <c r="FF383" s="35"/>
      <c r="FG383" s="35"/>
      <c r="FH383" s="35"/>
      <c r="FI383" s="35"/>
      <c r="FJ383" s="35"/>
      <c r="FK383" s="35"/>
      <c r="FL383" s="35"/>
      <c r="FM383" s="35"/>
      <c r="FN383" s="35"/>
      <c r="FO383" s="35"/>
      <c r="FP383" s="35"/>
      <c r="FQ383" s="35"/>
      <c r="FR383" s="35"/>
      <c r="FS383" s="35"/>
      <c r="FT383" s="35"/>
      <c r="FU383" s="35"/>
      <c r="FV383" s="35"/>
      <c r="FW383" s="35"/>
      <c r="FX383" s="35"/>
      <c r="FY383" s="35"/>
      <c r="FZ383" s="35"/>
      <c r="GA383" s="35"/>
      <c r="GB383" s="35"/>
      <c r="GC383" s="35"/>
      <c r="GD383" s="35"/>
      <c r="GE383" s="35"/>
      <c r="GF383" s="35"/>
      <c r="GG383" s="35"/>
      <c r="GH383" s="35"/>
      <c r="GI383" s="35"/>
      <c r="GJ383" s="35"/>
      <c r="GK383" s="35"/>
      <c r="GL383" s="35"/>
      <c r="GM383" s="35"/>
      <c r="GN383" s="35"/>
      <c r="GO383" s="35"/>
      <c r="GP383" s="35"/>
      <c r="GQ383" s="35"/>
      <c r="GR383" s="35"/>
      <c r="GS383" s="35"/>
      <c r="GT383" s="35"/>
      <c r="GU383" s="35"/>
      <c r="GV383" s="35"/>
      <c r="GW383" s="35"/>
      <c r="GX383" s="35"/>
      <c r="GY383" s="35"/>
      <c r="GZ383" s="35"/>
      <c r="HA383" s="35"/>
      <c r="HB383" s="35"/>
      <c r="HC383" s="35"/>
      <c r="HD383" s="35"/>
      <c r="HE383" s="35"/>
      <c r="HF383" s="35"/>
      <c r="HG383" s="35"/>
      <c r="HH383" s="35"/>
      <c r="HI383" s="35"/>
      <c r="HJ383" s="35"/>
      <c r="HK383" s="35"/>
      <c r="HL383" s="35"/>
      <c r="HM383" s="35"/>
      <c r="HN383" s="35"/>
      <c r="HO383" s="35"/>
      <c r="HP383" s="35"/>
      <c r="HQ383" s="35"/>
      <c r="HR383" s="35"/>
      <c r="HS383" s="35"/>
      <c r="HT383" s="35"/>
      <c r="HU383" s="35"/>
      <c r="HV383" s="35"/>
      <c r="HW383" s="35"/>
      <c r="HX383" s="35"/>
      <c r="HY383" s="35"/>
      <c r="HZ383" s="35"/>
      <c r="IA383" s="35"/>
      <c r="IB383" s="35"/>
      <c r="IC383" s="35"/>
      <c r="ID383" s="35"/>
      <c r="IE383" s="35"/>
      <c r="IF383" s="35"/>
      <c r="IG383" s="35"/>
      <c r="IH383" s="35"/>
      <c r="II383" s="35"/>
      <c r="IJ383" s="35"/>
      <c r="IK383" s="35"/>
      <c r="IL383" s="35"/>
      <c r="IM383" s="35"/>
      <c r="IN383" s="35"/>
      <c r="IO383" s="35"/>
      <c r="IP383" s="35"/>
      <c r="IQ383" s="35"/>
      <c r="IR383" s="35"/>
      <c r="IS383" s="35"/>
      <c r="IT383" s="35"/>
      <c r="IU383" s="35"/>
      <c r="IV383" s="35"/>
      <c r="IW383" s="35"/>
      <c r="IX383" s="35"/>
      <c r="IY383" s="35"/>
      <c r="IZ383" s="35"/>
      <c r="JA383" s="35"/>
      <c r="JB383" s="35"/>
      <c r="JC383" s="35"/>
      <c r="JD383" s="35"/>
      <c r="JE383" s="35"/>
      <c r="JF383" s="35"/>
      <c r="JG383" s="35"/>
      <c r="JH383" s="35"/>
      <c r="JI383" s="35"/>
      <c r="JJ383" s="35"/>
      <c r="JK383" s="35"/>
      <c r="JL383" s="35"/>
      <c r="JM383" s="35"/>
      <c r="JN383" s="35"/>
      <c r="JO383" s="35"/>
      <c r="JP383" s="35"/>
      <c r="JQ383" s="35"/>
      <c r="JR383" s="35"/>
      <c r="JS383" s="35"/>
      <c r="JT383" s="35"/>
      <c r="JU383" s="35"/>
      <c r="JV383" s="35"/>
      <c r="JW383" s="35"/>
      <c r="JX383" s="35"/>
      <c r="JY383" s="35"/>
      <c r="JZ383" s="35"/>
      <c r="KA383" s="35"/>
      <c r="KB383" s="35"/>
      <c r="KC383" s="35"/>
      <c r="KD383" s="35"/>
      <c r="KE383" s="35"/>
      <c r="KF383" s="35"/>
      <c r="KG383" s="35"/>
      <c r="KH383" s="35"/>
      <c r="KI383" s="35"/>
      <c r="KJ383" s="35"/>
      <c r="KK383" s="35"/>
      <c r="KL383" s="35"/>
      <c r="KM383" s="35"/>
      <c r="KN383" s="35"/>
      <c r="KO383" s="35"/>
      <c r="KP383" s="1633"/>
    </row>
    <row r="384" spans="1:302" s="92" customFormat="1" ht="24.6" customHeight="1" outlineLevel="1">
      <c r="A384" s="1676" t="s">
        <v>122</v>
      </c>
      <c r="B384" s="1993" t="s">
        <v>1220</v>
      </c>
      <c r="C384" s="1359" t="s">
        <v>179</v>
      </c>
      <c r="D384" s="1675" t="s">
        <v>308</v>
      </c>
      <c r="E384" s="1389"/>
      <c r="F384" s="506"/>
      <c r="G384" s="1390"/>
      <c r="H384" s="1391"/>
      <c r="I384" s="2573">
        <v>340000</v>
      </c>
      <c r="J384" s="1672"/>
      <c r="K384" s="1697"/>
      <c r="L384" s="1697"/>
      <c r="M384" s="1701">
        <v>340000</v>
      </c>
      <c r="N384" s="1697">
        <v>1</v>
      </c>
      <c r="O384" s="1397">
        <f t="shared" si="502"/>
        <v>340000</v>
      </c>
      <c r="P384" s="1671"/>
      <c r="Q384" s="1671"/>
      <c r="R384" s="1671"/>
      <c r="S384" s="1672"/>
      <c r="T384" s="1699"/>
      <c r="U384" s="1700"/>
      <c r="V384" s="1700"/>
      <c r="W384" s="1672">
        <f t="shared" si="503"/>
        <v>340000</v>
      </c>
      <c r="X384" s="1672"/>
      <c r="Y384" s="1699"/>
      <c r="Z384" s="1700"/>
      <c r="AA384" s="1699"/>
      <c r="AB384" s="2727">
        <f t="shared" si="510"/>
        <v>199772.41999999998</v>
      </c>
      <c r="AC384" s="510"/>
      <c r="AD384" s="1460"/>
      <c r="AE384" s="510"/>
      <c r="AF384" s="497"/>
      <c r="AG384" s="1403">
        <v>1</v>
      </c>
      <c r="AH384" s="1397">
        <f t="shared" si="351"/>
        <v>0</v>
      </c>
      <c r="AI384" s="355">
        <f t="shared" si="435"/>
        <v>0</v>
      </c>
      <c r="AJ384" s="351">
        <f t="shared" si="467"/>
        <v>0</v>
      </c>
      <c r="AK384" s="351"/>
      <c r="AL384" s="1398"/>
      <c r="AM384" s="2506"/>
      <c r="AN384" s="2506"/>
      <c r="AO384" s="2507"/>
      <c r="AP384" s="2519"/>
      <c r="AQ384" s="2507"/>
      <c r="AR384" s="2519"/>
      <c r="AS384" s="2519"/>
      <c r="AT384" s="2520"/>
      <c r="AU384" s="2507"/>
      <c r="AV384" s="2507"/>
      <c r="AW384" s="2519"/>
      <c r="AX384" s="2507"/>
      <c r="AY384" s="2521"/>
      <c r="AZ384" s="2506"/>
      <c r="BA384" s="2519"/>
      <c r="BB384" s="2507"/>
      <c r="BC384" s="2507"/>
      <c r="BD384" s="2519"/>
      <c r="BE384" s="2507"/>
      <c r="BF384" s="2507"/>
      <c r="BG384" s="2507"/>
      <c r="BH384" s="2519"/>
      <c r="BI384" s="2507"/>
      <c r="BJ384" s="2507"/>
      <c r="BK384" s="2516"/>
      <c r="BL384" s="2517"/>
      <c r="BM384" s="2517"/>
      <c r="BN384" s="2517"/>
      <c r="BO384" s="2517"/>
      <c r="BP384" s="2517"/>
      <c r="BQ384" s="2518"/>
      <c r="BR384" s="2507"/>
      <c r="BS384" s="2507"/>
      <c r="BT384" s="2507"/>
      <c r="BU384" s="2507"/>
      <c r="BV384" s="497"/>
      <c r="BW384" s="2417">
        <f>242560-23305.58-1952-17530</f>
        <v>199772.41999999998</v>
      </c>
      <c r="BX384" s="2417"/>
      <c r="BY384" s="2549"/>
      <c r="BZ384" s="2549"/>
      <c r="CA384" s="2435">
        <f t="shared" si="512"/>
        <v>199772.41999999998</v>
      </c>
      <c r="CB384" s="2380">
        <f t="shared" si="513"/>
        <v>1</v>
      </c>
      <c r="CC384" s="365">
        <f t="shared" si="514"/>
        <v>5.0056959814573003E-6</v>
      </c>
      <c r="CD384" s="1380">
        <f t="shared" si="515"/>
        <v>0.41243405882352946</v>
      </c>
      <c r="CE384" s="1381">
        <f t="shared" si="516"/>
        <v>140227.58000000002</v>
      </c>
      <c r="CF384" s="1381"/>
      <c r="CG384" s="501"/>
      <c r="CH384" s="502"/>
      <c r="CI384" s="503"/>
      <c r="CJ384" s="504"/>
      <c r="CK384" s="505"/>
      <c r="CL384" s="329">
        <f t="shared" si="450"/>
        <v>140227.58000000002</v>
      </c>
      <c r="CM384" s="330">
        <f t="shared" si="451"/>
        <v>0</v>
      </c>
      <c r="CN384" s="331">
        <f t="shared" si="517"/>
        <v>-199772.41999999998</v>
      </c>
      <c r="CO384" s="86"/>
      <c r="CP384" s="86"/>
      <c r="CQ384" s="86"/>
      <c r="CR384" s="86"/>
      <c r="CS384" s="86"/>
      <c r="CT384" s="86"/>
      <c r="CU384" s="86"/>
      <c r="CV384" s="86"/>
      <c r="CW384" s="86"/>
      <c r="CX384" s="86"/>
      <c r="CY384" s="86"/>
      <c r="CZ384" s="86"/>
      <c r="DA384" s="86"/>
      <c r="DB384" s="32"/>
      <c r="DC384" s="32"/>
      <c r="DD384" s="1664"/>
      <c r="DE384" s="35"/>
      <c r="DF384" s="35"/>
      <c r="DG384" s="1642"/>
      <c r="DH384" s="1642"/>
      <c r="DI384" s="1642"/>
      <c r="DJ384" s="1642"/>
      <c r="DK384" s="1642"/>
      <c r="DL384" s="1642"/>
      <c r="DM384" s="1642"/>
      <c r="DN384" s="1642"/>
      <c r="DO384" s="1642"/>
      <c r="DP384" s="1642"/>
      <c r="DQ384" s="1642"/>
      <c r="DR384" s="1642"/>
      <c r="DS384" s="1642"/>
      <c r="DT384" s="1642"/>
      <c r="DU384" s="1642"/>
      <c r="DV384" s="1642"/>
      <c r="DW384" s="1642"/>
      <c r="DX384" s="1642"/>
      <c r="DY384" s="1642"/>
      <c r="DZ384" s="1642"/>
      <c r="EA384" s="1642"/>
      <c r="EB384" s="1642"/>
      <c r="EC384" s="1642"/>
      <c r="ED384" s="1642"/>
      <c r="EE384" s="1642"/>
      <c r="EF384" s="1642"/>
      <c r="EG384" s="1642"/>
      <c r="EH384" s="35"/>
      <c r="EI384" s="1658"/>
      <c r="EJ384" s="35"/>
      <c r="EK384" s="35"/>
      <c r="EL384" s="35"/>
      <c r="EM384" s="35"/>
      <c r="EN384" s="35"/>
      <c r="EO384" s="35"/>
      <c r="EP384" s="35"/>
      <c r="EQ384" s="35"/>
      <c r="ER384" s="35"/>
      <c r="ES384" s="35"/>
      <c r="ET384" s="35"/>
      <c r="EU384" s="35"/>
      <c r="EV384" s="35"/>
      <c r="EW384" s="35"/>
      <c r="EX384" s="35"/>
      <c r="EY384" s="35"/>
      <c r="EZ384" s="35"/>
      <c r="FA384" s="35"/>
      <c r="FB384" s="35"/>
      <c r="FC384" s="35"/>
      <c r="FD384" s="35"/>
      <c r="FE384" s="35"/>
      <c r="FF384" s="35"/>
      <c r="FG384" s="35"/>
      <c r="FH384" s="35"/>
      <c r="FI384" s="35"/>
      <c r="FJ384" s="35"/>
      <c r="FK384" s="35"/>
      <c r="FL384" s="35"/>
      <c r="FM384" s="35"/>
      <c r="FN384" s="35"/>
      <c r="FO384" s="35"/>
      <c r="FP384" s="35"/>
      <c r="FQ384" s="35"/>
      <c r="FR384" s="35"/>
      <c r="FS384" s="35"/>
      <c r="FT384" s="35"/>
      <c r="FU384" s="35"/>
      <c r="FV384" s="35"/>
      <c r="FW384" s="35"/>
      <c r="FX384" s="35"/>
      <c r="FY384" s="35"/>
      <c r="FZ384" s="35"/>
      <c r="GA384" s="35"/>
      <c r="GB384" s="35"/>
      <c r="GC384" s="35"/>
      <c r="GD384" s="35"/>
      <c r="GE384" s="35"/>
      <c r="GF384" s="35"/>
      <c r="GG384" s="35"/>
      <c r="GH384" s="35"/>
      <c r="GI384" s="35"/>
      <c r="GJ384" s="35"/>
      <c r="GK384" s="35"/>
      <c r="GL384" s="35"/>
      <c r="GM384" s="35"/>
      <c r="GN384" s="35"/>
      <c r="GO384" s="35"/>
      <c r="GP384" s="35"/>
      <c r="GQ384" s="35"/>
      <c r="GR384" s="35"/>
      <c r="GS384" s="35"/>
      <c r="GT384" s="35"/>
      <c r="GU384" s="35"/>
      <c r="GV384" s="35"/>
      <c r="GW384" s="35"/>
      <c r="GX384" s="35"/>
      <c r="GY384" s="35"/>
      <c r="GZ384" s="35"/>
      <c r="HA384" s="35"/>
      <c r="HB384" s="35"/>
      <c r="HC384" s="35"/>
      <c r="HD384" s="35"/>
      <c r="HE384" s="35"/>
      <c r="HF384" s="35"/>
      <c r="HG384" s="35"/>
      <c r="HH384" s="35"/>
      <c r="HI384" s="35"/>
      <c r="HJ384" s="35"/>
      <c r="HK384" s="35"/>
      <c r="HL384" s="35"/>
      <c r="HM384" s="35"/>
      <c r="HN384" s="35"/>
      <c r="HO384" s="35"/>
      <c r="HP384" s="35"/>
      <c r="HQ384" s="35"/>
      <c r="HR384" s="35"/>
      <c r="HS384" s="35"/>
      <c r="HT384" s="35"/>
      <c r="HU384" s="35"/>
      <c r="HV384" s="35"/>
      <c r="HW384" s="35"/>
      <c r="HX384" s="35"/>
      <c r="HY384" s="35"/>
      <c r="HZ384" s="35"/>
      <c r="IA384" s="35"/>
      <c r="IB384" s="35"/>
      <c r="IC384" s="35"/>
      <c r="ID384" s="35"/>
      <c r="IE384" s="35"/>
      <c r="IF384" s="35"/>
      <c r="IG384" s="35"/>
      <c r="IH384" s="35"/>
      <c r="II384" s="35"/>
      <c r="IJ384" s="35"/>
      <c r="IK384" s="35"/>
      <c r="IL384" s="35"/>
      <c r="IM384" s="35"/>
      <c r="IN384" s="35"/>
      <c r="IO384" s="35"/>
      <c r="IP384" s="35"/>
      <c r="IQ384" s="35"/>
      <c r="IR384" s="35"/>
      <c r="IS384" s="35"/>
      <c r="IT384" s="35"/>
      <c r="IU384" s="35"/>
      <c r="IV384" s="35"/>
      <c r="IW384" s="35"/>
      <c r="IX384" s="35"/>
      <c r="IY384" s="35"/>
      <c r="IZ384" s="35"/>
      <c r="JA384" s="35"/>
      <c r="JB384" s="35"/>
      <c r="JC384" s="35"/>
      <c r="JD384" s="35"/>
      <c r="JE384" s="35"/>
      <c r="JF384" s="35"/>
      <c r="JG384" s="35"/>
      <c r="JH384" s="35"/>
      <c r="JI384" s="35"/>
      <c r="JJ384" s="35"/>
      <c r="JK384" s="35"/>
      <c r="JL384" s="35"/>
      <c r="JM384" s="35"/>
      <c r="JN384" s="35"/>
      <c r="JO384" s="35"/>
      <c r="JP384" s="35"/>
      <c r="JQ384" s="35"/>
      <c r="JR384" s="35"/>
      <c r="JS384" s="35"/>
      <c r="JT384" s="35"/>
      <c r="JU384" s="35"/>
      <c r="JV384" s="35"/>
      <c r="JW384" s="35"/>
      <c r="JX384" s="35"/>
      <c r="JY384" s="35"/>
      <c r="JZ384" s="35"/>
      <c r="KA384" s="35"/>
      <c r="KB384" s="35"/>
      <c r="KC384" s="35"/>
      <c r="KD384" s="35"/>
      <c r="KE384" s="35"/>
      <c r="KF384" s="35"/>
      <c r="KG384" s="35"/>
      <c r="KH384" s="35"/>
      <c r="KI384" s="35"/>
      <c r="KJ384" s="35"/>
      <c r="KK384" s="35"/>
      <c r="KL384" s="35"/>
      <c r="KM384" s="35"/>
      <c r="KN384" s="35"/>
      <c r="KO384" s="35"/>
      <c r="KP384" s="1633"/>
    </row>
    <row r="385" spans="1:302" s="92" customFormat="1" ht="24.6" customHeight="1" outlineLevel="1">
      <c r="A385" s="1676" t="s">
        <v>1262</v>
      </c>
      <c r="B385" s="1993"/>
      <c r="C385" s="1359" t="s">
        <v>1283</v>
      </c>
      <c r="D385" s="1675" t="s">
        <v>308</v>
      </c>
      <c r="E385" s="1389"/>
      <c r="F385" s="506"/>
      <c r="G385" s="1390"/>
      <c r="H385" s="1391"/>
      <c r="I385" s="2573"/>
      <c r="J385" s="1672"/>
      <c r="K385" s="1697"/>
      <c r="L385" s="1697"/>
      <c r="M385" s="1701"/>
      <c r="N385" s="1697"/>
      <c r="O385" s="1397"/>
      <c r="P385" s="1671"/>
      <c r="Q385" s="1671"/>
      <c r="R385" s="1671"/>
      <c r="S385" s="1672"/>
      <c r="T385" s="1699"/>
      <c r="U385" s="1700"/>
      <c r="V385" s="1700"/>
      <c r="W385" s="1672"/>
      <c r="X385" s="1672"/>
      <c r="Y385" s="1699"/>
      <c r="Z385" s="1700"/>
      <c r="AA385" s="1699"/>
      <c r="AB385" s="1672">
        <f t="shared" si="510"/>
        <v>97440</v>
      </c>
      <c r="AC385" s="510" t="s">
        <v>1263</v>
      </c>
      <c r="AD385" s="1460"/>
      <c r="AE385" s="510" t="s">
        <v>564</v>
      </c>
      <c r="AF385" s="497">
        <v>97440</v>
      </c>
      <c r="AG385" s="1403">
        <v>1</v>
      </c>
      <c r="AH385" s="1397">
        <f t="shared" ref="AH385:AH386" si="518">+AF385*AG385</f>
        <v>97440</v>
      </c>
      <c r="AI385" s="355">
        <f t="shared" ref="AI385" si="519">SUMIF($AM$10:$BZ$10,$AI$9,AM385:BZ385)</f>
        <v>3360</v>
      </c>
      <c r="AJ385" s="351">
        <f t="shared" ref="AJ385" si="520">IF($AB385&lt;&gt;0,AI385/$AB385,"")</f>
        <v>3.4482758620689655E-2</v>
      </c>
      <c r="AK385" s="351"/>
      <c r="AL385" s="1398"/>
      <c r="AM385" s="2734">
        <f>97440/29</f>
        <v>3360</v>
      </c>
      <c r="AN385" s="2734"/>
      <c r="AO385" s="497"/>
      <c r="AP385" s="2729">
        <f>3360+6720</f>
        <v>10080</v>
      </c>
      <c r="AQ385" s="497">
        <v>3360</v>
      </c>
      <c r="AR385" s="1922">
        <v>3360</v>
      </c>
      <c r="AS385" s="1922">
        <v>3360</v>
      </c>
      <c r="AT385" s="2017">
        <v>3360</v>
      </c>
      <c r="AU385" s="497">
        <v>3360</v>
      </c>
      <c r="AV385" s="497">
        <v>3360</v>
      </c>
      <c r="AW385" s="497">
        <v>3360</v>
      </c>
      <c r="AX385" s="497">
        <v>3360</v>
      </c>
      <c r="AY385" s="2324">
        <v>3360</v>
      </c>
      <c r="AZ385" s="2273">
        <v>3360</v>
      </c>
      <c r="BA385" s="2011">
        <v>3360</v>
      </c>
      <c r="BB385" s="497">
        <v>3360</v>
      </c>
      <c r="BC385" s="497">
        <v>3360</v>
      </c>
      <c r="BD385" s="497">
        <v>3360</v>
      </c>
      <c r="BE385" s="497">
        <v>3360</v>
      </c>
      <c r="BF385" s="497">
        <v>3360</v>
      </c>
      <c r="BG385" s="497">
        <v>3360</v>
      </c>
      <c r="BH385" s="497">
        <v>3360</v>
      </c>
      <c r="BI385" s="497">
        <v>3360</v>
      </c>
      <c r="BJ385" s="497">
        <v>3360</v>
      </c>
      <c r="BK385" s="2137">
        <v>3360</v>
      </c>
      <c r="BL385" s="2011">
        <v>3360</v>
      </c>
      <c r="BM385" s="2011">
        <v>3360</v>
      </c>
      <c r="BN385" s="2011">
        <v>3360</v>
      </c>
      <c r="BO385" s="2011">
        <v>3360</v>
      </c>
      <c r="BP385" s="2011"/>
      <c r="BQ385" s="2403"/>
      <c r="BR385" s="497"/>
      <c r="BS385" s="497"/>
      <c r="BT385" s="497"/>
      <c r="BU385" s="497"/>
      <c r="BV385" s="497"/>
      <c r="BW385" s="2060"/>
      <c r="BX385" s="2417"/>
      <c r="BY385" s="2549"/>
      <c r="BZ385" s="2549"/>
      <c r="CA385" s="2435">
        <f t="shared" si="512"/>
        <v>94080</v>
      </c>
      <c r="CB385" s="2380">
        <f t="shared" si="513"/>
        <v>0.96551724137931039</v>
      </c>
      <c r="CC385" s="365">
        <f t="shared" si="514"/>
        <v>9.9088386841062239E-6</v>
      </c>
      <c r="CD385" s="1380" t="str">
        <f t="shared" si="515"/>
        <v>0,00%</v>
      </c>
      <c r="CE385" s="1381">
        <f t="shared" si="516"/>
        <v>-97440</v>
      </c>
      <c r="CF385" s="1381"/>
      <c r="CG385" s="501"/>
      <c r="CH385" s="502"/>
      <c r="CI385" s="503"/>
      <c r="CJ385" s="504"/>
      <c r="CK385" s="505"/>
      <c r="CL385" s="329">
        <f t="shared" si="450"/>
        <v>-94080</v>
      </c>
      <c r="CM385" s="330">
        <f t="shared" si="451"/>
        <v>0</v>
      </c>
      <c r="CN385" s="331">
        <f t="shared" si="517"/>
        <v>-57120</v>
      </c>
      <c r="CO385" s="86"/>
      <c r="CP385" s="86"/>
      <c r="CQ385" s="86"/>
      <c r="CR385" s="86"/>
      <c r="CS385" s="86"/>
      <c r="CT385" s="86"/>
      <c r="CU385" s="86"/>
      <c r="CV385" s="86"/>
      <c r="CW385" s="86"/>
      <c r="CX385" s="86"/>
      <c r="CY385" s="86"/>
      <c r="CZ385" s="86"/>
      <c r="DA385" s="86"/>
      <c r="DB385" s="32"/>
      <c r="DC385" s="32"/>
      <c r="DD385" s="1664"/>
      <c r="DE385" s="35"/>
      <c r="DF385" s="35"/>
      <c r="DG385" s="1642"/>
      <c r="DH385" s="1642"/>
      <c r="DI385" s="1642"/>
      <c r="DJ385" s="1642"/>
      <c r="DK385" s="1642"/>
      <c r="DL385" s="1642"/>
      <c r="DM385" s="1642"/>
      <c r="DN385" s="1642"/>
      <c r="DO385" s="1642"/>
      <c r="DP385" s="1642"/>
      <c r="DQ385" s="1642"/>
      <c r="DR385" s="1642"/>
      <c r="DS385" s="1642"/>
      <c r="DT385" s="1642"/>
      <c r="DU385" s="1642"/>
      <c r="DV385" s="1642"/>
      <c r="DW385" s="1642"/>
      <c r="DX385" s="1642"/>
      <c r="DY385" s="1642"/>
      <c r="DZ385" s="1642"/>
      <c r="EA385" s="1642"/>
      <c r="EB385" s="1642"/>
      <c r="EC385" s="1642"/>
      <c r="ED385" s="1642"/>
      <c r="EE385" s="1642"/>
      <c r="EF385" s="1642"/>
      <c r="EG385" s="1642"/>
      <c r="EH385" s="35"/>
      <c r="EI385" s="1658"/>
      <c r="EJ385" s="35"/>
      <c r="EK385" s="35"/>
      <c r="EL385" s="35"/>
      <c r="EM385" s="35"/>
      <c r="EN385" s="35"/>
      <c r="EO385" s="35"/>
      <c r="EP385" s="35"/>
      <c r="EQ385" s="35"/>
      <c r="ER385" s="35"/>
      <c r="ES385" s="35"/>
      <c r="ET385" s="35"/>
      <c r="EU385" s="35"/>
      <c r="EV385" s="35"/>
      <c r="EW385" s="35"/>
      <c r="EX385" s="35"/>
      <c r="EY385" s="35"/>
      <c r="EZ385" s="35"/>
      <c r="FA385" s="35"/>
      <c r="FB385" s="35"/>
      <c r="FC385" s="35"/>
      <c r="FD385" s="35"/>
      <c r="FE385" s="35"/>
      <c r="FF385" s="35"/>
      <c r="FG385" s="35"/>
      <c r="FH385" s="35"/>
      <c r="FI385" s="35"/>
      <c r="FJ385" s="35"/>
      <c r="FK385" s="35"/>
      <c r="FL385" s="35"/>
      <c r="FM385" s="35"/>
      <c r="FN385" s="35"/>
      <c r="FO385" s="35"/>
      <c r="FP385" s="35"/>
      <c r="FQ385" s="35"/>
      <c r="FR385" s="35"/>
      <c r="FS385" s="35"/>
      <c r="FT385" s="35"/>
      <c r="FU385" s="35"/>
      <c r="FV385" s="35"/>
      <c r="FW385" s="35"/>
      <c r="FX385" s="35"/>
      <c r="FY385" s="35"/>
      <c r="FZ385" s="35"/>
      <c r="GA385" s="35"/>
      <c r="GB385" s="35"/>
      <c r="GC385" s="35"/>
      <c r="GD385" s="35"/>
      <c r="GE385" s="35"/>
      <c r="GF385" s="35"/>
      <c r="GG385" s="35"/>
      <c r="GH385" s="35"/>
      <c r="GI385" s="35"/>
      <c r="GJ385" s="35"/>
      <c r="GK385" s="35"/>
      <c r="GL385" s="35"/>
      <c r="GM385" s="35"/>
      <c r="GN385" s="35"/>
      <c r="GO385" s="35"/>
      <c r="GP385" s="35"/>
      <c r="GQ385" s="35"/>
      <c r="GR385" s="35"/>
      <c r="GS385" s="35"/>
      <c r="GT385" s="35"/>
      <c r="GU385" s="35"/>
      <c r="GV385" s="35"/>
      <c r="GW385" s="35"/>
      <c r="GX385" s="35"/>
      <c r="GY385" s="35"/>
      <c r="GZ385" s="35"/>
      <c r="HA385" s="35"/>
      <c r="HB385" s="35"/>
      <c r="HC385" s="35"/>
      <c r="HD385" s="35"/>
      <c r="HE385" s="35"/>
      <c r="HF385" s="35"/>
      <c r="HG385" s="35"/>
      <c r="HH385" s="35"/>
      <c r="HI385" s="35"/>
      <c r="HJ385" s="35"/>
      <c r="HK385" s="35"/>
      <c r="HL385" s="35"/>
      <c r="HM385" s="35"/>
      <c r="HN385" s="35"/>
      <c r="HO385" s="35"/>
      <c r="HP385" s="35"/>
      <c r="HQ385" s="35"/>
      <c r="HR385" s="35"/>
      <c r="HS385" s="35"/>
      <c r="HT385" s="35"/>
      <c r="HU385" s="35"/>
      <c r="HV385" s="35"/>
      <c r="HW385" s="35"/>
      <c r="HX385" s="35"/>
      <c r="HY385" s="35"/>
      <c r="HZ385" s="35"/>
      <c r="IA385" s="35"/>
      <c r="IB385" s="35"/>
      <c r="IC385" s="35"/>
      <c r="ID385" s="35"/>
      <c r="IE385" s="35"/>
      <c r="IF385" s="35"/>
      <c r="IG385" s="35"/>
      <c r="IH385" s="35"/>
      <c r="II385" s="35"/>
      <c r="IJ385" s="35"/>
      <c r="IK385" s="35"/>
      <c r="IL385" s="35"/>
      <c r="IM385" s="35"/>
      <c r="IN385" s="35"/>
      <c r="IO385" s="35"/>
      <c r="IP385" s="35"/>
      <c r="IQ385" s="35"/>
      <c r="IR385" s="35"/>
      <c r="IS385" s="35"/>
      <c r="IT385" s="35"/>
      <c r="IU385" s="35"/>
      <c r="IV385" s="35"/>
      <c r="IW385" s="35"/>
      <c r="IX385" s="35"/>
      <c r="IY385" s="35"/>
      <c r="IZ385" s="35"/>
      <c r="JA385" s="35"/>
      <c r="JB385" s="35"/>
      <c r="JC385" s="35"/>
      <c r="JD385" s="35"/>
      <c r="JE385" s="35"/>
      <c r="JF385" s="35"/>
      <c r="JG385" s="35"/>
      <c r="JH385" s="35"/>
      <c r="JI385" s="35"/>
      <c r="JJ385" s="35"/>
      <c r="JK385" s="35"/>
      <c r="JL385" s="35"/>
      <c r="JM385" s="35"/>
      <c r="JN385" s="35"/>
      <c r="JO385" s="35"/>
      <c r="JP385" s="35"/>
      <c r="JQ385" s="35"/>
      <c r="JR385" s="35"/>
      <c r="JS385" s="35"/>
      <c r="JT385" s="35"/>
      <c r="JU385" s="35"/>
      <c r="JV385" s="35"/>
      <c r="JW385" s="35"/>
      <c r="JX385" s="35"/>
      <c r="JY385" s="35"/>
      <c r="JZ385" s="35"/>
      <c r="KA385" s="35"/>
      <c r="KB385" s="35"/>
      <c r="KC385" s="35"/>
      <c r="KD385" s="35"/>
      <c r="KE385" s="35"/>
      <c r="KF385" s="35"/>
      <c r="KG385" s="35"/>
      <c r="KH385" s="35"/>
      <c r="KI385" s="35"/>
      <c r="KJ385" s="35"/>
      <c r="KK385" s="35"/>
      <c r="KL385" s="35"/>
      <c r="KM385" s="35"/>
      <c r="KN385" s="35"/>
      <c r="KO385" s="35"/>
      <c r="KP385" s="1633"/>
    </row>
    <row r="386" spans="1:302" s="92" customFormat="1" ht="24.6" customHeight="1" outlineLevel="1">
      <c r="A386" s="1993" t="s">
        <v>1416</v>
      </c>
      <c r="B386" s="1993"/>
      <c r="C386" s="1359" t="s">
        <v>1417</v>
      </c>
      <c r="D386" s="1675"/>
      <c r="E386" s="1389"/>
      <c r="F386" s="506"/>
      <c r="G386" s="1390"/>
      <c r="H386" s="1391"/>
      <c r="I386" s="2573"/>
      <c r="J386" s="1672"/>
      <c r="K386" s="1697"/>
      <c r="L386" s="1697"/>
      <c r="M386" s="1701"/>
      <c r="N386" s="1697"/>
      <c r="O386" s="1397"/>
      <c r="P386" s="1671"/>
      <c r="Q386" s="1671"/>
      <c r="R386" s="1671"/>
      <c r="S386" s="1672"/>
      <c r="T386" s="1699"/>
      <c r="U386" s="1700"/>
      <c r="V386" s="1700"/>
      <c r="W386" s="1672"/>
      <c r="X386" s="1672"/>
      <c r="Y386" s="1699"/>
      <c r="Z386" s="1700"/>
      <c r="AA386" s="1699"/>
      <c r="AB386" s="2846">
        <f t="shared" si="510"/>
        <v>25257.58</v>
      </c>
      <c r="AC386" s="510" t="s">
        <v>1232</v>
      </c>
      <c r="AD386" s="1467">
        <v>4502934293</v>
      </c>
      <c r="AE386" s="510" t="s">
        <v>564</v>
      </c>
      <c r="AF386" s="497">
        <f>25305.58-48</f>
        <v>25257.58</v>
      </c>
      <c r="AG386" s="1403">
        <v>1</v>
      </c>
      <c r="AH386" s="1397">
        <f t="shared" si="518"/>
        <v>25257.58</v>
      </c>
      <c r="AI386" s="355">
        <f t="shared" ref="AI386" si="521">SUMIF($AM$10:$BZ$10,$AI$9,AM386:BZ386)</f>
        <v>22389.79</v>
      </c>
      <c r="AJ386" s="351">
        <f t="shared" ref="AJ386:AJ387" si="522">IF($AB386&lt;&gt;0,AI386/$AB386,"")</f>
        <v>0.88645824342632984</v>
      </c>
      <c r="AK386" s="351"/>
      <c r="AL386" s="1398"/>
      <c r="AM386" s="2734"/>
      <c r="AN386" s="2734"/>
      <c r="AO386" s="2823">
        <f>9573.27+12816.52</f>
        <v>22389.79</v>
      </c>
      <c r="AP386" s="2823">
        <f>25305.58-48-9573.27-12816.52</f>
        <v>2867.7900000000009</v>
      </c>
      <c r="AQ386" s="497"/>
      <c r="AR386" s="1922"/>
      <c r="AS386" s="1922"/>
      <c r="AT386" s="2017"/>
      <c r="AU386" s="497"/>
      <c r="AV386" s="497"/>
      <c r="AW386" s="497"/>
      <c r="AX386" s="497"/>
      <c r="AY386" s="2324"/>
      <c r="AZ386" s="2273"/>
      <c r="BA386" s="2011"/>
      <c r="BB386" s="497"/>
      <c r="BC386" s="497"/>
      <c r="BD386" s="497"/>
      <c r="BE386" s="497"/>
      <c r="BF386" s="497"/>
      <c r="BG386" s="497"/>
      <c r="BH386" s="497"/>
      <c r="BI386" s="497"/>
      <c r="BJ386" s="497"/>
      <c r="BK386" s="2137"/>
      <c r="BL386" s="2011"/>
      <c r="BM386" s="2011"/>
      <c r="BN386" s="2011"/>
      <c r="BO386" s="2011"/>
      <c r="BP386" s="2011"/>
      <c r="BQ386" s="2403"/>
      <c r="BR386" s="497"/>
      <c r="BS386" s="497"/>
      <c r="BT386" s="497"/>
      <c r="BU386" s="497"/>
      <c r="BV386" s="497"/>
      <c r="BW386" s="2060"/>
      <c r="BX386" s="2417"/>
      <c r="BY386" s="2549"/>
      <c r="BZ386" s="2549"/>
      <c r="CA386" s="2435">
        <f t="shared" si="512"/>
        <v>2867.7900000000009</v>
      </c>
      <c r="CB386" s="2380">
        <f t="shared" si="513"/>
        <v>0.11354175657367019</v>
      </c>
      <c r="CC386" s="365">
        <f t="shared" si="514"/>
        <v>4.4953537343510412E-6</v>
      </c>
      <c r="CD386" s="1380" t="str">
        <f t="shared" si="515"/>
        <v>0,00%</v>
      </c>
      <c r="CE386" s="1381">
        <f t="shared" si="516"/>
        <v>-25257.58</v>
      </c>
      <c r="CF386" s="1381"/>
      <c r="CG386" s="501"/>
      <c r="CH386" s="502"/>
      <c r="CI386" s="503"/>
      <c r="CJ386" s="504"/>
      <c r="CK386" s="505"/>
      <c r="CL386" s="329">
        <f t="shared" si="450"/>
        <v>-2867.7900000000009</v>
      </c>
      <c r="CM386" s="330">
        <f t="shared" si="451"/>
        <v>0</v>
      </c>
      <c r="CN386" s="331"/>
      <c r="CO386" s="86"/>
      <c r="CP386" s="86"/>
      <c r="CQ386" s="86"/>
      <c r="CR386" s="86"/>
      <c r="CS386" s="86"/>
      <c r="CT386" s="86"/>
      <c r="CU386" s="86"/>
      <c r="CV386" s="86"/>
      <c r="CW386" s="86"/>
      <c r="CX386" s="86"/>
      <c r="CY386" s="86"/>
      <c r="CZ386" s="86"/>
      <c r="DA386" s="86"/>
      <c r="DB386" s="32"/>
      <c r="DC386" s="32"/>
      <c r="DD386" s="1664"/>
      <c r="DE386" s="35"/>
      <c r="DF386" s="35"/>
      <c r="DG386" s="1642"/>
      <c r="DH386" s="1642"/>
      <c r="DI386" s="1642"/>
      <c r="DJ386" s="1642"/>
      <c r="DK386" s="1642"/>
      <c r="DL386" s="1642"/>
      <c r="DM386" s="1642"/>
      <c r="DN386" s="1642"/>
      <c r="DO386" s="1642"/>
      <c r="DP386" s="1642"/>
      <c r="DQ386" s="1642"/>
      <c r="DR386" s="1642"/>
      <c r="DS386" s="1642"/>
      <c r="DT386" s="1642"/>
      <c r="DU386" s="1642"/>
      <c r="DV386" s="1642"/>
      <c r="DW386" s="1642"/>
      <c r="DX386" s="1642"/>
      <c r="DY386" s="1642"/>
      <c r="DZ386" s="1642"/>
      <c r="EA386" s="1642"/>
      <c r="EB386" s="1642"/>
      <c r="EC386" s="1642"/>
      <c r="ED386" s="1642"/>
      <c r="EE386" s="1642"/>
      <c r="EF386" s="1642"/>
      <c r="EG386" s="1642"/>
      <c r="EH386" s="35"/>
      <c r="EI386" s="1658"/>
      <c r="EJ386" s="35"/>
      <c r="EK386" s="35"/>
      <c r="EL386" s="35"/>
      <c r="EM386" s="35"/>
      <c r="EN386" s="35"/>
      <c r="EO386" s="35"/>
      <c r="EP386" s="35"/>
      <c r="EQ386" s="35"/>
      <c r="ER386" s="35"/>
      <c r="ES386" s="35"/>
      <c r="ET386" s="35"/>
      <c r="EU386" s="35"/>
      <c r="EV386" s="35"/>
      <c r="EW386" s="35"/>
      <c r="EX386" s="35"/>
      <c r="EY386" s="35"/>
      <c r="EZ386" s="35"/>
      <c r="FA386" s="35"/>
      <c r="FB386" s="35"/>
      <c r="FC386" s="35"/>
      <c r="FD386" s="35"/>
      <c r="FE386" s="35"/>
      <c r="FF386" s="35"/>
      <c r="FG386" s="35"/>
      <c r="FH386" s="35"/>
      <c r="FI386" s="35"/>
      <c r="FJ386" s="35"/>
      <c r="FK386" s="35"/>
      <c r="FL386" s="35"/>
      <c r="FM386" s="35"/>
      <c r="FN386" s="35"/>
      <c r="FO386" s="35"/>
      <c r="FP386" s="35"/>
      <c r="FQ386" s="35"/>
      <c r="FR386" s="35"/>
      <c r="FS386" s="35"/>
      <c r="FT386" s="35"/>
      <c r="FU386" s="35"/>
      <c r="FV386" s="35"/>
      <c r="FW386" s="35"/>
      <c r="FX386" s="35"/>
      <c r="FY386" s="35"/>
      <c r="FZ386" s="35"/>
      <c r="GA386" s="35"/>
      <c r="GB386" s="35"/>
      <c r="GC386" s="35"/>
      <c r="GD386" s="35"/>
      <c r="GE386" s="35"/>
      <c r="GF386" s="35"/>
      <c r="GG386" s="35"/>
      <c r="GH386" s="35"/>
      <c r="GI386" s="35"/>
      <c r="GJ386" s="35"/>
      <c r="GK386" s="35"/>
      <c r="GL386" s="35"/>
      <c r="GM386" s="35"/>
      <c r="GN386" s="35"/>
      <c r="GO386" s="35"/>
      <c r="GP386" s="35"/>
      <c r="GQ386" s="35"/>
      <c r="GR386" s="35"/>
      <c r="GS386" s="35"/>
      <c r="GT386" s="35"/>
      <c r="GU386" s="35"/>
      <c r="GV386" s="35"/>
      <c r="GW386" s="35"/>
      <c r="GX386" s="35"/>
      <c r="GY386" s="35"/>
      <c r="GZ386" s="35"/>
      <c r="HA386" s="35"/>
      <c r="HB386" s="35"/>
      <c r="HC386" s="35"/>
      <c r="HD386" s="35"/>
      <c r="HE386" s="35"/>
      <c r="HF386" s="35"/>
      <c r="HG386" s="35"/>
      <c r="HH386" s="35"/>
      <c r="HI386" s="35"/>
      <c r="HJ386" s="35"/>
      <c r="HK386" s="35"/>
      <c r="HL386" s="35"/>
      <c r="HM386" s="35"/>
      <c r="HN386" s="35"/>
      <c r="HO386" s="35"/>
      <c r="HP386" s="35"/>
      <c r="HQ386" s="35"/>
      <c r="HR386" s="35"/>
      <c r="HS386" s="35"/>
      <c r="HT386" s="35"/>
      <c r="HU386" s="35"/>
      <c r="HV386" s="35"/>
      <c r="HW386" s="35"/>
      <c r="HX386" s="35"/>
      <c r="HY386" s="35"/>
      <c r="HZ386" s="35"/>
      <c r="IA386" s="35"/>
      <c r="IB386" s="35"/>
      <c r="IC386" s="35"/>
      <c r="ID386" s="35"/>
      <c r="IE386" s="35"/>
      <c r="IF386" s="35"/>
      <c r="IG386" s="35"/>
      <c r="IH386" s="35"/>
      <c r="II386" s="35"/>
      <c r="IJ386" s="35"/>
      <c r="IK386" s="35"/>
      <c r="IL386" s="35"/>
      <c r="IM386" s="35"/>
      <c r="IN386" s="35"/>
      <c r="IO386" s="35"/>
      <c r="IP386" s="35"/>
      <c r="IQ386" s="35"/>
      <c r="IR386" s="35"/>
      <c r="IS386" s="35"/>
      <c r="IT386" s="35"/>
      <c r="IU386" s="35"/>
      <c r="IV386" s="35"/>
      <c r="IW386" s="35"/>
      <c r="IX386" s="35"/>
      <c r="IY386" s="35"/>
      <c r="IZ386" s="35"/>
      <c r="JA386" s="35"/>
      <c r="JB386" s="35"/>
      <c r="JC386" s="35"/>
      <c r="JD386" s="35"/>
      <c r="JE386" s="35"/>
      <c r="JF386" s="35"/>
      <c r="JG386" s="35"/>
      <c r="JH386" s="35"/>
      <c r="JI386" s="35"/>
      <c r="JJ386" s="35"/>
      <c r="JK386" s="35"/>
      <c r="JL386" s="35"/>
      <c r="JM386" s="35"/>
      <c r="JN386" s="35"/>
      <c r="JO386" s="35"/>
      <c r="JP386" s="35"/>
      <c r="JQ386" s="35"/>
      <c r="JR386" s="35"/>
      <c r="JS386" s="35"/>
      <c r="JT386" s="35"/>
      <c r="JU386" s="35"/>
      <c r="JV386" s="35"/>
      <c r="JW386" s="35"/>
      <c r="JX386" s="35"/>
      <c r="JY386" s="35"/>
      <c r="JZ386" s="35"/>
      <c r="KA386" s="35"/>
      <c r="KB386" s="35"/>
      <c r="KC386" s="35"/>
      <c r="KD386" s="35"/>
      <c r="KE386" s="35"/>
      <c r="KF386" s="35"/>
      <c r="KG386" s="35"/>
      <c r="KH386" s="35"/>
      <c r="KI386" s="35"/>
      <c r="KJ386" s="35"/>
      <c r="KK386" s="35"/>
      <c r="KL386" s="35"/>
      <c r="KM386" s="35"/>
      <c r="KN386" s="35"/>
      <c r="KO386" s="35"/>
      <c r="KP386" s="1633"/>
    </row>
    <row r="387" spans="1:302" s="92" customFormat="1" ht="24.6" customHeight="1" outlineLevel="1">
      <c r="A387" s="1676" t="s">
        <v>1432</v>
      </c>
      <c r="B387" s="1993"/>
      <c r="C387" s="1359" t="s">
        <v>1434</v>
      </c>
      <c r="D387" s="1675"/>
      <c r="E387" s="1389"/>
      <c r="F387" s="506"/>
      <c r="G387" s="1390"/>
      <c r="H387" s="1391"/>
      <c r="I387" s="2573"/>
      <c r="J387" s="1672"/>
      <c r="K387" s="1697"/>
      <c r="L387" s="1697"/>
      <c r="M387" s="1701"/>
      <c r="N387" s="1697"/>
      <c r="O387" s="1397"/>
      <c r="P387" s="1671"/>
      <c r="Q387" s="1671"/>
      <c r="R387" s="1671"/>
      <c r="S387" s="1672"/>
      <c r="T387" s="1699"/>
      <c r="U387" s="1700"/>
      <c r="V387" s="1700"/>
      <c r="W387" s="1672"/>
      <c r="X387" s="1672"/>
      <c r="Y387" s="1699"/>
      <c r="Z387" s="1700"/>
      <c r="AA387" s="1699"/>
      <c r="AB387" s="1672">
        <f t="shared" si="510"/>
        <v>17530</v>
      </c>
      <c r="AC387" s="510" t="s">
        <v>1433</v>
      </c>
      <c r="AD387" s="1460"/>
      <c r="AE387" s="510" t="s">
        <v>564</v>
      </c>
      <c r="AF387" s="497">
        <v>17530</v>
      </c>
      <c r="AG387" s="1403">
        <v>1</v>
      </c>
      <c r="AH387" s="1397">
        <f t="shared" ref="AH387" si="523">+AF387*AG387</f>
        <v>17530</v>
      </c>
      <c r="AI387" s="355">
        <f t="shared" ref="AI387" si="524">SUMIF($AM$10:$BZ$10,$AI$9,AM387:BZ387)</f>
        <v>0</v>
      </c>
      <c r="AJ387" s="351">
        <f t="shared" si="522"/>
        <v>0</v>
      </c>
      <c r="AK387" s="351"/>
      <c r="AL387" s="1398"/>
      <c r="AM387" s="2734"/>
      <c r="AN387" s="2734"/>
      <c r="AO387" s="497"/>
      <c r="AP387" s="1922"/>
      <c r="AQ387" s="497">
        <v>17530</v>
      </c>
      <c r="AR387" s="1922"/>
      <c r="AS387" s="1922"/>
      <c r="AT387" s="2017"/>
      <c r="AU387" s="497"/>
      <c r="AV387" s="497"/>
      <c r="AW387" s="497"/>
      <c r="AX387" s="497"/>
      <c r="AY387" s="2324"/>
      <c r="AZ387" s="2273"/>
      <c r="BA387" s="2011"/>
      <c r="BB387" s="497"/>
      <c r="BC387" s="497"/>
      <c r="BD387" s="497"/>
      <c r="BE387" s="497"/>
      <c r="BF387" s="497"/>
      <c r="BG387" s="497"/>
      <c r="BH387" s="497"/>
      <c r="BI387" s="497"/>
      <c r="BJ387" s="497"/>
      <c r="BK387" s="2137"/>
      <c r="BL387" s="2011"/>
      <c r="BM387" s="2011"/>
      <c r="BN387" s="2011"/>
      <c r="BO387" s="2011"/>
      <c r="BP387" s="2011"/>
      <c r="BQ387" s="2403"/>
      <c r="BR387" s="497"/>
      <c r="BS387" s="497"/>
      <c r="BT387" s="497"/>
      <c r="BU387" s="497"/>
      <c r="BV387" s="497"/>
      <c r="BW387" s="2060"/>
      <c r="BX387" s="2417"/>
      <c r="BY387" s="2549"/>
      <c r="BZ387" s="2549"/>
      <c r="CA387" s="2435">
        <f t="shared" ref="CA387:CA397" si="525">SUMIF($AM$10:$BZ$10,$CA$9,AM387:BZ387)</f>
        <v>17530</v>
      </c>
      <c r="CB387" s="2380">
        <f t="shared" ref="CB387:CB397" si="526">IF($AB387&lt;&gt;0,CA387/$AB387,"")</f>
        <v>1</v>
      </c>
      <c r="CC387" s="365">
        <f t="shared" ref="CC387:CC397" si="527">IF($AB387&lt;&gt;0,CB387/$AB387,"")</f>
        <v>5.7045065601825445E-5</v>
      </c>
      <c r="CD387" s="1380" t="str">
        <f t="shared" ref="CD387:CD397" si="528">IF($W387&lt;&gt;0,(CE387)/$W387,"0,00%")</f>
        <v>0,00%</v>
      </c>
      <c r="CE387" s="1381">
        <f t="shared" ref="CE387:CE397" si="529">W387-AB387</f>
        <v>-17530</v>
      </c>
      <c r="CF387" s="1381"/>
      <c r="CG387" s="501"/>
      <c r="CH387" s="502"/>
      <c r="CI387" s="503"/>
      <c r="CJ387" s="504"/>
      <c r="CK387" s="505"/>
      <c r="CL387" s="329">
        <f t="shared" si="450"/>
        <v>-17530</v>
      </c>
      <c r="CM387" s="330">
        <f t="shared" si="451"/>
        <v>0</v>
      </c>
      <c r="CN387" s="331"/>
      <c r="CO387" s="86"/>
      <c r="CP387" s="86"/>
      <c r="CQ387" s="86"/>
      <c r="CR387" s="86"/>
      <c r="CS387" s="86"/>
      <c r="CT387" s="86"/>
      <c r="CU387" s="86"/>
      <c r="CV387" s="86"/>
      <c r="CW387" s="86"/>
      <c r="CX387" s="86"/>
      <c r="CY387" s="86"/>
      <c r="CZ387" s="86"/>
      <c r="DA387" s="86"/>
      <c r="DB387" s="32"/>
      <c r="DC387" s="32"/>
      <c r="DD387" s="1664"/>
      <c r="DE387" s="35"/>
      <c r="DF387" s="35"/>
      <c r="DG387" s="1642"/>
      <c r="DH387" s="1642"/>
      <c r="DI387" s="1642"/>
      <c r="DJ387" s="1642"/>
      <c r="DK387" s="1642"/>
      <c r="DL387" s="1642"/>
      <c r="DM387" s="1642"/>
      <c r="DN387" s="1642"/>
      <c r="DO387" s="1642"/>
      <c r="DP387" s="1642"/>
      <c r="DQ387" s="1642"/>
      <c r="DR387" s="1642"/>
      <c r="DS387" s="1642"/>
      <c r="DT387" s="1642"/>
      <c r="DU387" s="1642"/>
      <c r="DV387" s="1642"/>
      <c r="DW387" s="1642"/>
      <c r="DX387" s="1642"/>
      <c r="DY387" s="1642"/>
      <c r="DZ387" s="1642"/>
      <c r="EA387" s="1642"/>
      <c r="EB387" s="1642"/>
      <c r="EC387" s="1642"/>
      <c r="ED387" s="1642"/>
      <c r="EE387" s="1642"/>
      <c r="EF387" s="1642"/>
      <c r="EG387" s="1642"/>
      <c r="EH387" s="35"/>
      <c r="EI387" s="1658"/>
      <c r="EJ387" s="35"/>
      <c r="EK387" s="35"/>
      <c r="EL387" s="35"/>
      <c r="EM387" s="35"/>
      <c r="EN387" s="35"/>
      <c r="EO387" s="35"/>
      <c r="EP387" s="35"/>
      <c r="EQ387" s="35"/>
      <c r="ER387" s="35"/>
      <c r="ES387" s="35"/>
      <c r="ET387" s="35"/>
      <c r="EU387" s="35"/>
      <c r="EV387" s="35"/>
      <c r="EW387" s="35"/>
      <c r="EX387" s="35"/>
      <c r="EY387" s="35"/>
      <c r="EZ387" s="35"/>
      <c r="FA387" s="35"/>
      <c r="FB387" s="35"/>
      <c r="FC387" s="35"/>
      <c r="FD387" s="35"/>
      <c r="FE387" s="35"/>
      <c r="FF387" s="35"/>
      <c r="FG387" s="35"/>
      <c r="FH387" s="35"/>
      <c r="FI387" s="35"/>
      <c r="FJ387" s="35"/>
      <c r="FK387" s="35"/>
      <c r="FL387" s="35"/>
      <c r="FM387" s="35"/>
      <c r="FN387" s="35"/>
      <c r="FO387" s="35"/>
      <c r="FP387" s="35"/>
      <c r="FQ387" s="35"/>
      <c r="FR387" s="35"/>
      <c r="FS387" s="35"/>
      <c r="FT387" s="35"/>
      <c r="FU387" s="35"/>
      <c r="FV387" s="35"/>
      <c r="FW387" s="35"/>
      <c r="FX387" s="35"/>
      <c r="FY387" s="35"/>
      <c r="FZ387" s="35"/>
      <c r="GA387" s="35"/>
      <c r="GB387" s="35"/>
      <c r="GC387" s="35"/>
      <c r="GD387" s="35"/>
      <c r="GE387" s="35"/>
      <c r="GF387" s="35"/>
      <c r="GG387" s="35"/>
      <c r="GH387" s="35"/>
      <c r="GI387" s="35"/>
      <c r="GJ387" s="35"/>
      <c r="GK387" s="35"/>
      <c r="GL387" s="35"/>
      <c r="GM387" s="35"/>
      <c r="GN387" s="35"/>
      <c r="GO387" s="35"/>
      <c r="GP387" s="35"/>
      <c r="GQ387" s="35"/>
      <c r="GR387" s="35"/>
      <c r="GS387" s="35"/>
      <c r="GT387" s="35"/>
      <c r="GU387" s="35"/>
      <c r="GV387" s="35"/>
      <c r="GW387" s="35"/>
      <c r="GX387" s="35"/>
      <c r="GY387" s="35"/>
      <c r="GZ387" s="35"/>
      <c r="HA387" s="35"/>
      <c r="HB387" s="35"/>
      <c r="HC387" s="35"/>
      <c r="HD387" s="35"/>
      <c r="HE387" s="35"/>
      <c r="HF387" s="35"/>
      <c r="HG387" s="35"/>
      <c r="HH387" s="35"/>
      <c r="HI387" s="35"/>
      <c r="HJ387" s="35"/>
      <c r="HK387" s="35"/>
      <c r="HL387" s="35"/>
      <c r="HM387" s="35"/>
      <c r="HN387" s="35"/>
      <c r="HO387" s="35"/>
      <c r="HP387" s="35"/>
      <c r="HQ387" s="35"/>
      <c r="HR387" s="35"/>
      <c r="HS387" s="35"/>
      <c r="HT387" s="35"/>
      <c r="HU387" s="35"/>
      <c r="HV387" s="35"/>
      <c r="HW387" s="35"/>
      <c r="HX387" s="35"/>
      <c r="HY387" s="35"/>
      <c r="HZ387" s="35"/>
      <c r="IA387" s="35"/>
      <c r="IB387" s="35"/>
      <c r="IC387" s="35"/>
      <c r="ID387" s="35"/>
      <c r="IE387" s="35"/>
      <c r="IF387" s="35"/>
      <c r="IG387" s="35"/>
      <c r="IH387" s="35"/>
      <c r="II387" s="35"/>
      <c r="IJ387" s="35"/>
      <c r="IK387" s="35"/>
      <c r="IL387" s="35"/>
      <c r="IM387" s="35"/>
      <c r="IN387" s="35"/>
      <c r="IO387" s="35"/>
      <c r="IP387" s="35"/>
      <c r="IQ387" s="35"/>
      <c r="IR387" s="35"/>
      <c r="IS387" s="35"/>
      <c r="IT387" s="35"/>
      <c r="IU387" s="35"/>
      <c r="IV387" s="35"/>
      <c r="IW387" s="35"/>
      <c r="IX387" s="35"/>
      <c r="IY387" s="35"/>
      <c r="IZ387" s="35"/>
      <c r="JA387" s="35"/>
      <c r="JB387" s="35"/>
      <c r="JC387" s="35"/>
      <c r="JD387" s="35"/>
      <c r="JE387" s="35"/>
      <c r="JF387" s="35"/>
      <c r="JG387" s="35"/>
      <c r="JH387" s="35"/>
      <c r="JI387" s="35"/>
      <c r="JJ387" s="35"/>
      <c r="JK387" s="35"/>
      <c r="JL387" s="35"/>
      <c r="JM387" s="35"/>
      <c r="JN387" s="35"/>
      <c r="JO387" s="35"/>
      <c r="JP387" s="35"/>
      <c r="JQ387" s="35"/>
      <c r="JR387" s="35"/>
      <c r="JS387" s="35"/>
      <c r="JT387" s="35"/>
      <c r="JU387" s="35"/>
      <c r="JV387" s="35"/>
      <c r="JW387" s="35"/>
      <c r="JX387" s="35"/>
      <c r="JY387" s="35"/>
      <c r="JZ387" s="35"/>
      <c r="KA387" s="35"/>
      <c r="KB387" s="35"/>
      <c r="KC387" s="35"/>
      <c r="KD387" s="35"/>
      <c r="KE387" s="35"/>
      <c r="KF387" s="35"/>
      <c r="KG387" s="35"/>
      <c r="KH387" s="35"/>
      <c r="KI387" s="35"/>
      <c r="KJ387" s="35"/>
      <c r="KK387" s="35"/>
      <c r="KL387" s="35"/>
      <c r="KM387" s="35"/>
      <c r="KN387" s="35"/>
      <c r="KO387" s="35"/>
      <c r="KP387" s="1633"/>
    </row>
    <row r="388" spans="1:302" s="92" customFormat="1" ht="24.6" customHeight="1" outlineLevel="1">
      <c r="A388" s="1676" t="s">
        <v>145</v>
      </c>
      <c r="B388" s="1993" t="s">
        <v>1221</v>
      </c>
      <c r="C388" s="1359" t="s">
        <v>180</v>
      </c>
      <c r="D388" s="1675" t="s">
        <v>309</v>
      </c>
      <c r="E388" s="1389"/>
      <c r="F388" s="506"/>
      <c r="G388" s="1390"/>
      <c r="H388" s="1391"/>
      <c r="I388" s="2573">
        <v>8000</v>
      </c>
      <c r="J388" s="1672"/>
      <c r="K388" s="1697"/>
      <c r="L388" s="1697"/>
      <c r="M388" s="1701">
        <v>2000</v>
      </c>
      <c r="N388" s="1697">
        <v>4</v>
      </c>
      <c r="O388" s="1397">
        <f t="shared" si="502"/>
        <v>8000</v>
      </c>
      <c r="P388" s="1671"/>
      <c r="Q388" s="1671"/>
      <c r="R388" s="1671"/>
      <c r="S388" s="1672"/>
      <c r="T388" s="1699"/>
      <c r="U388" s="1700"/>
      <c r="V388" s="1700"/>
      <c r="W388" s="1672">
        <f t="shared" si="503"/>
        <v>8000</v>
      </c>
      <c r="X388" s="1672"/>
      <c r="Y388" s="1699"/>
      <c r="Z388" s="1700"/>
      <c r="AA388" s="1699"/>
      <c r="AB388" s="1672">
        <f t="shared" si="510"/>
        <v>8000</v>
      </c>
      <c r="AC388" s="510"/>
      <c r="AD388" s="1467"/>
      <c r="AE388" s="510"/>
      <c r="AF388" s="497"/>
      <c r="AG388" s="1403">
        <v>1</v>
      </c>
      <c r="AH388" s="1397">
        <f t="shared" si="351"/>
        <v>0</v>
      </c>
      <c r="AI388" s="355">
        <f t="shared" si="435"/>
        <v>0</v>
      </c>
      <c r="AJ388" s="351">
        <f t="shared" si="467"/>
        <v>0</v>
      </c>
      <c r="AK388" s="351"/>
      <c r="AL388" s="1398"/>
      <c r="AM388" s="2273"/>
      <c r="AN388" s="2273"/>
      <c r="AO388" s="1922"/>
      <c r="AP388" s="1922"/>
      <c r="AQ388" s="497"/>
      <c r="AR388" s="1922"/>
      <c r="AS388" s="1922"/>
      <c r="AT388" s="2015"/>
      <c r="AU388" s="1922"/>
      <c r="AV388" s="1922">
        <v>8000</v>
      </c>
      <c r="AW388" s="1922"/>
      <c r="AX388" s="497"/>
      <c r="AY388" s="2238"/>
      <c r="AZ388" s="2273"/>
      <c r="BA388" s="2011"/>
      <c r="BB388" s="497"/>
      <c r="BC388" s="497"/>
      <c r="BD388" s="497"/>
      <c r="BE388" s="497"/>
      <c r="BF388" s="497"/>
      <c r="BG388" s="497"/>
      <c r="BH388" s="497"/>
      <c r="BI388" s="497"/>
      <c r="BJ388" s="497"/>
      <c r="BK388" s="2137"/>
      <c r="BL388" s="2011"/>
      <c r="BM388" s="2011"/>
      <c r="BN388" s="2011"/>
      <c r="BO388" s="2011"/>
      <c r="BP388" s="2011"/>
      <c r="BQ388" s="2403"/>
      <c r="BR388" s="497"/>
      <c r="BS388" s="497"/>
      <c r="BT388" s="497"/>
      <c r="BU388" s="497"/>
      <c r="BV388" s="497"/>
      <c r="BW388" s="2060"/>
      <c r="BX388" s="2417"/>
      <c r="BY388" s="2549"/>
      <c r="BZ388" s="2549"/>
      <c r="CA388" s="2435">
        <f t="shared" si="525"/>
        <v>8000</v>
      </c>
      <c r="CB388" s="2380">
        <f t="shared" si="526"/>
        <v>1</v>
      </c>
      <c r="CC388" s="365">
        <f t="shared" si="527"/>
        <v>1.25E-4</v>
      </c>
      <c r="CD388" s="1380">
        <f t="shared" si="528"/>
        <v>0</v>
      </c>
      <c r="CE388" s="1381">
        <f t="shared" si="529"/>
        <v>0</v>
      </c>
      <c r="CF388" s="1381"/>
      <c r="CG388" s="501"/>
      <c r="CH388" s="502"/>
      <c r="CI388" s="503"/>
      <c r="CJ388" s="504"/>
      <c r="CK388" s="505"/>
      <c r="CL388" s="329">
        <f t="shared" si="450"/>
        <v>0</v>
      </c>
      <c r="CM388" s="330">
        <f t="shared" si="451"/>
        <v>0</v>
      </c>
      <c r="CN388" s="331">
        <f t="shared" si="517"/>
        <v>0</v>
      </c>
      <c r="CO388" s="86"/>
      <c r="CP388" s="86"/>
      <c r="CQ388" s="86"/>
      <c r="CR388" s="86"/>
      <c r="CS388" s="86"/>
      <c r="CT388" s="86"/>
      <c r="CU388" s="86"/>
      <c r="CV388" s="86"/>
      <c r="CW388" s="86"/>
      <c r="CX388" s="86"/>
      <c r="CY388" s="86"/>
      <c r="CZ388" s="86"/>
      <c r="DA388" s="86"/>
      <c r="DB388" s="32"/>
      <c r="DC388" s="32"/>
      <c r="DD388" s="1664"/>
      <c r="DE388" s="35"/>
      <c r="DF388" s="35"/>
      <c r="DG388" s="1642"/>
      <c r="DH388" s="1642"/>
      <c r="DI388" s="1642"/>
      <c r="DJ388" s="1642"/>
      <c r="DK388" s="1642"/>
      <c r="DL388" s="1642"/>
      <c r="DM388" s="1642"/>
      <c r="DN388" s="1642"/>
      <c r="DO388" s="1642"/>
      <c r="DP388" s="1642"/>
      <c r="DQ388" s="1642"/>
      <c r="DR388" s="1642"/>
      <c r="DS388" s="1642"/>
      <c r="DT388" s="1642"/>
      <c r="DU388" s="1642"/>
      <c r="DV388" s="1642"/>
      <c r="DW388" s="1642"/>
      <c r="DX388" s="1642"/>
      <c r="DY388" s="1642"/>
      <c r="DZ388" s="1642"/>
      <c r="EA388" s="1642"/>
      <c r="EB388" s="1642"/>
      <c r="EC388" s="1642"/>
      <c r="ED388" s="1642"/>
      <c r="EE388" s="1642"/>
      <c r="EF388" s="1642"/>
      <c r="EG388" s="1642"/>
      <c r="EH388" s="35"/>
      <c r="EI388" s="1658"/>
      <c r="EJ388" s="35"/>
      <c r="EK388" s="35"/>
      <c r="EL388" s="35"/>
      <c r="EM388" s="35"/>
      <c r="EN388" s="35"/>
      <c r="EO388" s="35"/>
      <c r="EP388" s="35"/>
      <c r="EQ388" s="35"/>
      <c r="ER388" s="35"/>
      <c r="ES388" s="35"/>
      <c r="ET388" s="35"/>
      <c r="EU388" s="35"/>
      <c r="EV388" s="35"/>
      <c r="EW388" s="35"/>
      <c r="EX388" s="35"/>
      <c r="EY388" s="35"/>
      <c r="EZ388" s="35"/>
      <c r="FA388" s="35"/>
      <c r="FB388" s="35"/>
      <c r="FC388" s="35"/>
      <c r="FD388" s="35"/>
      <c r="FE388" s="35"/>
      <c r="FF388" s="35"/>
      <c r="FG388" s="35"/>
      <c r="FH388" s="35"/>
      <c r="FI388" s="35"/>
      <c r="FJ388" s="35"/>
      <c r="FK388" s="35"/>
      <c r="FL388" s="35"/>
      <c r="FM388" s="35"/>
      <c r="FN388" s="35"/>
      <c r="FO388" s="35"/>
      <c r="FP388" s="35"/>
      <c r="FQ388" s="35"/>
      <c r="FR388" s="35"/>
      <c r="FS388" s="35"/>
      <c r="FT388" s="35"/>
      <c r="FU388" s="35"/>
      <c r="FV388" s="35"/>
      <c r="FW388" s="35"/>
      <c r="FX388" s="35"/>
      <c r="FY388" s="35"/>
      <c r="FZ388" s="35"/>
      <c r="GA388" s="35"/>
      <c r="GB388" s="35"/>
      <c r="GC388" s="35"/>
      <c r="GD388" s="35"/>
      <c r="GE388" s="35"/>
      <c r="GF388" s="35"/>
      <c r="GG388" s="35"/>
      <c r="GH388" s="35"/>
      <c r="GI388" s="35"/>
      <c r="GJ388" s="35"/>
      <c r="GK388" s="35"/>
      <c r="GL388" s="35"/>
      <c r="GM388" s="35"/>
      <c r="GN388" s="35"/>
      <c r="GO388" s="35"/>
      <c r="GP388" s="35"/>
      <c r="GQ388" s="35"/>
      <c r="GR388" s="35"/>
      <c r="GS388" s="35"/>
      <c r="GT388" s="35"/>
      <c r="GU388" s="35"/>
      <c r="GV388" s="35"/>
      <c r="GW388" s="35"/>
      <c r="GX388" s="35"/>
      <c r="GY388" s="35"/>
      <c r="GZ388" s="35"/>
      <c r="HA388" s="35"/>
      <c r="HB388" s="35"/>
      <c r="HC388" s="35"/>
      <c r="HD388" s="35"/>
      <c r="HE388" s="35"/>
      <c r="HF388" s="35"/>
      <c r="HG388" s="35"/>
      <c r="HH388" s="35"/>
      <c r="HI388" s="35"/>
      <c r="HJ388" s="35"/>
      <c r="HK388" s="35"/>
      <c r="HL388" s="35"/>
      <c r="HM388" s="35"/>
      <c r="HN388" s="35"/>
      <c r="HO388" s="35"/>
      <c r="HP388" s="35"/>
      <c r="HQ388" s="35"/>
      <c r="HR388" s="35"/>
      <c r="HS388" s="35"/>
      <c r="HT388" s="35"/>
      <c r="HU388" s="35"/>
      <c r="HV388" s="35"/>
      <c r="HW388" s="35"/>
      <c r="HX388" s="35"/>
      <c r="HY388" s="35"/>
      <c r="HZ388" s="35"/>
      <c r="IA388" s="35"/>
      <c r="IB388" s="35"/>
      <c r="IC388" s="35"/>
      <c r="ID388" s="35"/>
      <c r="IE388" s="35"/>
      <c r="IF388" s="35"/>
      <c r="IG388" s="35"/>
      <c r="IH388" s="35"/>
      <c r="II388" s="35"/>
      <c r="IJ388" s="35"/>
      <c r="IK388" s="35"/>
      <c r="IL388" s="35"/>
      <c r="IM388" s="35"/>
      <c r="IN388" s="35"/>
      <c r="IO388" s="35"/>
      <c r="IP388" s="35"/>
      <c r="IQ388" s="35"/>
      <c r="IR388" s="35"/>
      <c r="IS388" s="35"/>
      <c r="IT388" s="35"/>
      <c r="IU388" s="35"/>
      <c r="IV388" s="35"/>
      <c r="IW388" s="35"/>
      <c r="IX388" s="35"/>
      <c r="IY388" s="35"/>
      <c r="IZ388" s="35"/>
      <c r="JA388" s="35"/>
      <c r="JB388" s="35"/>
      <c r="JC388" s="35"/>
      <c r="JD388" s="35"/>
      <c r="JE388" s="35"/>
      <c r="JF388" s="35"/>
      <c r="JG388" s="35"/>
      <c r="JH388" s="35"/>
      <c r="JI388" s="35"/>
      <c r="JJ388" s="35"/>
      <c r="JK388" s="35"/>
      <c r="JL388" s="35"/>
      <c r="JM388" s="35"/>
      <c r="JN388" s="35"/>
      <c r="JO388" s="35"/>
      <c r="JP388" s="35"/>
      <c r="JQ388" s="35"/>
      <c r="JR388" s="35"/>
      <c r="JS388" s="35"/>
      <c r="JT388" s="35"/>
      <c r="JU388" s="35"/>
      <c r="JV388" s="35"/>
      <c r="JW388" s="35"/>
      <c r="JX388" s="35"/>
      <c r="JY388" s="35"/>
      <c r="JZ388" s="35"/>
      <c r="KA388" s="35"/>
      <c r="KB388" s="35"/>
      <c r="KC388" s="35"/>
      <c r="KD388" s="35"/>
      <c r="KE388" s="35"/>
      <c r="KF388" s="35"/>
      <c r="KG388" s="35"/>
      <c r="KH388" s="35"/>
      <c r="KI388" s="35"/>
      <c r="KJ388" s="35"/>
      <c r="KK388" s="35"/>
      <c r="KL388" s="35"/>
      <c r="KM388" s="35"/>
      <c r="KN388" s="35"/>
      <c r="KO388" s="35"/>
      <c r="KP388" s="1633"/>
    </row>
    <row r="389" spans="1:302" s="92" customFormat="1" ht="20.45" customHeight="1" outlineLevel="1">
      <c r="A389" s="1676" t="s">
        <v>490</v>
      </c>
      <c r="B389" s="1993" t="s">
        <v>1222</v>
      </c>
      <c r="C389" s="1359" t="s">
        <v>181</v>
      </c>
      <c r="D389" s="1675" t="s">
        <v>310</v>
      </c>
      <c r="E389" s="1389"/>
      <c r="F389" s="506"/>
      <c r="G389" s="1390"/>
      <c r="H389" s="1391"/>
      <c r="I389" s="2573">
        <v>40160</v>
      </c>
      <c r="J389" s="1672"/>
      <c r="K389" s="1697"/>
      <c r="L389" s="1697"/>
      <c r="M389" s="1701">
        <v>40160</v>
      </c>
      <c r="N389" s="1697">
        <v>1</v>
      </c>
      <c r="O389" s="1397">
        <f t="shared" si="502"/>
        <v>40160</v>
      </c>
      <c r="P389" s="1671"/>
      <c r="Q389" s="1671"/>
      <c r="R389" s="1671"/>
      <c r="S389" s="1672"/>
      <c r="T389" s="1699"/>
      <c r="U389" s="1700"/>
      <c r="V389" s="1700"/>
      <c r="W389" s="1672">
        <f t="shared" si="503"/>
        <v>40160</v>
      </c>
      <c r="X389" s="1672"/>
      <c r="Y389" s="1699"/>
      <c r="Z389" s="1700"/>
      <c r="AA389" s="1699"/>
      <c r="AB389" s="1672">
        <f t="shared" si="510"/>
        <v>40160</v>
      </c>
      <c r="AC389" s="510"/>
      <c r="AD389" s="1460"/>
      <c r="AE389" s="510"/>
      <c r="AF389" s="497"/>
      <c r="AG389" s="1403">
        <v>1</v>
      </c>
      <c r="AH389" s="1397">
        <f t="shared" si="351"/>
        <v>0</v>
      </c>
      <c r="AI389" s="355">
        <f t="shared" si="435"/>
        <v>0</v>
      </c>
      <c r="AJ389" s="351">
        <f t="shared" si="467"/>
        <v>0</v>
      </c>
      <c r="AK389" s="351"/>
      <c r="AL389" s="1398"/>
      <c r="AM389" s="2273"/>
      <c r="AN389" s="2273"/>
      <c r="AO389" s="497"/>
      <c r="AP389" s="497"/>
      <c r="AQ389" s="497"/>
      <c r="AR389" s="497"/>
      <c r="AS389" s="497"/>
      <c r="AT389" s="2015"/>
      <c r="AU389" s="497"/>
      <c r="AV389" s="497"/>
      <c r="AW389" s="497"/>
      <c r="AX389" s="497"/>
      <c r="AY389" s="2060"/>
      <c r="AZ389" s="2273"/>
      <c r="BA389" s="2011"/>
      <c r="BB389" s="497"/>
      <c r="BC389" s="497"/>
      <c r="BD389" s="497"/>
      <c r="BE389" s="497"/>
      <c r="BF389" s="497"/>
      <c r="BG389" s="497"/>
      <c r="BH389" s="497"/>
      <c r="BI389" s="497"/>
      <c r="BJ389" s="497"/>
      <c r="BK389" s="2137"/>
      <c r="BL389" s="2012"/>
      <c r="BM389" s="2012"/>
      <c r="BN389" s="2012"/>
      <c r="BO389" s="2012"/>
      <c r="BP389" s="2012"/>
      <c r="BQ389" s="2405">
        <v>40160</v>
      </c>
      <c r="BR389" s="497"/>
      <c r="BS389" s="497"/>
      <c r="BT389" s="497"/>
      <c r="BU389" s="497"/>
      <c r="BV389" s="497"/>
      <c r="BW389" s="2060"/>
      <c r="BX389" s="2417"/>
      <c r="BY389" s="2549"/>
      <c r="BZ389" s="2549"/>
      <c r="CA389" s="2435">
        <f t="shared" si="525"/>
        <v>40160</v>
      </c>
      <c r="CB389" s="2380">
        <f t="shared" si="526"/>
        <v>1</v>
      </c>
      <c r="CC389" s="365">
        <f t="shared" si="527"/>
        <v>2.4900398406374503E-5</v>
      </c>
      <c r="CD389" s="1380">
        <f t="shared" si="528"/>
        <v>0</v>
      </c>
      <c r="CE389" s="1381">
        <f t="shared" si="529"/>
        <v>0</v>
      </c>
      <c r="CF389" s="1381"/>
      <c r="CG389" s="501"/>
      <c r="CH389" s="502"/>
      <c r="CI389" s="503"/>
      <c r="CJ389" s="504"/>
      <c r="CK389" s="505"/>
      <c r="CL389" s="329">
        <f t="shared" si="450"/>
        <v>0</v>
      </c>
      <c r="CM389" s="330">
        <f t="shared" si="451"/>
        <v>0</v>
      </c>
      <c r="CN389" s="331">
        <f t="shared" si="517"/>
        <v>-40160</v>
      </c>
      <c r="CO389" s="86"/>
      <c r="CP389" s="86"/>
      <c r="CQ389" s="86"/>
      <c r="CR389" s="86"/>
      <c r="CS389" s="86"/>
      <c r="CT389" s="86"/>
      <c r="CU389" s="86"/>
      <c r="CV389" s="86"/>
      <c r="CW389" s="86"/>
      <c r="CX389" s="86"/>
      <c r="CY389" s="86"/>
      <c r="CZ389" s="86"/>
      <c r="DA389" s="86"/>
      <c r="DB389" s="32"/>
      <c r="DC389" s="32"/>
      <c r="DD389" s="1664"/>
      <c r="DE389" s="35"/>
      <c r="DF389" s="35"/>
      <c r="DG389" s="1642"/>
      <c r="DH389" s="1642"/>
      <c r="DI389" s="1642"/>
      <c r="DJ389" s="1642"/>
      <c r="DK389" s="1642"/>
      <c r="DL389" s="1642"/>
      <c r="DM389" s="1642"/>
      <c r="DN389" s="1642"/>
      <c r="DO389" s="1642"/>
      <c r="DP389" s="1642"/>
      <c r="DQ389" s="1642"/>
      <c r="DR389" s="1642"/>
      <c r="DS389" s="1642"/>
      <c r="DT389" s="1642"/>
      <c r="DU389" s="1642"/>
      <c r="DV389" s="1642"/>
      <c r="DW389" s="1642"/>
      <c r="DX389" s="1642"/>
      <c r="DY389" s="1642"/>
      <c r="DZ389" s="1642"/>
      <c r="EA389" s="1642"/>
      <c r="EB389" s="1642"/>
      <c r="EC389" s="1642"/>
      <c r="ED389" s="1642"/>
      <c r="EE389" s="1642"/>
      <c r="EF389" s="1642"/>
      <c r="EG389" s="1642"/>
      <c r="EH389" s="35"/>
      <c r="EI389" s="1658"/>
      <c r="EJ389" s="35"/>
      <c r="EK389" s="35"/>
      <c r="EL389" s="35"/>
      <c r="EM389" s="35"/>
      <c r="EN389" s="35"/>
      <c r="EO389" s="35"/>
      <c r="EP389" s="35"/>
      <c r="EQ389" s="35"/>
      <c r="ER389" s="35"/>
      <c r="ES389" s="35"/>
      <c r="ET389" s="35"/>
      <c r="EU389" s="35"/>
      <c r="EV389" s="35"/>
      <c r="EW389" s="35"/>
      <c r="EX389" s="35"/>
      <c r="EY389" s="35"/>
      <c r="EZ389" s="35"/>
      <c r="FA389" s="35"/>
      <c r="FB389" s="35"/>
      <c r="FC389" s="35"/>
      <c r="FD389" s="35"/>
      <c r="FE389" s="35"/>
      <c r="FF389" s="35"/>
      <c r="FG389" s="35"/>
      <c r="FH389" s="35"/>
      <c r="FI389" s="35"/>
      <c r="FJ389" s="35"/>
      <c r="FK389" s="35"/>
      <c r="FL389" s="35"/>
      <c r="FM389" s="35"/>
      <c r="FN389" s="35"/>
      <c r="FO389" s="35"/>
      <c r="FP389" s="35"/>
      <c r="FQ389" s="35"/>
      <c r="FR389" s="35"/>
      <c r="FS389" s="35"/>
      <c r="FT389" s="35"/>
      <c r="FU389" s="35"/>
      <c r="FV389" s="35"/>
      <c r="FW389" s="35"/>
      <c r="FX389" s="35"/>
      <c r="FY389" s="35"/>
      <c r="FZ389" s="35"/>
      <c r="GA389" s="35"/>
      <c r="GB389" s="35"/>
      <c r="GC389" s="35"/>
      <c r="GD389" s="35"/>
      <c r="GE389" s="35"/>
      <c r="GF389" s="35"/>
      <c r="GG389" s="35"/>
      <c r="GH389" s="35"/>
      <c r="GI389" s="35"/>
      <c r="GJ389" s="35"/>
      <c r="GK389" s="35"/>
      <c r="GL389" s="35"/>
      <c r="GM389" s="35"/>
      <c r="GN389" s="35"/>
      <c r="GO389" s="35"/>
      <c r="GP389" s="35"/>
      <c r="GQ389" s="35"/>
      <c r="GR389" s="35"/>
      <c r="GS389" s="35"/>
      <c r="GT389" s="35"/>
      <c r="GU389" s="35"/>
      <c r="GV389" s="35"/>
      <c r="GW389" s="35"/>
      <c r="GX389" s="35"/>
      <c r="GY389" s="35"/>
      <c r="GZ389" s="35"/>
      <c r="HA389" s="35"/>
      <c r="HB389" s="35"/>
      <c r="HC389" s="35"/>
      <c r="HD389" s="35"/>
      <c r="HE389" s="35"/>
      <c r="HF389" s="35"/>
      <c r="HG389" s="35"/>
      <c r="HH389" s="35"/>
      <c r="HI389" s="35"/>
      <c r="HJ389" s="35"/>
      <c r="HK389" s="35"/>
      <c r="HL389" s="35"/>
      <c r="HM389" s="35"/>
      <c r="HN389" s="35"/>
      <c r="HO389" s="35"/>
      <c r="HP389" s="35"/>
      <c r="HQ389" s="35"/>
      <c r="HR389" s="35"/>
      <c r="HS389" s="35"/>
      <c r="HT389" s="35"/>
      <c r="HU389" s="35"/>
      <c r="HV389" s="35"/>
      <c r="HW389" s="35"/>
      <c r="HX389" s="35"/>
      <c r="HY389" s="35"/>
      <c r="HZ389" s="35"/>
      <c r="IA389" s="35"/>
      <c r="IB389" s="35"/>
      <c r="IC389" s="35"/>
      <c r="ID389" s="35"/>
      <c r="IE389" s="35"/>
      <c r="IF389" s="35"/>
      <c r="IG389" s="35"/>
      <c r="IH389" s="35"/>
      <c r="II389" s="35"/>
      <c r="IJ389" s="35"/>
      <c r="IK389" s="35"/>
      <c r="IL389" s="35"/>
      <c r="IM389" s="35"/>
      <c r="IN389" s="35"/>
      <c r="IO389" s="35"/>
      <c r="IP389" s="35"/>
      <c r="IQ389" s="35"/>
      <c r="IR389" s="35"/>
      <c r="IS389" s="35"/>
      <c r="IT389" s="35"/>
      <c r="IU389" s="35"/>
      <c r="IV389" s="35"/>
      <c r="IW389" s="35"/>
      <c r="IX389" s="35"/>
      <c r="IY389" s="35"/>
      <c r="IZ389" s="35"/>
      <c r="JA389" s="35"/>
      <c r="JB389" s="35"/>
      <c r="JC389" s="35"/>
      <c r="JD389" s="35"/>
      <c r="JE389" s="35"/>
      <c r="JF389" s="35"/>
      <c r="JG389" s="35"/>
      <c r="JH389" s="35"/>
      <c r="JI389" s="35"/>
      <c r="JJ389" s="35"/>
      <c r="JK389" s="35"/>
      <c r="JL389" s="35"/>
      <c r="JM389" s="35"/>
      <c r="JN389" s="35"/>
      <c r="JO389" s="35"/>
      <c r="JP389" s="35"/>
      <c r="JQ389" s="35"/>
      <c r="JR389" s="35"/>
      <c r="JS389" s="35"/>
      <c r="JT389" s="35"/>
      <c r="JU389" s="35"/>
      <c r="JV389" s="35"/>
      <c r="JW389" s="35"/>
      <c r="JX389" s="35"/>
      <c r="JY389" s="35"/>
      <c r="JZ389" s="35"/>
      <c r="KA389" s="35"/>
      <c r="KB389" s="35"/>
      <c r="KC389" s="35"/>
      <c r="KD389" s="35"/>
      <c r="KE389" s="35"/>
      <c r="KF389" s="35"/>
      <c r="KG389" s="35"/>
      <c r="KH389" s="35"/>
      <c r="KI389" s="35"/>
      <c r="KJ389" s="35"/>
      <c r="KK389" s="35"/>
      <c r="KL389" s="35"/>
      <c r="KM389" s="35"/>
      <c r="KN389" s="35"/>
      <c r="KO389" s="35"/>
      <c r="KP389" s="1633"/>
    </row>
    <row r="390" spans="1:302" s="92" customFormat="1" ht="25.25" customHeight="1" outlineLevel="1">
      <c r="A390" s="2668" t="s">
        <v>205</v>
      </c>
      <c r="B390" s="2710" t="s">
        <v>1218</v>
      </c>
      <c r="C390" s="1368" t="s">
        <v>315</v>
      </c>
      <c r="D390" s="1368" t="s">
        <v>316</v>
      </c>
      <c r="E390" s="1382"/>
      <c r="F390" s="1356"/>
      <c r="G390" s="1383"/>
      <c r="H390" s="1384"/>
      <c r="I390" s="1693"/>
      <c r="J390" s="1693"/>
      <c r="K390" s="1695"/>
      <c r="L390" s="1695"/>
      <c r="M390" s="1696"/>
      <c r="N390" s="1695"/>
      <c r="O390" s="1358">
        <f t="shared" si="466"/>
        <v>0</v>
      </c>
      <c r="P390" s="1693"/>
      <c r="Q390" s="1693"/>
      <c r="R390" s="1693"/>
      <c r="S390" s="1693"/>
      <c r="T390" s="1695"/>
      <c r="U390" s="1695"/>
      <c r="V390" s="1695"/>
      <c r="W390" s="1693">
        <f t="shared" si="350"/>
        <v>0</v>
      </c>
      <c r="X390" s="1693"/>
      <c r="Y390" s="1695"/>
      <c r="Z390" s="1695"/>
      <c r="AA390" s="1695"/>
      <c r="AB390" s="1693">
        <f t="shared" si="510"/>
        <v>0</v>
      </c>
      <c r="AC390" s="1357"/>
      <c r="AD390" s="1466"/>
      <c r="AE390" s="1357"/>
      <c r="AF390" s="1358"/>
      <c r="AG390" s="1385"/>
      <c r="AH390" s="1358">
        <f t="shared" si="351"/>
        <v>0</v>
      </c>
      <c r="AI390" s="1386">
        <f t="shared" si="435"/>
        <v>0</v>
      </c>
      <c r="AJ390" s="1387" t="str">
        <f t="shared" si="467"/>
        <v/>
      </c>
      <c r="AK390" s="1387"/>
      <c r="AL390" s="1388"/>
      <c r="AM390" s="2270"/>
      <c r="AN390" s="2270"/>
      <c r="AO390" s="1358"/>
      <c r="AP390" s="1358"/>
      <c r="AQ390" s="1358"/>
      <c r="AR390" s="1358"/>
      <c r="AS390" s="1358"/>
      <c r="AT390" s="2014"/>
      <c r="AU390" s="1358"/>
      <c r="AV390" s="1358"/>
      <c r="AW390" s="1358"/>
      <c r="AX390" s="1358"/>
      <c r="AY390" s="2055"/>
      <c r="AZ390" s="2270"/>
      <c r="BA390" s="2010"/>
      <c r="BB390" s="1358"/>
      <c r="BC390" s="1358"/>
      <c r="BD390" s="1358"/>
      <c r="BE390" s="1358"/>
      <c r="BF390" s="1358"/>
      <c r="BG390" s="1358"/>
      <c r="BH390" s="1358"/>
      <c r="BI390" s="1358"/>
      <c r="BJ390" s="1358"/>
      <c r="BK390" s="2134"/>
      <c r="BL390" s="2010"/>
      <c r="BM390" s="2010"/>
      <c r="BN390" s="2010"/>
      <c r="BO390" s="2010"/>
      <c r="BP390" s="2010"/>
      <c r="BQ390" s="2402"/>
      <c r="BR390" s="1358"/>
      <c r="BS390" s="1358"/>
      <c r="BT390" s="1358"/>
      <c r="BU390" s="1358"/>
      <c r="BV390" s="1358"/>
      <c r="BW390" s="2055"/>
      <c r="BX390" s="2416"/>
      <c r="BY390" s="2551"/>
      <c r="BZ390" s="2551"/>
      <c r="CA390" s="2435">
        <f t="shared" si="525"/>
        <v>0</v>
      </c>
      <c r="CB390" s="2380" t="str">
        <f t="shared" si="526"/>
        <v/>
      </c>
      <c r="CC390" s="365" t="str">
        <f t="shared" si="527"/>
        <v/>
      </c>
      <c r="CD390" s="1380" t="str">
        <f t="shared" si="528"/>
        <v>0,00%</v>
      </c>
      <c r="CE390" s="1381">
        <f t="shared" si="529"/>
        <v>0</v>
      </c>
      <c r="CF390" s="1381"/>
      <c r="CG390" s="501"/>
      <c r="CH390" s="502"/>
      <c r="CI390" s="503"/>
      <c r="CJ390" s="504"/>
      <c r="CK390" s="505"/>
      <c r="CL390" s="329">
        <f t="shared" si="450"/>
        <v>0</v>
      </c>
      <c r="CM390" s="330">
        <f t="shared" si="451"/>
        <v>0</v>
      </c>
      <c r="CN390" s="331">
        <f t="shared" si="517"/>
        <v>0</v>
      </c>
      <c r="CO390" s="86"/>
      <c r="CP390" s="86">
        <f>I390-O390</f>
        <v>0</v>
      </c>
      <c r="CQ390" s="86"/>
      <c r="CR390" s="86"/>
      <c r="CS390" s="86"/>
      <c r="CT390" s="86"/>
      <c r="CU390" s="86"/>
      <c r="CV390" s="86"/>
      <c r="CW390" s="86"/>
      <c r="CX390" s="86"/>
      <c r="CY390" s="86"/>
      <c r="CZ390" s="86"/>
      <c r="DA390" s="86"/>
      <c r="DB390" s="32" t="e">
        <f>#REF!-CA390-AI390</f>
        <v>#REF!</v>
      </c>
      <c r="DC390" s="32" t="e">
        <f>W390-#REF!</f>
        <v>#REF!</v>
      </c>
      <c r="DD390" s="35"/>
      <c r="DE390" s="35"/>
      <c r="DF390" s="35"/>
      <c r="DG390" s="1642" t="e">
        <f>ROUND(#REF!,2)</f>
        <v>#REF!</v>
      </c>
      <c r="DH390" s="1642" t="e">
        <f>ROUND(#REF!,2)</f>
        <v>#REF!</v>
      </c>
      <c r="DI390" s="1642" t="e">
        <f>ROUND(#REF!,2)</f>
        <v>#REF!</v>
      </c>
      <c r="DJ390" s="1642" t="e">
        <f>ROUND(#REF!,2)</f>
        <v>#REF!</v>
      </c>
      <c r="DK390" s="1642" t="e">
        <f>ROUND(#REF!,2)</f>
        <v>#REF!</v>
      </c>
      <c r="DL390" s="1642" t="e">
        <f>ROUND(#REF!,2)</f>
        <v>#REF!</v>
      </c>
      <c r="DM390" s="1642" t="e">
        <f>ROUND(#REF!,2)</f>
        <v>#REF!</v>
      </c>
      <c r="DN390" s="1642" t="e">
        <f>ROUND(#REF!,2)</f>
        <v>#REF!</v>
      </c>
      <c r="DO390" s="1642" t="e">
        <f>ROUND(#REF!,2)</f>
        <v>#REF!</v>
      </c>
      <c r="DP390" s="1642">
        <f t="shared" ref="DP390:EA390" si="530">ROUND(AN390,2)</f>
        <v>0</v>
      </c>
      <c r="DQ390" s="1642">
        <f t="shared" si="530"/>
        <v>0</v>
      </c>
      <c r="DR390" s="1642">
        <f t="shared" si="530"/>
        <v>0</v>
      </c>
      <c r="DS390" s="1642">
        <f t="shared" si="530"/>
        <v>0</v>
      </c>
      <c r="DT390" s="1642">
        <f t="shared" si="530"/>
        <v>0</v>
      </c>
      <c r="DU390" s="1642">
        <f t="shared" si="530"/>
        <v>0</v>
      </c>
      <c r="DV390" s="1642">
        <f t="shared" si="530"/>
        <v>0</v>
      </c>
      <c r="DW390" s="1642">
        <f t="shared" si="530"/>
        <v>0</v>
      </c>
      <c r="DX390" s="1642">
        <f t="shared" si="530"/>
        <v>0</v>
      </c>
      <c r="DY390" s="1642">
        <f t="shared" si="530"/>
        <v>0</v>
      </c>
      <c r="DZ390" s="1642">
        <f t="shared" si="530"/>
        <v>0</v>
      </c>
      <c r="EA390" s="1642">
        <f t="shared" si="530"/>
        <v>0</v>
      </c>
      <c r="EB390" s="1642" t="e">
        <f>ROUND(#REF!,2)</f>
        <v>#REF!</v>
      </c>
      <c r="EC390" s="1642" t="e">
        <f>ROUND(#REF!,2)</f>
        <v>#REF!</v>
      </c>
      <c r="ED390" s="1642" t="e">
        <f>ROUND(#REF!,2)</f>
        <v>#REF!</v>
      </c>
      <c r="EE390" s="1642" t="e">
        <f>ROUND(#REF!,2)</f>
        <v>#REF!</v>
      </c>
      <c r="EF390" s="1642" t="e">
        <f>ROUND(#REF!,2)</f>
        <v>#REF!</v>
      </c>
      <c r="EG390" s="1642" t="e">
        <f>ROUND(#REF!,2)</f>
        <v>#REF!</v>
      </c>
      <c r="EH390" s="35"/>
      <c r="EI390" s="1658"/>
      <c r="EJ390" s="35"/>
      <c r="EK390" s="35"/>
      <c r="EL390" s="35"/>
      <c r="EM390" s="35"/>
      <c r="EN390" s="35"/>
      <c r="EO390" s="35"/>
      <c r="EP390" s="35"/>
      <c r="EQ390" s="35"/>
      <c r="ER390" s="35"/>
      <c r="ES390" s="35"/>
      <c r="ET390" s="35"/>
      <c r="EU390" s="35"/>
      <c r="EV390" s="35"/>
      <c r="EW390" s="35"/>
      <c r="EX390" s="35"/>
      <c r="EY390" s="35"/>
      <c r="EZ390" s="35"/>
      <c r="FA390" s="35"/>
      <c r="FB390" s="35"/>
      <c r="FC390" s="35"/>
      <c r="FD390" s="35"/>
      <c r="FE390" s="35"/>
      <c r="FF390" s="35"/>
      <c r="FG390" s="35"/>
      <c r="FH390" s="35"/>
      <c r="FI390" s="35"/>
      <c r="FJ390" s="35"/>
      <c r="FK390" s="35"/>
      <c r="FL390" s="35"/>
      <c r="FM390" s="35"/>
      <c r="FN390" s="35"/>
      <c r="FO390" s="35"/>
      <c r="FP390" s="35"/>
      <c r="FQ390" s="35"/>
      <c r="FR390" s="35"/>
      <c r="FS390" s="35"/>
      <c r="FT390" s="35"/>
      <c r="FU390" s="35"/>
      <c r="FV390" s="35"/>
      <c r="FW390" s="35"/>
      <c r="FX390" s="35"/>
      <c r="FY390" s="35"/>
      <c r="FZ390" s="35"/>
      <c r="GA390" s="35"/>
      <c r="GB390" s="35"/>
      <c r="GC390" s="35"/>
      <c r="GD390" s="35"/>
      <c r="GE390" s="35"/>
      <c r="GF390" s="35"/>
      <c r="GG390" s="35"/>
      <c r="GH390" s="35"/>
      <c r="GI390" s="35"/>
      <c r="GJ390" s="35"/>
      <c r="GK390" s="35"/>
      <c r="GL390" s="35"/>
      <c r="GM390" s="35"/>
      <c r="GN390" s="35"/>
      <c r="GO390" s="35"/>
      <c r="GP390" s="35"/>
      <c r="GQ390" s="35"/>
      <c r="GR390" s="35"/>
      <c r="GS390" s="35"/>
      <c r="GT390" s="35"/>
      <c r="GU390" s="35"/>
      <c r="GV390" s="35"/>
      <c r="GW390" s="35"/>
      <c r="GX390" s="35"/>
      <c r="GY390" s="35"/>
      <c r="GZ390" s="35"/>
      <c r="HA390" s="35"/>
      <c r="HB390" s="35"/>
      <c r="HC390" s="35"/>
      <c r="HD390" s="35"/>
      <c r="HE390" s="35"/>
      <c r="HF390" s="35"/>
      <c r="HG390" s="35"/>
      <c r="HH390" s="35"/>
      <c r="HI390" s="35"/>
      <c r="HJ390" s="35"/>
      <c r="HK390" s="35"/>
      <c r="HL390" s="35"/>
      <c r="HM390" s="35"/>
      <c r="HN390" s="35"/>
      <c r="HO390" s="35"/>
      <c r="HP390" s="35"/>
      <c r="HQ390" s="35"/>
      <c r="HR390" s="35"/>
      <c r="HS390" s="35"/>
      <c r="HT390" s="35"/>
      <c r="HU390" s="35"/>
      <c r="HV390" s="35"/>
      <c r="HW390" s="35"/>
      <c r="HX390" s="35"/>
      <c r="HY390" s="35"/>
      <c r="HZ390" s="35"/>
      <c r="IA390" s="35"/>
      <c r="IB390" s="35"/>
      <c r="IC390" s="35"/>
      <c r="ID390" s="35"/>
      <c r="IE390" s="35"/>
      <c r="IF390" s="35"/>
      <c r="IG390" s="35"/>
      <c r="IH390" s="35"/>
      <c r="II390" s="35"/>
      <c r="IJ390" s="35"/>
      <c r="IK390" s="35"/>
      <c r="IL390" s="35"/>
      <c r="IM390" s="35"/>
      <c r="IN390" s="35"/>
      <c r="IO390" s="35"/>
      <c r="IP390" s="35"/>
      <c r="IQ390" s="35"/>
      <c r="IR390" s="35"/>
      <c r="IS390" s="35"/>
      <c r="IT390" s="35"/>
      <c r="IU390" s="35"/>
      <c r="IV390" s="35"/>
      <c r="IW390" s="35"/>
      <c r="IX390" s="35"/>
      <c r="IY390" s="35"/>
      <c r="IZ390" s="35"/>
      <c r="JA390" s="35"/>
      <c r="JB390" s="35"/>
      <c r="JC390" s="35"/>
      <c r="JD390" s="35"/>
      <c r="JE390" s="35"/>
      <c r="JF390" s="35"/>
      <c r="JG390" s="35"/>
      <c r="JH390" s="35"/>
      <c r="JI390" s="35"/>
      <c r="JJ390" s="35"/>
      <c r="JK390" s="35"/>
      <c r="JL390" s="35"/>
      <c r="JM390" s="35"/>
      <c r="JN390" s="35"/>
      <c r="JO390" s="35"/>
      <c r="JP390" s="35"/>
      <c r="JQ390" s="35"/>
      <c r="JR390" s="35"/>
      <c r="JS390" s="35"/>
      <c r="JT390" s="35"/>
      <c r="JU390" s="35"/>
      <c r="JV390" s="35"/>
      <c r="JW390" s="35"/>
      <c r="JX390" s="35"/>
      <c r="JY390" s="35"/>
      <c r="JZ390" s="35"/>
      <c r="KA390" s="35"/>
      <c r="KB390" s="35"/>
      <c r="KC390" s="35"/>
      <c r="KD390" s="35"/>
      <c r="KE390" s="35"/>
      <c r="KF390" s="35"/>
      <c r="KG390" s="35"/>
      <c r="KH390" s="35"/>
      <c r="KI390" s="35"/>
      <c r="KJ390" s="35"/>
      <c r="KK390" s="35"/>
      <c r="KL390" s="35"/>
      <c r="KM390" s="35"/>
      <c r="KN390" s="35"/>
      <c r="KO390" s="35"/>
      <c r="KP390" s="1633"/>
    </row>
    <row r="391" spans="1:302" s="92" customFormat="1" ht="24.75" customHeight="1" outlineLevel="1">
      <c r="A391" s="1676" t="s">
        <v>147</v>
      </c>
      <c r="B391" s="1993" t="s">
        <v>1179</v>
      </c>
      <c r="C391" s="1673" t="s">
        <v>182</v>
      </c>
      <c r="D391" s="1359" t="s">
        <v>298</v>
      </c>
      <c r="E391" s="1389"/>
      <c r="F391" s="506"/>
      <c r="G391" s="1390"/>
      <c r="H391" s="1391"/>
      <c r="I391" s="2573">
        <v>50000</v>
      </c>
      <c r="J391" s="1672"/>
      <c r="K391" s="1697"/>
      <c r="L391" s="1697"/>
      <c r="M391" s="1698">
        <v>50000</v>
      </c>
      <c r="N391" s="1697">
        <v>1</v>
      </c>
      <c r="O391" s="1397">
        <f>I391</f>
        <v>50000</v>
      </c>
      <c r="P391" s="1671"/>
      <c r="Q391" s="1671"/>
      <c r="R391" s="1671"/>
      <c r="S391" s="1672"/>
      <c r="T391" s="1699"/>
      <c r="U391" s="1700"/>
      <c r="V391" s="1700"/>
      <c r="W391" s="1672">
        <f>O391+S391</f>
        <v>50000</v>
      </c>
      <c r="X391" s="1672"/>
      <c r="Y391" s="1699"/>
      <c r="Z391" s="1700"/>
      <c r="AA391" s="1699"/>
      <c r="AB391" s="1672">
        <f>SUM(AM391:BZ391)</f>
        <v>50000</v>
      </c>
      <c r="AC391" s="1420"/>
      <c r="AD391" s="1468"/>
      <c r="AE391" s="511"/>
      <c r="AF391" s="511"/>
      <c r="AG391" s="511">
        <v>1</v>
      </c>
      <c r="AH391" s="1397">
        <f t="shared" si="351"/>
        <v>0</v>
      </c>
      <c r="AI391" s="355">
        <f t="shared" si="435"/>
        <v>0</v>
      </c>
      <c r="AJ391" s="351">
        <f t="shared" si="467"/>
        <v>0</v>
      </c>
      <c r="AK391" s="351"/>
      <c r="AL391" s="1398"/>
      <c r="AM391" s="2274"/>
      <c r="AN391" s="2274"/>
      <c r="AO391" s="1706"/>
      <c r="AP391" s="1706"/>
      <c r="AQ391" s="1706"/>
      <c r="AR391" s="1706"/>
      <c r="AS391" s="1706"/>
      <c r="AT391" s="2017"/>
      <c r="AU391" s="1922"/>
      <c r="AV391" s="1922"/>
      <c r="AW391" s="1922"/>
      <c r="AX391" s="497"/>
      <c r="AY391" s="2060"/>
      <c r="AZ391" s="2273"/>
      <c r="BA391" s="2011"/>
      <c r="BB391" s="497"/>
      <c r="BC391" s="1922"/>
      <c r="BD391" s="497"/>
      <c r="BE391" s="497"/>
      <c r="BF391" s="497"/>
      <c r="BG391" s="497"/>
      <c r="BH391" s="497"/>
      <c r="BI391" s="497"/>
      <c r="BJ391" s="497"/>
      <c r="BK391" s="2137"/>
      <c r="BL391" s="2011"/>
      <c r="BM391" s="2011"/>
      <c r="BN391" s="2011"/>
      <c r="BO391" s="2011"/>
      <c r="BP391" s="2011"/>
      <c r="BQ391" s="2403"/>
      <c r="BR391" s="497"/>
      <c r="BS391" s="497"/>
      <c r="BT391" s="497"/>
      <c r="BU391" s="497"/>
      <c r="BV391" s="497"/>
      <c r="BW391" s="2417">
        <v>50000</v>
      </c>
      <c r="BX391" s="2417"/>
      <c r="BY391" s="2549"/>
      <c r="BZ391" s="2549"/>
      <c r="CA391" s="2435">
        <f t="shared" si="525"/>
        <v>50000</v>
      </c>
      <c r="CB391" s="2380">
        <f t="shared" si="526"/>
        <v>1</v>
      </c>
      <c r="CC391" s="365">
        <f t="shared" si="527"/>
        <v>2.0000000000000002E-5</v>
      </c>
      <c r="CD391" s="1380">
        <f t="shared" si="528"/>
        <v>0</v>
      </c>
      <c r="CE391" s="1381">
        <f t="shared" si="529"/>
        <v>0</v>
      </c>
      <c r="CF391" s="1381"/>
      <c r="CG391" s="501"/>
      <c r="CH391" s="502"/>
      <c r="CI391" s="503"/>
      <c r="CJ391" s="504"/>
      <c r="CK391" s="505"/>
      <c r="CL391" s="329">
        <f t="shared" si="450"/>
        <v>0</v>
      </c>
      <c r="CM391" s="330">
        <f t="shared" si="451"/>
        <v>0</v>
      </c>
      <c r="CN391" s="331">
        <f t="shared" si="517"/>
        <v>-50000</v>
      </c>
      <c r="CO391" s="86"/>
      <c r="CP391" s="86">
        <f>I391-O391</f>
        <v>0</v>
      </c>
      <c r="CQ391" s="86"/>
      <c r="CR391" s="86"/>
      <c r="CS391" s="86"/>
      <c r="CT391" s="86"/>
      <c r="CU391" s="86"/>
      <c r="CV391" s="86"/>
      <c r="CW391" s="86"/>
      <c r="CX391" s="86"/>
      <c r="CY391" s="86"/>
      <c r="CZ391" s="86"/>
      <c r="DA391" s="86"/>
      <c r="DB391" s="32" t="e">
        <f>#REF!-CA391-AI391</f>
        <v>#REF!</v>
      </c>
      <c r="DC391" s="32" t="e">
        <f>W391-#REF!</f>
        <v>#REF!</v>
      </c>
      <c r="DD391" s="1660"/>
      <c r="DE391" s="35"/>
      <c r="DF391" s="35"/>
      <c r="DG391" s="1642" t="e">
        <f>ROUND(#REF!,2)</f>
        <v>#REF!</v>
      </c>
      <c r="DH391" s="1642" t="e">
        <f>ROUND(#REF!,2)</f>
        <v>#REF!</v>
      </c>
      <c r="DI391" s="1642" t="e">
        <f>ROUND(#REF!,2)</f>
        <v>#REF!</v>
      </c>
      <c r="DJ391" s="1642" t="e">
        <f>ROUND(#REF!,2)</f>
        <v>#REF!</v>
      </c>
      <c r="DK391" s="1642" t="e">
        <f>ROUND(#REF!,2)</f>
        <v>#REF!</v>
      </c>
      <c r="DL391" s="1642" t="e">
        <f>ROUND(#REF!,2)</f>
        <v>#REF!</v>
      </c>
      <c r="DM391" s="1642" t="e">
        <f>ROUND(#REF!,2)</f>
        <v>#REF!</v>
      </c>
      <c r="DN391" s="1642" t="e">
        <f>ROUND(#REF!,2)</f>
        <v>#REF!</v>
      </c>
      <c r="DO391" s="1642" t="e">
        <f>ROUND(#REF!,2)</f>
        <v>#REF!</v>
      </c>
      <c r="DP391" s="1642">
        <f>ROUND(AN392,2)</f>
        <v>0</v>
      </c>
      <c r="DQ391" s="1642" t="e">
        <f>ROUND(#REF!,2)</f>
        <v>#REF!</v>
      </c>
      <c r="DR391" s="1642" t="e">
        <f>ROUND(#REF!,2)</f>
        <v>#REF!</v>
      </c>
      <c r="DS391" s="1642" t="e">
        <f>ROUND(#REF!,2)</f>
        <v>#REF!</v>
      </c>
      <c r="DT391" s="1642" t="e">
        <f>ROUND(#REF!,2)</f>
        <v>#REF!</v>
      </c>
      <c r="DU391" s="1642">
        <f>ROUND(AX391,2)</f>
        <v>0</v>
      </c>
      <c r="DV391" s="1642">
        <f>ROUND(AY391,2)</f>
        <v>0</v>
      </c>
      <c r="DW391" s="1642" t="e">
        <f>ROUND(#REF!,2)</f>
        <v>#REF!</v>
      </c>
      <c r="DX391" s="1642" t="e">
        <f>ROUND(#REF!,2)</f>
        <v>#REF!</v>
      </c>
      <c r="DY391" s="1642" t="e">
        <f>ROUND(#REF!,2)</f>
        <v>#REF!</v>
      </c>
      <c r="DZ391" s="1642" t="e">
        <f>ROUND(#REF!,2)</f>
        <v>#REF!</v>
      </c>
      <c r="EA391" s="1642" t="e">
        <f>ROUND(#REF!,2)</f>
        <v>#REF!</v>
      </c>
      <c r="EB391" s="1642" t="e">
        <f>ROUND(#REF!,2)</f>
        <v>#REF!</v>
      </c>
      <c r="EC391" s="1642" t="e">
        <f>ROUND(#REF!,2)</f>
        <v>#REF!</v>
      </c>
      <c r="ED391" s="1642" t="e">
        <f>ROUND(#REF!,2)</f>
        <v>#REF!</v>
      </c>
      <c r="EE391" s="1642" t="e">
        <f>ROUND(#REF!,2)</f>
        <v>#REF!</v>
      </c>
      <c r="EF391" s="1642" t="e">
        <f>ROUND(#REF!,2)</f>
        <v>#REF!</v>
      </c>
      <c r="EG391" s="1642" t="e">
        <f>ROUND(#REF!,2)</f>
        <v>#REF!</v>
      </c>
      <c r="EH391" s="35"/>
      <c r="EI391" s="1658"/>
      <c r="EJ391" s="35"/>
      <c r="EK391" s="35"/>
      <c r="EL391" s="35"/>
      <c r="EM391" s="35"/>
      <c r="EN391" s="35"/>
      <c r="EO391" s="35"/>
      <c r="EP391" s="35"/>
      <c r="EQ391" s="35"/>
      <c r="ER391" s="35"/>
      <c r="ES391" s="35"/>
      <c r="ET391" s="35"/>
      <c r="EU391" s="35"/>
      <c r="EV391" s="35"/>
      <c r="EW391" s="35"/>
      <c r="EX391" s="35"/>
      <c r="EY391" s="35"/>
      <c r="EZ391" s="35"/>
      <c r="FA391" s="35"/>
      <c r="FB391" s="35"/>
      <c r="FC391" s="35"/>
      <c r="FD391" s="35"/>
      <c r="FE391" s="35"/>
      <c r="FF391" s="35"/>
      <c r="FG391" s="35"/>
      <c r="FH391" s="35"/>
      <c r="FI391" s="35"/>
      <c r="FJ391" s="35"/>
      <c r="FK391" s="35"/>
      <c r="FL391" s="35"/>
      <c r="FM391" s="35"/>
      <c r="FN391" s="35"/>
      <c r="FO391" s="35"/>
      <c r="FP391" s="35"/>
      <c r="FQ391" s="35"/>
      <c r="FR391" s="35"/>
      <c r="FS391" s="35"/>
      <c r="FT391" s="35"/>
      <c r="FU391" s="35"/>
      <c r="FV391" s="35"/>
      <c r="FW391" s="35"/>
      <c r="FX391" s="35"/>
      <c r="FY391" s="35"/>
      <c r="FZ391" s="35"/>
      <c r="GA391" s="35"/>
      <c r="GB391" s="35"/>
      <c r="GC391" s="35"/>
      <c r="GD391" s="35"/>
      <c r="GE391" s="35"/>
      <c r="GF391" s="35"/>
      <c r="GG391" s="35"/>
      <c r="GH391" s="35"/>
      <c r="GI391" s="35"/>
      <c r="GJ391" s="35"/>
      <c r="GK391" s="35"/>
      <c r="GL391" s="35"/>
      <c r="GM391" s="35"/>
      <c r="GN391" s="35"/>
      <c r="GO391" s="35"/>
      <c r="GP391" s="35"/>
      <c r="GQ391" s="35"/>
      <c r="GR391" s="35"/>
      <c r="GS391" s="35"/>
      <c r="GT391" s="35"/>
      <c r="GU391" s="35"/>
      <c r="GV391" s="35"/>
      <c r="GW391" s="35"/>
      <c r="GX391" s="35"/>
      <c r="GY391" s="35"/>
      <c r="GZ391" s="35"/>
      <c r="HA391" s="35"/>
      <c r="HB391" s="35"/>
      <c r="HC391" s="35"/>
      <c r="HD391" s="35"/>
      <c r="HE391" s="35"/>
      <c r="HF391" s="35"/>
      <c r="HG391" s="35"/>
      <c r="HH391" s="35"/>
      <c r="HI391" s="35"/>
      <c r="HJ391" s="35"/>
      <c r="HK391" s="35"/>
      <c r="HL391" s="35"/>
      <c r="HM391" s="35"/>
      <c r="HN391" s="35"/>
      <c r="HO391" s="35"/>
      <c r="HP391" s="35"/>
      <c r="HQ391" s="35"/>
      <c r="HR391" s="35"/>
      <c r="HS391" s="35"/>
      <c r="HT391" s="35"/>
      <c r="HU391" s="35"/>
      <c r="HV391" s="35"/>
      <c r="HW391" s="35"/>
      <c r="HX391" s="35"/>
      <c r="HY391" s="35"/>
      <c r="HZ391" s="35"/>
      <c r="IA391" s="35"/>
      <c r="IB391" s="35"/>
      <c r="IC391" s="35"/>
      <c r="ID391" s="35"/>
      <c r="IE391" s="35"/>
      <c r="IF391" s="35"/>
      <c r="IG391" s="35"/>
      <c r="IH391" s="35"/>
      <c r="II391" s="35"/>
      <c r="IJ391" s="35"/>
      <c r="IK391" s="35"/>
      <c r="IL391" s="35"/>
      <c r="IM391" s="35"/>
      <c r="IN391" s="35"/>
      <c r="IO391" s="35"/>
      <c r="IP391" s="35"/>
      <c r="IQ391" s="35"/>
      <c r="IR391" s="35"/>
      <c r="IS391" s="35"/>
      <c r="IT391" s="35"/>
      <c r="IU391" s="35"/>
      <c r="IV391" s="35"/>
      <c r="IW391" s="35"/>
      <c r="IX391" s="35"/>
      <c r="IY391" s="35"/>
      <c r="IZ391" s="35"/>
      <c r="JA391" s="35"/>
      <c r="JB391" s="35"/>
      <c r="JC391" s="35"/>
      <c r="JD391" s="35"/>
      <c r="JE391" s="35"/>
      <c r="JF391" s="35"/>
      <c r="JG391" s="35"/>
      <c r="JH391" s="35"/>
      <c r="JI391" s="35"/>
      <c r="JJ391" s="35"/>
      <c r="JK391" s="35"/>
      <c r="JL391" s="35"/>
      <c r="JM391" s="35"/>
      <c r="JN391" s="35"/>
      <c r="JO391" s="35"/>
      <c r="JP391" s="35"/>
      <c r="JQ391" s="35"/>
      <c r="JR391" s="35"/>
      <c r="JS391" s="35"/>
      <c r="JT391" s="35"/>
      <c r="JU391" s="35"/>
      <c r="JV391" s="35"/>
      <c r="JW391" s="35"/>
      <c r="JX391" s="35"/>
      <c r="JY391" s="35"/>
      <c r="JZ391" s="35"/>
      <c r="KA391" s="35"/>
      <c r="KB391" s="35"/>
      <c r="KC391" s="35"/>
      <c r="KD391" s="35"/>
      <c r="KE391" s="35"/>
      <c r="KF391" s="35"/>
      <c r="KG391" s="35"/>
      <c r="KH391" s="35"/>
      <c r="KI391" s="35"/>
      <c r="KJ391" s="35"/>
      <c r="KK391" s="35"/>
      <c r="KL391" s="35"/>
      <c r="KM391" s="35"/>
      <c r="KN391" s="35"/>
      <c r="KO391" s="35"/>
      <c r="KP391" s="1633"/>
    </row>
    <row r="392" spans="1:302" s="92" customFormat="1" ht="25.25" customHeight="1" outlineLevel="1">
      <c r="A392" s="1676" t="s">
        <v>169</v>
      </c>
      <c r="B392" s="1993" t="s">
        <v>1180</v>
      </c>
      <c r="C392" s="1673" t="s">
        <v>514</v>
      </c>
      <c r="D392" s="1359" t="s">
        <v>566</v>
      </c>
      <c r="E392" s="1389"/>
      <c r="F392" s="506"/>
      <c r="G392" s="1390"/>
      <c r="H392" s="1391"/>
      <c r="I392" s="2573">
        <v>20000</v>
      </c>
      <c r="J392" s="1672"/>
      <c r="K392" s="1697"/>
      <c r="L392" s="1697"/>
      <c r="M392" s="1698">
        <v>20000</v>
      </c>
      <c r="N392" s="1697">
        <v>1</v>
      </c>
      <c r="O392" s="1397">
        <f t="shared" ref="O392:O404" si="531">I392</f>
        <v>20000</v>
      </c>
      <c r="P392" s="1671"/>
      <c r="Q392" s="1671"/>
      <c r="R392" s="1671"/>
      <c r="S392" s="1672"/>
      <c r="T392" s="1699"/>
      <c r="U392" s="1700"/>
      <c r="V392" s="1700"/>
      <c r="W392" s="1672">
        <f t="shared" ref="W392:W404" si="532">O392+S392</f>
        <v>20000</v>
      </c>
      <c r="X392" s="1672"/>
      <c r="Y392" s="1699"/>
      <c r="Z392" s="1700"/>
      <c r="AA392" s="1699"/>
      <c r="AB392" s="2727">
        <f t="shared" ref="AB392:AB404" si="533">SUM(AM392:BZ392)</f>
        <v>1583.75</v>
      </c>
      <c r="AC392" s="516"/>
      <c r="AD392" s="1467"/>
      <c r="AE392" s="510"/>
      <c r="AF392" s="497"/>
      <c r="AG392" s="511">
        <v>1</v>
      </c>
      <c r="AH392" s="1397">
        <f>+AF392*AG392</f>
        <v>0</v>
      </c>
      <c r="AI392" s="355">
        <f t="shared" si="435"/>
        <v>0</v>
      </c>
      <c r="AJ392" s="351">
        <f t="shared" si="467"/>
        <v>0</v>
      </c>
      <c r="AK392" s="351"/>
      <c r="AL392" s="1398"/>
      <c r="AM392" s="2273"/>
      <c r="AN392" s="2273"/>
      <c r="AO392" s="497"/>
      <c r="AP392" s="497"/>
      <c r="AQ392" s="497"/>
      <c r="AR392" s="497"/>
      <c r="AS392" s="497"/>
      <c r="AT392" s="2017"/>
      <c r="AU392" s="1922"/>
      <c r="AV392" s="497">
        <v>1583.75</v>
      </c>
      <c r="AW392" s="497"/>
      <c r="AX392" s="497"/>
      <c r="AY392" s="2060"/>
      <c r="AZ392" s="2273"/>
      <c r="BA392" s="2011"/>
      <c r="BB392" s="497"/>
      <c r="BC392" s="497"/>
      <c r="BD392" s="497"/>
      <c r="BE392" s="497"/>
      <c r="BF392" s="497"/>
      <c r="BG392" s="497"/>
      <c r="BH392" s="497"/>
      <c r="BI392" s="497"/>
      <c r="BJ392" s="497"/>
      <c r="BK392" s="2137"/>
      <c r="BL392" s="2011"/>
      <c r="BM392" s="2011"/>
      <c r="BN392" s="2011"/>
      <c r="BO392" s="2011"/>
      <c r="BP392" s="2011"/>
      <c r="BQ392" s="2403"/>
      <c r="BR392" s="497"/>
      <c r="BS392" s="497"/>
      <c r="BT392" s="497"/>
      <c r="BU392" s="497"/>
      <c r="BV392" s="497"/>
      <c r="BW392" s="2060"/>
      <c r="BX392" s="2417"/>
      <c r="BY392" s="2549"/>
      <c r="BZ392" s="2549"/>
      <c r="CA392" s="2435">
        <f t="shared" si="525"/>
        <v>1583.75</v>
      </c>
      <c r="CB392" s="2380">
        <f t="shared" si="526"/>
        <v>1</v>
      </c>
      <c r="CC392" s="365">
        <f t="shared" si="527"/>
        <v>6.3141278610891866E-4</v>
      </c>
      <c r="CD392" s="1380">
        <f t="shared" si="528"/>
        <v>0.92081250000000003</v>
      </c>
      <c r="CE392" s="1381">
        <f t="shared" si="529"/>
        <v>18416.25</v>
      </c>
      <c r="CF392" s="1381"/>
      <c r="CG392" s="501"/>
      <c r="CH392" s="502"/>
      <c r="CI392" s="503"/>
      <c r="CJ392" s="504"/>
      <c r="CK392" s="505"/>
      <c r="CL392" s="329">
        <f t="shared" si="450"/>
        <v>18416.25</v>
      </c>
      <c r="CM392" s="330">
        <f t="shared" si="451"/>
        <v>0</v>
      </c>
      <c r="CN392" s="331">
        <f t="shared" si="517"/>
        <v>0</v>
      </c>
      <c r="CO392" s="86"/>
      <c r="CP392" s="86"/>
      <c r="CQ392" s="86"/>
      <c r="CR392" s="86"/>
      <c r="CS392" s="86"/>
      <c r="CT392" s="86"/>
      <c r="CU392" s="86"/>
      <c r="CV392" s="86"/>
      <c r="CW392" s="86"/>
      <c r="CX392" s="86"/>
      <c r="CY392" s="86"/>
      <c r="CZ392" s="86"/>
      <c r="DA392" s="86"/>
      <c r="DB392" s="32"/>
      <c r="DC392" s="32"/>
      <c r="DD392" s="1660"/>
      <c r="DE392" s="35"/>
      <c r="DF392" s="35"/>
      <c r="DG392" s="1642"/>
      <c r="DH392" s="1642"/>
      <c r="DI392" s="1642"/>
      <c r="DJ392" s="1642"/>
      <c r="DK392" s="1642"/>
      <c r="DL392" s="1642"/>
      <c r="DM392" s="1642"/>
      <c r="DN392" s="1642"/>
      <c r="DO392" s="1642"/>
      <c r="DP392" s="1642"/>
      <c r="DQ392" s="1642"/>
      <c r="DR392" s="1642"/>
      <c r="DS392" s="1642"/>
      <c r="DT392" s="1642"/>
      <c r="DU392" s="1642"/>
      <c r="DV392" s="1642"/>
      <c r="DW392" s="1642"/>
      <c r="DX392" s="1642"/>
      <c r="DY392" s="1642"/>
      <c r="DZ392" s="1642"/>
      <c r="EA392" s="1642"/>
      <c r="EB392" s="1642"/>
      <c r="EC392" s="1642"/>
      <c r="ED392" s="1642"/>
      <c r="EE392" s="1642"/>
      <c r="EF392" s="1642"/>
      <c r="EG392" s="1642"/>
      <c r="EH392" s="35"/>
      <c r="EI392" s="1658"/>
      <c r="EJ392" s="35"/>
      <c r="EK392" s="35"/>
      <c r="EL392" s="35"/>
      <c r="EM392" s="35"/>
      <c r="EN392" s="35"/>
      <c r="EO392" s="35"/>
      <c r="EP392" s="35"/>
      <c r="EQ392" s="35"/>
      <c r="ER392" s="35"/>
      <c r="ES392" s="35"/>
      <c r="ET392" s="35"/>
      <c r="EU392" s="35"/>
      <c r="EV392" s="35"/>
      <c r="EW392" s="35"/>
      <c r="EX392" s="35"/>
      <c r="EY392" s="35"/>
      <c r="EZ392" s="35"/>
      <c r="FA392" s="35"/>
      <c r="FB392" s="35"/>
      <c r="FC392" s="35"/>
      <c r="FD392" s="35"/>
      <c r="FE392" s="35"/>
      <c r="FF392" s="35"/>
      <c r="FG392" s="35"/>
      <c r="FH392" s="35"/>
      <c r="FI392" s="35"/>
      <c r="FJ392" s="35"/>
      <c r="FK392" s="35"/>
      <c r="FL392" s="35"/>
      <c r="FM392" s="35"/>
      <c r="FN392" s="35"/>
      <c r="FO392" s="35"/>
      <c r="FP392" s="35"/>
      <c r="FQ392" s="35"/>
      <c r="FR392" s="35"/>
      <c r="FS392" s="35"/>
      <c r="FT392" s="35"/>
      <c r="FU392" s="35"/>
      <c r="FV392" s="35"/>
      <c r="FW392" s="35"/>
      <c r="FX392" s="35"/>
      <c r="FY392" s="35"/>
      <c r="FZ392" s="35"/>
      <c r="GA392" s="35"/>
      <c r="GB392" s="35"/>
      <c r="GC392" s="35"/>
      <c r="GD392" s="35"/>
      <c r="GE392" s="35"/>
      <c r="GF392" s="35"/>
      <c r="GG392" s="35"/>
      <c r="GH392" s="35"/>
      <c r="GI392" s="35"/>
      <c r="GJ392" s="35"/>
      <c r="GK392" s="35"/>
      <c r="GL392" s="35"/>
      <c r="GM392" s="35"/>
      <c r="GN392" s="35"/>
      <c r="GO392" s="35"/>
      <c r="GP392" s="35"/>
      <c r="GQ392" s="35"/>
      <c r="GR392" s="35"/>
      <c r="GS392" s="35"/>
      <c r="GT392" s="35"/>
      <c r="GU392" s="35"/>
      <c r="GV392" s="35"/>
      <c r="GW392" s="35"/>
      <c r="GX392" s="35"/>
      <c r="GY392" s="35"/>
      <c r="GZ392" s="35"/>
      <c r="HA392" s="35"/>
      <c r="HB392" s="35"/>
      <c r="HC392" s="35"/>
      <c r="HD392" s="35"/>
      <c r="HE392" s="35"/>
      <c r="HF392" s="35"/>
      <c r="HG392" s="35"/>
      <c r="HH392" s="35"/>
      <c r="HI392" s="35"/>
      <c r="HJ392" s="35"/>
      <c r="HK392" s="35"/>
      <c r="HL392" s="35"/>
      <c r="HM392" s="35"/>
      <c r="HN392" s="35"/>
      <c r="HO392" s="35"/>
      <c r="HP392" s="35"/>
      <c r="HQ392" s="35"/>
      <c r="HR392" s="35"/>
      <c r="HS392" s="35"/>
      <c r="HT392" s="35"/>
      <c r="HU392" s="35"/>
      <c r="HV392" s="35"/>
      <c r="HW392" s="35"/>
      <c r="HX392" s="35"/>
      <c r="HY392" s="35"/>
      <c r="HZ392" s="35"/>
      <c r="IA392" s="35"/>
      <c r="IB392" s="35"/>
      <c r="IC392" s="35"/>
      <c r="ID392" s="35"/>
      <c r="IE392" s="35"/>
      <c r="IF392" s="35"/>
      <c r="IG392" s="35"/>
      <c r="IH392" s="35"/>
      <c r="II392" s="35"/>
      <c r="IJ392" s="35"/>
      <c r="IK392" s="35"/>
      <c r="IL392" s="35"/>
      <c r="IM392" s="35"/>
      <c r="IN392" s="35"/>
      <c r="IO392" s="35"/>
      <c r="IP392" s="35"/>
      <c r="IQ392" s="35"/>
      <c r="IR392" s="35"/>
      <c r="IS392" s="35"/>
      <c r="IT392" s="35"/>
      <c r="IU392" s="35"/>
      <c r="IV392" s="35"/>
      <c r="IW392" s="35"/>
      <c r="IX392" s="35"/>
      <c r="IY392" s="35"/>
      <c r="IZ392" s="35"/>
      <c r="JA392" s="35"/>
      <c r="JB392" s="35"/>
      <c r="JC392" s="35"/>
      <c r="JD392" s="35"/>
      <c r="JE392" s="35"/>
      <c r="JF392" s="35"/>
      <c r="JG392" s="35"/>
      <c r="JH392" s="35"/>
      <c r="JI392" s="35"/>
      <c r="JJ392" s="35"/>
      <c r="JK392" s="35"/>
      <c r="JL392" s="35"/>
      <c r="JM392" s="35"/>
      <c r="JN392" s="35"/>
      <c r="JO392" s="35"/>
      <c r="JP392" s="35"/>
      <c r="JQ392" s="35"/>
      <c r="JR392" s="35"/>
      <c r="JS392" s="35"/>
      <c r="JT392" s="35"/>
      <c r="JU392" s="35"/>
      <c r="JV392" s="35"/>
      <c r="JW392" s="35"/>
      <c r="JX392" s="35"/>
      <c r="JY392" s="35"/>
      <c r="JZ392" s="35"/>
      <c r="KA392" s="35"/>
      <c r="KB392" s="35"/>
      <c r="KC392" s="35"/>
      <c r="KD392" s="35"/>
      <c r="KE392" s="35"/>
      <c r="KF392" s="35"/>
      <c r="KG392" s="35"/>
      <c r="KH392" s="35"/>
      <c r="KI392" s="35"/>
      <c r="KJ392" s="35"/>
      <c r="KK392" s="35"/>
      <c r="KL392" s="35"/>
      <c r="KM392" s="35"/>
      <c r="KN392" s="35"/>
      <c r="KO392" s="35"/>
      <c r="KP392" s="1633"/>
    </row>
    <row r="393" spans="1:302" s="92" customFormat="1" ht="25.25" customHeight="1" outlineLevel="1">
      <c r="A393" s="1676" t="s">
        <v>1094</v>
      </c>
      <c r="B393" s="1993" t="s">
        <v>1181</v>
      </c>
      <c r="C393" s="1673" t="s">
        <v>1318</v>
      </c>
      <c r="D393" s="1359" t="s">
        <v>566</v>
      </c>
      <c r="E393" s="1389"/>
      <c r="F393" s="506"/>
      <c r="G393" s="1390"/>
      <c r="H393" s="1391"/>
      <c r="I393" s="2573">
        <v>0</v>
      </c>
      <c r="J393" s="1672"/>
      <c r="K393" s="1697"/>
      <c r="L393" s="1697"/>
      <c r="M393" s="1698">
        <v>20000</v>
      </c>
      <c r="N393" s="1697">
        <v>1</v>
      </c>
      <c r="O393" s="1397">
        <f t="shared" ref="O393:O394" si="534">I393</f>
        <v>0</v>
      </c>
      <c r="P393" s="1671"/>
      <c r="Q393" s="1671"/>
      <c r="R393" s="1671"/>
      <c r="S393" s="1672"/>
      <c r="T393" s="1699"/>
      <c r="U393" s="1700"/>
      <c r="V393" s="1700"/>
      <c r="W393" s="1672">
        <f t="shared" ref="W393:W394" si="535">O393+S393</f>
        <v>0</v>
      </c>
      <c r="X393" s="1672"/>
      <c r="Y393" s="1699"/>
      <c r="Z393" s="1700"/>
      <c r="AA393" s="1699"/>
      <c r="AB393" s="1672">
        <f t="shared" si="533"/>
        <v>16616.25</v>
      </c>
      <c r="AC393" s="516" t="s">
        <v>1317</v>
      </c>
      <c r="AD393" s="1467">
        <v>4502957582</v>
      </c>
      <c r="AE393" s="510" t="s">
        <v>564</v>
      </c>
      <c r="AF393" s="497">
        <v>16616.25</v>
      </c>
      <c r="AG393" s="511">
        <v>1</v>
      </c>
      <c r="AH393" s="1397">
        <f>+AF393*AG393</f>
        <v>16616.25</v>
      </c>
      <c r="AI393" s="355">
        <f t="shared" ref="AI393" si="536">SUMIF($AM$10:$BZ$10,$AI$9,AM393:BZ393)</f>
        <v>0</v>
      </c>
      <c r="AJ393" s="351">
        <f t="shared" ref="AJ393" si="537">IF($AB393&lt;&gt;0,AI393/$AB393,"")</f>
        <v>0</v>
      </c>
      <c r="AK393" s="351"/>
      <c r="AL393" s="1398"/>
      <c r="AM393" s="2273"/>
      <c r="AN393" s="2273"/>
      <c r="AO393" s="497"/>
      <c r="AP393" s="497"/>
      <c r="AQ393" s="497">
        <v>16616.25</v>
      </c>
      <c r="AR393" s="497"/>
      <c r="AS393" s="497"/>
      <c r="AT393" s="2017"/>
      <c r="AU393" s="1922"/>
      <c r="AV393" s="1922"/>
      <c r="AW393" s="497"/>
      <c r="AX393" s="497"/>
      <c r="AY393" s="2060"/>
      <c r="AZ393" s="2273"/>
      <c r="BA393" s="2011"/>
      <c r="BB393" s="497"/>
      <c r="BC393" s="497"/>
      <c r="BD393" s="497"/>
      <c r="BE393" s="497"/>
      <c r="BF393" s="497"/>
      <c r="BG393" s="497"/>
      <c r="BH393" s="497"/>
      <c r="BI393" s="497"/>
      <c r="BJ393" s="497"/>
      <c r="BK393" s="2137"/>
      <c r="BL393" s="2011"/>
      <c r="BM393" s="2011"/>
      <c r="BN393" s="2011"/>
      <c r="BO393" s="2011"/>
      <c r="BP393" s="2011"/>
      <c r="BQ393" s="2403"/>
      <c r="BR393" s="497"/>
      <c r="BS393" s="497"/>
      <c r="BT393" s="497"/>
      <c r="BU393" s="497"/>
      <c r="BV393" s="497"/>
      <c r="BW393" s="2060"/>
      <c r="BX393" s="2417"/>
      <c r="BY393" s="2549"/>
      <c r="BZ393" s="2549"/>
      <c r="CA393" s="2435">
        <f t="shared" si="525"/>
        <v>16616.25</v>
      </c>
      <c r="CB393" s="2380">
        <f t="shared" si="526"/>
        <v>1</v>
      </c>
      <c r="CC393" s="365">
        <f t="shared" si="527"/>
        <v>6.0182050703377715E-5</v>
      </c>
      <c r="CD393" s="1380" t="str">
        <f t="shared" si="528"/>
        <v>0,00%</v>
      </c>
      <c r="CE393" s="1381">
        <f t="shared" si="529"/>
        <v>-16616.25</v>
      </c>
      <c r="CF393" s="1381"/>
      <c r="CG393" s="501"/>
      <c r="CH393" s="502"/>
      <c r="CI393" s="503"/>
      <c r="CJ393" s="504"/>
      <c r="CK393" s="505"/>
      <c r="CL393" s="329">
        <f t="shared" si="450"/>
        <v>-16616.25</v>
      </c>
      <c r="CM393" s="330">
        <f t="shared" si="451"/>
        <v>0</v>
      </c>
      <c r="CN393" s="331"/>
      <c r="CO393" s="86"/>
      <c r="CP393" s="86"/>
      <c r="CQ393" s="86"/>
      <c r="CR393" s="86"/>
      <c r="CS393" s="86"/>
      <c r="CT393" s="86"/>
      <c r="CU393" s="86"/>
      <c r="CV393" s="86"/>
      <c r="CW393" s="86"/>
      <c r="CX393" s="86"/>
      <c r="CY393" s="86"/>
      <c r="CZ393" s="86"/>
      <c r="DA393" s="86"/>
      <c r="DB393" s="32"/>
      <c r="DC393" s="32"/>
      <c r="DD393" s="1660"/>
      <c r="DE393" s="35"/>
      <c r="DF393" s="35"/>
      <c r="DG393" s="1642"/>
      <c r="DH393" s="1642"/>
      <c r="DI393" s="1642"/>
      <c r="DJ393" s="1642"/>
      <c r="DK393" s="1642"/>
      <c r="DL393" s="1642"/>
      <c r="DM393" s="1642"/>
      <c r="DN393" s="1642"/>
      <c r="DO393" s="1642"/>
      <c r="DP393" s="1642"/>
      <c r="DQ393" s="1642"/>
      <c r="DR393" s="1642"/>
      <c r="DS393" s="1642"/>
      <c r="DT393" s="1642"/>
      <c r="DU393" s="1642"/>
      <c r="DV393" s="1642"/>
      <c r="DW393" s="1642"/>
      <c r="DX393" s="1642"/>
      <c r="DY393" s="1642"/>
      <c r="DZ393" s="1642"/>
      <c r="EA393" s="1642"/>
      <c r="EB393" s="1642"/>
      <c r="EC393" s="1642"/>
      <c r="ED393" s="1642"/>
      <c r="EE393" s="1642"/>
      <c r="EF393" s="1642"/>
      <c r="EG393" s="1642"/>
      <c r="EH393" s="35"/>
      <c r="EI393" s="1658"/>
      <c r="EJ393" s="35"/>
      <c r="EK393" s="35"/>
      <c r="EL393" s="35"/>
      <c r="EM393" s="35"/>
      <c r="EN393" s="35"/>
      <c r="EO393" s="35"/>
      <c r="EP393" s="35"/>
      <c r="EQ393" s="35"/>
      <c r="ER393" s="35"/>
      <c r="ES393" s="35"/>
      <c r="ET393" s="35"/>
      <c r="EU393" s="35"/>
      <c r="EV393" s="35"/>
      <c r="EW393" s="35"/>
      <c r="EX393" s="35"/>
      <c r="EY393" s="35"/>
      <c r="EZ393" s="35"/>
      <c r="FA393" s="35"/>
      <c r="FB393" s="35"/>
      <c r="FC393" s="35"/>
      <c r="FD393" s="35"/>
      <c r="FE393" s="35"/>
      <c r="FF393" s="35"/>
      <c r="FG393" s="35"/>
      <c r="FH393" s="35"/>
      <c r="FI393" s="35"/>
      <c r="FJ393" s="35"/>
      <c r="FK393" s="35"/>
      <c r="FL393" s="35"/>
      <c r="FM393" s="35"/>
      <c r="FN393" s="35"/>
      <c r="FO393" s="35"/>
      <c r="FP393" s="35"/>
      <c r="FQ393" s="35"/>
      <c r="FR393" s="35"/>
      <c r="FS393" s="35"/>
      <c r="FT393" s="35"/>
      <c r="FU393" s="35"/>
      <c r="FV393" s="35"/>
      <c r="FW393" s="35"/>
      <c r="FX393" s="35"/>
      <c r="FY393" s="35"/>
      <c r="FZ393" s="35"/>
      <c r="GA393" s="35"/>
      <c r="GB393" s="35"/>
      <c r="GC393" s="35"/>
      <c r="GD393" s="35"/>
      <c r="GE393" s="35"/>
      <c r="GF393" s="35"/>
      <c r="GG393" s="35"/>
      <c r="GH393" s="35"/>
      <c r="GI393" s="35"/>
      <c r="GJ393" s="35"/>
      <c r="GK393" s="35"/>
      <c r="GL393" s="35"/>
      <c r="GM393" s="35"/>
      <c r="GN393" s="35"/>
      <c r="GO393" s="35"/>
      <c r="GP393" s="35"/>
      <c r="GQ393" s="35"/>
      <c r="GR393" s="35"/>
      <c r="GS393" s="35"/>
      <c r="GT393" s="35"/>
      <c r="GU393" s="35"/>
      <c r="GV393" s="35"/>
      <c r="GW393" s="35"/>
      <c r="GX393" s="35"/>
      <c r="GY393" s="35"/>
      <c r="GZ393" s="35"/>
      <c r="HA393" s="35"/>
      <c r="HB393" s="35"/>
      <c r="HC393" s="35"/>
      <c r="HD393" s="35"/>
      <c r="HE393" s="35"/>
      <c r="HF393" s="35"/>
      <c r="HG393" s="35"/>
      <c r="HH393" s="35"/>
      <c r="HI393" s="35"/>
      <c r="HJ393" s="35"/>
      <c r="HK393" s="35"/>
      <c r="HL393" s="35"/>
      <c r="HM393" s="35"/>
      <c r="HN393" s="35"/>
      <c r="HO393" s="35"/>
      <c r="HP393" s="35"/>
      <c r="HQ393" s="35"/>
      <c r="HR393" s="35"/>
      <c r="HS393" s="35"/>
      <c r="HT393" s="35"/>
      <c r="HU393" s="35"/>
      <c r="HV393" s="35"/>
      <c r="HW393" s="35"/>
      <c r="HX393" s="35"/>
      <c r="HY393" s="35"/>
      <c r="HZ393" s="35"/>
      <c r="IA393" s="35"/>
      <c r="IB393" s="35"/>
      <c r="IC393" s="35"/>
      <c r="ID393" s="35"/>
      <c r="IE393" s="35"/>
      <c r="IF393" s="35"/>
      <c r="IG393" s="35"/>
      <c r="IH393" s="35"/>
      <c r="II393" s="35"/>
      <c r="IJ393" s="35"/>
      <c r="IK393" s="35"/>
      <c r="IL393" s="35"/>
      <c r="IM393" s="35"/>
      <c r="IN393" s="35"/>
      <c r="IO393" s="35"/>
      <c r="IP393" s="35"/>
      <c r="IQ393" s="35"/>
      <c r="IR393" s="35"/>
      <c r="IS393" s="35"/>
      <c r="IT393" s="35"/>
      <c r="IU393" s="35"/>
      <c r="IV393" s="35"/>
      <c r="IW393" s="35"/>
      <c r="IX393" s="35"/>
      <c r="IY393" s="35"/>
      <c r="IZ393" s="35"/>
      <c r="JA393" s="35"/>
      <c r="JB393" s="35"/>
      <c r="JC393" s="35"/>
      <c r="JD393" s="35"/>
      <c r="JE393" s="35"/>
      <c r="JF393" s="35"/>
      <c r="JG393" s="35"/>
      <c r="JH393" s="35"/>
      <c r="JI393" s="35"/>
      <c r="JJ393" s="35"/>
      <c r="JK393" s="35"/>
      <c r="JL393" s="35"/>
      <c r="JM393" s="35"/>
      <c r="JN393" s="35"/>
      <c r="JO393" s="35"/>
      <c r="JP393" s="35"/>
      <c r="JQ393" s="35"/>
      <c r="JR393" s="35"/>
      <c r="JS393" s="35"/>
      <c r="JT393" s="35"/>
      <c r="JU393" s="35"/>
      <c r="JV393" s="35"/>
      <c r="JW393" s="35"/>
      <c r="JX393" s="35"/>
      <c r="JY393" s="35"/>
      <c r="JZ393" s="35"/>
      <c r="KA393" s="35"/>
      <c r="KB393" s="35"/>
      <c r="KC393" s="35"/>
      <c r="KD393" s="35"/>
      <c r="KE393" s="35"/>
      <c r="KF393" s="35"/>
      <c r="KG393" s="35"/>
      <c r="KH393" s="35"/>
      <c r="KI393" s="35"/>
      <c r="KJ393" s="35"/>
      <c r="KK393" s="35"/>
      <c r="KL393" s="35"/>
      <c r="KM393" s="35"/>
      <c r="KN393" s="35"/>
      <c r="KO393" s="35"/>
      <c r="KP393" s="1633"/>
    </row>
    <row r="394" spans="1:302" s="92" customFormat="1" ht="25.25" customHeight="1" outlineLevel="1">
      <c r="A394" s="1676" t="s">
        <v>1095</v>
      </c>
      <c r="B394" s="1993"/>
      <c r="C394" s="1673" t="s">
        <v>1381</v>
      </c>
      <c r="D394" s="1359" t="s">
        <v>1334</v>
      </c>
      <c r="E394" s="1389"/>
      <c r="F394" s="506"/>
      <c r="G394" s="1390"/>
      <c r="H394" s="1391"/>
      <c r="I394" s="2573">
        <v>0</v>
      </c>
      <c r="J394" s="1672"/>
      <c r="K394" s="1697"/>
      <c r="L394" s="1697"/>
      <c r="M394" s="1698"/>
      <c r="N394" s="1697"/>
      <c r="O394" s="1397">
        <f t="shared" si="534"/>
        <v>0</v>
      </c>
      <c r="P394" s="1671"/>
      <c r="Q394" s="1671"/>
      <c r="R394" s="1671"/>
      <c r="S394" s="1672"/>
      <c r="T394" s="1699"/>
      <c r="U394" s="1700"/>
      <c r="V394" s="1700"/>
      <c r="W394" s="1672">
        <f t="shared" si="535"/>
        <v>0</v>
      </c>
      <c r="X394" s="1672"/>
      <c r="Y394" s="1699"/>
      <c r="Z394" s="1700"/>
      <c r="AA394" s="1699"/>
      <c r="AB394" s="1672">
        <f t="shared" si="533"/>
        <v>1800</v>
      </c>
      <c r="AC394" s="516" t="s">
        <v>1335</v>
      </c>
      <c r="AD394" s="1467">
        <v>4502971778</v>
      </c>
      <c r="AE394" s="510" t="s">
        <v>1247</v>
      </c>
      <c r="AF394" s="497">
        <v>1800</v>
      </c>
      <c r="AG394" s="511">
        <v>1</v>
      </c>
      <c r="AH394" s="1397">
        <f>+AF394*AG394</f>
        <v>1800</v>
      </c>
      <c r="AI394" s="355">
        <f t="shared" ref="AI394" si="538">SUMIF($AM$10:$BZ$10,$AI$9,AM394:BZ394)</f>
        <v>0</v>
      </c>
      <c r="AJ394" s="351">
        <f t="shared" ref="AJ394" si="539">IF($AB394&lt;&gt;0,AI394/$AB394,"")</f>
        <v>0</v>
      </c>
      <c r="AK394" s="351"/>
      <c r="AL394" s="1398"/>
      <c r="AM394" s="2273"/>
      <c r="AN394" s="2273"/>
      <c r="AO394" s="497"/>
      <c r="AP394" s="2823">
        <v>1800</v>
      </c>
      <c r="AQ394" s="497"/>
      <c r="AR394" s="497"/>
      <c r="AS394" s="497"/>
      <c r="AT394" s="2017"/>
      <c r="AU394" s="1922"/>
      <c r="AV394" s="1922"/>
      <c r="AW394" s="497"/>
      <c r="AX394" s="497"/>
      <c r="AY394" s="2060"/>
      <c r="AZ394" s="2273"/>
      <c r="BA394" s="2011"/>
      <c r="BB394" s="497"/>
      <c r="BC394" s="497"/>
      <c r="BD394" s="497"/>
      <c r="BE394" s="497"/>
      <c r="BF394" s="497"/>
      <c r="BG394" s="497"/>
      <c r="BH394" s="497"/>
      <c r="BI394" s="497"/>
      <c r="BJ394" s="497"/>
      <c r="BK394" s="2137"/>
      <c r="BL394" s="2011"/>
      <c r="BM394" s="2011"/>
      <c r="BN394" s="2011"/>
      <c r="BO394" s="2011"/>
      <c r="BP394" s="2011"/>
      <c r="BQ394" s="2403"/>
      <c r="BR394" s="497"/>
      <c r="BS394" s="497"/>
      <c r="BT394" s="497"/>
      <c r="BU394" s="497"/>
      <c r="BV394" s="497"/>
      <c r="BW394" s="2060"/>
      <c r="BX394" s="2417"/>
      <c r="BY394" s="2549"/>
      <c r="BZ394" s="2549"/>
      <c r="CA394" s="2435">
        <f t="shared" si="525"/>
        <v>1800</v>
      </c>
      <c r="CB394" s="2380">
        <f t="shared" si="526"/>
        <v>1</v>
      </c>
      <c r="CC394" s="365">
        <f t="shared" si="527"/>
        <v>5.5555555555555556E-4</v>
      </c>
      <c r="CD394" s="1380" t="str">
        <f t="shared" si="528"/>
        <v>0,00%</v>
      </c>
      <c r="CE394" s="1381">
        <f t="shared" si="529"/>
        <v>-1800</v>
      </c>
      <c r="CF394" s="1381"/>
      <c r="CG394" s="501"/>
      <c r="CH394" s="502"/>
      <c r="CI394" s="503"/>
      <c r="CJ394" s="504"/>
      <c r="CK394" s="505"/>
      <c r="CL394" s="329">
        <f t="shared" si="450"/>
        <v>-1800</v>
      </c>
      <c r="CM394" s="330">
        <f t="shared" si="451"/>
        <v>0</v>
      </c>
      <c r="CN394" s="331"/>
      <c r="CO394" s="86"/>
      <c r="CP394" s="86"/>
      <c r="CQ394" s="86"/>
      <c r="CR394" s="86"/>
      <c r="CS394" s="86"/>
      <c r="CT394" s="86"/>
      <c r="CU394" s="86"/>
      <c r="CV394" s="86"/>
      <c r="CW394" s="86"/>
      <c r="CX394" s="86"/>
      <c r="CY394" s="86"/>
      <c r="CZ394" s="86"/>
      <c r="DA394" s="86"/>
      <c r="DB394" s="32"/>
      <c r="DC394" s="32"/>
      <c r="DD394" s="1660"/>
      <c r="DE394" s="35"/>
      <c r="DF394" s="35"/>
      <c r="DG394" s="1642"/>
      <c r="DH394" s="1642"/>
      <c r="DI394" s="1642"/>
      <c r="DJ394" s="1642"/>
      <c r="DK394" s="1642"/>
      <c r="DL394" s="1642"/>
      <c r="DM394" s="1642"/>
      <c r="DN394" s="1642"/>
      <c r="DO394" s="1642"/>
      <c r="DP394" s="1642"/>
      <c r="DQ394" s="1642"/>
      <c r="DR394" s="1642"/>
      <c r="DS394" s="1642"/>
      <c r="DT394" s="1642"/>
      <c r="DU394" s="1642"/>
      <c r="DV394" s="1642"/>
      <c r="DW394" s="1642"/>
      <c r="DX394" s="1642"/>
      <c r="DY394" s="1642"/>
      <c r="DZ394" s="1642"/>
      <c r="EA394" s="1642"/>
      <c r="EB394" s="1642"/>
      <c r="EC394" s="1642"/>
      <c r="ED394" s="1642"/>
      <c r="EE394" s="1642"/>
      <c r="EF394" s="1642"/>
      <c r="EG394" s="1642"/>
      <c r="EH394" s="35"/>
      <c r="EI394" s="1658"/>
      <c r="EJ394" s="35"/>
      <c r="EK394" s="35"/>
      <c r="EL394" s="35"/>
      <c r="EM394" s="35"/>
      <c r="EN394" s="35"/>
      <c r="EO394" s="35"/>
      <c r="EP394" s="35"/>
      <c r="EQ394" s="35"/>
      <c r="ER394" s="35"/>
      <c r="ES394" s="35"/>
      <c r="ET394" s="35"/>
      <c r="EU394" s="35"/>
      <c r="EV394" s="35"/>
      <c r="EW394" s="35"/>
      <c r="EX394" s="35"/>
      <c r="EY394" s="35"/>
      <c r="EZ394" s="35"/>
      <c r="FA394" s="35"/>
      <c r="FB394" s="35"/>
      <c r="FC394" s="35"/>
      <c r="FD394" s="35"/>
      <c r="FE394" s="35"/>
      <c r="FF394" s="35"/>
      <c r="FG394" s="35"/>
      <c r="FH394" s="35"/>
      <c r="FI394" s="35"/>
      <c r="FJ394" s="35"/>
      <c r="FK394" s="35"/>
      <c r="FL394" s="35"/>
      <c r="FM394" s="35"/>
      <c r="FN394" s="35"/>
      <c r="FO394" s="35"/>
      <c r="FP394" s="35"/>
      <c r="FQ394" s="35"/>
      <c r="FR394" s="35"/>
      <c r="FS394" s="35"/>
      <c r="FT394" s="35"/>
      <c r="FU394" s="35"/>
      <c r="FV394" s="35"/>
      <c r="FW394" s="35"/>
      <c r="FX394" s="35"/>
      <c r="FY394" s="35"/>
      <c r="FZ394" s="35"/>
      <c r="GA394" s="35"/>
      <c r="GB394" s="35"/>
      <c r="GC394" s="35"/>
      <c r="GD394" s="35"/>
      <c r="GE394" s="35"/>
      <c r="GF394" s="35"/>
      <c r="GG394" s="35"/>
      <c r="GH394" s="35"/>
      <c r="GI394" s="35"/>
      <c r="GJ394" s="35"/>
      <c r="GK394" s="35"/>
      <c r="GL394" s="35"/>
      <c r="GM394" s="35"/>
      <c r="GN394" s="35"/>
      <c r="GO394" s="35"/>
      <c r="GP394" s="35"/>
      <c r="GQ394" s="35"/>
      <c r="GR394" s="35"/>
      <c r="GS394" s="35"/>
      <c r="GT394" s="35"/>
      <c r="GU394" s="35"/>
      <c r="GV394" s="35"/>
      <c r="GW394" s="35"/>
      <c r="GX394" s="35"/>
      <c r="GY394" s="35"/>
      <c r="GZ394" s="35"/>
      <c r="HA394" s="35"/>
      <c r="HB394" s="35"/>
      <c r="HC394" s="35"/>
      <c r="HD394" s="35"/>
      <c r="HE394" s="35"/>
      <c r="HF394" s="35"/>
      <c r="HG394" s="35"/>
      <c r="HH394" s="35"/>
      <c r="HI394" s="35"/>
      <c r="HJ394" s="35"/>
      <c r="HK394" s="35"/>
      <c r="HL394" s="35"/>
      <c r="HM394" s="35"/>
      <c r="HN394" s="35"/>
      <c r="HO394" s="35"/>
      <c r="HP394" s="35"/>
      <c r="HQ394" s="35"/>
      <c r="HR394" s="35"/>
      <c r="HS394" s="35"/>
      <c r="HT394" s="35"/>
      <c r="HU394" s="35"/>
      <c r="HV394" s="35"/>
      <c r="HW394" s="35"/>
      <c r="HX394" s="35"/>
      <c r="HY394" s="35"/>
      <c r="HZ394" s="35"/>
      <c r="IA394" s="35"/>
      <c r="IB394" s="35"/>
      <c r="IC394" s="35"/>
      <c r="ID394" s="35"/>
      <c r="IE394" s="35"/>
      <c r="IF394" s="35"/>
      <c r="IG394" s="35"/>
      <c r="IH394" s="35"/>
      <c r="II394" s="35"/>
      <c r="IJ394" s="35"/>
      <c r="IK394" s="35"/>
      <c r="IL394" s="35"/>
      <c r="IM394" s="35"/>
      <c r="IN394" s="35"/>
      <c r="IO394" s="35"/>
      <c r="IP394" s="35"/>
      <c r="IQ394" s="35"/>
      <c r="IR394" s="35"/>
      <c r="IS394" s="35"/>
      <c r="IT394" s="35"/>
      <c r="IU394" s="35"/>
      <c r="IV394" s="35"/>
      <c r="IW394" s="35"/>
      <c r="IX394" s="35"/>
      <c r="IY394" s="35"/>
      <c r="IZ394" s="35"/>
      <c r="JA394" s="35"/>
      <c r="JB394" s="35"/>
      <c r="JC394" s="35"/>
      <c r="JD394" s="35"/>
      <c r="JE394" s="35"/>
      <c r="JF394" s="35"/>
      <c r="JG394" s="35"/>
      <c r="JH394" s="35"/>
      <c r="JI394" s="35"/>
      <c r="JJ394" s="35"/>
      <c r="JK394" s="35"/>
      <c r="JL394" s="35"/>
      <c r="JM394" s="35"/>
      <c r="JN394" s="35"/>
      <c r="JO394" s="35"/>
      <c r="JP394" s="35"/>
      <c r="JQ394" s="35"/>
      <c r="JR394" s="35"/>
      <c r="JS394" s="35"/>
      <c r="JT394" s="35"/>
      <c r="JU394" s="35"/>
      <c r="JV394" s="35"/>
      <c r="JW394" s="35"/>
      <c r="JX394" s="35"/>
      <c r="JY394" s="35"/>
      <c r="JZ394" s="35"/>
      <c r="KA394" s="35"/>
      <c r="KB394" s="35"/>
      <c r="KC394" s="35"/>
      <c r="KD394" s="35"/>
      <c r="KE394" s="35"/>
      <c r="KF394" s="35"/>
      <c r="KG394" s="35"/>
      <c r="KH394" s="35"/>
      <c r="KI394" s="35"/>
      <c r="KJ394" s="35"/>
      <c r="KK394" s="35"/>
      <c r="KL394" s="35"/>
      <c r="KM394" s="35"/>
      <c r="KN394" s="35"/>
      <c r="KO394" s="35"/>
      <c r="KP394" s="1633"/>
    </row>
    <row r="395" spans="1:302" s="92" customFormat="1" ht="25.25" customHeight="1" outlineLevel="1">
      <c r="A395" s="1676" t="s">
        <v>170</v>
      </c>
      <c r="B395" s="1993" t="s">
        <v>1181</v>
      </c>
      <c r="C395" s="1673" t="s">
        <v>515</v>
      </c>
      <c r="D395" s="1359" t="s">
        <v>567</v>
      </c>
      <c r="E395" s="1389"/>
      <c r="F395" s="506"/>
      <c r="G395" s="1390"/>
      <c r="H395" s="1391"/>
      <c r="I395" s="2573">
        <v>20000</v>
      </c>
      <c r="J395" s="1672"/>
      <c r="K395" s="1697"/>
      <c r="L395" s="1697"/>
      <c r="M395" s="1698">
        <v>20000</v>
      </c>
      <c r="N395" s="1697">
        <v>1</v>
      </c>
      <c r="O395" s="1397">
        <f t="shared" si="531"/>
        <v>20000</v>
      </c>
      <c r="P395" s="1671"/>
      <c r="Q395" s="1671"/>
      <c r="R395" s="1671"/>
      <c r="S395" s="1672"/>
      <c r="T395" s="1699"/>
      <c r="U395" s="1700"/>
      <c r="V395" s="1700"/>
      <c r="W395" s="1672">
        <f t="shared" si="532"/>
        <v>20000</v>
      </c>
      <c r="X395" s="1672"/>
      <c r="Y395" s="1699"/>
      <c r="Z395" s="1700"/>
      <c r="AA395" s="1699"/>
      <c r="AB395" s="2727">
        <f t="shared" si="533"/>
        <v>4720</v>
      </c>
      <c r="AC395" s="516"/>
      <c r="AD395" s="1467"/>
      <c r="AE395" s="510"/>
      <c r="AF395" s="497"/>
      <c r="AG395" s="511">
        <v>1</v>
      </c>
      <c r="AH395" s="1397">
        <f t="shared" ref="AH395:AH401" si="540">+AF395*AG395</f>
        <v>0</v>
      </c>
      <c r="AI395" s="355">
        <f t="shared" si="435"/>
        <v>0</v>
      </c>
      <c r="AJ395" s="351">
        <f t="shared" si="467"/>
        <v>0</v>
      </c>
      <c r="AK395" s="351"/>
      <c r="AL395" s="1398"/>
      <c r="AM395" s="2273"/>
      <c r="AN395" s="2273"/>
      <c r="AO395" s="497"/>
      <c r="AP395" s="497"/>
      <c r="AQ395" s="497">
        <v>4720</v>
      </c>
      <c r="AR395" s="497"/>
      <c r="AS395" s="497"/>
      <c r="AT395" s="2017"/>
      <c r="AU395" s="1922"/>
      <c r="AV395" s="1922"/>
      <c r="AW395" s="497"/>
      <c r="AX395" s="497"/>
      <c r="AY395" s="2060"/>
      <c r="AZ395" s="2273"/>
      <c r="BA395" s="2011"/>
      <c r="BB395" s="497"/>
      <c r="BC395" s="497"/>
      <c r="BD395" s="497"/>
      <c r="BE395" s="497"/>
      <c r="BF395" s="497"/>
      <c r="BG395" s="497"/>
      <c r="BH395" s="497"/>
      <c r="BI395" s="497"/>
      <c r="BJ395" s="497"/>
      <c r="BK395" s="2137"/>
      <c r="BL395" s="2011"/>
      <c r="BM395" s="2011"/>
      <c r="BN395" s="2011"/>
      <c r="BO395" s="2011"/>
      <c r="BP395" s="2011"/>
      <c r="BQ395" s="2403"/>
      <c r="BR395" s="497"/>
      <c r="BS395" s="497"/>
      <c r="BT395" s="497"/>
      <c r="BU395" s="497"/>
      <c r="BV395" s="497"/>
      <c r="BW395" s="2060"/>
      <c r="BX395" s="2417"/>
      <c r="BY395" s="2549"/>
      <c r="BZ395" s="2549"/>
      <c r="CA395" s="2435">
        <f t="shared" si="525"/>
        <v>4720</v>
      </c>
      <c r="CB395" s="2380">
        <f t="shared" si="526"/>
        <v>1</v>
      </c>
      <c r="CC395" s="365">
        <f t="shared" si="527"/>
        <v>2.1186440677966101E-4</v>
      </c>
      <c r="CD395" s="1380">
        <f t="shared" si="528"/>
        <v>0.76400000000000001</v>
      </c>
      <c r="CE395" s="1381">
        <f t="shared" si="529"/>
        <v>15280</v>
      </c>
      <c r="CF395" s="1381"/>
      <c r="CG395" s="501"/>
      <c r="CH395" s="502"/>
      <c r="CI395" s="503"/>
      <c r="CJ395" s="504"/>
      <c r="CK395" s="505"/>
      <c r="CL395" s="329">
        <f t="shared" si="450"/>
        <v>15280</v>
      </c>
      <c r="CM395" s="330">
        <f t="shared" si="451"/>
        <v>0</v>
      </c>
      <c r="CN395" s="331">
        <f t="shared" si="517"/>
        <v>0</v>
      </c>
      <c r="CO395" s="86"/>
      <c r="CP395" s="86"/>
      <c r="CQ395" s="86"/>
      <c r="CR395" s="86"/>
      <c r="CS395" s="86"/>
      <c r="CT395" s="86"/>
      <c r="CU395" s="86"/>
      <c r="CV395" s="86"/>
      <c r="CW395" s="86"/>
      <c r="CX395" s="86"/>
      <c r="CY395" s="86"/>
      <c r="CZ395" s="86"/>
      <c r="DA395" s="86"/>
      <c r="DB395" s="32"/>
      <c r="DC395" s="32"/>
      <c r="DD395" s="1660"/>
      <c r="DE395" s="35"/>
      <c r="DF395" s="35"/>
      <c r="DG395" s="1642"/>
      <c r="DH395" s="1642"/>
      <c r="DI395" s="1642"/>
      <c r="DJ395" s="1642"/>
      <c r="DK395" s="1642"/>
      <c r="DL395" s="1642"/>
      <c r="DM395" s="1642"/>
      <c r="DN395" s="1642"/>
      <c r="DO395" s="1642"/>
      <c r="DP395" s="1642"/>
      <c r="DQ395" s="1642"/>
      <c r="DR395" s="1642"/>
      <c r="DS395" s="1642"/>
      <c r="DT395" s="1642"/>
      <c r="DU395" s="1642"/>
      <c r="DV395" s="1642"/>
      <c r="DW395" s="1642"/>
      <c r="DX395" s="1642"/>
      <c r="DY395" s="1642"/>
      <c r="DZ395" s="1642"/>
      <c r="EA395" s="1642"/>
      <c r="EB395" s="1642"/>
      <c r="EC395" s="1642"/>
      <c r="ED395" s="1642"/>
      <c r="EE395" s="1642"/>
      <c r="EF395" s="1642"/>
      <c r="EG395" s="1642"/>
      <c r="EH395" s="35"/>
      <c r="EI395" s="1658"/>
      <c r="EJ395" s="35"/>
      <c r="EK395" s="35"/>
      <c r="EL395" s="35"/>
      <c r="EM395" s="35"/>
      <c r="EN395" s="35"/>
      <c r="EO395" s="35"/>
      <c r="EP395" s="35"/>
      <c r="EQ395" s="35"/>
      <c r="ER395" s="35"/>
      <c r="ES395" s="35"/>
      <c r="ET395" s="35"/>
      <c r="EU395" s="35"/>
      <c r="EV395" s="35"/>
      <c r="EW395" s="35"/>
      <c r="EX395" s="35"/>
      <c r="EY395" s="35"/>
      <c r="EZ395" s="35"/>
      <c r="FA395" s="35"/>
      <c r="FB395" s="35"/>
      <c r="FC395" s="35"/>
      <c r="FD395" s="35"/>
      <c r="FE395" s="35"/>
      <c r="FF395" s="35"/>
      <c r="FG395" s="35"/>
      <c r="FH395" s="35"/>
      <c r="FI395" s="35"/>
      <c r="FJ395" s="35"/>
      <c r="FK395" s="35"/>
      <c r="FL395" s="35"/>
      <c r="FM395" s="35"/>
      <c r="FN395" s="35"/>
      <c r="FO395" s="35"/>
      <c r="FP395" s="35"/>
      <c r="FQ395" s="35"/>
      <c r="FR395" s="35"/>
      <c r="FS395" s="35"/>
      <c r="FT395" s="35"/>
      <c r="FU395" s="35"/>
      <c r="FV395" s="35"/>
      <c r="FW395" s="35"/>
      <c r="FX395" s="35"/>
      <c r="FY395" s="35"/>
      <c r="FZ395" s="35"/>
      <c r="GA395" s="35"/>
      <c r="GB395" s="35"/>
      <c r="GC395" s="35"/>
      <c r="GD395" s="35"/>
      <c r="GE395" s="35"/>
      <c r="GF395" s="35"/>
      <c r="GG395" s="35"/>
      <c r="GH395" s="35"/>
      <c r="GI395" s="35"/>
      <c r="GJ395" s="35"/>
      <c r="GK395" s="35"/>
      <c r="GL395" s="35"/>
      <c r="GM395" s="35"/>
      <c r="GN395" s="35"/>
      <c r="GO395" s="35"/>
      <c r="GP395" s="35"/>
      <c r="GQ395" s="35"/>
      <c r="GR395" s="35"/>
      <c r="GS395" s="35"/>
      <c r="GT395" s="35"/>
      <c r="GU395" s="35"/>
      <c r="GV395" s="35"/>
      <c r="GW395" s="35"/>
      <c r="GX395" s="35"/>
      <c r="GY395" s="35"/>
      <c r="GZ395" s="35"/>
      <c r="HA395" s="35"/>
      <c r="HB395" s="35"/>
      <c r="HC395" s="35"/>
      <c r="HD395" s="35"/>
      <c r="HE395" s="35"/>
      <c r="HF395" s="35"/>
      <c r="HG395" s="35"/>
      <c r="HH395" s="35"/>
      <c r="HI395" s="35"/>
      <c r="HJ395" s="35"/>
      <c r="HK395" s="35"/>
      <c r="HL395" s="35"/>
      <c r="HM395" s="35"/>
      <c r="HN395" s="35"/>
      <c r="HO395" s="35"/>
      <c r="HP395" s="35"/>
      <c r="HQ395" s="35"/>
      <c r="HR395" s="35"/>
      <c r="HS395" s="35"/>
      <c r="HT395" s="35"/>
      <c r="HU395" s="35"/>
      <c r="HV395" s="35"/>
      <c r="HW395" s="35"/>
      <c r="HX395" s="35"/>
      <c r="HY395" s="35"/>
      <c r="HZ395" s="35"/>
      <c r="IA395" s="35"/>
      <c r="IB395" s="35"/>
      <c r="IC395" s="35"/>
      <c r="ID395" s="35"/>
      <c r="IE395" s="35"/>
      <c r="IF395" s="35"/>
      <c r="IG395" s="35"/>
      <c r="IH395" s="35"/>
      <c r="II395" s="35"/>
      <c r="IJ395" s="35"/>
      <c r="IK395" s="35"/>
      <c r="IL395" s="35"/>
      <c r="IM395" s="35"/>
      <c r="IN395" s="35"/>
      <c r="IO395" s="35"/>
      <c r="IP395" s="35"/>
      <c r="IQ395" s="35"/>
      <c r="IR395" s="35"/>
      <c r="IS395" s="35"/>
      <c r="IT395" s="35"/>
      <c r="IU395" s="35"/>
      <c r="IV395" s="35"/>
      <c r="IW395" s="35"/>
      <c r="IX395" s="35"/>
      <c r="IY395" s="35"/>
      <c r="IZ395" s="35"/>
      <c r="JA395" s="35"/>
      <c r="JB395" s="35"/>
      <c r="JC395" s="35"/>
      <c r="JD395" s="35"/>
      <c r="JE395" s="35"/>
      <c r="JF395" s="35"/>
      <c r="JG395" s="35"/>
      <c r="JH395" s="35"/>
      <c r="JI395" s="35"/>
      <c r="JJ395" s="35"/>
      <c r="JK395" s="35"/>
      <c r="JL395" s="35"/>
      <c r="JM395" s="35"/>
      <c r="JN395" s="35"/>
      <c r="JO395" s="35"/>
      <c r="JP395" s="35"/>
      <c r="JQ395" s="35"/>
      <c r="JR395" s="35"/>
      <c r="JS395" s="35"/>
      <c r="JT395" s="35"/>
      <c r="JU395" s="35"/>
      <c r="JV395" s="35"/>
      <c r="JW395" s="35"/>
      <c r="JX395" s="35"/>
      <c r="JY395" s="35"/>
      <c r="JZ395" s="35"/>
      <c r="KA395" s="35"/>
      <c r="KB395" s="35"/>
      <c r="KC395" s="35"/>
      <c r="KD395" s="35"/>
      <c r="KE395" s="35"/>
      <c r="KF395" s="35"/>
      <c r="KG395" s="35"/>
      <c r="KH395" s="35"/>
      <c r="KI395" s="35"/>
      <c r="KJ395" s="35"/>
      <c r="KK395" s="35"/>
      <c r="KL395" s="35"/>
      <c r="KM395" s="35"/>
      <c r="KN395" s="35"/>
      <c r="KO395" s="35"/>
      <c r="KP395" s="1633"/>
    </row>
    <row r="396" spans="1:302" s="92" customFormat="1" ht="29.45" customHeight="1" outlineLevel="1">
      <c r="A396" s="1676" t="s">
        <v>1276</v>
      </c>
      <c r="B396" s="1993"/>
      <c r="C396" s="1673" t="s">
        <v>1282</v>
      </c>
      <c r="D396" s="1359" t="s">
        <v>567</v>
      </c>
      <c r="E396" s="1389"/>
      <c r="F396" s="506"/>
      <c r="G396" s="1390"/>
      <c r="H396" s="1391"/>
      <c r="I396" s="2573">
        <v>0</v>
      </c>
      <c r="J396" s="1672"/>
      <c r="K396" s="1697"/>
      <c r="L396" s="1697"/>
      <c r="M396" s="1698"/>
      <c r="N396" s="1697"/>
      <c r="O396" s="1397">
        <f t="shared" si="531"/>
        <v>0</v>
      </c>
      <c r="P396" s="1671"/>
      <c r="Q396" s="1671"/>
      <c r="R396" s="1671"/>
      <c r="S396" s="1672"/>
      <c r="T396" s="1699"/>
      <c r="U396" s="1700"/>
      <c r="V396" s="1700"/>
      <c r="W396" s="1672">
        <f t="shared" si="532"/>
        <v>0</v>
      </c>
      <c r="X396" s="1672"/>
      <c r="Y396" s="1699"/>
      <c r="Z396" s="1700"/>
      <c r="AA396" s="1699"/>
      <c r="AB396" s="1672">
        <f t="shared" si="533"/>
        <v>13280</v>
      </c>
      <c r="AC396" s="516" t="s">
        <v>1277</v>
      </c>
      <c r="AD396" s="1467">
        <v>4502956394</v>
      </c>
      <c r="AE396" s="510" t="s">
        <v>564</v>
      </c>
      <c r="AF396" s="497">
        <v>13280</v>
      </c>
      <c r="AG396" s="511">
        <v>1</v>
      </c>
      <c r="AH396" s="1397">
        <f t="shared" si="540"/>
        <v>13280</v>
      </c>
      <c r="AI396" s="355">
        <f t="shared" si="435"/>
        <v>0</v>
      </c>
      <c r="AJ396" s="351">
        <f t="shared" si="467"/>
        <v>0</v>
      </c>
      <c r="AK396" s="351"/>
      <c r="AL396" s="1398"/>
      <c r="AM396" s="2273"/>
      <c r="AN396" s="2273"/>
      <c r="AO396" s="497"/>
      <c r="AP396" s="2729">
        <v>10000</v>
      </c>
      <c r="AQ396" s="497">
        <v>3280</v>
      </c>
      <c r="AR396" s="497"/>
      <c r="AS396" s="497"/>
      <c r="AT396" s="2017"/>
      <c r="AU396" s="1922"/>
      <c r="AV396" s="1922"/>
      <c r="AW396" s="497"/>
      <c r="AX396" s="497"/>
      <c r="AY396" s="2060"/>
      <c r="AZ396" s="2273"/>
      <c r="BA396" s="2011"/>
      <c r="BB396" s="497"/>
      <c r="BC396" s="497"/>
      <c r="BD396" s="497"/>
      <c r="BE396" s="497"/>
      <c r="BF396" s="497"/>
      <c r="BG396" s="497"/>
      <c r="BH396" s="497"/>
      <c r="BI396" s="497"/>
      <c r="BJ396" s="497"/>
      <c r="BK396" s="2137"/>
      <c r="BL396" s="2011"/>
      <c r="BM396" s="2011"/>
      <c r="BN396" s="2011"/>
      <c r="BO396" s="2011"/>
      <c r="BP396" s="2011"/>
      <c r="BQ396" s="2403"/>
      <c r="BR396" s="497"/>
      <c r="BS396" s="497"/>
      <c r="BT396" s="497"/>
      <c r="BU396" s="497"/>
      <c r="BV396" s="497"/>
      <c r="BW396" s="2060"/>
      <c r="BX396" s="2417"/>
      <c r="BY396" s="2549"/>
      <c r="BZ396" s="2549"/>
      <c r="CA396" s="2435">
        <f t="shared" si="525"/>
        <v>13280</v>
      </c>
      <c r="CB396" s="2380">
        <f t="shared" si="526"/>
        <v>1</v>
      </c>
      <c r="CC396" s="365">
        <f t="shared" si="527"/>
        <v>7.5301204819277115E-5</v>
      </c>
      <c r="CD396" s="1380" t="str">
        <f t="shared" si="528"/>
        <v>0,00%</v>
      </c>
      <c r="CE396" s="1381">
        <f t="shared" si="529"/>
        <v>-13280</v>
      </c>
      <c r="CF396" s="1381"/>
      <c r="CG396" s="501"/>
      <c r="CH396" s="502"/>
      <c r="CI396" s="503"/>
      <c r="CJ396" s="504"/>
      <c r="CK396" s="505"/>
      <c r="CL396" s="329">
        <f t="shared" si="450"/>
        <v>-13280</v>
      </c>
      <c r="CM396" s="330">
        <f t="shared" si="451"/>
        <v>0</v>
      </c>
      <c r="CN396" s="331"/>
      <c r="CO396" s="86"/>
      <c r="CP396" s="86"/>
      <c r="CQ396" s="86"/>
      <c r="CR396" s="86"/>
      <c r="CS396" s="86"/>
      <c r="CT396" s="86"/>
      <c r="CU396" s="86"/>
      <c r="CV396" s="86"/>
      <c r="CW396" s="86"/>
      <c r="CX396" s="86"/>
      <c r="CY396" s="86"/>
      <c r="CZ396" s="86"/>
      <c r="DA396" s="86"/>
      <c r="DB396" s="32"/>
      <c r="DC396" s="32"/>
      <c r="DD396" s="1660"/>
      <c r="DE396" s="35"/>
      <c r="DF396" s="35"/>
      <c r="DG396" s="1642"/>
      <c r="DH396" s="1642"/>
      <c r="DI396" s="1642"/>
      <c r="DJ396" s="1642"/>
      <c r="DK396" s="1642"/>
      <c r="DL396" s="1642"/>
      <c r="DM396" s="1642"/>
      <c r="DN396" s="1642"/>
      <c r="DO396" s="1642"/>
      <c r="DP396" s="1642"/>
      <c r="DQ396" s="1642"/>
      <c r="DR396" s="1642"/>
      <c r="DS396" s="1642"/>
      <c r="DT396" s="1642"/>
      <c r="DU396" s="1642"/>
      <c r="DV396" s="1642"/>
      <c r="DW396" s="1642"/>
      <c r="DX396" s="1642"/>
      <c r="DY396" s="1642"/>
      <c r="DZ396" s="1642"/>
      <c r="EA396" s="1642"/>
      <c r="EB396" s="1642"/>
      <c r="EC396" s="1642"/>
      <c r="ED396" s="1642"/>
      <c r="EE396" s="1642"/>
      <c r="EF396" s="1642"/>
      <c r="EG396" s="1642"/>
      <c r="EH396" s="35"/>
      <c r="EI396" s="1658"/>
      <c r="EJ396" s="35"/>
      <c r="EK396" s="35"/>
      <c r="EL396" s="35"/>
      <c r="EM396" s="35"/>
      <c r="EN396" s="35"/>
      <c r="EO396" s="35"/>
      <c r="EP396" s="35"/>
      <c r="EQ396" s="35"/>
      <c r="ER396" s="35"/>
      <c r="ES396" s="35"/>
      <c r="ET396" s="35"/>
      <c r="EU396" s="35"/>
      <c r="EV396" s="35"/>
      <c r="EW396" s="35"/>
      <c r="EX396" s="35"/>
      <c r="EY396" s="35"/>
      <c r="EZ396" s="35"/>
      <c r="FA396" s="35"/>
      <c r="FB396" s="35"/>
      <c r="FC396" s="35"/>
      <c r="FD396" s="35"/>
      <c r="FE396" s="35"/>
      <c r="FF396" s="35"/>
      <c r="FG396" s="35"/>
      <c r="FH396" s="35"/>
      <c r="FI396" s="35"/>
      <c r="FJ396" s="35"/>
      <c r="FK396" s="35"/>
      <c r="FL396" s="35"/>
      <c r="FM396" s="35"/>
      <c r="FN396" s="35"/>
      <c r="FO396" s="35"/>
      <c r="FP396" s="35"/>
      <c r="FQ396" s="35"/>
      <c r="FR396" s="35"/>
      <c r="FS396" s="35"/>
      <c r="FT396" s="35"/>
      <c r="FU396" s="35"/>
      <c r="FV396" s="35"/>
      <c r="FW396" s="35"/>
      <c r="FX396" s="35"/>
      <c r="FY396" s="35"/>
      <c r="FZ396" s="35"/>
      <c r="GA396" s="35"/>
      <c r="GB396" s="35"/>
      <c r="GC396" s="35"/>
      <c r="GD396" s="35"/>
      <c r="GE396" s="35"/>
      <c r="GF396" s="35"/>
      <c r="GG396" s="35"/>
      <c r="GH396" s="35"/>
      <c r="GI396" s="35"/>
      <c r="GJ396" s="35"/>
      <c r="GK396" s="35"/>
      <c r="GL396" s="35"/>
      <c r="GM396" s="35"/>
      <c r="GN396" s="35"/>
      <c r="GO396" s="35"/>
      <c r="GP396" s="35"/>
      <c r="GQ396" s="35"/>
      <c r="GR396" s="35"/>
      <c r="GS396" s="35"/>
      <c r="GT396" s="35"/>
      <c r="GU396" s="35"/>
      <c r="GV396" s="35"/>
      <c r="GW396" s="35"/>
      <c r="GX396" s="35"/>
      <c r="GY396" s="35"/>
      <c r="GZ396" s="35"/>
      <c r="HA396" s="35"/>
      <c r="HB396" s="35"/>
      <c r="HC396" s="35"/>
      <c r="HD396" s="35"/>
      <c r="HE396" s="35"/>
      <c r="HF396" s="35"/>
      <c r="HG396" s="35"/>
      <c r="HH396" s="35"/>
      <c r="HI396" s="35"/>
      <c r="HJ396" s="35"/>
      <c r="HK396" s="35"/>
      <c r="HL396" s="35"/>
      <c r="HM396" s="35"/>
      <c r="HN396" s="35"/>
      <c r="HO396" s="35"/>
      <c r="HP396" s="35"/>
      <c r="HQ396" s="35"/>
      <c r="HR396" s="35"/>
      <c r="HS396" s="35"/>
      <c r="HT396" s="35"/>
      <c r="HU396" s="35"/>
      <c r="HV396" s="35"/>
      <c r="HW396" s="35"/>
      <c r="HX396" s="35"/>
      <c r="HY396" s="35"/>
      <c r="HZ396" s="35"/>
      <c r="IA396" s="35"/>
      <c r="IB396" s="35"/>
      <c r="IC396" s="35"/>
      <c r="ID396" s="35"/>
      <c r="IE396" s="35"/>
      <c r="IF396" s="35"/>
      <c r="IG396" s="35"/>
      <c r="IH396" s="35"/>
      <c r="II396" s="35"/>
      <c r="IJ396" s="35"/>
      <c r="IK396" s="35"/>
      <c r="IL396" s="35"/>
      <c r="IM396" s="35"/>
      <c r="IN396" s="35"/>
      <c r="IO396" s="35"/>
      <c r="IP396" s="35"/>
      <c r="IQ396" s="35"/>
      <c r="IR396" s="35"/>
      <c r="IS396" s="35"/>
      <c r="IT396" s="35"/>
      <c r="IU396" s="35"/>
      <c r="IV396" s="35"/>
      <c r="IW396" s="35"/>
      <c r="IX396" s="35"/>
      <c r="IY396" s="35"/>
      <c r="IZ396" s="35"/>
      <c r="JA396" s="35"/>
      <c r="JB396" s="35"/>
      <c r="JC396" s="35"/>
      <c r="JD396" s="35"/>
      <c r="JE396" s="35"/>
      <c r="JF396" s="35"/>
      <c r="JG396" s="35"/>
      <c r="JH396" s="35"/>
      <c r="JI396" s="35"/>
      <c r="JJ396" s="35"/>
      <c r="JK396" s="35"/>
      <c r="JL396" s="35"/>
      <c r="JM396" s="35"/>
      <c r="JN396" s="35"/>
      <c r="JO396" s="35"/>
      <c r="JP396" s="35"/>
      <c r="JQ396" s="35"/>
      <c r="JR396" s="35"/>
      <c r="JS396" s="35"/>
      <c r="JT396" s="35"/>
      <c r="JU396" s="35"/>
      <c r="JV396" s="35"/>
      <c r="JW396" s="35"/>
      <c r="JX396" s="35"/>
      <c r="JY396" s="35"/>
      <c r="JZ396" s="35"/>
      <c r="KA396" s="35"/>
      <c r="KB396" s="35"/>
      <c r="KC396" s="35"/>
      <c r="KD396" s="35"/>
      <c r="KE396" s="35"/>
      <c r="KF396" s="35"/>
      <c r="KG396" s="35"/>
      <c r="KH396" s="35"/>
      <c r="KI396" s="35"/>
      <c r="KJ396" s="35"/>
      <c r="KK396" s="35"/>
      <c r="KL396" s="35"/>
      <c r="KM396" s="35"/>
      <c r="KN396" s="35"/>
      <c r="KO396" s="35"/>
      <c r="KP396" s="1633"/>
    </row>
    <row r="397" spans="1:302" s="92" customFormat="1" ht="29.45" customHeight="1" outlineLevel="1">
      <c r="A397" s="1676" t="s">
        <v>1397</v>
      </c>
      <c r="B397" s="1993"/>
      <c r="C397" s="1673" t="s">
        <v>1398</v>
      </c>
      <c r="D397" s="1359"/>
      <c r="E397" s="1389"/>
      <c r="F397" s="506"/>
      <c r="G397" s="1390"/>
      <c r="H397" s="1391"/>
      <c r="I397" s="2573">
        <v>0</v>
      </c>
      <c r="J397" s="1672"/>
      <c r="K397" s="1697"/>
      <c r="L397" s="1697"/>
      <c r="M397" s="1698"/>
      <c r="N397" s="1697"/>
      <c r="O397" s="1397">
        <f t="shared" ref="O397" si="541">I397</f>
        <v>0</v>
      </c>
      <c r="P397" s="1671"/>
      <c r="Q397" s="1671"/>
      <c r="R397" s="1671"/>
      <c r="S397" s="1672"/>
      <c r="T397" s="1699"/>
      <c r="U397" s="1700"/>
      <c r="V397" s="1700"/>
      <c r="W397" s="1672">
        <f t="shared" ref="W397" si="542">O397+S397</f>
        <v>0</v>
      </c>
      <c r="X397" s="1672"/>
      <c r="Y397" s="1699"/>
      <c r="Z397" s="1700"/>
      <c r="AA397" s="1699"/>
      <c r="AB397" s="1672">
        <f t="shared" si="533"/>
        <v>2000</v>
      </c>
      <c r="AC397" s="516" t="s">
        <v>1399</v>
      </c>
      <c r="AD397" s="1467">
        <v>4502992375</v>
      </c>
      <c r="AE397" s="510" t="s">
        <v>564</v>
      </c>
      <c r="AF397" s="497">
        <v>2000</v>
      </c>
      <c r="AG397" s="511">
        <v>1</v>
      </c>
      <c r="AH397" s="1397">
        <f t="shared" ref="AH397" si="543">+AF397*AG397</f>
        <v>2000</v>
      </c>
      <c r="AI397" s="355">
        <f t="shared" ref="AI397" si="544">SUMIF($AM$10:$BZ$10,$AI$9,AM397:BZ397)</f>
        <v>0</v>
      </c>
      <c r="AJ397" s="351">
        <f t="shared" ref="AJ397" si="545">IF($AB397&lt;&gt;0,AI397/$AB397,"")</f>
        <v>0</v>
      </c>
      <c r="AK397" s="351"/>
      <c r="AL397" s="1398"/>
      <c r="AM397" s="2273"/>
      <c r="AN397" s="2273"/>
      <c r="AO397" s="497"/>
      <c r="AP397" s="2823">
        <v>2000</v>
      </c>
      <c r="AQ397" s="497"/>
      <c r="AR397" s="497"/>
      <c r="AS397" s="497"/>
      <c r="AT397" s="2017"/>
      <c r="AU397" s="1922"/>
      <c r="AV397" s="1922"/>
      <c r="AW397" s="497"/>
      <c r="AX397" s="497"/>
      <c r="AY397" s="2060"/>
      <c r="AZ397" s="2273"/>
      <c r="BA397" s="2011"/>
      <c r="BB397" s="497"/>
      <c r="BC397" s="497"/>
      <c r="BD397" s="497"/>
      <c r="BE397" s="497"/>
      <c r="BF397" s="497"/>
      <c r="BG397" s="497"/>
      <c r="BH397" s="497"/>
      <c r="BI397" s="497"/>
      <c r="BJ397" s="497"/>
      <c r="BK397" s="2137"/>
      <c r="BL397" s="2011"/>
      <c r="BM397" s="2011"/>
      <c r="BN397" s="2011"/>
      <c r="BO397" s="2011"/>
      <c r="BP397" s="2011"/>
      <c r="BQ397" s="2403"/>
      <c r="BR397" s="497"/>
      <c r="BS397" s="497"/>
      <c r="BT397" s="497"/>
      <c r="BU397" s="497"/>
      <c r="BV397" s="497"/>
      <c r="BW397" s="2060"/>
      <c r="BX397" s="2417"/>
      <c r="BY397" s="2549"/>
      <c r="BZ397" s="2549"/>
      <c r="CA397" s="2435">
        <f t="shared" si="525"/>
        <v>2000</v>
      </c>
      <c r="CB397" s="2380">
        <f t="shared" si="526"/>
        <v>1</v>
      </c>
      <c r="CC397" s="365">
        <f t="shared" si="527"/>
        <v>5.0000000000000001E-4</v>
      </c>
      <c r="CD397" s="1380" t="str">
        <f t="shared" si="528"/>
        <v>0,00%</v>
      </c>
      <c r="CE397" s="1381">
        <f t="shared" si="529"/>
        <v>-2000</v>
      </c>
      <c r="CF397" s="1381"/>
      <c r="CG397" s="501"/>
      <c r="CH397" s="502"/>
      <c r="CI397" s="503"/>
      <c r="CJ397" s="504"/>
      <c r="CK397" s="505"/>
      <c r="CL397" s="329">
        <f t="shared" si="450"/>
        <v>-2000</v>
      </c>
      <c r="CM397" s="330">
        <f t="shared" si="451"/>
        <v>0</v>
      </c>
      <c r="CN397" s="331"/>
      <c r="CO397" s="86"/>
      <c r="CP397" s="86"/>
      <c r="CQ397" s="86"/>
      <c r="CR397" s="86"/>
      <c r="CS397" s="86"/>
      <c r="CT397" s="86"/>
      <c r="CU397" s="86"/>
      <c r="CV397" s="86"/>
      <c r="CW397" s="86"/>
      <c r="CX397" s="86"/>
      <c r="CY397" s="86"/>
      <c r="CZ397" s="86"/>
      <c r="DA397" s="86"/>
      <c r="DB397" s="32"/>
      <c r="DC397" s="32"/>
      <c r="DD397" s="1660"/>
      <c r="DE397" s="35"/>
      <c r="DF397" s="35"/>
      <c r="DG397" s="1642"/>
      <c r="DH397" s="1642"/>
      <c r="DI397" s="1642"/>
      <c r="DJ397" s="1642"/>
      <c r="DK397" s="1642"/>
      <c r="DL397" s="1642"/>
      <c r="DM397" s="1642"/>
      <c r="DN397" s="1642"/>
      <c r="DO397" s="1642"/>
      <c r="DP397" s="1642"/>
      <c r="DQ397" s="1642"/>
      <c r="DR397" s="1642"/>
      <c r="DS397" s="1642"/>
      <c r="DT397" s="1642"/>
      <c r="DU397" s="1642"/>
      <c r="DV397" s="1642"/>
      <c r="DW397" s="1642"/>
      <c r="DX397" s="1642"/>
      <c r="DY397" s="1642"/>
      <c r="DZ397" s="1642"/>
      <c r="EA397" s="1642"/>
      <c r="EB397" s="1642"/>
      <c r="EC397" s="1642"/>
      <c r="ED397" s="1642"/>
      <c r="EE397" s="1642"/>
      <c r="EF397" s="1642"/>
      <c r="EG397" s="1642"/>
      <c r="EH397" s="35"/>
      <c r="EI397" s="1658"/>
      <c r="EJ397" s="35"/>
      <c r="EK397" s="35"/>
      <c r="EL397" s="35"/>
      <c r="EM397" s="35"/>
      <c r="EN397" s="35"/>
      <c r="EO397" s="35"/>
      <c r="EP397" s="35"/>
      <c r="EQ397" s="35"/>
      <c r="ER397" s="35"/>
      <c r="ES397" s="35"/>
      <c r="ET397" s="35"/>
      <c r="EU397" s="35"/>
      <c r="EV397" s="35"/>
      <c r="EW397" s="35"/>
      <c r="EX397" s="35"/>
      <c r="EY397" s="35"/>
      <c r="EZ397" s="35"/>
      <c r="FA397" s="35"/>
      <c r="FB397" s="35"/>
      <c r="FC397" s="35"/>
      <c r="FD397" s="35"/>
      <c r="FE397" s="35"/>
      <c r="FF397" s="35"/>
      <c r="FG397" s="35"/>
      <c r="FH397" s="35"/>
      <c r="FI397" s="35"/>
      <c r="FJ397" s="35"/>
      <c r="FK397" s="35"/>
      <c r="FL397" s="35"/>
      <c r="FM397" s="35"/>
      <c r="FN397" s="35"/>
      <c r="FO397" s="35"/>
      <c r="FP397" s="35"/>
      <c r="FQ397" s="35"/>
      <c r="FR397" s="35"/>
      <c r="FS397" s="35"/>
      <c r="FT397" s="35"/>
      <c r="FU397" s="35"/>
      <c r="FV397" s="35"/>
      <c r="FW397" s="35"/>
      <c r="FX397" s="35"/>
      <c r="FY397" s="35"/>
      <c r="FZ397" s="35"/>
      <c r="GA397" s="35"/>
      <c r="GB397" s="35"/>
      <c r="GC397" s="35"/>
      <c r="GD397" s="35"/>
      <c r="GE397" s="35"/>
      <c r="GF397" s="35"/>
      <c r="GG397" s="35"/>
      <c r="GH397" s="35"/>
      <c r="GI397" s="35"/>
      <c r="GJ397" s="35"/>
      <c r="GK397" s="35"/>
      <c r="GL397" s="35"/>
      <c r="GM397" s="35"/>
      <c r="GN397" s="35"/>
      <c r="GO397" s="35"/>
      <c r="GP397" s="35"/>
      <c r="GQ397" s="35"/>
      <c r="GR397" s="35"/>
      <c r="GS397" s="35"/>
      <c r="GT397" s="35"/>
      <c r="GU397" s="35"/>
      <c r="GV397" s="35"/>
      <c r="GW397" s="35"/>
      <c r="GX397" s="35"/>
      <c r="GY397" s="35"/>
      <c r="GZ397" s="35"/>
      <c r="HA397" s="35"/>
      <c r="HB397" s="35"/>
      <c r="HC397" s="35"/>
      <c r="HD397" s="35"/>
      <c r="HE397" s="35"/>
      <c r="HF397" s="35"/>
      <c r="HG397" s="35"/>
      <c r="HH397" s="35"/>
      <c r="HI397" s="35"/>
      <c r="HJ397" s="35"/>
      <c r="HK397" s="35"/>
      <c r="HL397" s="35"/>
      <c r="HM397" s="35"/>
      <c r="HN397" s="35"/>
      <c r="HO397" s="35"/>
      <c r="HP397" s="35"/>
      <c r="HQ397" s="35"/>
      <c r="HR397" s="35"/>
      <c r="HS397" s="35"/>
      <c r="HT397" s="35"/>
      <c r="HU397" s="35"/>
      <c r="HV397" s="35"/>
      <c r="HW397" s="35"/>
      <c r="HX397" s="35"/>
      <c r="HY397" s="35"/>
      <c r="HZ397" s="35"/>
      <c r="IA397" s="35"/>
      <c r="IB397" s="35"/>
      <c r="IC397" s="35"/>
      <c r="ID397" s="35"/>
      <c r="IE397" s="35"/>
      <c r="IF397" s="35"/>
      <c r="IG397" s="35"/>
      <c r="IH397" s="35"/>
      <c r="II397" s="35"/>
      <c r="IJ397" s="35"/>
      <c r="IK397" s="35"/>
      <c r="IL397" s="35"/>
      <c r="IM397" s="35"/>
      <c r="IN397" s="35"/>
      <c r="IO397" s="35"/>
      <c r="IP397" s="35"/>
      <c r="IQ397" s="35"/>
      <c r="IR397" s="35"/>
      <c r="IS397" s="35"/>
      <c r="IT397" s="35"/>
      <c r="IU397" s="35"/>
      <c r="IV397" s="35"/>
      <c r="IW397" s="35"/>
      <c r="IX397" s="35"/>
      <c r="IY397" s="35"/>
      <c r="IZ397" s="35"/>
      <c r="JA397" s="35"/>
      <c r="JB397" s="35"/>
      <c r="JC397" s="35"/>
      <c r="JD397" s="35"/>
      <c r="JE397" s="35"/>
      <c r="JF397" s="35"/>
      <c r="JG397" s="35"/>
      <c r="JH397" s="35"/>
      <c r="JI397" s="35"/>
      <c r="JJ397" s="35"/>
      <c r="JK397" s="35"/>
      <c r="JL397" s="35"/>
      <c r="JM397" s="35"/>
      <c r="JN397" s="35"/>
      <c r="JO397" s="35"/>
      <c r="JP397" s="35"/>
      <c r="JQ397" s="35"/>
      <c r="JR397" s="35"/>
      <c r="JS397" s="35"/>
      <c r="JT397" s="35"/>
      <c r="JU397" s="35"/>
      <c r="JV397" s="35"/>
      <c r="JW397" s="35"/>
      <c r="JX397" s="35"/>
      <c r="JY397" s="35"/>
      <c r="JZ397" s="35"/>
      <c r="KA397" s="35"/>
      <c r="KB397" s="35"/>
      <c r="KC397" s="35"/>
      <c r="KD397" s="35"/>
      <c r="KE397" s="35"/>
      <c r="KF397" s="35"/>
      <c r="KG397" s="35"/>
      <c r="KH397" s="35"/>
      <c r="KI397" s="35"/>
      <c r="KJ397" s="35"/>
      <c r="KK397" s="35"/>
      <c r="KL397" s="35"/>
      <c r="KM397" s="35"/>
      <c r="KN397" s="35"/>
      <c r="KO397" s="35"/>
      <c r="KP397" s="1633"/>
    </row>
    <row r="398" spans="1:302" s="92" customFormat="1" ht="43.25" customHeight="1" outlineLevel="1">
      <c r="A398" s="1676" t="s">
        <v>171</v>
      </c>
      <c r="B398" s="1993" t="s">
        <v>1182</v>
      </c>
      <c r="C398" s="1674" t="s">
        <v>183</v>
      </c>
      <c r="D398" s="1670" t="s">
        <v>240</v>
      </c>
      <c r="E398" s="1389"/>
      <c r="F398" s="506"/>
      <c r="G398" s="1390"/>
      <c r="H398" s="1391"/>
      <c r="I398" s="2573">
        <v>20000</v>
      </c>
      <c r="J398" s="1672"/>
      <c r="K398" s="1697"/>
      <c r="L398" s="1697"/>
      <c r="M398" s="1698">
        <v>20000</v>
      </c>
      <c r="N398" s="1697">
        <v>1</v>
      </c>
      <c r="O398" s="1397">
        <f t="shared" si="531"/>
        <v>20000</v>
      </c>
      <c r="P398" s="1671"/>
      <c r="Q398" s="1671"/>
      <c r="R398" s="1671"/>
      <c r="S398" s="1672"/>
      <c r="T398" s="1699"/>
      <c r="U398" s="1700"/>
      <c r="V398" s="1700"/>
      <c r="W398" s="1672">
        <f t="shared" si="532"/>
        <v>20000</v>
      </c>
      <c r="X398" s="1672"/>
      <c r="Y398" s="1699"/>
      <c r="Z398" s="1700"/>
      <c r="AA398" s="1699"/>
      <c r="AB398" s="1672">
        <f t="shared" si="533"/>
        <v>20000</v>
      </c>
      <c r="AC398" s="510"/>
      <c r="AD398" s="1467"/>
      <c r="AE398" s="510"/>
      <c r="AF398" s="497"/>
      <c r="AG398" s="511">
        <v>1</v>
      </c>
      <c r="AH398" s="1397">
        <f t="shared" si="540"/>
        <v>0</v>
      </c>
      <c r="AI398" s="355">
        <f t="shared" si="435"/>
        <v>0</v>
      </c>
      <c r="AJ398" s="351">
        <f t="shared" si="467"/>
        <v>0</v>
      </c>
      <c r="AK398" s="351"/>
      <c r="AL398" s="1398"/>
      <c r="AM398" s="2273"/>
      <c r="AN398" s="2273"/>
      <c r="AO398" s="497"/>
      <c r="AP398" s="497"/>
      <c r="AQ398" s="497"/>
      <c r="AR398" s="497"/>
      <c r="AS398" s="497"/>
      <c r="AT398" s="2017"/>
      <c r="AU398" s="1922"/>
      <c r="AV398" s="1922"/>
      <c r="AW398" s="497"/>
      <c r="AX398" s="497"/>
      <c r="AY398" s="2060"/>
      <c r="AZ398" s="2273"/>
      <c r="BA398" s="2011"/>
      <c r="BB398" s="497"/>
      <c r="BC398" s="497"/>
      <c r="BD398" s="497"/>
      <c r="BE398" s="497"/>
      <c r="BF398" s="497"/>
      <c r="BG398" s="497"/>
      <c r="BH398" s="497"/>
      <c r="BI398" s="497">
        <v>10000</v>
      </c>
      <c r="BJ398" s="497"/>
      <c r="BK398" s="2137"/>
      <c r="BL398" s="2011"/>
      <c r="BM398" s="2011">
        <v>10000</v>
      </c>
      <c r="BN398" s="2011"/>
      <c r="BO398" s="2011"/>
      <c r="BP398" s="2011"/>
      <c r="BQ398" s="2403"/>
      <c r="BR398" s="497"/>
      <c r="BS398" s="497"/>
      <c r="BT398" s="497"/>
      <c r="BU398" s="497"/>
      <c r="BV398" s="497"/>
      <c r="BW398" s="2060"/>
      <c r="BX398" s="2417"/>
      <c r="BY398" s="2549"/>
      <c r="BZ398" s="2549"/>
      <c r="CA398" s="2435">
        <f t="shared" si="484"/>
        <v>20000</v>
      </c>
      <c r="CB398" s="2380">
        <f t="shared" si="485"/>
        <v>1</v>
      </c>
      <c r="CC398" s="365">
        <f t="shared" si="486"/>
        <v>5.0000000000000002E-5</v>
      </c>
      <c r="CD398" s="1380">
        <f t="shared" si="487"/>
        <v>0</v>
      </c>
      <c r="CE398" s="1381">
        <f t="shared" si="488"/>
        <v>0</v>
      </c>
      <c r="CF398" s="1381"/>
      <c r="CG398" s="501"/>
      <c r="CH398" s="502"/>
      <c r="CI398" s="503"/>
      <c r="CJ398" s="504"/>
      <c r="CK398" s="505"/>
      <c r="CL398" s="329">
        <f t="shared" si="450"/>
        <v>0</v>
      </c>
      <c r="CM398" s="330">
        <f t="shared" si="451"/>
        <v>0</v>
      </c>
      <c r="CN398" s="331">
        <f t="shared" si="517"/>
        <v>-20000</v>
      </c>
      <c r="CO398" s="86"/>
      <c r="CP398" s="86">
        <f>I398-O398</f>
        <v>0</v>
      </c>
      <c r="CQ398" s="86"/>
      <c r="CR398" s="86"/>
      <c r="CS398" s="86"/>
      <c r="CT398" s="86"/>
      <c r="CU398" s="86"/>
      <c r="CV398" s="86"/>
      <c r="CW398" s="86"/>
      <c r="CX398" s="86"/>
      <c r="CY398" s="86"/>
      <c r="CZ398" s="86"/>
      <c r="DA398" s="86"/>
      <c r="DB398" s="32" t="e">
        <f>#REF!-CA398-AI398</f>
        <v>#REF!</v>
      </c>
      <c r="DC398" s="32" t="e">
        <f>W398-#REF!</f>
        <v>#REF!</v>
      </c>
      <c r="DD398" s="1660"/>
      <c r="DE398" s="35"/>
      <c r="DF398" s="35"/>
      <c r="DG398" s="1642" t="e">
        <f>ROUND(#REF!,2)</f>
        <v>#REF!</v>
      </c>
      <c r="DH398" s="1642" t="e">
        <f>ROUND(#REF!,2)</f>
        <v>#REF!</v>
      </c>
      <c r="DI398" s="1642" t="e">
        <f>ROUND(#REF!,2)</f>
        <v>#REF!</v>
      </c>
      <c r="DJ398" s="1642" t="e">
        <f>ROUND(#REF!,2)</f>
        <v>#REF!</v>
      </c>
      <c r="DK398" s="1642" t="e">
        <f>ROUND(#REF!,2)</f>
        <v>#REF!</v>
      </c>
      <c r="DL398" s="1642" t="e">
        <f>ROUND(#REF!,2)</f>
        <v>#REF!</v>
      </c>
      <c r="DM398" s="1642" t="e">
        <f>ROUND(#REF!,2)</f>
        <v>#REF!</v>
      </c>
      <c r="DN398" s="1642" t="e">
        <f>ROUND(#REF!,2)</f>
        <v>#REF!</v>
      </c>
      <c r="DO398" s="1642" t="e">
        <f>ROUND(#REF!,2)</f>
        <v>#REF!</v>
      </c>
      <c r="DP398" s="1642">
        <f>ROUND(AN398,2)</f>
        <v>0</v>
      </c>
      <c r="DQ398" s="1642">
        <f>ROUND(AO398,2)</f>
        <v>0</v>
      </c>
      <c r="DR398" s="1642">
        <f>ROUND(AP398,2)</f>
        <v>0</v>
      </c>
      <c r="DS398" s="1642">
        <f>ROUND(AQ398,2)</f>
        <v>0</v>
      </c>
      <c r="DT398" s="1642" t="e">
        <f>ROUND(#REF!,2)</f>
        <v>#REF!</v>
      </c>
      <c r="DU398" s="1642" t="e">
        <f>ROUND(#REF!,2)</f>
        <v>#REF!</v>
      </c>
      <c r="DV398" s="1642" t="e">
        <f>ROUND(#REF!,2)</f>
        <v>#REF!</v>
      </c>
      <c r="DW398" s="1642" t="e">
        <f>ROUND(#REF!,2)</f>
        <v>#REF!</v>
      </c>
      <c r="DX398" s="1642" t="e">
        <f>ROUND(#REF!,2)</f>
        <v>#REF!</v>
      </c>
      <c r="DY398" s="1642" t="e">
        <f>ROUND(#REF!,2)</f>
        <v>#REF!</v>
      </c>
      <c r="DZ398" s="1642" t="e">
        <f>ROUND(#REF!,2)</f>
        <v>#REF!</v>
      </c>
      <c r="EA398" s="1642" t="e">
        <f>ROUND(#REF!,2)</f>
        <v>#REF!</v>
      </c>
      <c r="EB398" s="1642" t="e">
        <f>ROUND(#REF!,2)</f>
        <v>#REF!</v>
      </c>
      <c r="EC398" s="1642" t="e">
        <f>ROUND(#REF!,2)</f>
        <v>#REF!</v>
      </c>
      <c r="ED398" s="1642" t="e">
        <f>ROUND(#REF!,2)</f>
        <v>#REF!</v>
      </c>
      <c r="EE398" s="1642" t="e">
        <f>ROUND(#REF!,2)</f>
        <v>#REF!</v>
      </c>
      <c r="EF398" s="1642" t="e">
        <f>ROUND(#REF!,2)</f>
        <v>#REF!</v>
      </c>
      <c r="EG398" s="1642" t="e">
        <f>ROUND(#REF!,2)</f>
        <v>#REF!</v>
      </c>
      <c r="EH398" s="35"/>
      <c r="EI398" s="1658"/>
      <c r="EJ398" s="35"/>
      <c r="EK398" s="35"/>
      <c r="EL398" s="35"/>
      <c r="EM398" s="35"/>
      <c r="EN398" s="35"/>
      <c r="EO398" s="35"/>
      <c r="EP398" s="35"/>
      <c r="EQ398" s="35"/>
      <c r="ER398" s="35"/>
      <c r="ES398" s="35"/>
      <c r="ET398" s="35"/>
      <c r="EU398" s="35"/>
      <c r="EV398" s="35"/>
      <c r="EW398" s="35"/>
      <c r="EX398" s="35"/>
      <c r="EY398" s="35"/>
      <c r="EZ398" s="35"/>
      <c r="FA398" s="35"/>
      <c r="FB398" s="35"/>
      <c r="FC398" s="35"/>
      <c r="FD398" s="35"/>
      <c r="FE398" s="35"/>
      <c r="FF398" s="35"/>
      <c r="FG398" s="35"/>
      <c r="FH398" s="35"/>
      <c r="FI398" s="35"/>
      <c r="FJ398" s="35"/>
      <c r="FK398" s="35"/>
      <c r="FL398" s="35"/>
      <c r="FM398" s="35"/>
      <c r="FN398" s="35"/>
      <c r="FO398" s="35"/>
      <c r="FP398" s="35"/>
      <c r="FQ398" s="35"/>
      <c r="FR398" s="35"/>
      <c r="FS398" s="35"/>
      <c r="FT398" s="35"/>
      <c r="FU398" s="35"/>
      <c r="FV398" s="35"/>
      <c r="FW398" s="35"/>
      <c r="FX398" s="35"/>
      <c r="FY398" s="35"/>
      <c r="FZ398" s="35"/>
      <c r="GA398" s="35"/>
      <c r="GB398" s="35"/>
      <c r="GC398" s="35"/>
      <c r="GD398" s="35"/>
      <c r="GE398" s="35"/>
      <c r="GF398" s="35"/>
      <c r="GG398" s="35"/>
      <c r="GH398" s="35"/>
      <c r="GI398" s="35"/>
      <c r="GJ398" s="35"/>
      <c r="GK398" s="35"/>
      <c r="GL398" s="35"/>
      <c r="GM398" s="35"/>
      <c r="GN398" s="35"/>
      <c r="GO398" s="35"/>
      <c r="GP398" s="35"/>
      <c r="GQ398" s="35"/>
      <c r="GR398" s="35"/>
      <c r="GS398" s="35"/>
      <c r="GT398" s="35"/>
      <c r="GU398" s="35"/>
      <c r="GV398" s="35"/>
      <c r="GW398" s="35"/>
      <c r="GX398" s="35"/>
      <c r="GY398" s="35"/>
      <c r="GZ398" s="35"/>
      <c r="HA398" s="35"/>
      <c r="HB398" s="35"/>
      <c r="HC398" s="35"/>
      <c r="HD398" s="35"/>
      <c r="HE398" s="35"/>
      <c r="HF398" s="35"/>
      <c r="HG398" s="35"/>
      <c r="HH398" s="35"/>
      <c r="HI398" s="35"/>
      <c r="HJ398" s="35"/>
      <c r="HK398" s="35"/>
      <c r="HL398" s="35"/>
      <c r="HM398" s="35"/>
      <c r="HN398" s="35"/>
      <c r="HO398" s="35"/>
      <c r="HP398" s="35"/>
      <c r="HQ398" s="35"/>
      <c r="HR398" s="35"/>
      <c r="HS398" s="35"/>
      <c r="HT398" s="35"/>
      <c r="HU398" s="35"/>
      <c r="HV398" s="35"/>
      <c r="HW398" s="35"/>
      <c r="HX398" s="35"/>
      <c r="HY398" s="35"/>
      <c r="HZ398" s="35"/>
      <c r="IA398" s="35"/>
      <c r="IB398" s="35"/>
      <c r="IC398" s="35"/>
      <c r="ID398" s="35"/>
      <c r="IE398" s="35"/>
      <c r="IF398" s="35"/>
      <c r="IG398" s="35"/>
      <c r="IH398" s="35"/>
      <c r="II398" s="35"/>
      <c r="IJ398" s="35"/>
      <c r="IK398" s="35"/>
      <c r="IL398" s="35"/>
      <c r="IM398" s="35"/>
      <c r="IN398" s="35"/>
      <c r="IO398" s="35"/>
      <c r="IP398" s="35"/>
      <c r="IQ398" s="35"/>
      <c r="IR398" s="35"/>
      <c r="IS398" s="35"/>
      <c r="IT398" s="35"/>
      <c r="IU398" s="35"/>
      <c r="IV398" s="35"/>
      <c r="IW398" s="35"/>
      <c r="IX398" s="35"/>
      <c r="IY398" s="35"/>
      <c r="IZ398" s="35"/>
      <c r="JA398" s="35"/>
      <c r="JB398" s="35"/>
      <c r="JC398" s="35"/>
      <c r="JD398" s="35"/>
      <c r="JE398" s="35"/>
      <c r="JF398" s="35"/>
      <c r="JG398" s="35"/>
      <c r="JH398" s="35"/>
      <c r="JI398" s="35"/>
      <c r="JJ398" s="35"/>
      <c r="JK398" s="35"/>
      <c r="JL398" s="35"/>
      <c r="JM398" s="35"/>
      <c r="JN398" s="35"/>
      <c r="JO398" s="35"/>
      <c r="JP398" s="35"/>
      <c r="JQ398" s="35"/>
      <c r="JR398" s="35"/>
      <c r="JS398" s="35"/>
      <c r="JT398" s="35"/>
      <c r="JU398" s="35"/>
      <c r="JV398" s="35"/>
      <c r="JW398" s="35"/>
      <c r="JX398" s="35"/>
      <c r="JY398" s="35"/>
      <c r="JZ398" s="35"/>
      <c r="KA398" s="35"/>
      <c r="KB398" s="35"/>
      <c r="KC398" s="35"/>
      <c r="KD398" s="35"/>
      <c r="KE398" s="35"/>
      <c r="KF398" s="35"/>
      <c r="KG398" s="35"/>
      <c r="KH398" s="35"/>
      <c r="KI398" s="35"/>
      <c r="KJ398" s="35"/>
      <c r="KK398" s="35"/>
      <c r="KL398" s="35"/>
      <c r="KM398" s="35"/>
      <c r="KN398" s="35"/>
      <c r="KO398" s="35"/>
      <c r="KP398" s="1633"/>
    </row>
    <row r="399" spans="1:302" s="92" customFormat="1" ht="25.25" customHeight="1" outlineLevel="1">
      <c r="A399" s="1676" t="s">
        <v>172</v>
      </c>
      <c r="B399" s="1993" t="s">
        <v>1225</v>
      </c>
      <c r="C399" s="1359" t="s">
        <v>518</v>
      </c>
      <c r="D399" s="1670" t="s">
        <v>568</v>
      </c>
      <c r="E399" s="1389"/>
      <c r="F399" s="506"/>
      <c r="G399" s="1390"/>
      <c r="H399" s="1391"/>
      <c r="I399" s="2573">
        <v>160208</v>
      </c>
      <c r="J399" s="1672"/>
      <c r="K399" s="1697"/>
      <c r="L399" s="1697"/>
      <c r="M399" s="1698">
        <v>5006.5</v>
      </c>
      <c r="N399" s="1697">
        <v>32</v>
      </c>
      <c r="O399" s="1397">
        <f t="shared" si="531"/>
        <v>160208</v>
      </c>
      <c r="P399" s="1671"/>
      <c r="Q399" s="1671"/>
      <c r="R399" s="1671"/>
      <c r="S399" s="1672"/>
      <c r="T399" s="1699"/>
      <c r="U399" s="1700"/>
      <c r="V399" s="1700"/>
      <c r="W399" s="1672">
        <f t="shared" si="532"/>
        <v>160208</v>
      </c>
      <c r="X399" s="1672"/>
      <c r="Y399" s="1699"/>
      <c r="Z399" s="1700"/>
      <c r="AA399" s="1699"/>
      <c r="AB399" s="1672">
        <f t="shared" si="533"/>
        <v>130208</v>
      </c>
      <c r="AC399" s="510"/>
      <c r="AD399" s="1467"/>
      <c r="AE399" s="510"/>
      <c r="AF399" s="497"/>
      <c r="AG399" s="511">
        <v>1</v>
      </c>
      <c r="AH399" s="1397">
        <f t="shared" si="540"/>
        <v>0</v>
      </c>
      <c r="AI399" s="355">
        <f t="shared" si="435"/>
        <v>0</v>
      </c>
      <c r="AJ399" s="351">
        <f t="shared" si="467"/>
        <v>0</v>
      </c>
      <c r="AK399" s="351"/>
      <c r="AL399" s="1398"/>
      <c r="AM399" s="2273"/>
      <c r="AN399" s="2273"/>
      <c r="AO399" s="497"/>
      <c r="AP399" s="497"/>
      <c r="AQ399" s="497"/>
      <c r="AR399" s="497"/>
      <c r="AS399" s="497"/>
      <c r="AT399" s="2017"/>
      <c r="AU399" s="1922">
        <f>5006.5+39</f>
        <v>5045.5</v>
      </c>
      <c r="AV399" s="1922">
        <f>5006.5+5006.5</f>
        <v>10013</v>
      </c>
      <c r="AW399" s="497">
        <v>5006.5</v>
      </c>
      <c r="AX399" s="497">
        <v>5006.5</v>
      </c>
      <c r="AY399" s="2060">
        <v>5006.5</v>
      </c>
      <c r="AZ399" s="2273">
        <v>5006.5</v>
      </c>
      <c r="BA399" s="497">
        <v>5006.5</v>
      </c>
      <c r="BB399" s="497">
        <v>5006.5</v>
      </c>
      <c r="BC399" s="497">
        <v>5006.5</v>
      </c>
      <c r="BD399" s="497">
        <v>5006.5</v>
      </c>
      <c r="BE399" s="497">
        <v>5006.5</v>
      </c>
      <c r="BF399" s="497">
        <v>5006.5</v>
      </c>
      <c r="BG399" s="497">
        <v>5006.5</v>
      </c>
      <c r="BH399" s="497">
        <v>5006.5</v>
      </c>
      <c r="BI399" s="497">
        <v>5006.5</v>
      </c>
      <c r="BJ399" s="497">
        <v>5006.5</v>
      </c>
      <c r="BK399" s="2137">
        <v>5006.5</v>
      </c>
      <c r="BL399" s="2011">
        <v>5006.5</v>
      </c>
      <c r="BM399" s="2011">
        <v>5006.5</v>
      </c>
      <c r="BN399" s="2011">
        <v>5006.5</v>
      </c>
      <c r="BO399" s="2011">
        <v>5006.5</v>
      </c>
      <c r="BP399" s="2011">
        <v>5006.5</v>
      </c>
      <c r="BQ399" s="2403">
        <v>5006.5</v>
      </c>
      <c r="BR399" s="497">
        <v>5006.5</v>
      </c>
      <c r="BS399" s="497">
        <v>5006.5</v>
      </c>
      <c r="BT399" s="497"/>
      <c r="BU399" s="497"/>
      <c r="BV399" s="497"/>
      <c r="BW399" s="2060"/>
      <c r="BX399" s="2417"/>
      <c r="BY399" s="2549"/>
      <c r="BZ399" s="2549"/>
      <c r="CA399" s="2435">
        <f t="shared" ref="CA399:CA402" si="546">SUMIF($AM$10:$BZ$10,$CA$9,AM399:BZ399)</f>
        <v>130208</v>
      </c>
      <c r="CB399" s="2380">
        <f t="shared" ref="CB399:CB402" si="547">IF($AB399&lt;&gt;0,CA399/$AB399,"")</f>
        <v>1</v>
      </c>
      <c r="CC399" s="365">
        <f t="shared" ref="CC399:CC402" si="548">IF($AB399&lt;&gt;0,CB399/$AB399,"")</f>
        <v>7.6800196608503312E-6</v>
      </c>
      <c r="CD399" s="1380">
        <f t="shared" ref="CD399:CD402" si="549">IF($W399&lt;&gt;0,(CE399)/$W399,"0,00%")</f>
        <v>0.18725656646359731</v>
      </c>
      <c r="CE399" s="1381">
        <f t="shared" ref="CE399:CE402" si="550">W399-AB399</f>
        <v>30000</v>
      </c>
      <c r="CF399" s="1381"/>
      <c r="CG399" s="501"/>
      <c r="CH399" s="502"/>
      <c r="CI399" s="503"/>
      <c r="CJ399" s="504"/>
      <c r="CK399" s="505"/>
      <c r="CL399" s="329">
        <f t="shared" ref="CL399:CL463" si="551">O399-CA399</f>
        <v>30000</v>
      </c>
      <c r="CM399" s="330">
        <f t="shared" ref="CM399:CM464" si="552">CA399+AI399-AB399</f>
        <v>0</v>
      </c>
      <c r="CN399" s="331">
        <f t="shared" si="517"/>
        <v>-100130</v>
      </c>
      <c r="CO399" s="86"/>
      <c r="CP399" s="86"/>
      <c r="CQ399" s="86"/>
      <c r="CR399" s="86"/>
      <c r="CS399" s="86"/>
      <c r="CT399" s="86"/>
      <c r="CU399" s="86"/>
      <c r="CV399" s="86"/>
      <c r="CW399" s="86"/>
      <c r="CX399" s="86"/>
      <c r="CY399" s="86"/>
      <c r="CZ399" s="86"/>
      <c r="DA399" s="86"/>
      <c r="DB399" s="32"/>
      <c r="DC399" s="32"/>
      <c r="DD399" s="1660"/>
      <c r="DE399" s="35"/>
      <c r="DF399" s="35"/>
      <c r="DG399" s="1642"/>
      <c r="DH399" s="1642"/>
      <c r="DI399" s="1642"/>
      <c r="DJ399" s="1642"/>
      <c r="DK399" s="1642"/>
      <c r="DL399" s="1642"/>
      <c r="DM399" s="1642"/>
      <c r="DN399" s="1642"/>
      <c r="DO399" s="1642"/>
      <c r="DP399" s="1642"/>
      <c r="DQ399" s="1642"/>
      <c r="DR399" s="1642"/>
      <c r="DS399" s="1642"/>
      <c r="DT399" s="1642"/>
      <c r="DU399" s="1642"/>
      <c r="DV399" s="1642"/>
      <c r="DW399" s="1642"/>
      <c r="DX399" s="1642"/>
      <c r="DY399" s="1642"/>
      <c r="DZ399" s="1642"/>
      <c r="EA399" s="1642"/>
      <c r="EB399" s="1642"/>
      <c r="EC399" s="1642"/>
      <c r="ED399" s="1642"/>
      <c r="EE399" s="1642" t="e">
        <f>ROUND(#REF!,2)</f>
        <v>#REF!</v>
      </c>
      <c r="EF399" s="1642"/>
      <c r="EG399" s="1642"/>
      <c r="EH399" s="35"/>
      <c r="EI399" s="1658"/>
      <c r="EJ399" s="35"/>
      <c r="EK399" s="35"/>
      <c r="EL399" s="35"/>
      <c r="EM399" s="35"/>
      <c r="EN399" s="35"/>
      <c r="EO399" s="35"/>
      <c r="EP399" s="35"/>
      <c r="EQ399" s="35"/>
      <c r="ER399" s="35"/>
      <c r="ES399" s="35"/>
      <c r="ET399" s="35"/>
      <c r="EU399" s="35"/>
      <c r="EV399" s="35"/>
      <c r="EW399" s="35"/>
      <c r="EX399" s="35"/>
      <c r="EY399" s="35"/>
      <c r="EZ399" s="35"/>
      <c r="FA399" s="35"/>
      <c r="FB399" s="35"/>
      <c r="FC399" s="35"/>
      <c r="FD399" s="35"/>
      <c r="FE399" s="35"/>
      <c r="FF399" s="35"/>
      <c r="FG399" s="35"/>
      <c r="FH399" s="35"/>
      <c r="FI399" s="35"/>
      <c r="FJ399" s="35"/>
      <c r="FK399" s="35"/>
      <c r="FL399" s="35"/>
      <c r="FM399" s="35"/>
      <c r="FN399" s="35"/>
      <c r="FO399" s="35"/>
      <c r="FP399" s="35"/>
      <c r="FQ399" s="35"/>
      <c r="FR399" s="35"/>
      <c r="FS399" s="35"/>
      <c r="FT399" s="35"/>
      <c r="FU399" s="35"/>
      <c r="FV399" s="35"/>
      <c r="FW399" s="35"/>
      <c r="FX399" s="35"/>
      <c r="FY399" s="35"/>
      <c r="FZ399" s="35"/>
      <c r="GA399" s="35"/>
      <c r="GB399" s="35"/>
      <c r="GC399" s="35"/>
      <c r="GD399" s="35"/>
      <c r="GE399" s="35"/>
      <c r="GF399" s="35"/>
      <c r="GG399" s="35"/>
      <c r="GH399" s="35"/>
      <c r="GI399" s="35"/>
      <c r="GJ399" s="35"/>
      <c r="GK399" s="35"/>
      <c r="GL399" s="35"/>
      <c r="GM399" s="35"/>
      <c r="GN399" s="35"/>
      <c r="GO399" s="35"/>
      <c r="GP399" s="35"/>
      <c r="GQ399" s="35"/>
      <c r="GR399" s="35"/>
      <c r="GS399" s="35"/>
      <c r="GT399" s="35"/>
      <c r="GU399" s="35"/>
      <c r="GV399" s="35"/>
      <c r="GW399" s="35"/>
      <c r="GX399" s="35"/>
      <c r="GY399" s="35"/>
      <c r="GZ399" s="35"/>
      <c r="HA399" s="35"/>
      <c r="HB399" s="35"/>
      <c r="HC399" s="35"/>
      <c r="HD399" s="35"/>
      <c r="HE399" s="35"/>
      <c r="HF399" s="35"/>
      <c r="HG399" s="35"/>
      <c r="HH399" s="35"/>
      <c r="HI399" s="35"/>
      <c r="HJ399" s="35"/>
      <c r="HK399" s="35"/>
      <c r="HL399" s="35"/>
      <c r="HM399" s="35"/>
      <c r="HN399" s="35"/>
      <c r="HO399" s="35"/>
      <c r="HP399" s="35"/>
      <c r="HQ399" s="35"/>
      <c r="HR399" s="35"/>
      <c r="HS399" s="35"/>
      <c r="HT399" s="35"/>
      <c r="HU399" s="35"/>
      <c r="HV399" s="35"/>
      <c r="HW399" s="35"/>
      <c r="HX399" s="35"/>
      <c r="HY399" s="35"/>
      <c r="HZ399" s="35"/>
      <c r="IA399" s="35"/>
      <c r="IB399" s="35"/>
      <c r="IC399" s="35"/>
      <c r="ID399" s="35"/>
      <c r="IE399" s="35"/>
      <c r="IF399" s="35"/>
      <c r="IG399" s="35"/>
      <c r="IH399" s="35"/>
      <c r="II399" s="35"/>
      <c r="IJ399" s="35"/>
      <c r="IK399" s="35"/>
      <c r="IL399" s="35"/>
      <c r="IM399" s="35"/>
      <c r="IN399" s="35"/>
      <c r="IO399" s="35"/>
      <c r="IP399" s="35"/>
      <c r="IQ399" s="35"/>
      <c r="IR399" s="35"/>
      <c r="IS399" s="35"/>
      <c r="IT399" s="35"/>
      <c r="IU399" s="35"/>
      <c r="IV399" s="35"/>
      <c r="IW399" s="35"/>
      <c r="IX399" s="35"/>
      <c r="IY399" s="35"/>
      <c r="IZ399" s="35"/>
      <c r="JA399" s="35"/>
      <c r="JB399" s="35"/>
      <c r="JC399" s="35"/>
      <c r="JD399" s="35"/>
      <c r="JE399" s="35"/>
      <c r="JF399" s="35"/>
      <c r="JG399" s="35"/>
      <c r="JH399" s="35"/>
      <c r="JI399" s="35"/>
      <c r="JJ399" s="35"/>
      <c r="JK399" s="35"/>
      <c r="JL399" s="35"/>
      <c r="JM399" s="35"/>
      <c r="JN399" s="35"/>
      <c r="JO399" s="35"/>
      <c r="JP399" s="35"/>
      <c r="JQ399" s="35"/>
      <c r="JR399" s="35"/>
      <c r="JS399" s="35"/>
      <c r="JT399" s="35"/>
      <c r="JU399" s="35"/>
      <c r="JV399" s="35"/>
      <c r="JW399" s="35"/>
      <c r="JX399" s="35"/>
      <c r="JY399" s="35"/>
      <c r="JZ399" s="35"/>
      <c r="KA399" s="35"/>
      <c r="KB399" s="35"/>
      <c r="KC399" s="35"/>
      <c r="KD399" s="35"/>
      <c r="KE399" s="35"/>
      <c r="KF399" s="35"/>
      <c r="KG399" s="35"/>
      <c r="KH399" s="35"/>
      <c r="KI399" s="35"/>
      <c r="KJ399" s="35"/>
      <c r="KK399" s="35"/>
      <c r="KL399" s="35"/>
      <c r="KM399" s="35"/>
      <c r="KN399" s="35"/>
      <c r="KO399" s="35"/>
      <c r="KP399" s="1633"/>
    </row>
    <row r="400" spans="1:302" s="92" customFormat="1" ht="25.25" customHeight="1" outlineLevel="1">
      <c r="A400" s="1676" t="s">
        <v>1402</v>
      </c>
      <c r="B400" s="1993"/>
      <c r="C400" s="1359" t="s">
        <v>1403</v>
      </c>
      <c r="D400" s="1670"/>
      <c r="E400" s="1389"/>
      <c r="F400" s="506"/>
      <c r="G400" s="1390"/>
      <c r="H400" s="1391"/>
      <c r="I400" s="2573">
        <v>0</v>
      </c>
      <c r="J400" s="1672"/>
      <c r="K400" s="1697"/>
      <c r="L400" s="1697"/>
      <c r="M400" s="1698"/>
      <c r="N400" s="1697"/>
      <c r="O400" s="1397">
        <f t="shared" si="531"/>
        <v>0</v>
      </c>
      <c r="P400" s="1671"/>
      <c r="Q400" s="1671"/>
      <c r="R400" s="1671"/>
      <c r="S400" s="1672"/>
      <c r="T400" s="1699"/>
      <c r="U400" s="1700"/>
      <c r="V400" s="1700"/>
      <c r="W400" s="1672">
        <f t="shared" si="532"/>
        <v>0</v>
      </c>
      <c r="X400" s="1672"/>
      <c r="Y400" s="1699"/>
      <c r="Z400" s="1700"/>
      <c r="AA400" s="1699"/>
      <c r="AB400" s="1672">
        <f t="shared" si="533"/>
        <v>30000</v>
      </c>
      <c r="AC400" s="510" t="s">
        <v>1404</v>
      </c>
      <c r="AD400" s="1467"/>
      <c r="AE400" s="510" t="s">
        <v>1247</v>
      </c>
      <c r="AF400" s="497">
        <v>30000</v>
      </c>
      <c r="AG400" s="511">
        <v>1</v>
      </c>
      <c r="AH400" s="1397">
        <f t="shared" ref="AH400" si="553">+AF400*AG400</f>
        <v>30000</v>
      </c>
      <c r="AI400" s="355">
        <f t="shared" ref="AI400" si="554">SUMIF($AM$10:$BZ$10,$AI$9,AM400:BZ400)</f>
        <v>10798.22</v>
      </c>
      <c r="AJ400" s="351">
        <f t="shared" ref="AJ400" si="555">IF($AB400&lt;&gt;0,AI400/$AB400,"")</f>
        <v>0.35994066666666663</v>
      </c>
      <c r="AK400" s="351"/>
      <c r="AL400" s="1398"/>
      <c r="AM400" s="2273"/>
      <c r="AN400" s="2273"/>
      <c r="AO400" s="2823">
        <v>10798.22</v>
      </c>
      <c r="AP400" s="2729">
        <v>3000</v>
      </c>
      <c r="AQ400" s="497">
        <v>3000</v>
      </c>
      <c r="AR400" s="497">
        <v>3000</v>
      </c>
      <c r="AS400" s="497">
        <v>3000</v>
      </c>
      <c r="AT400" s="2017">
        <v>3000</v>
      </c>
      <c r="AU400" s="1922">
        <v>3000</v>
      </c>
      <c r="AV400" s="1922">
        <v>1201.78</v>
      </c>
      <c r="AW400" s="497"/>
      <c r="AX400" s="497"/>
      <c r="AY400" s="2060"/>
      <c r="AZ400" s="2273"/>
      <c r="BA400" s="2011"/>
      <c r="BB400" s="497"/>
      <c r="BC400" s="497"/>
      <c r="BD400" s="497"/>
      <c r="BE400" s="497"/>
      <c r="BF400" s="497"/>
      <c r="BG400" s="497"/>
      <c r="BH400" s="497"/>
      <c r="BI400" s="497"/>
      <c r="BJ400" s="497"/>
      <c r="BK400" s="2137"/>
      <c r="BL400" s="2011"/>
      <c r="BM400" s="2011"/>
      <c r="BN400" s="2011"/>
      <c r="BO400" s="2011"/>
      <c r="BP400" s="2011"/>
      <c r="BQ400" s="2403"/>
      <c r="BR400" s="497"/>
      <c r="BS400" s="497"/>
      <c r="BT400" s="497"/>
      <c r="BU400" s="497"/>
      <c r="BV400" s="497"/>
      <c r="BW400" s="2060"/>
      <c r="BX400" s="2417"/>
      <c r="BY400" s="2549"/>
      <c r="BZ400" s="2549"/>
      <c r="CA400" s="2435">
        <f t="shared" si="546"/>
        <v>19201.78</v>
      </c>
      <c r="CB400" s="2380">
        <f t="shared" si="547"/>
        <v>0.64005933333333331</v>
      </c>
      <c r="CC400" s="365">
        <f t="shared" si="548"/>
        <v>2.1335311111111111E-5</v>
      </c>
      <c r="CD400" s="1380" t="str">
        <f t="shared" si="549"/>
        <v>0,00%</v>
      </c>
      <c r="CE400" s="1381">
        <f t="shared" si="550"/>
        <v>-30000</v>
      </c>
      <c r="CF400" s="1381"/>
      <c r="CG400" s="501"/>
      <c r="CH400" s="502"/>
      <c r="CI400" s="503"/>
      <c r="CJ400" s="504"/>
      <c r="CK400" s="505"/>
      <c r="CL400" s="329">
        <f t="shared" si="551"/>
        <v>-19201.78</v>
      </c>
      <c r="CM400" s="330">
        <f t="shared" si="552"/>
        <v>0</v>
      </c>
      <c r="CN400" s="331"/>
      <c r="CO400" s="86"/>
      <c r="CP400" s="86"/>
      <c r="CQ400" s="86"/>
      <c r="CR400" s="86"/>
      <c r="CS400" s="86"/>
      <c r="CT400" s="86"/>
      <c r="CU400" s="86"/>
      <c r="CV400" s="86"/>
      <c r="CW400" s="86"/>
      <c r="CX400" s="86"/>
      <c r="CY400" s="86"/>
      <c r="CZ400" s="86"/>
      <c r="DA400" s="86"/>
      <c r="DB400" s="32"/>
      <c r="DC400" s="32"/>
      <c r="DD400" s="1660"/>
      <c r="DE400" s="35"/>
      <c r="DF400" s="35"/>
      <c r="DG400" s="1642"/>
      <c r="DH400" s="1642"/>
      <c r="DI400" s="1642"/>
      <c r="DJ400" s="1642"/>
      <c r="DK400" s="1642"/>
      <c r="DL400" s="1642"/>
      <c r="DM400" s="1642"/>
      <c r="DN400" s="1642"/>
      <c r="DO400" s="1642"/>
      <c r="DP400" s="1642"/>
      <c r="DQ400" s="1642"/>
      <c r="DR400" s="1642"/>
      <c r="DS400" s="1642"/>
      <c r="DT400" s="1642"/>
      <c r="DU400" s="1642"/>
      <c r="DV400" s="1642"/>
      <c r="DW400" s="1642"/>
      <c r="DX400" s="1642"/>
      <c r="DY400" s="1642"/>
      <c r="DZ400" s="1642"/>
      <c r="EA400" s="1642"/>
      <c r="EB400" s="1642"/>
      <c r="EC400" s="1642"/>
      <c r="ED400" s="1642"/>
      <c r="EE400" s="1642"/>
      <c r="EF400" s="1642"/>
      <c r="EG400" s="1642"/>
      <c r="EH400" s="35"/>
      <c r="EI400" s="1658"/>
      <c r="EJ400" s="35"/>
      <c r="EK400" s="35"/>
      <c r="EL400" s="35"/>
      <c r="EM400" s="35"/>
      <c r="EN400" s="35"/>
      <c r="EO400" s="35"/>
      <c r="EP400" s="35"/>
      <c r="EQ400" s="35"/>
      <c r="ER400" s="35"/>
      <c r="ES400" s="35"/>
      <c r="ET400" s="35"/>
      <c r="EU400" s="35"/>
      <c r="EV400" s="35"/>
      <c r="EW400" s="35"/>
      <c r="EX400" s="35"/>
      <c r="EY400" s="35"/>
      <c r="EZ400" s="35"/>
      <c r="FA400" s="35"/>
      <c r="FB400" s="35"/>
      <c r="FC400" s="35"/>
      <c r="FD400" s="35"/>
      <c r="FE400" s="35"/>
      <c r="FF400" s="35"/>
      <c r="FG400" s="35"/>
      <c r="FH400" s="35"/>
      <c r="FI400" s="35"/>
      <c r="FJ400" s="35"/>
      <c r="FK400" s="35"/>
      <c r="FL400" s="35"/>
      <c r="FM400" s="35"/>
      <c r="FN400" s="35"/>
      <c r="FO400" s="35"/>
      <c r="FP400" s="35"/>
      <c r="FQ400" s="35"/>
      <c r="FR400" s="35"/>
      <c r="FS400" s="35"/>
      <c r="FT400" s="35"/>
      <c r="FU400" s="35"/>
      <c r="FV400" s="35"/>
      <c r="FW400" s="35"/>
      <c r="FX400" s="35"/>
      <c r="FY400" s="35"/>
      <c r="FZ400" s="35"/>
      <c r="GA400" s="35"/>
      <c r="GB400" s="35"/>
      <c r="GC400" s="35"/>
      <c r="GD400" s="35"/>
      <c r="GE400" s="35"/>
      <c r="GF400" s="35"/>
      <c r="GG400" s="35"/>
      <c r="GH400" s="35"/>
      <c r="GI400" s="35"/>
      <c r="GJ400" s="35"/>
      <c r="GK400" s="35"/>
      <c r="GL400" s="35"/>
      <c r="GM400" s="35"/>
      <c r="GN400" s="35"/>
      <c r="GO400" s="35"/>
      <c r="GP400" s="35"/>
      <c r="GQ400" s="35"/>
      <c r="GR400" s="35"/>
      <c r="GS400" s="35"/>
      <c r="GT400" s="35"/>
      <c r="GU400" s="35"/>
      <c r="GV400" s="35"/>
      <c r="GW400" s="35"/>
      <c r="GX400" s="35"/>
      <c r="GY400" s="35"/>
      <c r="GZ400" s="35"/>
      <c r="HA400" s="35"/>
      <c r="HB400" s="35"/>
      <c r="HC400" s="35"/>
      <c r="HD400" s="35"/>
      <c r="HE400" s="35"/>
      <c r="HF400" s="35"/>
      <c r="HG400" s="35"/>
      <c r="HH400" s="35"/>
      <c r="HI400" s="35"/>
      <c r="HJ400" s="35"/>
      <c r="HK400" s="35"/>
      <c r="HL400" s="35"/>
      <c r="HM400" s="35"/>
      <c r="HN400" s="35"/>
      <c r="HO400" s="35"/>
      <c r="HP400" s="35"/>
      <c r="HQ400" s="35"/>
      <c r="HR400" s="35"/>
      <c r="HS400" s="35"/>
      <c r="HT400" s="35"/>
      <c r="HU400" s="35"/>
      <c r="HV400" s="35"/>
      <c r="HW400" s="35"/>
      <c r="HX400" s="35"/>
      <c r="HY400" s="35"/>
      <c r="HZ400" s="35"/>
      <c r="IA400" s="35"/>
      <c r="IB400" s="35"/>
      <c r="IC400" s="35"/>
      <c r="ID400" s="35"/>
      <c r="IE400" s="35"/>
      <c r="IF400" s="35"/>
      <c r="IG400" s="35"/>
      <c r="IH400" s="35"/>
      <c r="II400" s="35"/>
      <c r="IJ400" s="35"/>
      <c r="IK400" s="35"/>
      <c r="IL400" s="35"/>
      <c r="IM400" s="35"/>
      <c r="IN400" s="35"/>
      <c r="IO400" s="35"/>
      <c r="IP400" s="35"/>
      <c r="IQ400" s="35"/>
      <c r="IR400" s="35"/>
      <c r="IS400" s="35"/>
      <c r="IT400" s="35"/>
      <c r="IU400" s="35"/>
      <c r="IV400" s="35"/>
      <c r="IW400" s="35"/>
      <c r="IX400" s="35"/>
      <c r="IY400" s="35"/>
      <c r="IZ400" s="35"/>
      <c r="JA400" s="35"/>
      <c r="JB400" s="35"/>
      <c r="JC400" s="35"/>
      <c r="JD400" s="35"/>
      <c r="JE400" s="35"/>
      <c r="JF400" s="35"/>
      <c r="JG400" s="35"/>
      <c r="JH400" s="35"/>
      <c r="JI400" s="35"/>
      <c r="JJ400" s="35"/>
      <c r="JK400" s="35"/>
      <c r="JL400" s="35"/>
      <c r="JM400" s="35"/>
      <c r="JN400" s="35"/>
      <c r="JO400" s="35"/>
      <c r="JP400" s="35"/>
      <c r="JQ400" s="35"/>
      <c r="JR400" s="35"/>
      <c r="JS400" s="35"/>
      <c r="JT400" s="35"/>
      <c r="JU400" s="35"/>
      <c r="JV400" s="35"/>
      <c r="JW400" s="35"/>
      <c r="JX400" s="35"/>
      <c r="JY400" s="35"/>
      <c r="JZ400" s="35"/>
      <c r="KA400" s="35"/>
      <c r="KB400" s="35"/>
      <c r="KC400" s="35"/>
      <c r="KD400" s="35"/>
      <c r="KE400" s="35"/>
      <c r="KF400" s="35"/>
      <c r="KG400" s="35"/>
      <c r="KH400" s="35"/>
      <c r="KI400" s="35"/>
      <c r="KJ400" s="35"/>
      <c r="KK400" s="35"/>
      <c r="KL400" s="35"/>
      <c r="KM400" s="35"/>
      <c r="KN400" s="35"/>
      <c r="KO400" s="35"/>
      <c r="KP400" s="1633"/>
    </row>
    <row r="401" spans="1:302" s="92" customFormat="1" ht="30" customHeight="1" outlineLevel="1">
      <c r="A401" s="1676" t="s">
        <v>516</v>
      </c>
      <c r="B401" s="1993" t="s">
        <v>1226</v>
      </c>
      <c r="C401" s="1359" t="s">
        <v>97</v>
      </c>
      <c r="D401" s="1670" t="s">
        <v>232</v>
      </c>
      <c r="E401" s="1389"/>
      <c r="F401" s="506"/>
      <c r="G401" s="1390"/>
      <c r="H401" s="1391"/>
      <c r="I401" s="2573">
        <v>50000</v>
      </c>
      <c r="J401" s="1672"/>
      <c r="K401" s="1697"/>
      <c r="L401" s="1697"/>
      <c r="M401" s="1698">
        <v>50000</v>
      </c>
      <c r="N401" s="1697">
        <v>1</v>
      </c>
      <c r="O401" s="1397">
        <f t="shared" si="531"/>
        <v>50000</v>
      </c>
      <c r="P401" s="1671"/>
      <c r="Q401" s="1671"/>
      <c r="R401" s="1671"/>
      <c r="S401" s="1672"/>
      <c r="T401" s="1699"/>
      <c r="U401" s="1700"/>
      <c r="V401" s="1700"/>
      <c r="W401" s="1672">
        <f t="shared" si="532"/>
        <v>50000</v>
      </c>
      <c r="X401" s="1672"/>
      <c r="Y401" s="1699"/>
      <c r="Z401" s="1700"/>
      <c r="AA401" s="1699"/>
      <c r="AB401" s="1672">
        <f t="shared" si="533"/>
        <v>50000</v>
      </c>
      <c r="AC401" s="510"/>
      <c r="AD401" s="1467"/>
      <c r="AE401" s="510"/>
      <c r="AF401" s="497"/>
      <c r="AG401" s="511">
        <v>1</v>
      </c>
      <c r="AH401" s="1397">
        <f t="shared" si="540"/>
        <v>0</v>
      </c>
      <c r="AI401" s="355">
        <f t="shared" si="435"/>
        <v>0</v>
      </c>
      <c r="AJ401" s="351">
        <f t="shared" si="467"/>
        <v>0</v>
      </c>
      <c r="AK401" s="351"/>
      <c r="AL401" s="1398"/>
      <c r="AM401" s="2273"/>
      <c r="AN401" s="2273"/>
      <c r="AO401" s="497"/>
      <c r="AP401" s="497"/>
      <c r="AQ401" s="497"/>
      <c r="AR401" s="497"/>
      <c r="AS401" s="497"/>
      <c r="AT401" s="2033"/>
      <c r="AU401" s="497"/>
      <c r="AV401" s="497"/>
      <c r="AW401" s="497"/>
      <c r="AX401" s="1706"/>
      <c r="AY401" s="2325"/>
      <c r="AZ401" s="2273"/>
      <c r="BA401" s="2011"/>
      <c r="BB401" s="497"/>
      <c r="BC401" s="497"/>
      <c r="BD401" s="497"/>
      <c r="BE401" s="497"/>
      <c r="BF401" s="497"/>
      <c r="BG401" s="497"/>
      <c r="BH401" s="497"/>
      <c r="BI401" s="497"/>
      <c r="BJ401" s="497"/>
      <c r="BK401" s="2137"/>
      <c r="BL401" s="2011"/>
      <c r="BM401" s="2011"/>
      <c r="BN401" s="2011"/>
      <c r="BO401" s="2011"/>
      <c r="BP401" s="2011"/>
      <c r="BQ401" s="2403"/>
      <c r="BR401" s="497"/>
      <c r="BS401" s="497">
        <v>50000</v>
      </c>
      <c r="BT401" s="497"/>
      <c r="BU401" s="497"/>
      <c r="BV401" s="497"/>
      <c r="BW401" s="2060"/>
      <c r="BX401" s="2417"/>
      <c r="BY401" s="2549"/>
      <c r="BZ401" s="2549"/>
      <c r="CA401" s="2435">
        <f t="shared" si="546"/>
        <v>50000</v>
      </c>
      <c r="CB401" s="2380">
        <f t="shared" si="547"/>
        <v>1</v>
      </c>
      <c r="CC401" s="365">
        <f t="shared" si="548"/>
        <v>2.0000000000000002E-5</v>
      </c>
      <c r="CD401" s="1380">
        <f t="shared" si="549"/>
        <v>0</v>
      </c>
      <c r="CE401" s="1381">
        <f t="shared" si="550"/>
        <v>0</v>
      </c>
      <c r="CF401" s="1381"/>
      <c r="CG401" s="501"/>
      <c r="CH401" s="502"/>
      <c r="CI401" s="503"/>
      <c r="CJ401" s="504"/>
      <c r="CK401" s="505"/>
      <c r="CL401" s="329">
        <f t="shared" si="551"/>
        <v>0</v>
      </c>
      <c r="CM401" s="330">
        <f t="shared" si="552"/>
        <v>0</v>
      </c>
      <c r="CN401" s="331">
        <f t="shared" si="517"/>
        <v>-50000</v>
      </c>
      <c r="CO401" s="86"/>
      <c r="CP401" s="86"/>
      <c r="CQ401" s="86"/>
      <c r="CR401" s="86"/>
      <c r="CS401" s="86"/>
      <c r="CT401" s="86"/>
      <c r="CU401" s="86"/>
      <c r="CV401" s="86"/>
      <c r="CW401" s="86"/>
      <c r="CX401" s="86"/>
      <c r="CY401" s="86"/>
      <c r="CZ401" s="86"/>
      <c r="DA401" s="86"/>
      <c r="DB401" s="32"/>
      <c r="DC401" s="32"/>
      <c r="DD401" s="1660"/>
      <c r="DE401" s="35"/>
      <c r="DF401" s="35"/>
      <c r="DG401" s="1642"/>
      <c r="DH401" s="1642"/>
      <c r="DI401" s="1642"/>
      <c r="DJ401" s="1642"/>
      <c r="DK401" s="1642"/>
      <c r="DL401" s="1642"/>
      <c r="DM401" s="1642"/>
      <c r="DN401" s="1642"/>
      <c r="DO401" s="1642"/>
      <c r="DP401" s="1642"/>
      <c r="DQ401" s="1642"/>
      <c r="DR401" s="1642"/>
      <c r="DS401" s="1642"/>
      <c r="DT401" s="1642"/>
      <c r="DU401" s="1642"/>
      <c r="DV401" s="1642"/>
      <c r="DW401" s="1642"/>
      <c r="DX401" s="1642"/>
      <c r="DY401" s="1642"/>
      <c r="DZ401" s="1642"/>
      <c r="EA401" s="1642"/>
      <c r="EB401" s="1642"/>
      <c r="EC401" s="1642"/>
      <c r="ED401" s="1642"/>
      <c r="EE401" s="1642"/>
      <c r="EF401" s="1642"/>
      <c r="EG401" s="1642"/>
      <c r="EH401" s="35"/>
      <c r="EI401" s="1658"/>
      <c r="EJ401" s="35"/>
      <c r="EK401" s="35"/>
      <c r="EL401" s="35"/>
      <c r="EM401" s="35"/>
      <c r="EN401" s="35"/>
      <c r="EO401" s="35"/>
      <c r="EP401" s="35"/>
      <c r="EQ401" s="35"/>
      <c r="ER401" s="35"/>
      <c r="ES401" s="35"/>
      <c r="ET401" s="35"/>
      <c r="EU401" s="35"/>
      <c r="EV401" s="35"/>
      <c r="EW401" s="35"/>
      <c r="EX401" s="35"/>
      <c r="EY401" s="35"/>
      <c r="EZ401" s="35"/>
      <c r="FA401" s="35"/>
      <c r="FB401" s="35"/>
      <c r="FC401" s="35"/>
      <c r="FD401" s="35"/>
      <c r="FE401" s="35"/>
      <c r="FF401" s="35"/>
      <c r="FG401" s="35"/>
      <c r="FH401" s="35"/>
      <c r="FI401" s="35"/>
      <c r="FJ401" s="35"/>
      <c r="FK401" s="35"/>
      <c r="FL401" s="35"/>
      <c r="FM401" s="35"/>
      <c r="FN401" s="35"/>
      <c r="FO401" s="35"/>
      <c r="FP401" s="35"/>
      <c r="FQ401" s="35"/>
      <c r="FR401" s="35"/>
      <c r="FS401" s="35"/>
      <c r="FT401" s="35"/>
      <c r="FU401" s="35"/>
      <c r="FV401" s="35"/>
      <c r="FW401" s="35"/>
      <c r="FX401" s="35"/>
      <c r="FY401" s="35"/>
      <c r="FZ401" s="35"/>
      <c r="GA401" s="35"/>
      <c r="GB401" s="35"/>
      <c r="GC401" s="35"/>
      <c r="GD401" s="35"/>
      <c r="GE401" s="35"/>
      <c r="GF401" s="35"/>
      <c r="GG401" s="35"/>
      <c r="GH401" s="35"/>
      <c r="GI401" s="35"/>
      <c r="GJ401" s="35"/>
      <c r="GK401" s="35"/>
      <c r="GL401" s="35"/>
      <c r="GM401" s="35"/>
      <c r="GN401" s="35"/>
      <c r="GO401" s="35"/>
      <c r="GP401" s="35"/>
      <c r="GQ401" s="35"/>
      <c r="GR401" s="35"/>
      <c r="GS401" s="35"/>
      <c r="GT401" s="35"/>
      <c r="GU401" s="35"/>
      <c r="GV401" s="35"/>
      <c r="GW401" s="35"/>
      <c r="GX401" s="35"/>
      <c r="GY401" s="35"/>
      <c r="GZ401" s="35"/>
      <c r="HA401" s="35"/>
      <c r="HB401" s="35"/>
      <c r="HC401" s="35"/>
      <c r="HD401" s="35"/>
      <c r="HE401" s="35"/>
      <c r="HF401" s="35"/>
      <c r="HG401" s="35"/>
      <c r="HH401" s="35"/>
      <c r="HI401" s="35"/>
      <c r="HJ401" s="35"/>
      <c r="HK401" s="35"/>
      <c r="HL401" s="35"/>
      <c r="HM401" s="35"/>
      <c r="HN401" s="35"/>
      <c r="HO401" s="35"/>
      <c r="HP401" s="35"/>
      <c r="HQ401" s="35"/>
      <c r="HR401" s="35"/>
      <c r="HS401" s="35"/>
      <c r="HT401" s="35"/>
      <c r="HU401" s="35"/>
      <c r="HV401" s="35"/>
      <c r="HW401" s="35"/>
      <c r="HX401" s="35"/>
      <c r="HY401" s="35"/>
      <c r="HZ401" s="35"/>
      <c r="IA401" s="35"/>
      <c r="IB401" s="35"/>
      <c r="IC401" s="35"/>
      <c r="ID401" s="35"/>
      <c r="IE401" s="35"/>
      <c r="IF401" s="35"/>
      <c r="IG401" s="35"/>
      <c r="IH401" s="35"/>
      <c r="II401" s="35"/>
      <c r="IJ401" s="35"/>
      <c r="IK401" s="35"/>
      <c r="IL401" s="35"/>
      <c r="IM401" s="35"/>
      <c r="IN401" s="35"/>
      <c r="IO401" s="35"/>
      <c r="IP401" s="35"/>
      <c r="IQ401" s="35"/>
      <c r="IR401" s="35"/>
      <c r="IS401" s="35"/>
      <c r="IT401" s="35"/>
      <c r="IU401" s="35"/>
      <c r="IV401" s="35"/>
      <c r="IW401" s="35"/>
      <c r="IX401" s="35"/>
      <c r="IY401" s="35"/>
      <c r="IZ401" s="35"/>
      <c r="JA401" s="35"/>
      <c r="JB401" s="35"/>
      <c r="JC401" s="35"/>
      <c r="JD401" s="35"/>
      <c r="JE401" s="35"/>
      <c r="JF401" s="35"/>
      <c r="JG401" s="35"/>
      <c r="JH401" s="35"/>
      <c r="JI401" s="35"/>
      <c r="JJ401" s="35"/>
      <c r="JK401" s="35"/>
      <c r="JL401" s="35"/>
      <c r="JM401" s="35"/>
      <c r="JN401" s="35"/>
      <c r="JO401" s="35"/>
      <c r="JP401" s="35"/>
      <c r="JQ401" s="35"/>
      <c r="JR401" s="35"/>
      <c r="JS401" s="35"/>
      <c r="JT401" s="35"/>
      <c r="JU401" s="35"/>
      <c r="JV401" s="35"/>
      <c r="JW401" s="35"/>
      <c r="JX401" s="35"/>
      <c r="JY401" s="35"/>
      <c r="JZ401" s="35"/>
      <c r="KA401" s="35"/>
      <c r="KB401" s="35"/>
      <c r="KC401" s="35"/>
      <c r="KD401" s="35"/>
      <c r="KE401" s="35"/>
      <c r="KF401" s="35"/>
      <c r="KG401" s="35"/>
      <c r="KH401" s="35"/>
      <c r="KI401" s="35"/>
      <c r="KJ401" s="35"/>
      <c r="KK401" s="35"/>
      <c r="KL401" s="35"/>
      <c r="KM401" s="35"/>
      <c r="KN401" s="35"/>
      <c r="KO401" s="35"/>
      <c r="KP401" s="1633"/>
    </row>
    <row r="402" spans="1:302" s="92" customFormat="1" ht="25.25" customHeight="1" outlineLevel="1">
      <c r="A402" s="1676" t="s">
        <v>1275</v>
      </c>
      <c r="B402" s="1993" t="s">
        <v>1227</v>
      </c>
      <c r="C402" s="1359" t="s">
        <v>517</v>
      </c>
      <c r="D402" s="1670" t="s">
        <v>569</v>
      </c>
      <c r="E402" s="1389"/>
      <c r="F402" s="506"/>
      <c r="G402" s="1390"/>
      <c r="H402" s="1391"/>
      <c r="I402" s="2573">
        <v>1280000</v>
      </c>
      <c r="J402" s="1672"/>
      <c r="K402" s="1697"/>
      <c r="L402" s="1697"/>
      <c r="M402" s="1698">
        <v>40000</v>
      </c>
      <c r="N402" s="1697">
        <v>32</v>
      </c>
      <c r="O402" s="1397">
        <f t="shared" si="531"/>
        <v>1280000</v>
      </c>
      <c r="P402" s="1671"/>
      <c r="Q402" s="1671"/>
      <c r="R402" s="1671"/>
      <c r="S402" s="1672"/>
      <c r="T402" s="1699"/>
      <c r="U402" s="1700"/>
      <c r="V402" s="1700"/>
      <c r="W402" s="1672">
        <f t="shared" si="532"/>
        <v>1280000</v>
      </c>
      <c r="X402" s="1672"/>
      <c r="Y402" s="1699"/>
      <c r="Z402" s="1700"/>
      <c r="AA402" s="1699"/>
      <c r="AB402" s="2727">
        <f t="shared" si="533"/>
        <v>557000</v>
      </c>
      <c r="AC402" s="510"/>
      <c r="AD402" s="1467"/>
      <c r="AE402" s="510"/>
      <c r="AF402" s="497"/>
      <c r="AG402" s="511">
        <v>1</v>
      </c>
      <c r="AH402" s="1397">
        <f t="shared" ref="AH402" si="556">+AF402*AG402</f>
        <v>0</v>
      </c>
      <c r="AI402" s="355">
        <f t="shared" si="435"/>
        <v>0</v>
      </c>
      <c r="AJ402" s="351">
        <f t="shared" ref="AJ402" si="557">IF($AB402&lt;&gt;0,AI402/$AB402,"")</f>
        <v>0</v>
      </c>
      <c r="AK402" s="351"/>
      <c r="AL402" s="1398"/>
      <c r="AM402" s="2273"/>
      <c r="AN402" s="2273"/>
      <c r="AO402" s="497"/>
      <c r="AP402" s="497"/>
      <c r="AQ402" s="497"/>
      <c r="AR402" s="2507"/>
      <c r="AS402" s="2507"/>
      <c r="AT402" s="2725"/>
      <c r="AU402" s="2507"/>
      <c r="AV402" s="497"/>
      <c r="AW402" s="497"/>
      <c r="AX402" s="2715"/>
      <c r="AY402" s="2716"/>
      <c r="AZ402" s="2273"/>
      <c r="BA402" s="2011"/>
      <c r="BB402" s="497"/>
      <c r="BC402" s="497"/>
      <c r="BD402" s="497"/>
      <c r="BE402" s="497"/>
      <c r="BF402" s="497"/>
      <c r="BG402" s="497"/>
      <c r="BH402" s="497"/>
      <c r="BI402" s="497"/>
      <c r="BJ402" s="497"/>
      <c r="BK402" s="2137"/>
      <c r="BL402" s="2011"/>
      <c r="BM402" s="2011"/>
      <c r="BN402" s="2011"/>
      <c r="BO402" s="2011"/>
      <c r="BP402" s="2011"/>
      <c r="BQ402" s="2011"/>
      <c r="BR402" s="497"/>
      <c r="BS402" s="497"/>
      <c r="BT402" s="497"/>
      <c r="BU402" s="497"/>
      <c r="BV402" s="497"/>
      <c r="BW402" s="2417">
        <v>557000</v>
      </c>
      <c r="BX402" s="2417"/>
      <c r="BY402" s="2549"/>
      <c r="BZ402" s="2549"/>
      <c r="CA402" s="2435">
        <f t="shared" si="546"/>
        <v>557000</v>
      </c>
      <c r="CB402" s="2380">
        <f t="shared" si="547"/>
        <v>1</v>
      </c>
      <c r="CC402" s="365">
        <f t="shared" si="548"/>
        <v>1.7953321364452423E-6</v>
      </c>
      <c r="CD402" s="1380">
        <f t="shared" si="549"/>
        <v>0.56484374999999998</v>
      </c>
      <c r="CE402" s="1381">
        <f t="shared" si="550"/>
        <v>723000</v>
      </c>
      <c r="CF402" s="1381"/>
      <c r="CG402" s="501"/>
      <c r="CH402" s="502"/>
      <c r="CI402" s="503"/>
      <c r="CJ402" s="504"/>
      <c r="CK402" s="505"/>
      <c r="CL402" s="329">
        <f>O402-CA402</f>
        <v>723000</v>
      </c>
      <c r="CM402" s="330">
        <f t="shared" si="552"/>
        <v>0</v>
      </c>
      <c r="CN402" s="331">
        <f t="shared" si="517"/>
        <v>-557000</v>
      </c>
      <c r="CO402" s="86"/>
      <c r="CP402" s="86"/>
      <c r="CQ402" s="86"/>
      <c r="CR402" s="86"/>
      <c r="CS402" s="86"/>
      <c r="CT402" s="86"/>
      <c r="CU402" s="86"/>
      <c r="CV402" s="86"/>
      <c r="CW402" s="86"/>
      <c r="CX402" s="86"/>
      <c r="CY402" s="86"/>
      <c r="CZ402" s="86"/>
      <c r="DA402" s="86"/>
      <c r="DB402" s="32"/>
      <c r="DC402" s="32"/>
      <c r="DD402" s="1660"/>
      <c r="DE402" s="35"/>
      <c r="DF402" s="35"/>
      <c r="DG402" s="1642"/>
      <c r="DH402" s="1642"/>
      <c r="DI402" s="1642"/>
      <c r="DJ402" s="1642"/>
      <c r="DK402" s="1642"/>
      <c r="DL402" s="1642"/>
      <c r="DM402" s="1642"/>
      <c r="DN402" s="1642"/>
      <c r="DO402" s="1642"/>
      <c r="DP402" s="1642"/>
      <c r="DQ402" s="1642"/>
      <c r="DR402" s="1642"/>
      <c r="DS402" s="1642"/>
      <c r="DT402" s="1642"/>
      <c r="DU402" s="1642"/>
      <c r="DV402" s="1642"/>
      <c r="DW402" s="1642"/>
      <c r="DX402" s="1642"/>
      <c r="DY402" s="1642"/>
      <c r="DZ402" s="1642"/>
      <c r="EA402" s="1642"/>
      <c r="EB402" s="1642"/>
      <c r="EC402" s="1642"/>
      <c r="ED402" s="1642"/>
      <c r="EE402" s="1642"/>
      <c r="EF402" s="1642"/>
      <c r="EG402" s="1642"/>
      <c r="EH402" s="35"/>
      <c r="EI402" s="1658"/>
      <c r="EJ402" s="35"/>
      <c r="EK402" s="35"/>
      <c r="EL402" s="35"/>
      <c r="EM402" s="35"/>
      <c r="EN402" s="35"/>
      <c r="EO402" s="35"/>
      <c r="EP402" s="35"/>
      <c r="EQ402" s="35"/>
      <c r="ER402" s="35"/>
      <c r="ES402" s="35"/>
      <c r="ET402" s="35"/>
      <c r="EU402" s="35"/>
      <c r="EV402" s="35"/>
      <c r="EW402" s="35"/>
      <c r="EX402" s="35"/>
      <c r="EY402" s="35"/>
      <c r="EZ402" s="35"/>
      <c r="FA402" s="35"/>
      <c r="FB402" s="35"/>
      <c r="FC402" s="35"/>
      <c r="FD402" s="35"/>
      <c r="FE402" s="35"/>
      <c r="FF402" s="35"/>
      <c r="FG402" s="35"/>
      <c r="FH402" s="35"/>
      <c r="FI402" s="35"/>
      <c r="FJ402" s="35"/>
      <c r="FK402" s="35"/>
      <c r="FL402" s="35"/>
      <c r="FM402" s="35"/>
      <c r="FN402" s="35"/>
      <c r="FO402" s="35"/>
      <c r="FP402" s="35"/>
      <c r="FQ402" s="35"/>
      <c r="FR402" s="35"/>
      <c r="FS402" s="35"/>
      <c r="FT402" s="35"/>
      <c r="FU402" s="35"/>
      <c r="FV402" s="35"/>
      <c r="FW402" s="35"/>
      <c r="FX402" s="35"/>
      <c r="FY402" s="35"/>
      <c r="FZ402" s="35"/>
      <c r="GA402" s="35"/>
      <c r="GB402" s="35"/>
      <c r="GC402" s="35"/>
      <c r="GD402" s="35"/>
      <c r="GE402" s="35"/>
      <c r="GF402" s="35"/>
      <c r="GG402" s="35"/>
      <c r="GH402" s="35"/>
      <c r="GI402" s="35"/>
      <c r="GJ402" s="35"/>
      <c r="GK402" s="35"/>
      <c r="GL402" s="35"/>
      <c r="GM402" s="35"/>
      <c r="GN402" s="35"/>
      <c r="GO402" s="35"/>
      <c r="GP402" s="35"/>
      <c r="GQ402" s="35"/>
      <c r="GR402" s="35"/>
      <c r="GS402" s="35"/>
      <c r="GT402" s="35"/>
      <c r="GU402" s="35"/>
      <c r="GV402" s="35"/>
      <c r="GW402" s="35"/>
      <c r="GX402" s="35"/>
      <c r="GY402" s="35"/>
      <c r="GZ402" s="35"/>
      <c r="HA402" s="35"/>
      <c r="HB402" s="35"/>
      <c r="HC402" s="35"/>
      <c r="HD402" s="35"/>
      <c r="HE402" s="35"/>
      <c r="HF402" s="35"/>
      <c r="HG402" s="35"/>
      <c r="HH402" s="35"/>
      <c r="HI402" s="35"/>
      <c r="HJ402" s="35"/>
      <c r="HK402" s="35"/>
      <c r="HL402" s="35"/>
      <c r="HM402" s="35"/>
      <c r="HN402" s="35"/>
      <c r="HO402" s="35"/>
      <c r="HP402" s="35"/>
      <c r="HQ402" s="35"/>
      <c r="HR402" s="35"/>
      <c r="HS402" s="35"/>
      <c r="HT402" s="35"/>
      <c r="HU402" s="35"/>
      <c r="HV402" s="35"/>
      <c r="HW402" s="35"/>
      <c r="HX402" s="35"/>
      <c r="HY402" s="35"/>
      <c r="HZ402" s="35"/>
      <c r="IA402" s="35"/>
      <c r="IB402" s="35"/>
      <c r="IC402" s="35"/>
      <c r="ID402" s="35"/>
      <c r="IE402" s="35"/>
      <c r="IF402" s="35"/>
      <c r="IG402" s="35"/>
      <c r="IH402" s="35"/>
      <c r="II402" s="35"/>
      <c r="IJ402" s="35"/>
      <c r="IK402" s="35"/>
      <c r="IL402" s="35"/>
      <c r="IM402" s="35"/>
      <c r="IN402" s="35"/>
      <c r="IO402" s="35"/>
      <c r="IP402" s="35"/>
      <c r="IQ402" s="35"/>
      <c r="IR402" s="35"/>
      <c r="IS402" s="35"/>
      <c r="IT402" s="35"/>
      <c r="IU402" s="35"/>
      <c r="IV402" s="35"/>
      <c r="IW402" s="35"/>
      <c r="IX402" s="35"/>
      <c r="IY402" s="35"/>
      <c r="IZ402" s="35"/>
      <c r="JA402" s="35"/>
      <c r="JB402" s="35"/>
      <c r="JC402" s="35"/>
      <c r="JD402" s="35"/>
      <c r="JE402" s="35"/>
      <c r="JF402" s="35"/>
      <c r="JG402" s="35"/>
      <c r="JH402" s="35"/>
      <c r="JI402" s="35"/>
      <c r="JJ402" s="35"/>
      <c r="JK402" s="35"/>
      <c r="JL402" s="35"/>
      <c r="JM402" s="35"/>
      <c r="JN402" s="35"/>
      <c r="JO402" s="35"/>
      <c r="JP402" s="35"/>
      <c r="JQ402" s="35"/>
      <c r="JR402" s="35"/>
      <c r="JS402" s="35"/>
      <c r="JT402" s="35"/>
      <c r="JU402" s="35"/>
      <c r="JV402" s="35"/>
      <c r="JW402" s="35"/>
      <c r="JX402" s="35"/>
      <c r="JY402" s="35"/>
      <c r="JZ402" s="35"/>
      <c r="KA402" s="35"/>
      <c r="KB402" s="35"/>
      <c r="KC402" s="35"/>
      <c r="KD402" s="35"/>
      <c r="KE402" s="35"/>
      <c r="KF402" s="35"/>
      <c r="KG402" s="35"/>
      <c r="KH402" s="35"/>
      <c r="KI402" s="35"/>
      <c r="KJ402" s="35"/>
      <c r="KK402" s="35"/>
      <c r="KL402" s="35"/>
      <c r="KM402" s="35"/>
      <c r="KN402" s="35"/>
      <c r="KO402" s="35"/>
      <c r="KP402" s="1633"/>
    </row>
    <row r="403" spans="1:302" s="92" customFormat="1" ht="25.25" customHeight="1" outlineLevel="1">
      <c r="A403" s="1676" t="s">
        <v>1239</v>
      </c>
      <c r="B403" s="1993"/>
      <c r="C403" s="1359" t="s">
        <v>1303</v>
      </c>
      <c r="D403" s="1670" t="s">
        <v>569</v>
      </c>
      <c r="E403" s="1389"/>
      <c r="F403" s="506"/>
      <c r="G403" s="1390"/>
      <c r="H403" s="1391"/>
      <c r="I403" s="2573"/>
      <c r="J403" s="1672"/>
      <c r="K403" s="1697"/>
      <c r="L403" s="1697"/>
      <c r="M403" s="1698"/>
      <c r="N403" s="1697"/>
      <c r="O403" s="1397">
        <f t="shared" si="531"/>
        <v>0</v>
      </c>
      <c r="P403" s="1671"/>
      <c r="Q403" s="1671"/>
      <c r="R403" s="1671"/>
      <c r="S403" s="1672"/>
      <c r="T403" s="1699"/>
      <c r="U403" s="1700"/>
      <c r="V403" s="1700"/>
      <c r="W403" s="1672">
        <f t="shared" si="532"/>
        <v>0</v>
      </c>
      <c r="X403" s="1672"/>
      <c r="Y403" s="1699"/>
      <c r="Z403" s="1700"/>
      <c r="AA403" s="1699"/>
      <c r="AB403" s="1672">
        <f t="shared" si="533"/>
        <v>361499.99655019987</v>
      </c>
      <c r="AC403" s="510" t="s">
        <v>1241</v>
      </c>
      <c r="AD403" s="1467">
        <v>4502948806</v>
      </c>
      <c r="AE403" s="510" t="s">
        <v>564</v>
      </c>
      <c r="AF403" s="497">
        <v>361500</v>
      </c>
      <c r="AG403" s="511">
        <v>1</v>
      </c>
      <c r="AH403" s="1397">
        <f t="shared" ref="AH403:AH404" si="558">+AF403*AG403</f>
        <v>361500</v>
      </c>
      <c r="AI403" s="355">
        <f t="shared" ref="AI403:AI404" si="559">SUMIF($AM$10:$BZ$10,$AI$9,AM403:BZ403)</f>
        <v>15840</v>
      </c>
      <c r="AJ403" s="351">
        <f t="shared" ref="AJ403:AJ404" si="560">IF($AB403&lt;&gt;0,AI403/$AB403,"")</f>
        <v>4.3817427804042512E-2</v>
      </c>
      <c r="AK403" s="351"/>
      <c r="AL403" s="1398"/>
      <c r="AM403" s="2273"/>
      <c r="AN403" s="2775">
        <v>6750</v>
      </c>
      <c r="AO403" s="2823">
        <v>9090</v>
      </c>
      <c r="AP403" s="2823">
        <v>10305</v>
      </c>
      <c r="AQ403" s="497">
        <v>12931.034482700001</v>
      </c>
      <c r="AR403" s="497">
        <v>12931.034482700001</v>
      </c>
      <c r="AS403" s="497">
        <f>12931.0344827+2626.04</f>
        <v>15557.074482700002</v>
      </c>
      <c r="AT403" s="2714">
        <v>12931.034482700001</v>
      </c>
      <c r="AU403" s="497">
        <v>12931.034482700001</v>
      </c>
      <c r="AV403" s="497">
        <v>12931.034482700001</v>
      </c>
      <c r="AW403" s="497">
        <v>12931.034482700001</v>
      </c>
      <c r="AX403" s="2715">
        <v>12931.034482700001</v>
      </c>
      <c r="AY403" s="2716">
        <v>12931.034482700001</v>
      </c>
      <c r="AZ403" s="2273">
        <v>12931.034482700001</v>
      </c>
      <c r="BA403" s="2011">
        <v>12931.034482700001</v>
      </c>
      <c r="BB403" s="497">
        <v>12931.034482700001</v>
      </c>
      <c r="BC403" s="497">
        <v>12931.034482700001</v>
      </c>
      <c r="BD403" s="497">
        <v>12931.034482700001</v>
      </c>
      <c r="BE403" s="497">
        <v>12931.034482700001</v>
      </c>
      <c r="BF403" s="497">
        <v>12931.034482700001</v>
      </c>
      <c r="BG403" s="497">
        <v>12931.034482700001</v>
      </c>
      <c r="BH403" s="497">
        <v>12931.034482700001</v>
      </c>
      <c r="BI403" s="497">
        <v>12931.034482700001</v>
      </c>
      <c r="BJ403" s="497">
        <v>12931.034482700001</v>
      </c>
      <c r="BK403" s="2137">
        <v>12931.034482700001</v>
      </c>
      <c r="BL403" s="2011">
        <f>12931.0344827-2700</f>
        <v>10231.034482700001</v>
      </c>
      <c r="BM403" s="2011">
        <v>10231.034482700001</v>
      </c>
      <c r="BN403" s="2011">
        <v>10231.034482700001</v>
      </c>
      <c r="BO403" s="2011">
        <v>10231.034482700001</v>
      </c>
      <c r="BP403" s="2011">
        <v>10231.034482700001</v>
      </c>
      <c r="BQ403" s="2403">
        <f>6181.03+3841.03</f>
        <v>10022.06</v>
      </c>
      <c r="BR403" s="497"/>
      <c r="BS403" s="497"/>
      <c r="BT403" s="497"/>
      <c r="BU403" s="497"/>
      <c r="BV403" s="497"/>
      <c r="BW403" s="2060"/>
      <c r="BX403" s="2417"/>
      <c r="BY403" s="2549"/>
      <c r="BZ403" s="2549"/>
      <c r="CA403" s="2435">
        <f t="shared" si="484"/>
        <v>345659.99655019987</v>
      </c>
      <c r="CB403" s="2380">
        <f t="shared" si="485"/>
        <v>0.95618257219595748</v>
      </c>
      <c r="CC403" s="365">
        <f t="shared" si="486"/>
        <v>2.6450417187298002E-6</v>
      </c>
      <c r="CD403" s="1380" t="str">
        <f t="shared" si="487"/>
        <v>0,00%</v>
      </c>
      <c r="CE403" s="1381">
        <f t="shared" si="488"/>
        <v>-361499.99655019987</v>
      </c>
      <c r="CF403" s="1381"/>
      <c r="CG403" s="501"/>
      <c r="CH403" s="502"/>
      <c r="CI403" s="503"/>
      <c r="CJ403" s="504"/>
      <c r="CK403" s="505"/>
      <c r="CL403" s="329">
        <f t="shared" si="551"/>
        <v>-345659.99655019987</v>
      </c>
      <c r="CM403" s="330">
        <f t="shared" si="552"/>
        <v>0</v>
      </c>
      <c r="CN403" s="331">
        <f t="shared" si="517"/>
        <v>-216349.64620589989</v>
      </c>
      <c r="CO403" s="86"/>
      <c r="CP403" s="86"/>
      <c r="CQ403" s="86"/>
      <c r="CR403" s="86"/>
      <c r="CS403" s="86"/>
      <c r="CT403" s="86"/>
      <c r="CU403" s="86"/>
      <c r="CV403" s="86"/>
      <c r="CW403" s="86"/>
      <c r="CX403" s="86"/>
      <c r="CY403" s="86"/>
      <c r="CZ403" s="86"/>
      <c r="DA403" s="86"/>
      <c r="DB403" s="32"/>
      <c r="DC403" s="32"/>
      <c r="DD403" s="1660"/>
      <c r="DE403" s="35"/>
      <c r="DF403" s="35"/>
      <c r="DG403" s="1642"/>
      <c r="DH403" s="1642"/>
      <c r="DI403" s="1642"/>
      <c r="DJ403" s="1642"/>
      <c r="DK403" s="1642"/>
      <c r="DL403" s="1642"/>
      <c r="DM403" s="1642"/>
      <c r="DN403" s="1642"/>
      <c r="DO403" s="1642"/>
      <c r="DP403" s="1642"/>
      <c r="DQ403" s="1642"/>
      <c r="DR403" s="1642"/>
      <c r="DS403" s="1642"/>
      <c r="DT403" s="1642"/>
      <c r="DU403" s="1642"/>
      <c r="DV403" s="1642"/>
      <c r="DW403" s="1642"/>
      <c r="DX403" s="1642"/>
      <c r="DY403" s="1642"/>
      <c r="DZ403" s="1642"/>
      <c r="EA403" s="1642"/>
      <c r="EB403" s="1642"/>
      <c r="EC403" s="1642"/>
      <c r="ED403" s="1642"/>
      <c r="EE403" s="1642"/>
      <c r="EF403" s="1642"/>
      <c r="EG403" s="1642"/>
      <c r="EH403" s="35"/>
      <c r="EI403" s="1658"/>
      <c r="EJ403" s="35"/>
      <c r="EK403" s="35"/>
      <c r="EL403" s="35"/>
      <c r="EM403" s="35"/>
      <c r="EN403" s="35"/>
      <c r="EO403" s="35"/>
      <c r="EP403" s="35"/>
      <c r="EQ403" s="35"/>
      <c r="ER403" s="35"/>
      <c r="ES403" s="35"/>
      <c r="ET403" s="35"/>
      <c r="EU403" s="35"/>
      <c r="EV403" s="35"/>
      <c r="EW403" s="35"/>
      <c r="EX403" s="35"/>
      <c r="EY403" s="35"/>
      <c r="EZ403" s="35"/>
      <c r="FA403" s="35"/>
      <c r="FB403" s="35"/>
      <c r="FC403" s="35"/>
      <c r="FD403" s="35"/>
      <c r="FE403" s="35"/>
      <c r="FF403" s="35"/>
      <c r="FG403" s="35"/>
      <c r="FH403" s="35"/>
      <c r="FI403" s="35"/>
      <c r="FJ403" s="35"/>
      <c r="FK403" s="35"/>
      <c r="FL403" s="35"/>
      <c r="FM403" s="35"/>
      <c r="FN403" s="35"/>
      <c r="FO403" s="35"/>
      <c r="FP403" s="35"/>
      <c r="FQ403" s="35"/>
      <c r="FR403" s="35"/>
      <c r="FS403" s="35"/>
      <c r="FT403" s="35"/>
      <c r="FU403" s="35"/>
      <c r="FV403" s="35"/>
      <c r="FW403" s="35"/>
      <c r="FX403" s="35"/>
      <c r="FY403" s="35"/>
      <c r="FZ403" s="35"/>
      <c r="GA403" s="35"/>
      <c r="GB403" s="35"/>
      <c r="GC403" s="35"/>
      <c r="GD403" s="35"/>
      <c r="GE403" s="35"/>
      <c r="GF403" s="35"/>
      <c r="GG403" s="35"/>
      <c r="GH403" s="35"/>
      <c r="GI403" s="35"/>
      <c r="GJ403" s="35"/>
      <c r="GK403" s="35"/>
      <c r="GL403" s="35"/>
      <c r="GM403" s="35"/>
      <c r="GN403" s="35"/>
      <c r="GO403" s="35"/>
      <c r="GP403" s="35"/>
      <c r="GQ403" s="35"/>
      <c r="GR403" s="35"/>
      <c r="GS403" s="35"/>
      <c r="GT403" s="35"/>
      <c r="GU403" s="35"/>
      <c r="GV403" s="35"/>
      <c r="GW403" s="35"/>
      <c r="GX403" s="35"/>
      <c r="GY403" s="35"/>
      <c r="GZ403" s="35"/>
      <c r="HA403" s="35"/>
      <c r="HB403" s="35"/>
      <c r="HC403" s="35"/>
      <c r="HD403" s="35"/>
      <c r="HE403" s="35"/>
      <c r="HF403" s="35"/>
      <c r="HG403" s="35"/>
      <c r="HH403" s="35"/>
      <c r="HI403" s="35"/>
      <c r="HJ403" s="35"/>
      <c r="HK403" s="35"/>
      <c r="HL403" s="35"/>
      <c r="HM403" s="35"/>
      <c r="HN403" s="35"/>
      <c r="HO403" s="35"/>
      <c r="HP403" s="35"/>
      <c r="HQ403" s="35"/>
      <c r="HR403" s="35"/>
      <c r="HS403" s="35"/>
      <c r="HT403" s="35"/>
      <c r="HU403" s="35"/>
      <c r="HV403" s="35"/>
      <c r="HW403" s="35"/>
      <c r="HX403" s="35"/>
      <c r="HY403" s="35"/>
      <c r="HZ403" s="35"/>
      <c r="IA403" s="35"/>
      <c r="IB403" s="35"/>
      <c r="IC403" s="35"/>
      <c r="ID403" s="35"/>
      <c r="IE403" s="35"/>
      <c r="IF403" s="35"/>
      <c r="IG403" s="35"/>
      <c r="IH403" s="35"/>
      <c r="II403" s="35"/>
      <c r="IJ403" s="35"/>
      <c r="IK403" s="35"/>
      <c r="IL403" s="35"/>
      <c r="IM403" s="35"/>
      <c r="IN403" s="35"/>
      <c r="IO403" s="35"/>
      <c r="IP403" s="35"/>
      <c r="IQ403" s="35"/>
      <c r="IR403" s="35"/>
      <c r="IS403" s="35"/>
      <c r="IT403" s="35"/>
      <c r="IU403" s="35"/>
      <c r="IV403" s="35"/>
      <c r="IW403" s="35"/>
      <c r="IX403" s="35"/>
      <c r="IY403" s="35"/>
      <c r="IZ403" s="35"/>
      <c r="JA403" s="35"/>
      <c r="JB403" s="35"/>
      <c r="JC403" s="35"/>
      <c r="JD403" s="35"/>
      <c r="JE403" s="35"/>
      <c r="JF403" s="35"/>
      <c r="JG403" s="35"/>
      <c r="JH403" s="35"/>
      <c r="JI403" s="35"/>
      <c r="JJ403" s="35"/>
      <c r="JK403" s="35"/>
      <c r="JL403" s="35"/>
      <c r="JM403" s="35"/>
      <c r="JN403" s="35"/>
      <c r="JO403" s="35"/>
      <c r="JP403" s="35"/>
      <c r="JQ403" s="35"/>
      <c r="JR403" s="35"/>
      <c r="JS403" s="35"/>
      <c r="JT403" s="35"/>
      <c r="JU403" s="35"/>
      <c r="JV403" s="35"/>
      <c r="JW403" s="35"/>
      <c r="JX403" s="35"/>
      <c r="JY403" s="35"/>
      <c r="JZ403" s="35"/>
      <c r="KA403" s="35"/>
      <c r="KB403" s="35"/>
      <c r="KC403" s="35"/>
      <c r="KD403" s="35"/>
      <c r="KE403" s="35"/>
      <c r="KF403" s="35"/>
      <c r="KG403" s="35"/>
      <c r="KH403" s="35"/>
      <c r="KI403" s="35"/>
      <c r="KJ403" s="35"/>
      <c r="KK403" s="35"/>
      <c r="KL403" s="35"/>
      <c r="KM403" s="35"/>
      <c r="KN403" s="35"/>
      <c r="KO403" s="35"/>
      <c r="KP403" s="1633"/>
    </row>
    <row r="404" spans="1:302" s="92" customFormat="1" ht="25.25" customHeight="1" outlineLevel="1">
      <c r="A404" s="1676" t="s">
        <v>1240</v>
      </c>
      <c r="B404" s="1993"/>
      <c r="C404" s="1359" t="s">
        <v>1304</v>
      </c>
      <c r="D404" s="1670" t="s">
        <v>569</v>
      </c>
      <c r="E404" s="1389"/>
      <c r="F404" s="506"/>
      <c r="G404" s="1390"/>
      <c r="H404" s="1391"/>
      <c r="I404" s="2573"/>
      <c r="J404" s="1672"/>
      <c r="K404" s="1697"/>
      <c r="L404" s="1697"/>
      <c r="M404" s="1698"/>
      <c r="N404" s="1697"/>
      <c r="O404" s="1397">
        <f t="shared" si="531"/>
        <v>0</v>
      </c>
      <c r="P404" s="1671"/>
      <c r="Q404" s="1671"/>
      <c r="R404" s="1671"/>
      <c r="S404" s="1672"/>
      <c r="T404" s="1699"/>
      <c r="U404" s="1700"/>
      <c r="V404" s="1700"/>
      <c r="W404" s="1672">
        <f t="shared" si="532"/>
        <v>0</v>
      </c>
      <c r="X404" s="1672"/>
      <c r="Y404" s="1699"/>
      <c r="Z404" s="1700"/>
      <c r="AA404" s="1699"/>
      <c r="AB404" s="1672">
        <f t="shared" si="533"/>
        <v>361499.99655019987</v>
      </c>
      <c r="AC404" s="510" t="s">
        <v>1242</v>
      </c>
      <c r="AD404" s="1467">
        <v>4502948820</v>
      </c>
      <c r="AE404" s="510" t="s">
        <v>564</v>
      </c>
      <c r="AF404" s="497">
        <v>361500</v>
      </c>
      <c r="AG404" s="511">
        <v>1</v>
      </c>
      <c r="AH404" s="1397">
        <f t="shared" si="558"/>
        <v>361500</v>
      </c>
      <c r="AI404" s="355">
        <f t="shared" si="559"/>
        <v>15840</v>
      </c>
      <c r="AJ404" s="351">
        <f t="shared" si="560"/>
        <v>4.3817427804042512E-2</v>
      </c>
      <c r="AK404" s="351"/>
      <c r="AL404" s="1398"/>
      <c r="AM404" s="2273"/>
      <c r="AN404" s="2775">
        <v>6750</v>
      </c>
      <c r="AO404" s="2823">
        <v>9090</v>
      </c>
      <c r="AP404" s="2823">
        <v>10305</v>
      </c>
      <c r="AQ404" s="497">
        <v>12931.034482700001</v>
      </c>
      <c r="AR404" s="497">
        <v>12931.034482700001</v>
      </c>
      <c r="AS404" s="497">
        <f>12931.0344827+2626.04</f>
        <v>15557.074482700002</v>
      </c>
      <c r="AT404" s="2714">
        <v>12931.034482700001</v>
      </c>
      <c r="AU404" s="497">
        <v>12931.034482700001</v>
      </c>
      <c r="AV404" s="497">
        <v>12931.034482700001</v>
      </c>
      <c r="AW404" s="497">
        <v>12931.034482700001</v>
      </c>
      <c r="AX404" s="2715">
        <v>12931.034482700001</v>
      </c>
      <c r="AY404" s="2716">
        <v>12931.034482700001</v>
      </c>
      <c r="AZ404" s="2273">
        <v>12931.034482700001</v>
      </c>
      <c r="BA404" s="2011">
        <v>12931.034482700001</v>
      </c>
      <c r="BB404" s="497">
        <v>12931.034482700001</v>
      </c>
      <c r="BC404" s="497">
        <v>12931.034482700001</v>
      </c>
      <c r="BD404" s="497">
        <v>12931.034482700001</v>
      </c>
      <c r="BE404" s="497">
        <v>12931.034482700001</v>
      </c>
      <c r="BF404" s="497">
        <v>12931.034482700001</v>
      </c>
      <c r="BG404" s="497">
        <v>12931.034482700001</v>
      </c>
      <c r="BH404" s="497">
        <v>12931.034482700001</v>
      </c>
      <c r="BI404" s="497">
        <v>12931.034482700001</v>
      </c>
      <c r="BJ404" s="497">
        <v>12931.034482700001</v>
      </c>
      <c r="BK404" s="2137">
        <v>12931.034482700001</v>
      </c>
      <c r="BL404" s="2011">
        <v>10231.034482700001</v>
      </c>
      <c r="BM404" s="2011">
        <v>10231.034482700001</v>
      </c>
      <c r="BN404" s="2011">
        <v>10231.034482700001</v>
      </c>
      <c r="BO404" s="2011">
        <v>10231.034482700001</v>
      </c>
      <c r="BP404" s="2011">
        <v>10231.034482700001</v>
      </c>
      <c r="BQ404" s="2403">
        <f>6181.03+3841.03</f>
        <v>10022.06</v>
      </c>
      <c r="BR404" s="497"/>
      <c r="BS404" s="497"/>
      <c r="BT404" s="497"/>
      <c r="BU404" s="497"/>
      <c r="BV404" s="497"/>
      <c r="BW404" s="2060"/>
      <c r="BX404" s="2417"/>
      <c r="BY404" s="2549"/>
      <c r="BZ404" s="2549"/>
      <c r="CA404" s="2435">
        <f t="shared" si="484"/>
        <v>345659.99655019987</v>
      </c>
      <c r="CB404" s="2380">
        <f t="shared" si="485"/>
        <v>0.95618257219595748</v>
      </c>
      <c r="CC404" s="365">
        <f t="shared" si="486"/>
        <v>2.6450417187298002E-6</v>
      </c>
      <c r="CD404" s="1380" t="str">
        <f t="shared" si="487"/>
        <v>0,00%</v>
      </c>
      <c r="CE404" s="1381">
        <f t="shared" si="488"/>
        <v>-361499.99655019987</v>
      </c>
      <c r="CF404" s="1381"/>
      <c r="CG404" s="501"/>
      <c r="CH404" s="502"/>
      <c r="CI404" s="503"/>
      <c r="CJ404" s="504"/>
      <c r="CK404" s="505"/>
      <c r="CL404" s="329">
        <f t="shared" si="551"/>
        <v>-345659.99655019987</v>
      </c>
      <c r="CM404" s="330">
        <f t="shared" si="552"/>
        <v>0</v>
      </c>
      <c r="CN404" s="331">
        <f t="shared" si="517"/>
        <v>-216349.64620589989</v>
      </c>
      <c r="CO404" s="86"/>
      <c r="CP404" s="86"/>
      <c r="CQ404" s="86"/>
      <c r="CR404" s="86"/>
      <c r="CS404" s="86"/>
      <c r="CT404" s="86"/>
      <c r="CU404" s="86"/>
      <c r="CV404" s="86"/>
      <c r="CW404" s="86"/>
      <c r="CX404" s="86"/>
      <c r="CY404" s="86"/>
      <c r="CZ404" s="86"/>
      <c r="DA404" s="86"/>
      <c r="DB404" s="32"/>
      <c r="DC404" s="32"/>
      <c r="DD404" s="1660"/>
      <c r="DE404" s="35"/>
      <c r="DF404" s="35"/>
      <c r="DG404" s="1642"/>
      <c r="DH404" s="1642"/>
      <c r="DI404" s="1642"/>
      <c r="DJ404" s="1642"/>
      <c r="DK404" s="1642"/>
      <c r="DL404" s="1642"/>
      <c r="DM404" s="1642"/>
      <c r="DN404" s="1642"/>
      <c r="DO404" s="1642"/>
      <c r="DP404" s="1642"/>
      <c r="DQ404" s="1642"/>
      <c r="DR404" s="1642"/>
      <c r="DS404" s="1642"/>
      <c r="DT404" s="1642"/>
      <c r="DU404" s="1642"/>
      <c r="DV404" s="1642"/>
      <c r="DW404" s="1642"/>
      <c r="DX404" s="1642"/>
      <c r="DY404" s="1642"/>
      <c r="DZ404" s="1642"/>
      <c r="EA404" s="1642"/>
      <c r="EB404" s="1642"/>
      <c r="EC404" s="1642"/>
      <c r="ED404" s="1642"/>
      <c r="EE404" s="1642"/>
      <c r="EF404" s="1642"/>
      <c r="EG404" s="1642"/>
      <c r="EH404" s="35"/>
      <c r="EI404" s="1658"/>
      <c r="EJ404" s="35"/>
      <c r="EK404" s="35"/>
      <c r="EL404" s="35"/>
      <c r="EM404" s="35"/>
      <c r="EN404" s="35"/>
      <c r="EO404" s="35"/>
      <c r="EP404" s="35"/>
      <c r="EQ404" s="35"/>
      <c r="ER404" s="35"/>
      <c r="ES404" s="35"/>
      <c r="ET404" s="35"/>
      <c r="EU404" s="35"/>
      <c r="EV404" s="35"/>
      <c r="EW404" s="35"/>
      <c r="EX404" s="35"/>
      <c r="EY404" s="35"/>
      <c r="EZ404" s="35"/>
      <c r="FA404" s="35"/>
      <c r="FB404" s="35"/>
      <c r="FC404" s="35"/>
      <c r="FD404" s="35"/>
      <c r="FE404" s="35"/>
      <c r="FF404" s="35"/>
      <c r="FG404" s="35"/>
      <c r="FH404" s="35"/>
      <c r="FI404" s="35"/>
      <c r="FJ404" s="35"/>
      <c r="FK404" s="35"/>
      <c r="FL404" s="35"/>
      <c r="FM404" s="35"/>
      <c r="FN404" s="35"/>
      <c r="FO404" s="35"/>
      <c r="FP404" s="35"/>
      <c r="FQ404" s="35"/>
      <c r="FR404" s="35"/>
      <c r="FS404" s="35"/>
      <c r="FT404" s="35"/>
      <c r="FU404" s="35"/>
      <c r="FV404" s="35"/>
      <c r="FW404" s="35"/>
      <c r="FX404" s="35"/>
      <c r="FY404" s="35"/>
      <c r="FZ404" s="35"/>
      <c r="GA404" s="35"/>
      <c r="GB404" s="35"/>
      <c r="GC404" s="35"/>
      <c r="GD404" s="35"/>
      <c r="GE404" s="35"/>
      <c r="GF404" s="35"/>
      <c r="GG404" s="35"/>
      <c r="GH404" s="35"/>
      <c r="GI404" s="35"/>
      <c r="GJ404" s="35"/>
      <c r="GK404" s="35"/>
      <c r="GL404" s="35"/>
      <c r="GM404" s="35"/>
      <c r="GN404" s="35"/>
      <c r="GO404" s="35"/>
      <c r="GP404" s="35"/>
      <c r="GQ404" s="35"/>
      <c r="GR404" s="35"/>
      <c r="GS404" s="35"/>
      <c r="GT404" s="35"/>
      <c r="GU404" s="35"/>
      <c r="GV404" s="35"/>
      <c r="GW404" s="35"/>
      <c r="GX404" s="35"/>
      <c r="GY404" s="35"/>
      <c r="GZ404" s="35"/>
      <c r="HA404" s="35"/>
      <c r="HB404" s="35"/>
      <c r="HC404" s="35"/>
      <c r="HD404" s="35"/>
      <c r="HE404" s="35"/>
      <c r="HF404" s="35"/>
      <c r="HG404" s="35"/>
      <c r="HH404" s="35"/>
      <c r="HI404" s="35"/>
      <c r="HJ404" s="35"/>
      <c r="HK404" s="35"/>
      <c r="HL404" s="35"/>
      <c r="HM404" s="35"/>
      <c r="HN404" s="35"/>
      <c r="HO404" s="35"/>
      <c r="HP404" s="35"/>
      <c r="HQ404" s="35"/>
      <c r="HR404" s="35"/>
      <c r="HS404" s="35"/>
      <c r="HT404" s="35"/>
      <c r="HU404" s="35"/>
      <c r="HV404" s="35"/>
      <c r="HW404" s="35"/>
      <c r="HX404" s="35"/>
      <c r="HY404" s="35"/>
      <c r="HZ404" s="35"/>
      <c r="IA404" s="35"/>
      <c r="IB404" s="35"/>
      <c r="IC404" s="35"/>
      <c r="ID404" s="35"/>
      <c r="IE404" s="35"/>
      <c r="IF404" s="35"/>
      <c r="IG404" s="35"/>
      <c r="IH404" s="35"/>
      <c r="II404" s="35"/>
      <c r="IJ404" s="35"/>
      <c r="IK404" s="35"/>
      <c r="IL404" s="35"/>
      <c r="IM404" s="35"/>
      <c r="IN404" s="35"/>
      <c r="IO404" s="35"/>
      <c r="IP404" s="35"/>
      <c r="IQ404" s="35"/>
      <c r="IR404" s="35"/>
      <c r="IS404" s="35"/>
      <c r="IT404" s="35"/>
      <c r="IU404" s="35"/>
      <c r="IV404" s="35"/>
      <c r="IW404" s="35"/>
      <c r="IX404" s="35"/>
      <c r="IY404" s="35"/>
      <c r="IZ404" s="35"/>
      <c r="JA404" s="35"/>
      <c r="JB404" s="35"/>
      <c r="JC404" s="35"/>
      <c r="JD404" s="35"/>
      <c r="JE404" s="35"/>
      <c r="JF404" s="35"/>
      <c r="JG404" s="35"/>
      <c r="JH404" s="35"/>
      <c r="JI404" s="35"/>
      <c r="JJ404" s="35"/>
      <c r="JK404" s="35"/>
      <c r="JL404" s="35"/>
      <c r="JM404" s="35"/>
      <c r="JN404" s="35"/>
      <c r="JO404" s="35"/>
      <c r="JP404" s="35"/>
      <c r="JQ404" s="35"/>
      <c r="JR404" s="35"/>
      <c r="JS404" s="35"/>
      <c r="JT404" s="35"/>
      <c r="JU404" s="35"/>
      <c r="JV404" s="35"/>
      <c r="JW404" s="35"/>
      <c r="JX404" s="35"/>
      <c r="JY404" s="35"/>
      <c r="JZ404" s="35"/>
      <c r="KA404" s="35"/>
      <c r="KB404" s="35"/>
      <c r="KC404" s="35"/>
      <c r="KD404" s="35"/>
      <c r="KE404" s="35"/>
      <c r="KF404" s="35"/>
      <c r="KG404" s="35"/>
      <c r="KH404" s="35"/>
      <c r="KI404" s="35"/>
      <c r="KJ404" s="35"/>
      <c r="KK404" s="35"/>
      <c r="KL404" s="35"/>
      <c r="KM404" s="35"/>
      <c r="KN404" s="35"/>
      <c r="KO404" s="35"/>
      <c r="KP404" s="1633"/>
    </row>
    <row r="405" spans="1:302" s="92" customFormat="1" ht="25.25" customHeight="1" outlineLevel="1">
      <c r="A405" s="2668" t="s">
        <v>206</v>
      </c>
      <c r="B405" s="1367"/>
      <c r="C405" s="1405" t="s">
        <v>313</v>
      </c>
      <c r="D405" s="1406" t="s">
        <v>314</v>
      </c>
      <c r="E405" s="1382"/>
      <c r="F405" s="1356"/>
      <c r="G405" s="1383"/>
      <c r="H405" s="1384"/>
      <c r="I405" s="1693"/>
      <c r="J405" s="1693"/>
      <c r="K405" s="1695"/>
      <c r="L405" s="1695"/>
      <c r="M405" s="1696"/>
      <c r="N405" s="1695"/>
      <c r="O405" s="1358">
        <f t="shared" si="466"/>
        <v>0</v>
      </c>
      <c r="P405" s="1693"/>
      <c r="Q405" s="1693"/>
      <c r="R405" s="1693"/>
      <c r="S405" s="1693"/>
      <c r="T405" s="1695"/>
      <c r="U405" s="1695"/>
      <c r="V405" s="1695"/>
      <c r="W405" s="1693">
        <f t="shared" si="350"/>
        <v>0</v>
      </c>
      <c r="X405" s="1693"/>
      <c r="Y405" s="1695"/>
      <c r="Z405" s="1695"/>
      <c r="AA405" s="1695"/>
      <c r="AB405" s="1693">
        <f>SUM(AN405:BZ405)</f>
        <v>0</v>
      </c>
      <c r="AC405" s="1445"/>
      <c r="AD405" s="1470"/>
      <c r="AE405" s="1357"/>
      <c r="AF405" s="1358"/>
      <c r="AG405" s="1404"/>
      <c r="AH405" s="1358">
        <f t="shared" si="351"/>
        <v>0</v>
      </c>
      <c r="AI405" s="1386">
        <f t="shared" si="435"/>
        <v>0</v>
      </c>
      <c r="AJ405" s="1387" t="str">
        <f t="shared" si="467"/>
        <v/>
      </c>
      <c r="AK405" s="1387"/>
      <c r="AL405" s="1388"/>
      <c r="AM405" s="2270"/>
      <c r="AN405" s="2270"/>
      <c r="AO405" s="1358"/>
      <c r="AP405" s="1358"/>
      <c r="AQ405" s="1358"/>
      <c r="AR405" s="1358"/>
      <c r="AS405" s="1358"/>
      <c r="AT405" s="2014"/>
      <c r="AU405" s="1358"/>
      <c r="AV405" s="1358"/>
      <c r="AW405" s="1358"/>
      <c r="AX405" s="1705"/>
      <c r="AY405" s="2326"/>
      <c r="AZ405" s="2270"/>
      <c r="BA405" s="2010"/>
      <c r="BB405" s="1358"/>
      <c r="BC405" s="1358"/>
      <c r="BD405" s="1358"/>
      <c r="BE405" s="1358"/>
      <c r="BF405" s="1358"/>
      <c r="BG405" s="1358"/>
      <c r="BH405" s="1358"/>
      <c r="BI405" s="1358"/>
      <c r="BJ405" s="1358"/>
      <c r="BK405" s="2134"/>
      <c r="BL405" s="2010"/>
      <c r="BM405" s="2010"/>
      <c r="BN405" s="2010"/>
      <c r="BO405" s="2010"/>
      <c r="BP405" s="2010"/>
      <c r="BQ405" s="2402"/>
      <c r="BR405" s="1358"/>
      <c r="BS405" s="1358"/>
      <c r="BT405" s="1358"/>
      <c r="BU405" s="1358"/>
      <c r="BV405" s="1358"/>
      <c r="BW405" s="2055"/>
      <c r="BX405" s="2416"/>
      <c r="BY405" s="2551"/>
      <c r="BZ405" s="2551"/>
      <c r="CA405" s="2435">
        <f t="shared" si="484"/>
        <v>0</v>
      </c>
      <c r="CB405" s="2380" t="str">
        <f t="shared" si="485"/>
        <v/>
      </c>
      <c r="CC405" s="365" t="str">
        <f t="shared" si="486"/>
        <v/>
      </c>
      <c r="CD405" s="1380" t="str">
        <f t="shared" si="487"/>
        <v>0,00%</v>
      </c>
      <c r="CE405" s="1381">
        <f t="shared" si="488"/>
        <v>0</v>
      </c>
      <c r="CF405" s="1381"/>
      <c r="CG405" s="501"/>
      <c r="CH405" s="502"/>
      <c r="CI405" s="503"/>
      <c r="CJ405" s="504"/>
      <c r="CK405" s="505"/>
      <c r="CL405" s="329">
        <f t="shared" si="551"/>
        <v>0</v>
      </c>
      <c r="CM405" s="330">
        <f t="shared" si="552"/>
        <v>0</v>
      </c>
      <c r="CN405" s="331">
        <f t="shared" si="517"/>
        <v>0</v>
      </c>
      <c r="CO405" s="86"/>
      <c r="CP405" s="86"/>
      <c r="CQ405" s="86"/>
      <c r="CR405" s="86"/>
      <c r="CS405" s="86"/>
      <c r="CT405" s="86"/>
      <c r="CU405" s="86"/>
      <c r="CV405" s="86"/>
      <c r="CW405" s="86"/>
      <c r="CX405" s="86"/>
      <c r="CY405" s="86"/>
      <c r="CZ405" s="86"/>
      <c r="DA405" s="86"/>
      <c r="DB405" s="32"/>
      <c r="DC405" s="32"/>
      <c r="DD405" s="1660"/>
      <c r="DE405" s="35"/>
      <c r="DF405" s="35"/>
      <c r="DG405" s="1642"/>
      <c r="DH405" s="1642"/>
      <c r="DI405" s="1642"/>
      <c r="DJ405" s="1642"/>
      <c r="DK405" s="1642"/>
      <c r="DL405" s="1642"/>
      <c r="DM405" s="1642"/>
      <c r="DN405" s="1642"/>
      <c r="DO405" s="1642"/>
      <c r="DP405" s="1642"/>
      <c r="DQ405" s="1642"/>
      <c r="DR405" s="1642"/>
      <c r="DS405" s="1642"/>
      <c r="DT405" s="1642"/>
      <c r="DU405" s="1642"/>
      <c r="DV405" s="1642"/>
      <c r="DW405" s="1642"/>
      <c r="DX405" s="1642"/>
      <c r="DY405" s="1642"/>
      <c r="DZ405" s="1642"/>
      <c r="EA405" s="1642"/>
      <c r="EB405" s="1642"/>
      <c r="EC405" s="1642"/>
      <c r="ED405" s="1642"/>
      <c r="EE405" s="1642"/>
      <c r="EF405" s="1642"/>
      <c r="EG405" s="1642"/>
      <c r="EH405" s="35"/>
      <c r="EI405" s="1658"/>
      <c r="EJ405" s="35"/>
      <c r="EK405" s="35"/>
      <c r="EL405" s="35"/>
      <c r="EM405" s="35"/>
      <c r="EN405" s="35"/>
      <c r="EO405" s="35"/>
      <c r="EP405" s="35"/>
      <c r="EQ405" s="35"/>
      <c r="ER405" s="35"/>
      <c r="ES405" s="35"/>
      <c r="ET405" s="35"/>
      <c r="EU405" s="35"/>
      <c r="EV405" s="35"/>
      <c r="EW405" s="35"/>
      <c r="EX405" s="35"/>
      <c r="EY405" s="35"/>
      <c r="EZ405" s="35"/>
      <c r="FA405" s="35"/>
      <c r="FB405" s="35"/>
      <c r="FC405" s="35"/>
      <c r="FD405" s="35"/>
      <c r="FE405" s="35"/>
      <c r="FF405" s="35"/>
      <c r="FG405" s="35"/>
      <c r="FH405" s="35"/>
      <c r="FI405" s="35"/>
      <c r="FJ405" s="35"/>
      <c r="FK405" s="35"/>
      <c r="FL405" s="35"/>
      <c r="FM405" s="35"/>
      <c r="FN405" s="35"/>
      <c r="FO405" s="35"/>
      <c r="FP405" s="35"/>
      <c r="FQ405" s="35"/>
      <c r="FR405" s="35"/>
      <c r="FS405" s="35"/>
      <c r="FT405" s="35"/>
      <c r="FU405" s="35"/>
      <c r="FV405" s="35"/>
      <c r="FW405" s="35"/>
      <c r="FX405" s="35"/>
      <c r="FY405" s="35"/>
      <c r="FZ405" s="35"/>
      <c r="GA405" s="35"/>
      <c r="GB405" s="35"/>
      <c r="GC405" s="35"/>
      <c r="GD405" s="35"/>
      <c r="GE405" s="35"/>
      <c r="GF405" s="35"/>
      <c r="GG405" s="35"/>
      <c r="GH405" s="35"/>
      <c r="GI405" s="35"/>
      <c r="GJ405" s="35"/>
      <c r="GK405" s="35"/>
      <c r="GL405" s="35"/>
      <c r="GM405" s="35"/>
      <c r="GN405" s="35"/>
      <c r="GO405" s="35"/>
      <c r="GP405" s="35"/>
      <c r="GQ405" s="35"/>
      <c r="GR405" s="35"/>
      <c r="GS405" s="35"/>
      <c r="GT405" s="35"/>
      <c r="GU405" s="35"/>
      <c r="GV405" s="35"/>
      <c r="GW405" s="35"/>
      <c r="GX405" s="35"/>
      <c r="GY405" s="35"/>
      <c r="GZ405" s="35"/>
      <c r="HA405" s="35"/>
      <c r="HB405" s="35"/>
      <c r="HC405" s="35"/>
      <c r="HD405" s="35"/>
      <c r="HE405" s="35"/>
      <c r="HF405" s="35"/>
      <c r="HG405" s="35"/>
      <c r="HH405" s="35"/>
      <c r="HI405" s="35"/>
      <c r="HJ405" s="35"/>
      <c r="HK405" s="35"/>
      <c r="HL405" s="35"/>
      <c r="HM405" s="35"/>
      <c r="HN405" s="35"/>
      <c r="HO405" s="35"/>
      <c r="HP405" s="35"/>
      <c r="HQ405" s="35"/>
      <c r="HR405" s="35"/>
      <c r="HS405" s="35"/>
      <c r="HT405" s="35"/>
      <c r="HU405" s="35"/>
      <c r="HV405" s="35"/>
      <c r="HW405" s="35"/>
      <c r="HX405" s="35"/>
      <c r="HY405" s="35"/>
      <c r="HZ405" s="35"/>
      <c r="IA405" s="35"/>
      <c r="IB405" s="35"/>
      <c r="IC405" s="35"/>
      <c r="ID405" s="35"/>
      <c r="IE405" s="35"/>
      <c r="IF405" s="35"/>
      <c r="IG405" s="35"/>
      <c r="IH405" s="35"/>
      <c r="II405" s="35"/>
      <c r="IJ405" s="35"/>
      <c r="IK405" s="35"/>
      <c r="IL405" s="35"/>
      <c r="IM405" s="35"/>
      <c r="IN405" s="35"/>
      <c r="IO405" s="35"/>
      <c r="IP405" s="35"/>
      <c r="IQ405" s="35"/>
      <c r="IR405" s="35"/>
      <c r="IS405" s="35"/>
      <c r="IT405" s="35"/>
      <c r="IU405" s="35"/>
      <c r="IV405" s="35"/>
      <c r="IW405" s="35"/>
      <c r="IX405" s="35"/>
      <c r="IY405" s="35"/>
      <c r="IZ405" s="35"/>
      <c r="JA405" s="35"/>
      <c r="JB405" s="35"/>
      <c r="JC405" s="35"/>
      <c r="JD405" s="35"/>
      <c r="JE405" s="35"/>
      <c r="JF405" s="35"/>
      <c r="JG405" s="35"/>
      <c r="JH405" s="35"/>
      <c r="JI405" s="35"/>
      <c r="JJ405" s="35"/>
      <c r="JK405" s="35"/>
      <c r="JL405" s="35"/>
      <c r="JM405" s="35"/>
      <c r="JN405" s="35"/>
      <c r="JO405" s="35"/>
      <c r="JP405" s="35"/>
      <c r="JQ405" s="35"/>
      <c r="JR405" s="35"/>
      <c r="JS405" s="35"/>
      <c r="JT405" s="35"/>
      <c r="JU405" s="35"/>
      <c r="JV405" s="35"/>
      <c r="JW405" s="35"/>
      <c r="JX405" s="35"/>
      <c r="JY405" s="35"/>
      <c r="JZ405" s="35"/>
      <c r="KA405" s="35"/>
      <c r="KB405" s="35"/>
      <c r="KC405" s="35"/>
      <c r="KD405" s="35"/>
      <c r="KE405" s="35"/>
      <c r="KF405" s="35"/>
      <c r="KG405" s="35"/>
      <c r="KH405" s="35"/>
      <c r="KI405" s="35"/>
      <c r="KJ405" s="35"/>
      <c r="KK405" s="35"/>
      <c r="KL405" s="35"/>
      <c r="KM405" s="35"/>
      <c r="KN405" s="35"/>
      <c r="KO405" s="35"/>
      <c r="KP405" s="1633"/>
    </row>
    <row r="406" spans="1:302" s="92" customFormat="1" ht="25.25" customHeight="1" outlineLevel="1">
      <c r="A406" s="1676" t="s">
        <v>148</v>
      </c>
      <c r="B406" s="1676"/>
      <c r="C406" s="1407" t="s">
        <v>187</v>
      </c>
      <c r="D406" s="1407" t="s">
        <v>243</v>
      </c>
      <c r="E406" s="1389"/>
      <c r="F406" s="506"/>
      <c r="G406" s="1390"/>
      <c r="H406" s="1391"/>
      <c r="I406" s="1694"/>
      <c r="J406" s="1672"/>
      <c r="K406" s="1697"/>
      <c r="L406" s="1697"/>
      <c r="M406" s="1698"/>
      <c r="N406" s="1697"/>
      <c r="O406" s="1397">
        <f>I406</f>
        <v>0</v>
      </c>
      <c r="P406" s="1671"/>
      <c r="Q406" s="1671"/>
      <c r="R406" s="1671"/>
      <c r="S406" s="1672"/>
      <c r="T406" s="1699"/>
      <c r="U406" s="1700"/>
      <c r="V406" s="1700"/>
      <c r="W406" s="1672">
        <f>O406+S406</f>
        <v>0</v>
      </c>
      <c r="X406" s="1672"/>
      <c r="Y406" s="1699"/>
      <c r="Z406" s="1700"/>
      <c r="AA406" s="1699"/>
      <c r="AB406" s="1672">
        <f>SUM(AM406:BZ406)</f>
        <v>0</v>
      </c>
      <c r="AC406" s="1446"/>
      <c r="AD406" s="1984"/>
      <c r="AE406" s="510"/>
      <c r="AF406" s="497"/>
      <c r="AG406" s="1403">
        <v>1</v>
      </c>
      <c r="AH406" s="1397">
        <f t="shared" si="351"/>
        <v>0</v>
      </c>
      <c r="AI406" s="355">
        <f t="shared" si="435"/>
        <v>0</v>
      </c>
      <c r="AJ406" s="351" t="str">
        <f t="shared" si="467"/>
        <v/>
      </c>
      <c r="AK406" s="351"/>
      <c r="AL406" s="1398"/>
      <c r="AM406" s="2273"/>
      <c r="AN406" s="2273"/>
      <c r="AO406" s="497"/>
      <c r="AP406" s="497"/>
      <c r="AQ406" s="497"/>
      <c r="AR406" s="497"/>
      <c r="AS406" s="497"/>
      <c r="AT406" s="2015"/>
      <c r="AU406" s="497"/>
      <c r="AV406" s="497"/>
      <c r="AW406" s="497"/>
      <c r="AX406" s="497"/>
      <c r="AY406" s="2060"/>
      <c r="AZ406" s="2273"/>
      <c r="BA406" s="2011"/>
      <c r="BB406" s="497"/>
      <c r="BC406" s="497"/>
      <c r="BD406" s="497"/>
      <c r="BE406" s="497"/>
      <c r="BF406" s="497"/>
      <c r="BG406" s="497"/>
      <c r="BH406" s="497"/>
      <c r="BI406" s="497"/>
      <c r="BJ406" s="497"/>
      <c r="BK406" s="2137"/>
      <c r="BL406" s="2011"/>
      <c r="BM406" s="2011"/>
      <c r="BN406" s="2011"/>
      <c r="BO406" s="2011"/>
      <c r="BP406" s="2011"/>
      <c r="BQ406" s="2403"/>
      <c r="BR406" s="497"/>
      <c r="BS406" s="497"/>
      <c r="BT406" s="497"/>
      <c r="BU406" s="497"/>
      <c r="BV406" s="497"/>
      <c r="BW406" s="2060"/>
      <c r="BX406" s="2417"/>
      <c r="BY406" s="2549"/>
      <c r="BZ406" s="2549"/>
      <c r="CA406" s="2435">
        <f t="shared" si="484"/>
        <v>0</v>
      </c>
      <c r="CB406" s="2380" t="str">
        <f t="shared" si="485"/>
        <v/>
      </c>
      <c r="CC406" s="365" t="str">
        <f t="shared" si="486"/>
        <v/>
      </c>
      <c r="CD406" s="1380" t="str">
        <f t="shared" si="487"/>
        <v>0,00%</v>
      </c>
      <c r="CE406" s="1381">
        <f t="shared" si="488"/>
        <v>0</v>
      </c>
      <c r="CF406" s="1381"/>
      <c r="CG406" s="501"/>
      <c r="CH406" s="502"/>
      <c r="CI406" s="503"/>
      <c r="CJ406" s="504"/>
      <c r="CK406" s="505"/>
      <c r="CL406" s="329">
        <f t="shared" si="551"/>
        <v>0</v>
      </c>
      <c r="CM406" s="330">
        <f t="shared" si="552"/>
        <v>0</v>
      </c>
      <c r="CN406" s="331">
        <f t="shared" si="517"/>
        <v>0</v>
      </c>
      <c r="CO406" s="86"/>
      <c r="CP406" s="86"/>
      <c r="CQ406" s="86"/>
      <c r="CR406" s="86"/>
      <c r="CS406" s="86"/>
      <c r="CT406" s="86"/>
      <c r="CU406" s="86"/>
      <c r="CV406" s="86"/>
      <c r="CW406" s="86"/>
      <c r="CX406" s="86"/>
      <c r="CY406" s="86"/>
      <c r="CZ406" s="86"/>
      <c r="DA406" s="86"/>
      <c r="DB406" s="32"/>
      <c r="DC406" s="32"/>
      <c r="DD406" s="1660"/>
      <c r="DE406" s="35"/>
      <c r="DF406" s="35"/>
      <c r="DG406" s="1642"/>
      <c r="DH406" s="1642"/>
      <c r="DI406" s="1642"/>
      <c r="DJ406" s="1642"/>
      <c r="DK406" s="1642"/>
      <c r="DL406" s="1642"/>
      <c r="DM406" s="1642"/>
      <c r="DN406" s="1642"/>
      <c r="DO406" s="1642"/>
      <c r="DP406" s="1642"/>
      <c r="DQ406" s="1642"/>
      <c r="DR406" s="1642"/>
      <c r="DS406" s="1642"/>
      <c r="DT406" s="1642"/>
      <c r="DU406" s="1642"/>
      <c r="DV406" s="1642"/>
      <c r="DW406" s="1642"/>
      <c r="DX406" s="1642"/>
      <c r="DY406" s="1642"/>
      <c r="DZ406" s="1642"/>
      <c r="EA406" s="1642"/>
      <c r="EB406" s="1642"/>
      <c r="EC406" s="1642"/>
      <c r="ED406" s="1642"/>
      <c r="EE406" s="1642"/>
      <c r="EF406" s="1642"/>
      <c r="EG406" s="1642"/>
      <c r="EH406" s="35"/>
      <c r="EI406" s="1658"/>
      <c r="EJ406" s="35"/>
      <c r="EK406" s="35"/>
      <c r="EL406" s="35"/>
      <c r="EM406" s="35"/>
      <c r="EN406" s="35"/>
      <c r="EO406" s="35"/>
      <c r="EP406" s="35"/>
      <c r="EQ406" s="35"/>
      <c r="ER406" s="35"/>
      <c r="ES406" s="35"/>
      <c r="ET406" s="35"/>
      <c r="EU406" s="35"/>
      <c r="EV406" s="35"/>
      <c r="EW406" s="35"/>
      <c r="EX406" s="35"/>
      <c r="EY406" s="35"/>
      <c r="EZ406" s="35"/>
      <c r="FA406" s="35"/>
      <c r="FB406" s="35"/>
      <c r="FC406" s="35"/>
      <c r="FD406" s="35"/>
      <c r="FE406" s="35"/>
      <c r="FF406" s="35"/>
      <c r="FG406" s="35"/>
      <c r="FH406" s="35"/>
      <c r="FI406" s="35"/>
      <c r="FJ406" s="35"/>
      <c r="FK406" s="35"/>
      <c r="FL406" s="35"/>
      <c r="FM406" s="35"/>
      <c r="FN406" s="35"/>
      <c r="FO406" s="35"/>
      <c r="FP406" s="35"/>
      <c r="FQ406" s="35"/>
      <c r="FR406" s="35"/>
      <c r="FS406" s="35"/>
      <c r="FT406" s="35"/>
      <c r="FU406" s="35"/>
      <c r="FV406" s="35"/>
      <c r="FW406" s="35"/>
      <c r="FX406" s="35"/>
      <c r="FY406" s="35"/>
      <c r="FZ406" s="35"/>
      <c r="GA406" s="35"/>
      <c r="GB406" s="35"/>
      <c r="GC406" s="35"/>
      <c r="GD406" s="35"/>
      <c r="GE406" s="35"/>
      <c r="GF406" s="35"/>
      <c r="GG406" s="35"/>
      <c r="GH406" s="35"/>
      <c r="GI406" s="35"/>
      <c r="GJ406" s="35"/>
      <c r="GK406" s="35"/>
      <c r="GL406" s="35"/>
      <c r="GM406" s="35"/>
      <c r="GN406" s="35"/>
      <c r="GO406" s="35"/>
      <c r="GP406" s="35"/>
      <c r="GQ406" s="35"/>
      <c r="GR406" s="35"/>
      <c r="GS406" s="35"/>
      <c r="GT406" s="35"/>
      <c r="GU406" s="35"/>
      <c r="GV406" s="35"/>
      <c r="GW406" s="35"/>
      <c r="GX406" s="35"/>
      <c r="GY406" s="35"/>
      <c r="GZ406" s="35"/>
      <c r="HA406" s="35"/>
      <c r="HB406" s="35"/>
      <c r="HC406" s="35"/>
      <c r="HD406" s="35"/>
      <c r="HE406" s="35"/>
      <c r="HF406" s="35"/>
      <c r="HG406" s="35"/>
      <c r="HH406" s="35"/>
      <c r="HI406" s="35"/>
      <c r="HJ406" s="35"/>
      <c r="HK406" s="35"/>
      <c r="HL406" s="35"/>
      <c r="HM406" s="35"/>
      <c r="HN406" s="35"/>
      <c r="HO406" s="35"/>
      <c r="HP406" s="35"/>
      <c r="HQ406" s="35"/>
      <c r="HR406" s="35"/>
      <c r="HS406" s="35"/>
      <c r="HT406" s="35"/>
      <c r="HU406" s="35"/>
      <c r="HV406" s="35"/>
      <c r="HW406" s="35"/>
      <c r="HX406" s="35"/>
      <c r="HY406" s="35"/>
      <c r="HZ406" s="35"/>
      <c r="IA406" s="35"/>
      <c r="IB406" s="35"/>
      <c r="IC406" s="35"/>
      <c r="ID406" s="35"/>
      <c r="IE406" s="35"/>
      <c r="IF406" s="35"/>
      <c r="IG406" s="35"/>
      <c r="IH406" s="35"/>
      <c r="II406" s="35"/>
      <c r="IJ406" s="35"/>
      <c r="IK406" s="35"/>
      <c r="IL406" s="35"/>
      <c r="IM406" s="35"/>
      <c r="IN406" s="35"/>
      <c r="IO406" s="35"/>
      <c r="IP406" s="35"/>
      <c r="IQ406" s="35"/>
      <c r="IR406" s="35"/>
      <c r="IS406" s="35"/>
      <c r="IT406" s="35"/>
      <c r="IU406" s="35"/>
      <c r="IV406" s="35"/>
      <c r="IW406" s="35"/>
      <c r="IX406" s="35"/>
      <c r="IY406" s="35"/>
      <c r="IZ406" s="35"/>
      <c r="JA406" s="35"/>
      <c r="JB406" s="35"/>
      <c r="JC406" s="35"/>
      <c r="JD406" s="35"/>
      <c r="JE406" s="35"/>
      <c r="JF406" s="35"/>
      <c r="JG406" s="35"/>
      <c r="JH406" s="35"/>
      <c r="JI406" s="35"/>
      <c r="JJ406" s="35"/>
      <c r="JK406" s="35"/>
      <c r="JL406" s="35"/>
      <c r="JM406" s="35"/>
      <c r="JN406" s="35"/>
      <c r="JO406" s="35"/>
      <c r="JP406" s="35"/>
      <c r="JQ406" s="35"/>
      <c r="JR406" s="35"/>
      <c r="JS406" s="35"/>
      <c r="JT406" s="35"/>
      <c r="JU406" s="35"/>
      <c r="JV406" s="35"/>
      <c r="JW406" s="35"/>
      <c r="JX406" s="35"/>
      <c r="JY406" s="35"/>
      <c r="JZ406" s="35"/>
      <c r="KA406" s="35"/>
      <c r="KB406" s="35"/>
      <c r="KC406" s="35"/>
      <c r="KD406" s="35"/>
      <c r="KE406" s="35"/>
      <c r="KF406" s="35"/>
      <c r="KG406" s="35"/>
      <c r="KH406" s="35"/>
      <c r="KI406" s="35"/>
      <c r="KJ406" s="35"/>
      <c r="KK406" s="35"/>
      <c r="KL406" s="35"/>
      <c r="KM406" s="35"/>
      <c r="KN406" s="35"/>
      <c r="KO406" s="35"/>
      <c r="KP406" s="1633"/>
    </row>
    <row r="407" spans="1:302" s="92" customFormat="1" ht="25.25" customHeight="1" outlineLevel="1">
      <c r="A407" s="1676" t="s">
        <v>149</v>
      </c>
      <c r="B407" s="1676"/>
      <c r="C407" s="1407" t="s">
        <v>188</v>
      </c>
      <c r="D407" s="1407" t="s">
        <v>188</v>
      </c>
      <c r="E407" s="1389"/>
      <c r="F407" s="506"/>
      <c r="G407" s="1390"/>
      <c r="H407" s="1391"/>
      <c r="I407" s="1694">
        <v>822999.19</v>
      </c>
      <c r="J407" s="1672"/>
      <c r="K407" s="1697"/>
      <c r="L407" s="1697"/>
      <c r="M407" s="1698"/>
      <c r="N407" s="1697"/>
      <c r="O407" s="1397">
        <f t="shared" ref="O407:O417" si="561">I407</f>
        <v>822999.19</v>
      </c>
      <c r="P407" s="1671"/>
      <c r="Q407" s="1671"/>
      <c r="R407" s="1671"/>
      <c r="S407" s="1672"/>
      <c r="T407" s="1699"/>
      <c r="U407" s="1700"/>
      <c r="V407" s="1700"/>
      <c r="W407" s="1672">
        <f t="shared" ref="W407:W417" si="562">O407+S407</f>
        <v>822999.19</v>
      </c>
      <c r="X407" s="1672"/>
      <c r="Y407" s="1699"/>
      <c r="Z407" s="1700"/>
      <c r="AA407" s="1699"/>
      <c r="AB407" s="2727">
        <f>SUM(AM407:BZ407)</f>
        <v>256178.04413793111</v>
      </c>
      <c r="AC407" s="510"/>
      <c r="AD407" s="510"/>
      <c r="AE407" s="510"/>
      <c r="AF407" s="497"/>
      <c r="AG407" s="1403">
        <v>1</v>
      </c>
      <c r="AH407" s="1397">
        <f t="shared" si="351"/>
        <v>0</v>
      </c>
      <c r="AI407" s="355">
        <f t="shared" si="435"/>
        <v>0</v>
      </c>
      <c r="AJ407" s="351">
        <f t="shared" si="467"/>
        <v>0</v>
      </c>
      <c r="AK407" s="351"/>
      <c r="AL407" s="1398"/>
      <c r="AM407" s="2271"/>
      <c r="AN407" s="2273"/>
      <c r="AO407" s="1983"/>
      <c r="AP407" s="1983"/>
      <c r="AQ407" s="1983"/>
      <c r="AR407" s="1983"/>
      <c r="AS407" s="1983"/>
      <c r="AT407" s="1983"/>
      <c r="AU407" s="1983"/>
      <c r="AV407" s="1983"/>
      <c r="AW407" s="1983"/>
      <c r="AX407" s="1983"/>
      <c r="AY407" s="1983"/>
      <c r="AZ407" s="2273"/>
      <c r="BA407" s="2011"/>
      <c r="BB407" s="2011"/>
      <c r="BC407" s="2011"/>
      <c r="BD407" s="2011"/>
      <c r="BE407" s="2011">
        <f>2040.53+10000</f>
        <v>12040.53</v>
      </c>
      <c r="BF407" s="2011">
        <v>20344.793103448275</v>
      </c>
      <c r="BG407" s="2011">
        <v>20344.793103448275</v>
      </c>
      <c r="BH407" s="2011">
        <v>20344.793103448275</v>
      </c>
      <c r="BI407" s="2011">
        <v>20344.793103448275</v>
      </c>
      <c r="BJ407" s="2011">
        <v>20344.793103448275</v>
      </c>
      <c r="BK407" s="2403">
        <v>20344.793103448275</v>
      </c>
      <c r="BL407" s="2273">
        <v>20344.793103448275</v>
      </c>
      <c r="BM407" s="2011">
        <v>20344.793103448275</v>
      </c>
      <c r="BN407" s="2011">
        <v>20344.793103448275</v>
      </c>
      <c r="BO407" s="2011">
        <v>20344.793103448275</v>
      </c>
      <c r="BP407" s="2011">
        <v>20344.793103448275</v>
      </c>
      <c r="BQ407" s="497">
        <v>20344.79</v>
      </c>
      <c r="BR407" s="2507"/>
      <c r="BS407" s="2517"/>
      <c r="BT407" s="2517"/>
      <c r="BU407" s="2517"/>
      <c r="BV407" s="2517"/>
      <c r="BW407" s="2518"/>
      <c r="BX407" s="2417"/>
      <c r="BY407" s="2549"/>
      <c r="BZ407" s="2549"/>
      <c r="CA407" s="2435">
        <f t="shared" si="484"/>
        <v>256178.04413793111</v>
      </c>
      <c r="CB407" s="2380">
        <f t="shared" si="485"/>
        <v>1</v>
      </c>
      <c r="CC407" s="365">
        <f t="shared" si="486"/>
        <v>3.9035351501925787E-6</v>
      </c>
      <c r="CD407" s="1380">
        <f t="shared" si="487"/>
        <v>0.68872624997610132</v>
      </c>
      <c r="CE407" s="1381">
        <f t="shared" si="488"/>
        <v>566821.14586206886</v>
      </c>
      <c r="CF407" s="1381"/>
      <c r="CG407" s="501"/>
      <c r="CH407" s="502"/>
      <c r="CI407" s="503"/>
      <c r="CJ407" s="504"/>
      <c r="CK407" s="505"/>
      <c r="CL407" s="329">
        <f t="shared" si="551"/>
        <v>566821.14586206886</v>
      </c>
      <c r="CM407" s="330">
        <f t="shared" si="552"/>
        <v>0</v>
      </c>
      <c r="CN407" s="331">
        <f t="shared" si="517"/>
        <v>-256178.04413793111</v>
      </c>
      <c r="CO407" s="86"/>
      <c r="CP407" s="86">
        <f>I407-O407</f>
        <v>0</v>
      </c>
      <c r="CQ407" s="86"/>
      <c r="CR407" s="86"/>
      <c r="CS407" s="86"/>
      <c r="CT407" s="86"/>
      <c r="CU407" s="86"/>
      <c r="CV407" s="86"/>
      <c r="CW407" s="86"/>
      <c r="CX407" s="86"/>
      <c r="CY407" s="86"/>
      <c r="CZ407" s="86"/>
      <c r="DA407" s="86"/>
      <c r="DB407" s="32" t="e">
        <f>#REF!-CA407-AI407</f>
        <v>#REF!</v>
      </c>
      <c r="DC407" s="32" t="e">
        <f>W407-#REF!</f>
        <v>#REF!</v>
      </c>
      <c r="DD407" s="1660"/>
      <c r="DE407" s="35"/>
      <c r="DF407" s="35"/>
      <c r="DG407" s="1642" t="e">
        <f>ROUND(#REF!,2)</f>
        <v>#REF!</v>
      </c>
      <c r="DH407" s="1642" t="e">
        <f>ROUND(#REF!,2)</f>
        <v>#REF!</v>
      </c>
      <c r="DI407" s="1642" t="e">
        <f>ROUND(#REF!,2)</f>
        <v>#REF!</v>
      </c>
      <c r="DJ407" s="1642" t="e">
        <f>ROUND(#REF!,2)</f>
        <v>#REF!</v>
      </c>
      <c r="DK407" s="1642" t="e">
        <f>ROUND(#REF!,2)</f>
        <v>#REF!</v>
      </c>
      <c r="DL407" s="1642" t="e">
        <f>ROUND(#REF!,2)</f>
        <v>#REF!</v>
      </c>
      <c r="DM407" s="1642" t="e">
        <f>ROUND(#REF!,2)</f>
        <v>#REF!</v>
      </c>
      <c r="DN407" s="1642" t="e">
        <f>ROUND(#REF!,2)</f>
        <v>#REF!</v>
      </c>
      <c r="DO407" s="1642" t="e">
        <f>ROUND(#REF!,2)</f>
        <v>#REF!</v>
      </c>
      <c r="DP407" s="1642">
        <f t="shared" ref="DP407:EA410" si="563">ROUND(AN407,2)</f>
        <v>0</v>
      </c>
      <c r="DQ407" s="1642">
        <f t="shared" si="563"/>
        <v>0</v>
      </c>
      <c r="DR407" s="1642">
        <f t="shared" si="563"/>
        <v>0</v>
      </c>
      <c r="DS407" s="1642">
        <f t="shared" si="563"/>
        <v>0</v>
      </c>
      <c r="DT407" s="1642">
        <f t="shared" si="563"/>
        <v>0</v>
      </c>
      <c r="DU407" s="1642">
        <f t="shared" si="563"/>
        <v>0</v>
      </c>
      <c r="DV407" s="1642">
        <f t="shared" si="563"/>
        <v>0</v>
      </c>
      <c r="DW407" s="1642">
        <f t="shared" si="563"/>
        <v>0</v>
      </c>
      <c r="DX407" s="1642">
        <f t="shared" si="563"/>
        <v>0</v>
      </c>
      <c r="DY407" s="1642">
        <f t="shared" si="563"/>
        <v>0</v>
      </c>
      <c r="DZ407" s="1642">
        <f t="shared" si="563"/>
        <v>0</v>
      </c>
      <c r="EA407" s="1642">
        <f t="shared" si="563"/>
        <v>0</v>
      </c>
      <c r="EB407" s="1642" t="e">
        <f>ROUND(#REF!,2)</f>
        <v>#REF!</v>
      </c>
      <c r="EC407" s="1642" t="e">
        <f>ROUND(#REF!,2)</f>
        <v>#REF!</v>
      </c>
      <c r="ED407" s="1642" t="e">
        <f>ROUND(#REF!,2)</f>
        <v>#REF!</v>
      </c>
      <c r="EE407" s="1642" t="e">
        <f>ROUND(#REF!,2)</f>
        <v>#REF!</v>
      </c>
      <c r="EF407" s="1642" t="e">
        <f>ROUND(#REF!,2)</f>
        <v>#REF!</v>
      </c>
      <c r="EG407" s="1642" t="e">
        <f>ROUND(#REF!,2)</f>
        <v>#REF!</v>
      </c>
      <c r="EH407" s="35"/>
      <c r="EI407" s="1658"/>
      <c r="EJ407" s="35"/>
      <c r="EK407" s="35"/>
      <c r="EL407" s="35"/>
      <c r="EM407" s="35"/>
      <c r="EN407" s="35"/>
      <c r="EO407" s="35"/>
      <c r="EP407" s="35"/>
      <c r="EQ407" s="35"/>
      <c r="ER407" s="35"/>
      <c r="ES407" s="35"/>
      <c r="ET407" s="35"/>
      <c r="EU407" s="35"/>
      <c r="EV407" s="35"/>
      <c r="EW407" s="35"/>
      <c r="EX407" s="35"/>
      <c r="EY407" s="35"/>
      <c r="EZ407" s="35"/>
      <c r="FA407" s="35"/>
      <c r="FB407" s="35"/>
      <c r="FC407" s="35"/>
      <c r="FD407" s="35"/>
      <c r="FE407" s="35"/>
      <c r="FF407" s="35"/>
      <c r="FG407" s="35"/>
      <c r="FH407" s="35"/>
      <c r="FI407" s="35"/>
      <c r="FJ407" s="35"/>
      <c r="FK407" s="35"/>
      <c r="FL407" s="35"/>
      <c r="FM407" s="35"/>
      <c r="FN407" s="35"/>
      <c r="FO407" s="35"/>
      <c r="FP407" s="35"/>
      <c r="FQ407" s="35"/>
      <c r="FR407" s="35"/>
      <c r="FS407" s="35"/>
      <c r="FT407" s="35"/>
      <c r="FU407" s="35"/>
      <c r="FV407" s="35"/>
      <c r="FW407" s="35"/>
      <c r="FX407" s="35"/>
      <c r="FY407" s="35"/>
      <c r="FZ407" s="35"/>
      <c r="GA407" s="35"/>
      <c r="GB407" s="35"/>
      <c r="GC407" s="35"/>
      <c r="GD407" s="35"/>
      <c r="GE407" s="35"/>
      <c r="GF407" s="35"/>
      <c r="GG407" s="35"/>
      <c r="GH407" s="35"/>
      <c r="GI407" s="35"/>
      <c r="GJ407" s="35"/>
      <c r="GK407" s="35"/>
      <c r="GL407" s="35"/>
      <c r="GM407" s="35"/>
      <c r="GN407" s="35"/>
      <c r="GO407" s="35"/>
      <c r="GP407" s="35"/>
      <c r="GQ407" s="35"/>
      <c r="GR407" s="35"/>
      <c r="GS407" s="35"/>
      <c r="GT407" s="35"/>
      <c r="GU407" s="35"/>
      <c r="GV407" s="35"/>
      <c r="GW407" s="35"/>
      <c r="GX407" s="35"/>
      <c r="GY407" s="35"/>
      <c r="GZ407" s="35"/>
      <c r="HA407" s="35"/>
      <c r="HB407" s="35"/>
      <c r="HC407" s="35"/>
      <c r="HD407" s="35"/>
      <c r="HE407" s="35"/>
      <c r="HF407" s="35"/>
      <c r="HG407" s="35"/>
      <c r="HH407" s="35"/>
      <c r="HI407" s="35"/>
      <c r="HJ407" s="35"/>
      <c r="HK407" s="35"/>
      <c r="HL407" s="35"/>
      <c r="HM407" s="35"/>
      <c r="HN407" s="35"/>
      <c r="HO407" s="35"/>
      <c r="HP407" s="35"/>
      <c r="HQ407" s="35"/>
      <c r="HR407" s="35"/>
      <c r="HS407" s="35"/>
      <c r="HT407" s="35"/>
      <c r="HU407" s="35"/>
      <c r="HV407" s="35"/>
      <c r="HW407" s="35"/>
      <c r="HX407" s="35"/>
      <c r="HY407" s="35"/>
      <c r="HZ407" s="35"/>
      <c r="IA407" s="35"/>
      <c r="IB407" s="35"/>
      <c r="IC407" s="35"/>
      <c r="ID407" s="35"/>
      <c r="IE407" s="35"/>
      <c r="IF407" s="35"/>
      <c r="IG407" s="35"/>
      <c r="IH407" s="35"/>
      <c r="II407" s="35"/>
      <c r="IJ407" s="35"/>
      <c r="IK407" s="35"/>
      <c r="IL407" s="35"/>
      <c r="IM407" s="35"/>
      <c r="IN407" s="35"/>
      <c r="IO407" s="35"/>
      <c r="IP407" s="35"/>
      <c r="IQ407" s="35"/>
      <c r="IR407" s="35"/>
      <c r="IS407" s="35"/>
      <c r="IT407" s="35"/>
      <c r="IU407" s="35"/>
      <c r="IV407" s="35"/>
      <c r="IW407" s="35"/>
      <c r="IX407" s="35"/>
      <c r="IY407" s="35"/>
      <c r="IZ407" s="35"/>
      <c r="JA407" s="35"/>
      <c r="JB407" s="35"/>
      <c r="JC407" s="35"/>
      <c r="JD407" s="35"/>
      <c r="JE407" s="35"/>
      <c r="JF407" s="35"/>
      <c r="JG407" s="35"/>
      <c r="JH407" s="35"/>
      <c r="JI407" s="35"/>
      <c r="JJ407" s="35"/>
      <c r="JK407" s="35"/>
      <c r="JL407" s="35"/>
      <c r="JM407" s="35"/>
      <c r="JN407" s="35"/>
      <c r="JO407" s="35"/>
      <c r="JP407" s="35"/>
      <c r="JQ407" s="35"/>
      <c r="JR407" s="35"/>
      <c r="JS407" s="35"/>
      <c r="JT407" s="35"/>
      <c r="JU407" s="35"/>
      <c r="JV407" s="35"/>
      <c r="JW407" s="35"/>
      <c r="JX407" s="35"/>
      <c r="JY407" s="35"/>
      <c r="JZ407" s="35"/>
      <c r="KA407" s="35"/>
      <c r="KB407" s="35"/>
      <c r="KC407" s="35"/>
      <c r="KD407" s="35"/>
      <c r="KE407" s="35"/>
      <c r="KF407" s="35"/>
      <c r="KG407" s="35"/>
      <c r="KH407" s="35"/>
      <c r="KI407" s="35"/>
      <c r="KJ407" s="35"/>
      <c r="KK407" s="35"/>
      <c r="KL407" s="35"/>
      <c r="KM407" s="35"/>
      <c r="KN407" s="35"/>
      <c r="KO407" s="35"/>
      <c r="KP407" s="1633"/>
    </row>
    <row r="408" spans="1:302" s="92" customFormat="1" ht="25.25" customHeight="1" outlineLevel="1">
      <c r="A408" s="1676" t="s">
        <v>1251</v>
      </c>
      <c r="B408" s="1676"/>
      <c r="C408" s="1407" t="s">
        <v>115</v>
      </c>
      <c r="D408" s="1407" t="s">
        <v>242</v>
      </c>
      <c r="E408" s="1389"/>
      <c r="F408" s="506"/>
      <c r="G408" s="1390"/>
      <c r="H408" s="1391"/>
      <c r="I408" s="1694">
        <v>0</v>
      </c>
      <c r="J408" s="1672"/>
      <c r="K408" s="1697"/>
      <c r="L408" s="1697"/>
      <c r="M408" s="1698"/>
      <c r="N408" s="1697"/>
      <c r="O408" s="1397">
        <f t="shared" si="561"/>
        <v>0</v>
      </c>
      <c r="P408" s="1671"/>
      <c r="Q408" s="1671"/>
      <c r="R408" s="1671"/>
      <c r="S408" s="1672"/>
      <c r="T408" s="1699"/>
      <c r="U408" s="1700"/>
      <c r="V408" s="1700"/>
      <c r="W408" s="1672">
        <f t="shared" si="562"/>
        <v>0</v>
      </c>
      <c r="X408" s="1672"/>
      <c r="Y408" s="1699"/>
      <c r="Z408" s="1700"/>
      <c r="AA408" s="1699"/>
      <c r="AB408" s="2822">
        <f>SUM(AM408:BZ408)</f>
        <v>343821.13999999996</v>
      </c>
      <c r="AC408" s="510" t="s">
        <v>502</v>
      </c>
      <c r="AD408" s="510"/>
      <c r="AE408" s="510" t="s">
        <v>564</v>
      </c>
      <c r="AF408" s="497">
        <v>343821.14</v>
      </c>
      <c r="AG408" s="1403">
        <v>1</v>
      </c>
      <c r="AH408" s="1397">
        <f t="shared" ref="AH408" si="564">+AF408*AG408</f>
        <v>343821.14</v>
      </c>
      <c r="AI408" s="355">
        <f t="shared" ref="AI408" si="565">SUMIF($AM$10:$BZ$10,$AI$9,AM408:BZ408)</f>
        <v>0</v>
      </c>
      <c r="AJ408" s="351">
        <f t="shared" ref="AJ408" si="566">IF($AB408&lt;&gt;0,AI408/$AB408,"")</f>
        <v>0</v>
      </c>
      <c r="AK408" s="351"/>
      <c r="AL408" s="1398"/>
      <c r="AM408" s="2271"/>
      <c r="AN408" s="2273"/>
      <c r="AO408" s="2820"/>
      <c r="AP408" s="2820"/>
      <c r="AQ408" s="2820"/>
      <c r="AR408" s="2820"/>
      <c r="AS408" s="2820"/>
      <c r="AT408" s="2820"/>
      <c r="AU408" s="2820"/>
      <c r="AV408" s="2820"/>
      <c r="AW408" s="2820"/>
      <c r="AX408" s="2820"/>
      <c r="AY408" s="2820"/>
      <c r="AZ408" s="2011"/>
      <c r="BA408" s="2011"/>
      <c r="BB408" s="2011"/>
      <c r="BC408" s="2011"/>
      <c r="BD408" s="2011"/>
      <c r="BE408" s="2011"/>
      <c r="BF408" s="2011"/>
      <c r="BG408" s="2011"/>
      <c r="BH408" s="2011"/>
      <c r="BI408" s="2011"/>
      <c r="BJ408" s="2011"/>
      <c r="BK408" s="2403"/>
      <c r="BL408" s="2820"/>
      <c r="BM408" s="2011"/>
      <c r="BN408" s="2011"/>
      <c r="BO408" s="2011"/>
      <c r="BP408" s="2011"/>
      <c r="BQ408" s="497">
        <f>AF408/7</f>
        <v>49117.305714285714</v>
      </c>
      <c r="BR408" s="2507">
        <v>49117.305714285714</v>
      </c>
      <c r="BS408" s="2517">
        <v>49117.305714285714</v>
      </c>
      <c r="BT408" s="2517">
        <v>49117.305714285714</v>
      </c>
      <c r="BU408" s="2517">
        <v>49117.305714285714</v>
      </c>
      <c r="BV408" s="2517">
        <v>49117.305714285714</v>
      </c>
      <c r="BW408" s="2518">
        <v>49117.305714285714</v>
      </c>
      <c r="BX408" s="2417"/>
      <c r="BY408" s="2549"/>
      <c r="BZ408" s="2549"/>
      <c r="CA408" s="2435">
        <f t="shared" si="484"/>
        <v>343821.13999999996</v>
      </c>
      <c r="CB408" s="2380">
        <f t="shared" si="485"/>
        <v>1</v>
      </c>
      <c r="CC408" s="365">
        <f t="shared" si="486"/>
        <v>2.9084889893623183E-6</v>
      </c>
      <c r="CD408" s="1380" t="str">
        <f t="shared" si="487"/>
        <v>0,00%</v>
      </c>
      <c r="CE408" s="1381">
        <f t="shared" si="488"/>
        <v>-343821.13999999996</v>
      </c>
      <c r="CF408" s="1381"/>
      <c r="CG408" s="501"/>
      <c r="CH408" s="502"/>
      <c r="CI408" s="503"/>
      <c r="CJ408" s="504"/>
      <c r="CK408" s="505"/>
      <c r="CL408" s="329">
        <f t="shared" si="551"/>
        <v>-343821.13999999996</v>
      </c>
      <c r="CM408" s="330">
        <f t="shared" si="552"/>
        <v>0</v>
      </c>
      <c r="CN408" s="331"/>
      <c r="CO408" s="86"/>
      <c r="CP408" s="86"/>
      <c r="CQ408" s="86"/>
      <c r="CR408" s="86"/>
      <c r="CS408" s="86"/>
      <c r="CT408" s="86"/>
      <c r="CU408" s="86"/>
      <c r="CV408" s="86"/>
      <c r="CW408" s="86"/>
      <c r="CX408" s="86"/>
      <c r="CY408" s="86"/>
      <c r="CZ408" s="86"/>
      <c r="DA408" s="86"/>
      <c r="DB408" s="32"/>
      <c r="DC408" s="32"/>
      <c r="DD408" s="1660"/>
      <c r="DE408" s="35"/>
      <c r="DF408" s="35"/>
      <c r="DG408" s="1642"/>
      <c r="DH408" s="1642"/>
      <c r="DI408" s="1642"/>
      <c r="DJ408" s="1642"/>
      <c r="DK408" s="1642"/>
      <c r="DL408" s="1642"/>
      <c r="DM408" s="1642"/>
      <c r="DN408" s="1642"/>
      <c r="DO408" s="1642"/>
      <c r="DP408" s="1642"/>
      <c r="DQ408" s="1642"/>
      <c r="DR408" s="1642"/>
      <c r="DS408" s="1642"/>
      <c r="DT408" s="1642"/>
      <c r="DU408" s="1642"/>
      <c r="DV408" s="1642"/>
      <c r="DW408" s="1642"/>
      <c r="DX408" s="1642"/>
      <c r="DY408" s="1642"/>
      <c r="DZ408" s="1642"/>
      <c r="EA408" s="1642"/>
      <c r="EB408" s="1642"/>
      <c r="EC408" s="1642"/>
      <c r="ED408" s="1642"/>
      <c r="EE408" s="1642"/>
      <c r="EF408" s="1642"/>
      <c r="EG408" s="1642"/>
      <c r="EH408" s="35"/>
      <c r="EI408" s="1658"/>
      <c r="EJ408" s="35"/>
      <c r="EK408" s="35"/>
      <c r="EL408" s="35"/>
      <c r="EM408" s="35"/>
      <c r="EN408" s="35"/>
      <c r="EO408" s="35"/>
      <c r="EP408" s="35"/>
      <c r="EQ408" s="35"/>
      <c r="ER408" s="35"/>
      <c r="ES408" s="35"/>
      <c r="ET408" s="35"/>
      <c r="EU408" s="35"/>
      <c r="EV408" s="35"/>
      <c r="EW408" s="35"/>
      <c r="EX408" s="35"/>
      <c r="EY408" s="35"/>
      <c r="EZ408" s="35"/>
      <c r="FA408" s="35"/>
      <c r="FB408" s="35"/>
      <c r="FC408" s="35"/>
      <c r="FD408" s="35"/>
      <c r="FE408" s="35"/>
      <c r="FF408" s="35"/>
      <c r="FG408" s="35"/>
      <c r="FH408" s="35"/>
      <c r="FI408" s="35"/>
      <c r="FJ408" s="35"/>
      <c r="FK408" s="35"/>
      <c r="FL408" s="35"/>
      <c r="FM408" s="35"/>
      <c r="FN408" s="35"/>
      <c r="FO408" s="35"/>
      <c r="FP408" s="35"/>
      <c r="FQ408" s="35"/>
      <c r="FR408" s="35"/>
      <c r="FS408" s="35"/>
      <c r="FT408" s="35"/>
      <c r="FU408" s="35"/>
      <c r="FV408" s="35"/>
      <c r="FW408" s="35"/>
      <c r="FX408" s="35"/>
      <c r="FY408" s="35"/>
      <c r="FZ408" s="35"/>
      <c r="GA408" s="35"/>
      <c r="GB408" s="35"/>
      <c r="GC408" s="35"/>
      <c r="GD408" s="35"/>
      <c r="GE408" s="35"/>
      <c r="GF408" s="35"/>
      <c r="GG408" s="35"/>
      <c r="GH408" s="35"/>
      <c r="GI408" s="35"/>
      <c r="GJ408" s="35"/>
      <c r="GK408" s="35"/>
      <c r="GL408" s="35"/>
      <c r="GM408" s="35"/>
      <c r="GN408" s="35"/>
      <c r="GO408" s="35"/>
      <c r="GP408" s="35"/>
      <c r="GQ408" s="35"/>
      <c r="GR408" s="35"/>
      <c r="GS408" s="35"/>
      <c r="GT408" s="35"/>
      <c r="GU408" s="35"/>
      <c r="GV408" s="35"/>
      <c r="GW408" s="35"/>
      <c r="GX408" s="35"/>
      <c r="GY408" s="35"/>
      <c r="GZ408" s="35"/>
      <c r="HA408" s="35"/>
      <c r="HB408" s="35"/>
      <c r="HC408" s="35"/>
      <c r="HD408" s="35"/>
      <c r="HE408" s="35"/>
      <c r="HF408" s="35"/>
      <c r="HG408" s="35"/>
      <c r="HH408" s="35"/>
      <c r="HI408" s="35"/>
      <c r="HJ408" s="35"/>
      <c r="HK408" s="35"/>
      <c r="HL408" s="35"/>
      <c r="HM408" s="35"/>
      <c r="HN408" s="35"/>
      <c r="HO408" s="35"/>
      <c r="HP408" s="35"/>
      <c r="HQ408" s="35"/>
      <c r="HR408" s="35"/>
      <c r="HS408" s="35"/>
      <c r="HT408" s="35"/>
      <c r="HU408" s="35"/>
      <c r="HV408" s="35"/>
      <c r="HW408" s="35"/>
      <c r="HX408" s="35"/>
      <c r="HY408" s="35"/>
      <c r="HZ408" s="35"/>
      <c r="IA408" s="35"/>
      <c r="IB408" s="35"/>
      <c r="IC408" s="35"/>
      <c r="ID408" s="35"/>
      <c r="IE408" s="35"/>
      <c r="IF408" s="35"/>
      <c r="IG408" s="35"/>
      <c r="IH408" s="35"/>
      <c r="II408" s="35"/>
      <c r="IJ408" s="35"/>
      <c r="IK408" s="35"/>
      <c r="IL408" s="35"/>
      <c r="IM408" s="35"/>
      <c r="IN408" s="35"/>
      <c r="IO408" s="35"/>
      <c r="IP408" s="35"/>
      <c r="IQ408" s="35"/>
      <c r="IR408" s="35"/>
      <c r="IS408" s="35"/>
      <c r="IT408" s="35"/>
      <c r="IU408" s="35"/>
      <c r="IV408" s="35"/>
      <c r="IW408" s="35"/>
      <c r="IX408" s="35"/>
      <c r="IY408" s="35"/>
      <c r="IZ408" s="35"/>
      <c r="JA408" s="35"/>
      <c r="JB408" s="35"/>
      <c r="JC408" s="35"/>
      <c r="JD408" s="35"/>
      <c r="JE408" s="35"/>
      <c r="JF408" s="35"/>
      <c r="JG408" s="35"/>
      <c r="JH408" s="35"/>
      <c r="JI408" s="35"/>
      <c r="JJ408" s="35"/>
      <c r="JK408" s="35"/>
      <c r="JL408" s="35"/>
      <c r="JM408" s="35"/>
      <c r="JN408" s="35"/>
      <c r="JO408" s="35"/>
      <c r="JP408" s="35"/>
      <c r="JQ408" s="35"/>
      <c r="JR408" s="35"/>
      <c r="JS408" s="35"/>
      <c r="JT408" s="35"/>
      <c r="JU408" s="35"/>
      <c r="JV408" s="35"/>
      <c r="JW408" s="35"/>
      <c r="JX408" s="35"/>
      <c r="JY408" s="35"/>
      <c r="JZ408" s="35"/>
      <c r="KA408" s="35"/>
      <c r="KB408" s="35"/>
      <c r="KC408" s="35"/>
      <c r="KD408" s="35"/>
      <c r="KE408" s="35"/>
      <c r="KF408" s="35"/>
      <c r="KG408" s="35"/>
      <c r="KH408" s="35"/>
      <c r="KI408" s="35"/>
      <c r="KJ408" s="35"/>
      <c r="KK408" s="35"/>
      <c r="KL408" s="35"/>
      <c r="KM408" s="35"/>
      <c r="KN408" s="35"/>
      <c r="KO408" s="35"/>
      <c r="KP408" s="1633"/>
    </row>
    <row r="409" spans="1:302" s="92" customFormat="1" ht="32.450000000000003" customHeight="1" outlineLevel="1">
      <c r="A409" s="1676" t="s">
        <v>1251</v>
      </c>
      <c r="B409" s="1676"/>
      <c r="C409" s="1407" t="s">
        <v>1252</v>
      </c>
      <c r="D409" s="1407" t="s">
        <v>1253</v>
      </c>
      <c r="E409" s="1389"/>
      <c r="F409" s="506"/>
      <c r="G409" s="1390"/>
      <c r="H409" s="1391"/>
      <c r="I409" s="2744"/>
      <c r="J409" s="1672"/>
      <c r="K409" s="1697"/>
      <c r="L409" s="1697"/>
      <c r="M409" s="1698"/>
      <c r="N409" s="1697"/>
      <c r="O409" s="1397">
        <f t="shared" ref="O409" si="567">I409</f>
        <v>0</v>
      </c>
      <c r="P409" s="1671"/>
      <c r="Q409" s="1671"/>
      <c r="R409" s="1671"/>
      <c r="S409" s="1672"/>
      <c r="T409" s="1699"/>
      <c r="U409" s="1700"/>
      <c r="V409" s="1700"/>
      <c r="W409" s="1672">
        <f t="shared" ref="W409" si="568">O409+S409</f>
        <v>0</v>
      </c>
      <c r="X409" s="1672"/>
      <c r="Y409" s="1699"/>
      <c r="Z409" s="1700"/>
      <c r="AA409" s="1699"/>
      <c r="AB409" s="2719">
        <f>SUM(AM409:BZ409)</f>
        <v>223000.00172413804</v>
      </c>
      <c r="AC409" s="510" t="s">
        <v>1250</v>
      </c>
      <c r="AD409" s="1467">
        <v>4502944036</v>
      </c>
      <c r="AE409" s="510" t="s">
        <v>564</v>
      </c>
      <c r="AF409" s="497">
        <v>233000</v>
      </c>
      <c r="AG409" s="1403">
        <v>1</v>
      </c>
      <c r="AH409" s="1397">
        <f t="shared" ref="AH409" si="569">+AF409*AG409</f>
        <v>233000</v>
      </c>
      <c r="AI409" s="355">
        <f t="shared" ref="AI409" si="570">SUMIF($AM$10:$BZ$10,$AI$9,AM409:BZ409)</f>
        <v>7234.17</v>
      </c>
      <c r="AJ409" s="351">
        <f t="shared" ref="AJ409" si="571">IF($AB409&lt;&gt;0,AI409/$AB409,"")</f>
        <v>3.2440223964433072E-2</v>
      </c>
      <c r="AK409" s="351"/>
      <c r="AL409" s="1398"/>
      <c r="AM409" s="2271"/>
      <c r="AN409" s="2734">
        <v>4739.5200000000004</v>
      </c>
      <c r="AO409" s="2734">
        <v>2494.65</v>
      </c>
      <c r="AP409" s="2011">
        <v>6869.28</v>
      </c>
      <c r="AQ409" s="2011">
        <f t="shared" ref="AQ409" si="572">233000/29</f>
        <v>8034.4827586206893</v>
      </c>
      <c r="AR409" s="2011">
        <f t="shared" ref="AR409:AU409" si="573">233000/29</f>
        <v>8034.4827586206893</v>
      </c>
      <c r="AS409" s="2011">
        <f t="shared" si="573"/>
        <v>8034.4827586206893</v>
      </c>
      <c r="AT409" s="2011">
        <f t="shared" si="573"/>
        <v>8034.4827586206893</v>
      </c>
      <c r="AU409" s="2011">
        <f t="shared" si="573"/>
        <v>8034.4827586206893</v>
      </c>
      <c r="AV409" s="2011">
        <f t="shared" ref="AV409:BO409" si="574">233000/29</f>
        <v>8034.4827586206893</v>
      </c>
      <c r="AW409" s="2011">
        <f t="shared" si="574"/>
        <v>8034.4827586206893</v>
      </c>
      <c r="AX409" s="2011">
        <f t="shared" si="574"/>
        <v>8034.4827586206893</v>
      </c>
      <c r="AY409" s="2011">
        <f t="shared" si="574"/>
        <v>8034.4827586206893</v>
      </c>
      <c r="AZ409" s="2011">
        <f t="shared" si="574"/>
        <v>8034.4827586206893</v>
      </c>
      <c r="BA409" s="2011">
        <f t="shared" si="574"/>
        <v>8034.4827586206893</v>
      </c>
      <c r="BB409" s="2011">
        <f t="shared" si="574"/>
        <v>8034.4827586206893</v>
      </c>
      <c r="BC409" s="2011">
        <f t="shared" si="574"/>
        <v>8034.4827586206893</v>
      </c>
      <c r="BD409" s="2011">
        <f t="shared" si="574"/>
        <v>8034.4827586206893</v>
      </c>
      <c r="BE409" s="2011">
        <f t="shared" si="574"/>
        <v>8034.4827586206893</v>
      </c>
      <c r="BF409" s="2011">
        <f t="shared" si="574"/>
        <v>8034.4827586206893</v>
      </c>
      <c r="BG409" s="2011">
        <f t="shared" si="574"/>
        <v>8034.4827586206893</v>
      </c>
      <c r="BH409" s="2011">
        <f t="shared" si="574"/>
        <v>8034.4827586206893</v>
      </c>
      <c r="BI409" s="2011">
        <f t="shared" si="574"/>
        <v>8034.4827586206893</v>
      </c>
      <c r="BJ409" s="2011">
        <f t="shared" si="574"/>
        <v>8034.4827586206893</v>
      </c>
      <c r="BK409" s="2011">
        <f t="shared" si="574"/>
        <v>8034.4827586206893</v>
      </c>
      <c r="BL409" s="2011">
        <f t="shared" si="574"/>
        <v>8034.4827586206893</v>
      </c>
      <c r="BM409" s="2011">
        <f t="shared" si="574"/>
        <v>8034.4827586206893</v>
      </c>
      <c r="BN409" s="2011">
        <f t="shared" si="574"/>
        <v>8034.4827586206893</v>
      </c>
      <c r="BO409" s="2011">
        <f t="shared" si="574"/>
        <v>8034.4827586206893</v>
      </c>
      <c r="BP409" s="2011">
        <f>233000/29</f>
        <v>8034.4827586206893</v>
      </c>
      <c r="BQ409" s="497"/>
      <c r="BR409" s="2507"/>
      <c r="BS409" s="2517"/>
      <c r="BT409" s="2517"/>
      <c r="BU409" s="2517"/>
      <c r="BV409" s="2517"/>
      <c r="BW409" s="2518"/>
      <c r="BX409" s="2417"/>
      <c r="BY409" s="2549"/>
      <c r="BZ409" s="2549"/>
      <c r="CA409" s="2435">
        <f t="shared" si="484"/>
        <v>215765.83172413803</v>
      </c>
      <c r="CB409" s="2380">
        <f t="shared" si="485"/>
        <v>0.96755977603556687</v>
      </c>
      <c r="CC409" s="365">
        <f t="shared" si="486"/>
        <v>4.3388330428467256E-6</v>
      </c>
      <c r="CD409" s="1380" t="str">
        <f t="shared" si="487"/>
        <v>0,00%</v>
      </c>
      <c r="CE409" s="1381">
        <f t="shared" si="488"/>
        <v>-223000.00172413804</v>
      </c>
      <c r="CF409" s="1381"/>
      <c r="CG409" s="501"/>
      <c r="CH409" s="502"/>
      <c r="CI409" s="503"/>
      <c r="CJ409" s="504"/>
      <c r="CK409" s="505"/>
      <c r="CL409" s="329">
        <f t="shared" si="551"/>
        <v>-215765.83172413803</v>
      </c>
      <c r="CM409" s="330">
        <f t="shared" si="552"/>
        <v>0</v>
      </c>
      <c r="CN409" s="331">
        <f t="shared" si="517"/>
        <v>-136586.20689655183</v>
      </c>
      <c r="CO409" s="86"/>
      <c r="CP409" s="86"/>
      <c r="CQ409" s="86"/>
      <c r="CR409" s="86"/>
      <c r="CS409" s="86"/>
      <c r="CT409" s="86"/>
      <c r="CU409" s="86"/>
      <c r="CV409" s="86"/>
      <c r="CW409" s="86"/>
      <c r="CX409" s="86"/>
      <c r="CY409" s="86"/>
      <c r="CZ409" s="86"/>
      <c r="DA409" s="86"/>
      <c r="DB409" s="32"/>
      <c r="DC409" s="32"/>
      <c r="DD409" s="1660"/>
      <c r="DE409" s="35"/>
      <c r="DF409" s="35"/>
      <c r="DG409" s="1642"/>
      <c r="DH409" s="1642"/>
      <c r="DI409" s="1642"/>
      <c r="DJ409" s="1642"/>
      <c r="DK409" s="1642"/>
      <c r="DL409" s="1642"/>
      <c r="DM409" s="1642"/>
      <c r="DN409" s="1642"/>
      <c r="DO409" s="1642"/>
      <c r="DP409" s="1642"/>
      <c r="DQ409" s="1642"/>
      <c r="DR409" s="1642"/>
      <c r="DS409" s="1642"/>
      <c r="DT409" s="1642"/>
      <c r="DU409" s="1642"/>
      <c r="DV409" s="1642"/>
      <c r="DW409" s="1642"/>
      <c r="DX409" s="1642"/>
      <c r="DY409" s="1642"/>
      <c r="DZ409" s="1642"/>
      <c r="EA409" s="1642"/>
      <c r="EB409" s="1642"/>
      <c r="EC409" s="1642"/>
      <c r="ED409" s="1642"/>
      <c r="EE409" s="1642"/>
      <c r="EF409" s="1642"/>
      <c r="EG409" s="1642"/>
      <c r="EH409" s="35"/>
      <c r="EI409" s="1658"/>
      <c r="EJ409" s="35"/>
      <c r="EK409" s="35"/>
      <c r="EL409" s="35"/>
      <c r="EM409" s="35"/>
      <c r="EN409" s="35"/>
      <c r="EO409" s="35"/>
      <c r="EP409" s="35"/>
      <c r="EQ409" s="35"/>
      <c r="ER409" s="35"/>
      <c r="ES409" s="35"/>
      <c r="ET409" s="35"/>
      <c r="EU409" s="35"/>
      <c r="EV409" s="35"/>
      <c r="EW409" s="35"/>
      <c r="EX409" s="35"/>
      <c r="EY409" s="35"/>
      <c r="EZ409" s="35"/>
      <c r="FA409" s="35"/>
      <c r="FB409" s="35"/>
      <c r="FC409" s="35"/>
      <c r="FD409" s="35"/>
      <c r="FE409" s="35"/>
      <c r="FF409" s="35"/>
      <c r="FG409" s="35"/>
      <c r="FH409" s="35"/>
      <c r="FI409" s="35"/>
      <c r="FJ409" s="35"/>
      <c r="FK409" s="35"/>
      <c r="FL409" s="35"/>
      <c r="FM409" s="35"/>
      <c r="FN409" s="35"/>
      <c r="FO409" s="35"/>
      <c r="FP409" s="35"/>
      <c r="FQ409" s="35"/>
      <c r="FR409" s="35"/>
      <c r="FS409" s="35"/>
      <c r="FT409" s="35"/>
      <c r="FU409" s="35"/>
      <c r="FV409" s="35"/>
      <c r="FW409" s="35"/>
      <c r="FX409" s="35"/>
      <c r="FY409" s="35"/>
      <c r="FZ409" s="35"/>
      <c r="GA409" s="35"/>
      <c r="GB409" s="35"/>
      <c r="GC409" s="35"/>
      <c r="GD409" s="35"/>
      <c r="GE409" s="35"/>
      <c r="GF409" s="35"/>
      <c r="GG409" s="35"/>
      <c r="GH409" s="35"/>
      <c r="GI409" s="35"/>
      <c r="GJ409" s="35"/>
      <c r="GK409" s="35"/>
      <c r="GL409" s="35"/>
      <c r="GM409" s="35"/>
      <c r="GN409" s="35"/>
      <c r="GO409" s="35"/>
      <c r="GP409" s="35"/>
      <c r="GQ409" s="35"/>
      <c r="GR409" s="35"/>
      <c r="GS409" s="35"/>
      <c r="GT409" s="35"/>
      <c r="GU409" s="35"/>
      <c r="GV409" s="35"/>
      <c r="GW409" s="35"/>
      <c r="GX409" s="35"/>
      <c r="GY409" s="35"/>
      <c r="GZ409" s="35"/>
      <c r="HA409" s="35"/>
      <c r="HB409" s="35"/>
      <c r="HC409" s="35"/>
      <c r="HD409" s="35"/>
      <c r="HE409" s="35"/>
      <c r="HF409" s="35"/>
      <c r="HG409" s="35"/>
      <c r="HH409" s="35"/>
      <c r="HI409" s="35"/>
      <c r="HJ409" s="35"/>
      <c r="HK409" s="35"/>
      <c r="HL409" s="35"/>
      <c r="HM409" s="35"/>
      <c r="HN409" s="35"/>
      <c r="HO409" s="35"/>
      <c r="HP409" s="35"/>
      <c r="HQ409" s="35"/>
      <c r="HR409" s="35"/>
      <c r="HS409" s="35"/>
      <c r="HT409" s="35"/>
      <c r="HU409" s="35"/>
      <c r="HV409" s="35"/>
      <c r="HW409" s="35"/>
      <c r="HX409" s="35"/>
      <c r="HY409" s="35"/>
      <c r="HZ409" s="35"/>
      <c r="IA409" s="35"/>
      <c r="IB409" s="35"/>
      <c r="IC409" s="35"/>
      <c r="ID409" s="35"/>
      <c r="IE409" s="35"/>
      <c r="IF409" s="35"/>
      <c r="IG409" s="35"/>
      <c r="IH409" s="35"/>
      <c r="II409" s="35"/>
      <c r="IJ409" s="35"/>
      <c r="IK409" s="35"/>
      <c r="IL409" s="35"/>
      <c r="IM409" s="35"/>
      <c r="IN409" s="35"/>
      <c r="IO409" s="35"/>
      <c r="IP409" s="35"/>
      <c r="IQ409" s="35"/>
      <c r="IR409" s="35"/>
      <c r="IS409" s="35"/>
      <c r="IT409" s="35"/>
      <c r="IU409" s="35"/>
      <c r="IV409" s="35"/>
      <c r="IW409" s="35"/>
      <c r="IX409" s="35"/>
      <c r="IY409" s="35"/>
      <c r="IZ409" s="35"/>
      <c r="JA409" s="35"/>
      <c r="JB409" s="35"/>
      <c r="JC409" s="35"/>
      <c r="JD409" s="35"/>
      <c r="JE409" s="35"/>
      <c r="JF409" s="35"/>
      <c r="JG409" s="35"/>
      <c r="JH409" s="35"/>
      <c r="JI409" s="35"/>
      <c r="JJ409" s="35"/>
      <c r="JK409" s="35"/>
      <c r="JL409" s="35"/>
      <c r="JM409" s="35"/>
      <c r="JN409" s="35"/>
      <c r="JO409" s="35"/>
      <c r="JP409" s="35"/>
      <c r="JQ409" s="35"/>
      <c r="JR409" s="35"/>
      <c r="JS409" s="35"/>
      <c r="JT409" s="35"/>
      <c r="JU409" s="35"/>
      <c r="JV409" s="35"/>
      <c r="JW409" s="35"/>
      <c r="JX409" s="35"/>
      <c r="JY409" s="35"/>
      <c r="JZ409" s="35"/>
      <c r="KA409" s="35"/>
      <c r="KB409" s="35"/>
      <c r="KC409" s="35"/>
      <c r="KD409" s="35"/>
      <c r="KE409" s="35"/>
      <c r="KF409" s="35"/>
      <c r="KG409" s="35"/>
      <c r="KH409" s="35"/>
      <c r="KI409" s="35"/>
      <c r="KJ409" s="35"/>
      <c r="KK409" s="35"/>
      <c r="KL409" s="35"/>
      <c r="KM409" s="35"/>
      <c r="KN409" s="35"/>
      <c r="KO409" s="35"/>
      <c r="KP409" s="1633"/>
    </row>
    <row r="410" spans="1:302" s="92" customFormat="1" ht="32.450000000000003" customHeight="1" outlineLevel="1">
      <c r="A410" s="1676" t="s">
        <v>150</v>
      </c>
      <c r="B410" s="1676"/>
      <c r="C410" s="1407" t="s">
        <v>189</v>
      </c>
      <c r="D410" s="1407" t="s">
        <v>189</v>
      </c>
      <c r="E410" s="1389"/>
      <c r="F410" s="506"/>
      <c r="G410" s="1390"/>
      <c r="H410" s="1391"/>
      <c r="I410" s="1694">
        <v>329199.67</v>
      </c>
      <c r="J410" s="1672"/>
      <c r="K410" s="1697"/>
      <c r="L410" s="1697"/>
      <c r="M410" s="1698"/>
      <c r="N410" s="1697"/>
      <c r="O410" s="1397">
        <f t="shared" si="561"/>
        <v>329199.67</v>
      </c>
      <c r="P410" s="1671"/>
      <c r="Q410" s="1671"/>
      <c r="R410" s="1671"/>
      <c r="S410" s="1672"/>
      <c r="T410" s="1699"/>
      <c r="U410" s="1700"/>
      <c r="V410" s="1700"/>
      <c r="W410" s="1672">
        <f t="shared" si="562"/>
        <v>329199.67</v>
      </c>
      <c r="X410" s="1672"/>
      <c r="Y410" s="1699"/>
      <c r="Z410" s="1700"/>
      <c r="AA410" s="1699"/>
      <c r="AB410" s="2719">
        <f t="shared" ref="AB410:AB411" si="575">SUM(AM410:BZ410)</f>
        <v>329199.67</v>
      </c>
      <c r="AC410" s="510"/>
      <c r="AD410" s="510">
        <f>W410-AB410</f>
        <v>0</v>
      </c>
      <c r="AE410" s="510"/>
      <c r="AF410" s="497"/>
      <c r="AG410" s="1403">
        <v>1</v>
      </c>
      <c r="AH410" s="1397">
        <f t="shared" si="351"/>
        <v>0</v>
      </c>
      <c r="AI410" s="355">
        <f t="shared" si="435"/>
        <v>0</v>
      </c>
      <c r="AJ410" s="351">
        <f t="shared" si="467"/>
        <v>0</v>
      </c>
      <c r="AK410" s="351"/>
      <c r="AL410" s="1398"/>
      <c r="AM410" s="2271"/>
      <c r="AN410" s="2273"/>
      <c r="AO410" s="1983"/>
      <c r="AP410" s="1983"/>
      <c r="AQ410" s="1983"/>
      <c r="AR410" s="1983"/>
      <c r="AS410" s="1983"/>
      <c r="AT410" s="2025"/>
      <c r="AU410" s="1983"/>
      <c r="AV410" s="1983"/>
      <c r="AW410" s="1983"/>
      <c r="AX410" s="1983"/>
      <c r="AY410" s="2237"/>
      <c r="AZ410" s="2273"/>
      <c r="BA410" s="2011"/>
      <c r="BB410" s="497"/>
      <c r="BC410" s="497"/>
      <c r="BD410" s="497"/>
      <c r="BE410" s="497"/>
      <c r="BF410" s="497"/>
      <c r="BG410" s="497"/>
      <c r="BH410" s="497"/>
      <c r="BI410" s="497"/>
      <c r="BJ410" s="497"/>
      <c r="BK410" s="2137"/>
      <c r="BL410" s="2011"/>
      <c r="BM410" s="2011"/>
      <c r="BN410" s="2011"/>
      <c r="BO410" s="2011"/>
      <c r="BP410" s="2011"/>
      <c r="BQ410" s="2517"/>
      <c r="BR410" s="2507"/>
      <c r="BS410" s="2507"/>
      <c r="BT410" s="2507"/>
      <c r="BU410" s="2507"/>
      <c r="BV410" s="2507"/>
      <c r="BW410" s="2417">
        <f>10000+319199.67</f>
        <v>329199.67</v>
      </c>
      <c r="BX410" s="2417"/>
      <c r="BY410" s="2549"/>
      <c r="BZ410" s="2549"/>
      <c r="CA410" s="2435">
        <f t="shared" si="484"/>
        <v>329199.67</v>
      </c>
      <c r="CB410" s="2380">
        <f t="shared" si="485"/>
        <v>1</v>
      </c>
      <c r="CC410" s="365">
        <f t="shared" si="486"/>
        <v>3.0376701167410041E-6</v>
      </c>
      <c r="CD410" s="1380">
        <f t="shared" si="487"/>
        <v>0</v>
      </c>
      <c r="CE410" s="1381">
        <f t="shared" si="488"/>
        <v>0</v>
      </c>
      <c r="CF410" s="1381"/>
      <c r="CG410" s="501"/>
      <c r="CH410" s="502"/>
      <c r="CI410" s="503"/>
      <c r="CJ410" s="504"/>
      <c r="CK410" s="505"/>
      <c r="CL410" s="329">
        <f t="shared" si="551"/>
        <v>0</v>
      </c>
      <c r="CM410" s="330">
        <f t="shared" si="552"/>
        <v>0</v>
      </c>
      <c r="CN410" s="331">
        <f t="shared" si="517"/>
        <v>-329199.67</v>
      </c>
      <c r="CO410" s="86"/>
      <c r="CP410" s="86">
        <f>I410-O410</f>
        <v>0</v>
      </c>
      <c r="CQ410" s="86"/>
      <c r="CR410" s="86"/>
      <c r="CS410" s="86"/>
      <c r="CT410" s="86"/>
      <c r="CU410" s="86"/>
      <c r="CV410" s="86"/>
      <c r="CW410" s="86"/>
      <c r="CX410" s="86"/>
      <c r="CY410" s="86"/>
      <c r="CZ410" s="86"/>
      <c r="DA410" s="86"/>
      <c r="DB410" s="32" t="e">
        <f>#REF!-CA410-AI410</f>
        <v>#REF!</v>
      </c>
      <c r="DC410" s="32" t="e">
        <f>W410-#REF!</f>
        <v>#REF!</v>
      </c>
      <c r="DD410" s="1660"/>
      <c r="DE410" s="35"/>
      <c r="DF410" s="35"/>
      <c r="DG410" s="1642" t="e">
        <f>ROUND(#REF!,2)</f>
        <v>#REF!</v>
      </c>
      <c r="DH410" s="1642" t="e">
        <f>ROUND(#REF!,2)</f>
        <v>#REF!</v>
      </c>
      <c r="DI410" s="1642" t="e">
        <f>ROUND(#REF!,2)</f>
        <v>#REF!</v>
      </c>
      <c r="DJ410" s="1642" t="e">
        <f>ROUND(#REF!,2)</f>
        <v>#REF!</v>
      </c>
      <c r="DK410" s="1642" t="e">
        <f>ROUND(#REF!,2)</f>
        <v>#REF!</v>
      </c>
      <c r="DL410" s="1642" t="e">
        <f>ROUND(#REF!,2)</f>
        <v>#REF!</v>
      </c>
      <c r="DM410" s="1642" t="e">
        <f>ROUND(#REF!,2)</f>
        <v>#REF!</v>
      </c>
      <c r="DN410" s="1642" t="e">
        <f>ROUND(#REF!,2)</f>
        <v>#REF!</v>
      </c>
      <c r="DO410" s="1642" t="e">
        <f>ROUND(#REF!,2)</f>
        <v>#REF!</v>
      </c>
      <c r="DP410" s="1642">
        <f t="shared" si="563"/>
        <v>0</v>
      </c>
      <c r="DQ410" s="1642">
        <f t="shared" si="563"/>
        <v>0</v>
      </c>
      <c r="DR410" s="1642">
        <f t="shared" si="563"/>
        <v>0</v>
      </c>
      <c r="DS410" s="1642">
        <f t="shared" si="563"/>
        <v>0</v>
      </c>
      <c r="DT410" s="1642">
        <f t="shared" si="563"/>
        <v>0</v>
      </c>
      <c r="DU410" s="1642">
        <f t="shared" si="563"/>
        <v>0</v>
      </c>
      <c r="DV410" s="1642">
        <f t="shared" si="563"/>
        <v>0</v>
      </c>
      <c r="DW410" s="1642">
        <f t="shared" si="563"/>
        <v>0</v>
      </c>
      <c r="DX410" s="1642">
        <f t="shared" si="563"/>
        <v>0</v>
      </c>
      <c r="DY410" s="1642">
        <f t="shared" si="563"/>
        <v>0</v>
      </c>
      <c r="DZ410" s="1642">
        <f t="shared" si="563"/>
        <v>0</v>
      </c>
      <c r="EA410" s="1642">
        <f t="shared" si="563"/>
        <v>0</v>
      </c>
      <c r="EB410" s="1642" t="e">
        <f>ROUND(#REF!,2)</f>
        <v>#REF!</v>
      </c>
      <c r="EC410" s="1642" t="e">
        <f>ROUND(#REF!,2)</f>
        <v>#REF!</v>
      </c>
      <c r="ED410" s="1642" t="e">
        <f>ROUND(#REF!,2)</f>
        <v>#REF!</v>
      </c>
      <c r="EE410" s="1642" t="e">
        <f>ROUND(#REF!,2)</f>
        <v>#REF!</v>
      </c>
      <c r="EF410" s="1642" t="e">
        <f>ROUND(#REF!,2)</f>
        <v>#REF!</v>
      </c>
      <c r="EG410" s="1642" t="e">
        <f>ROUND(#REF!,2)</f>
        <v>#REF!</v>
      </c>
      <c r="EH410" s="35"/>
      <c r="EI410" s="1658"/>
      <c r="EJ410" s="35"/>
      <c r="EK410" s="35"/>
      <c r="EL410" s="35"/>
      <c r="EM410" s="35"/>
      <c r="EN410" s="35"/>
      <c r="EO410" s="35"/>
      <c r="EP410" s="35"/>
      <c r="EQ410" s="35"/>
      <c r="ER410" s="35"/>
      <c r="ES410" s="35"/>
      <c r="ET410" s="35"/>
      <c r="EU410" s="35"/>
      <c r="EV410" s="35"/>
      <c r="EW410" s="35"/>
      <c r="EX410" s="35"/>
      <c r="EY410" s="35"/>
      <c r="EZ410" s="35"/>
      <c r="FA410" s="35"/>
      <c r="FB410" s="35"/>
      <c r="FC410" s="35"/>
      <c r="FD410" s="35"/>
      <c r="FE410" s="35"/>
      <c r="FF410" s="35"/>
      <c r="FG410" s="35"/>
      <c r="FH410" s="35"/>
      <c r="FI410" s="35"/>
      <c r="FJ410" s="35"/>
      <c r="FK410" s="35"/>
      <c r="FL410" s="35"/>
      <c r="FM410" s="35"/>
      <c r="FN410" s="35"/>
      <c r="FO410" s="35"/>
      <c r="FP410" s="35"/>
      <c r="FQ410" s="35"/>
      <c r="FR410" s="35"/>
      <c r="FS410" s="35"/>
      <c r="FT410" s="35"/>
      <c r="FU410" s="35"/>
      <c r="FV410" s="35"/>
      <c r="FW410" s="35"/>
      <c r="FX410" s="35"/>
      <c r="FY410" s="35"/>
      <c r="FZ410" s="35"/>
      <c r="GA410" s="35"/>
      <c r="GB410" s="35"/>
      <c r="GC410" s="35"/>
      <c r="GD410" s="35"/>
      <c r="GE410" s="35"/>
      <c r="GF410" s="35"/>
      <c r="GG410" s="35"/>
      <c r="GH410" s="35"/>
      <c r="GI410" s="35"/>
      <c r="GJ410" s="35"/>
      <c r="GK410" s="35"/>
      <c r="GL410" s="35"/>
      <c r="GM410" s="35"/>
      <c r="GN410" s="35"/>
      <c r="GO410" s="35"/>
      <c r="GP410" s="35"/>
      <c r="GQ410" s="35"/>
      <c r="GR410" s="35"/>
      <c r="GS410" s="35"/>
      <c r="GT410" s="35"/>
      <c r="GU410" s="35"/>
      <c r="GV410" s="35"/>
      <c r="GW410" s="35"/>
      <c r="GX410" s="35"/>
      <c r="GY410" s="35"/>
      <c r="GZ410" s="35"/>
      <c r="HA410" s="35"/>
      <c r="HB410" s="35"/>
      <c r="HC410" s="35"/>
      <c r="HD410" s="35"/>
      <c r="HE410" s="35"/>
      <c r="HF410" s="35"/>
      <c r="HG410" s="35"/>
      <c r="HH410" s="35"/>
      <c r="HI410" s="35"/>
      <c r="HJ410" s="35"/>
      <c r="HK410" s="35"/>
      <c r="HL410" s="35"/>
      <c r="HM410" s="35"/>
      <c r="HN410" s="35"/>
      <c r="HO410" s="35"/>
      <c r="HP410" s="35"/>
      <c r="HQ410" s="35"/>
      <c r="HR410" s="35"/>
      <c r="HS410" s="35"/>
      <c r="HT410" s="35"/>
      <c r="HU410" s="35"/>
      <c r="HV410" s="35"/>
      <c r="HW410" s="35"/>
      <c r="HX410" s="35"/>
      <c r="HY410" s="35"/>
      <c r="HZ410" s="35"/>
      <c r="IA410" s="35"/>
      <c r="IB410" s="35"/>
      <c r="IC410" s="35"/>
      <c r="ID410" s="35"/>
      <c r="IE410" s="35"/>
      <c r="IF410" s="35"/>
      <c r="IG410" s="35"/>
      <c r="IH410" s="35"/>
      <c r="II410" s="35"/>
      <c r="IJ410" s="35"/>
      <c r="IK410" s="35"/>
      <c r="IL410" s="35"/>
      <c r="IM410" s="35"/>
      <c r="IN410" s="35"/>
      <c r="IO410" s="35"/>
      <c r="IP410" s="35"/>
      <c r="IQ410" s="35"/>
      <c r="IR410" s="35"/>
      <c r="IS410" s="35"/>
      <c r="IT410" s="35"/>
      <c r="IU410" s="35"/>
      <c r="IV410" s="35"/>
      <c r="IW410" s="35"/>
      <c r="IX410" s="35"/>
      <c r="IY410" s="35"/>
      <c r="IZ410" s="35"/>
      <c r="JA410" s="35"/>
      <c r="JB410" s="35"/>
      <c r="JC410" s="35"/>
      <c r="JD410" s="35"/>
      <c r="JE410" s="35"/>
      <c r="JF410" s="35"/>
      <c r="JG410" s="35"/>
      <c r="JH410" s="35"/>
      <c r="JI410" s="35"/>
      <c r="JJ410" s="35"/>
      <c r="JK410" s="35"/>
      <c r="JL410" s="35"/>
      <c r="JM410" s="35"/>
      <c r="JN410" s="35"/>
      <c r="JO410" s="35"/>
      <c r="JP410" s="35"/>
      <c r="JQ410" s="35"/>
      <c r="JR410" s="35"/>
      <c r="JS410" s="35"/>
      <c r="JT410" s="35"/>
      <c r="JU410" s="35"/>
      <c r="JV410" s="35"/>
      <c r="JW410" s="35"/>
      <c r="JX410" s="35"/>
      <c r="JY410" s="35"/>
      <c r="JZ410" s="35"/>
      <c r="KA410" s="35"/>
      <c r="KB410" s="35"/>
      <c r="KC410" s="35"/>
      <c r="KD410" s="35"/>
      <c r="KE410" s="35"/>
      <c r="KF410" s="35"/>
      <c r="KG410" s="35"/>
      <c r="KH410" s="35"/>
      <c r="KI410" s="35"/>
      <c r="KJ410" s="35"/>
      <c r="KK410" s="35"/>
      <c r="KL410" s="35"/>
      <c r="KM410" s="35"/>
      <c r="KN410" s="35"/>
      <c r="KO410" s="35"/>
      <c r="KP410" s="1633"/>
    </row>
    <row r="411" spans="1:302" s="92" customFormat="1" ht="25.8" customHeight="1" outlineLevel="1">
      <c r="A411" s="1676" t="s">
        <v>151</v>
      </c>
      <c r="B411" s="1676"/>
      <c r="C411" s="1407" t="s">
        <v>113</v>
      </c>
      <c r="D411" s="1407" t="s">
        <v>317</v>
      </c>
      <c r="E411" s="1389"/>
      <c r="F411" s="506"/>
      <c r="G411" s="1390"/>
      <c r="H411" s="1391"/>
      <c r="I411" s="2576"/>
      <c r="J411" s="1672"/>
      <c r="K411" s="1697"/>
      <c r="L411" s="1697"/>
      <c r="M411" s="1698"/>
      <c r="N411" s="1697"/>
      <c r="O411" s="1397">
        <f t="shared" si="561"/>
        <v>0</v>
      </c>
      <c r="P411" s="1671"/>
      <c r="Q411" s="1671"/>
      <c r="R411" s="1671"/>
      <c r="S411" s="1672"/>
      <c r="T411" s="1699"/>
      <c r="U411" s="1700"/>
      <c r="V411" s="1700"/>
      <c r="W411" s="1672">
        <f t="shared" si="562"/>
        <v>0</v>
      </c>
      <c r="X411" s="1672"/>
      <c r="Y411" s="1699"/>
      <c r="Z411" s="1700"/>
      <c r="AA411" s="1699"/>
      <c r="AB411" s="2719">
        <f t="shared" si="575"/>
        <v>0</v>
      </c>
      <c r="AC411" s="510"/>
      <c r="AD411" s="510"/>
      <c r="AE411" s="510"/>
      <c r="AF411" s="497"/>
      <c r="AG411" s="1403">
        <v>1</v>
      </c>
      <c r="AH411" s="1397">
        <f t="shared" ref="AH411:AH414" si="576">+AF411*AG411</f>
        <v>0</v>
      </c>
      <c r="AI411" s="355">
        <f t="shared" si="435"/>
        <v>0</v>
      </c>
      <c r="AJ411" s="351" t="str">
        <f t="shared" si="467"/>
        <v/>
      </c>
      <c r="AK411" s="351"/>
      <c r="AL411" s="1398"/>
      <c r="AM411" s="2273"/>
      <c r="AN411" s="2273"/>
      <c r="AO411" s="497"/>
      <c r="AP411" s="497"/>
      <c r="AQ411" s="497"/>
      <c r="AR411" s="497"/>
      <c r="AS411" s="497"/>
      <c r="AT411" s="2025"/>
      <c r="AU411" s="497"/>
      <c r="AV411" s="497"/>
      <c r="AW411" s="2072"/>
      <c r="AX411" s="497"/>
      <c r="AY411" s="2060"/>
      <c r="AZ411" s="2273"/>
      <c r="BA411" s="2011"/>
      <c r="BB411" s="497"/>
      <c r="BC411" s="497"/>
      <c r="BD411" s="497"/>
      <c r="BE411" s="497"/>
      <c r="BF411" s="497"/>
      <c r="BG411" s="497"/>
      <c r="BH411" s="497"/>
      <c r="BI411" s="497"/>
      <c r="BJ411" s="497"/>
      <c r="BK411" s="2137"/>
      <c r="BL411" s="2011"/>
      <c r="BM411" s="2011"/>
      <c r="BN411" s="2011"/>
      <c r="BO411" s="2011"/>
      <c r="BP411" s="2011"/>
      <c r="BQ411" s="497"/>
      <c r="BR411" s="2507"/>
      <c r="BS411" s="2507"/>
      <c r="BT411" s="2507"/>
      <c r="BU411" s="2507"/>
      <c r="BV411" s="2507"/>
      <c r="BW411" s="2514"/>
      <c r="BX411" s="2417"/>
      <c r="BY411" s="2549"/>
      <c r="BZ411" s="2549"/>
      <c r="CA411" s="2435">
        <f t="shared" si="484"/>
        <v>0</v>
      </c>
      <c r="CB411" s="2380" t="str">
        <f t="shared" si="485"/>
        <v/>
      </c>
      <c r="CC411" s="365" t="str">
        <f t="shared" si="486"/>
        <v/>
      </c>
      <c r="CD411" s="1380" t="str">
        <f t="shared" si="487"/>
        <v>0,00%</v>
      </c>
      <c r="CE411" s="1381">
        <f t="shared" si="488"/>
        <v>0</v>
      </c>
      <c r="CF411" s="1381"/>
      <c r="CG411" s="501"/>
      <c r="CH411" s="502"/>
      <c r="CI411" s="503"/>
      <c r="CJ411" s="504"/>
      <c r="CK411" s="505"/>
      <c r="CL411" s="329">
        <f t="shared" si="551"/>
        <v>0</v>
      </c>
      <c r="CM411" s="330">
        <f t="shared" si="552"/>
        <v>0</v>
      </c>
      <c r="CN411" s="331">
        <f t="shared" si="517"/>
        <v>0</v>
      </c>
      <c r="CO411" s="86"/>
      <c r="CP411" s="86"/>
      <c r="CQ411" s="86"/>
      <c r="CR411" s="86"/>
      <c r="CS411" s="86"/>
      <c r="CT411" s="86"/>
      <c r="CU411" s="86"/>
      <c r="CV411" s="86"/>
      <c r="CW411" s="86"/>
      <c r="CX411" s="86"/>
      <c r="CY411" s="86"/>
      <c r="CZ411" s="86"/>
      <c r="DA411" s="86"/>
      <c r="DB411" s="32"/>
      <c r="DC411" s="32"/>
      <c r="DD411" s="1660"/>
      <c r="DE411" s="35"/>
      <c r="DF411" s="35"/>
      <c r="DG411" s="1642"/>
      <c r="DH411" s="1642"/>
      <c r="DI411" s="1642"/>
      <c r="DJ411" s="1642"/>
      <c r="DK411" s="1642"/>
      <c r="DL411" s="1642"/>
      <c r="DM411" s="1642"/>
      <c r="DN411" s="1642"/>
      <c r="DO411" s="1642"/>
      <c r="DP411" s="1642"/>
      <c r="DQ411" s="1642">
        <f>ROUND(AO411,2)</f>
        <v>0</v>
      </c>
      <c r="DR411" s="1642"/>
      <c r="DS411" s="1642"/>
      <c r="DT411" s="1642"/>
      <c r="DU411" s="1642"/>
      <c r="DV411" s="1642"/>
      <c r="DW411" s="1642"/>
      <c r="DX411" s="1642"/>
      <c r="DY411" s="1642"/>
      <c r="DZ411" s="1642"/>
      <c r="EA411" s="1642"/>
      <c r="EB411" s="1642"/>
      <c r="EC411" s="1642"/>
      <c r="ED411" s="1642"/>
      <c r="EE411" s="1642"/>
      <c r="EF411" s="1642"/>
      <c r="EG411" s="1642"/>
      <c r="EH411" s="35"/>
      <c r="EI411" s="1658"/>
      <c r="EJ411" s="35"/>
      <c r="EK411" s="35"/>
      <c r="EL411" s="35"/>
      <c r="EM411" s="35"/>
      <c r="EN411" s="35"/>
      <c r="EO411" s="35"/>
      <c r="EP411" s="35"/>
      <c r="EQ411" s="35"/>
      <c r="ER411" s="35"/>
      <c r="ES411" s="35"/>
      <c r="ET411" s="35"/>
      <c r="EU411" s="35"/>
      <c r="EV411" s="35"/>
      <c r="EW411" s="35"/>
      <c r="EX411" s="35"/>
      <c r="EY411" s="35"/>
      <c r="EZ411" s="35"/>
      <c r="FA411" s="35"/>
      <c r="FB411" s="35"/>
      <c r="FC411" s="35"/>
      <c r="FD411" s="35"/>
      <c r="FE411" s="35"/>
      <c r="FF411" s="35"/>
      <c r="FG411" s="35"/>
      <c r="FH411" s="35"/>
      <c r="FI411" s="35"/>
      <c r="FJ411" s="35"/>
      <c r="FK411" s="35"/>
      <c r="FL411" s="35"/>
      <c r="FM411" s="35"/>
      <c r="FN411" s="35"/>
      <c r="FO411" s="35"/>
      <c r="FP411" s="35"/>
      <c r="FQ411" s="35"/>
      <c r="FR411" s="35"/>
      <c r="FS411" s="35"/>
      <c r="FT411" s="35"/>
      <c r="FU411" s="35"/>
      <c r="FV411" s="35"/>
      <c r="FW411" s="35"/>
      <c r="FX411" s="35"/>
      <c r="FY411" s="35"/>
      <c r="FZ411" s="35"/>
      <c r="GA411" s="35"/>
      <c r="GB411" s="35"/>
      <c r="GC411" s="35"/>
      <c r="GD411" s="35"/>
      <c r="GE411" s="35"/>
      <c r="GF411" s="35"/>
      <c r="GG411" s="35"/>
      <c r="GH411" s="35"/>
      <c r="GI411" s="35"/>
      <c r="GJ411" s="35"/>
      <c r="GK411" s="35"/>
      <c r="GL411" s="35"/>
      <c r="GM411" s="35"/>
      <c r="GN411" s="35"/>
      <c r="GO411" s="35"/>
      <c r="GP411" s="35"/>
      <c r="GQ411" s="35"/>
      <c r="GR411" s="35"/>
      <c r="GS411" s="35"/>
      <c r="GT411" s="35"/>
      <c r="GU411" s="35"/>
      <c r="GV411" s="35"/>
      <c r="GW411" s="35"/>
      <c r="GX411" s="35"/>
      <c r="GY411" s="35"/>
      <c r="GZ411" s="35"/>
      <c r="HA411" s="35"/>
      <c r="HB411" s="35"/>
      <c r="HC411" s="35"/>
      <c r="HD411" s="35"/>
      <c r="HE411" s="35"/>
      <c r="HF411" s="35"/>
      <c r="HG411" s="35"/>
      <c r="HH411" s="35"/>
      <c r="HI411" s="35"/>
      <c r="HJ411" s="35"/>
      <c r="HK411" s="35"/>
      <c r="HL411" s="35"/>
      <c r="HM411" s="35"/>
      <c r="HN411" s="35"/>
      <c r="HO411" s="35"/>
      <c r="HP411" s="35"/>
      <c r="HQ411" s="35"/>
      <c r="HR411" s="35"/>
      <c r="HS411" s="35"/>
      <c r="HT411" s="35"/>
      <c r="HU411" s="35"/>
      <c r="HV411" s="35"/>
      <c r="HW411" s="35"/>
      <c r="HX411" s="35"/>
      <c r="HY411" s="35"/>
      <c r="HZ411" s="35"/>
      <c r="IA411" s="35"/>
      <c r="IB411" s="35"/>
      <c r="IC411" s="35"/>
      <c r="ID411" s="35"/>
      <c r="IE411" s="35"/>
      <c r="IF411" s="35"/>
      <c r="IG411" s="35"/>
      <c r="IH411" s="35"/>
      <c r="II411" s="35"/>
      <c r="IJ411" s="35"/>
      <c r="IK411" s="35"/>
      <c r="IL411" s="35"/>
      <c r="IM411" s="35"/>
      <c r="IN411" s="35"/>
      <c r="IO411" s="35"/>
      <c r="IP411" s="35"/>
      <c r="IQ411" s="35"/>
      <c r="IR411" s="35"/>
      <c r="IS411" s="35"/>
      <c r="IT411" s="35"/>
      <c r="IU411" s="35"/>
      <c r="IV411" s="35"/>
      <c r="IW411" s="35"/>
      <c r="IX411" s="35"/>
      <c r="IY411" s="35"/>
      <c r="IZ411" s="35"/>
      <c r="JA411" s="35"/>
      <c r="JB411" s="35"/>
      <c r="JC411" s="35"/>
      <c r="JD411" s="35"/>
      <c r="JE411" s="35"/>
      <c r="JF411" s="35"/>
      <c r="JG411" s="35"/>
      <c r="JH411" s="35"/>
      <c r="JI411" s="35"/>
      <c r="JJ411" s="35"/>
      <c r="JK411" s="35"/>
      <c r="JL411" s="35"/>
      <c r="JM411" s="35"/>
      <c r="JN411" s="35"/>
      <c r="JO411" s="35"/>
      <c r="JP411" s="35"/>
      <c r="JQ411" s="35"/>
      <c r="JR411" s="35"/>
      <c r="JS411" s="35"/>
      <c r="JT411" s="35"/>
      <c r="JU411" s="35"/>
      <c r="JV411" s="35"/>
      <c r="JW411" s="35"/>
      <c r="JX411" s="35"/>
      <c r="JY411" s="35"/>
      <c r="JZ411" s="35"/>
      <c r="KA411" s="35"/>
      <c r="KB411" s="35"/>
      <c r="KC411" s="35"/>
      <c r="KD411" s="35"/>
      <c r="KE411" s="35"/>
      <c r="KF411" s="35"/>
      <c r="KG411" s="35"/>
      <c r="KH411" s="35"/>
      <c r="KI411" s="35"/>
      <c r="KJ411" s="35"/>
      <c r="KK411" s="35"/>
      <c r="KL411" s="35"/>
      <c r="KM411" s="35"/>
      <c r="KN411" s="35"/>
      <c r="KO411" s="35"/>
      <c r="KP411" s="1633"/>
    </row>
    <row r="412" spans="1:302" s="92" customFormat="1" ht="25.25" customHeight="1" outlineLevel="1">
      <c r="A412" s="1676" t="s">
        <v>173</v>
      </c>
      <c r="B412" s="1676"/>
      <c r="C412" s="1407" t="s">
        <v>114</v>
      </c>
      <c r="D412" s="1407" t="s">
        <v>241</v>
      </c>
      <c r="E412" s="1389"/>
      <c r="F412" s="506"/>
      <c r="G412" s="1390"/>
      <c r="H412" s="1391"/>
      <c r="I412" s="1694">
        <v>2371941.5</v>
      </c>
      <c r="J412" s="1672"/>
      <c r="K412" s="1697"/>
      <c r="L412" s="1697"/>
      <c r="M412" s="1698"/>
      <c r="N412" s="1697"/>
      <c r="O412" s="1397">
        <f t="shared" si="561"/>
        <v>2371941.5</v>
      </c>
      <c r="P412" s="1671"/>
      <c r="Q412" s="1671"/>
      <c r="R412" s="1671"/>
      <c r="S412" s="1672"/>
      <c r="T412" s="1699"/>
      <c r="U412" s="1700"/>
      <c r="V412" s="1700"/>
      <c r="W412" s="1672">
        <f>O412+S412</f>
        <v>2371941.5</v>
      </c>
      <c r="X412" s="1672"/>
      <c r="Y412" s="1699"/>
      <c r="Z412" s="1700"/>
      <c r="AA412" s="1699"/>
      <c r="AB412" s="2719">
        <f t="shared" ref="AB412:AB421" si="577">SUM(AM412:BZ412)</f>
        <v>2371941.5010999995</v>
      </c>
      <c r="AC412" s="510" t="s">
        <v>449</v>
      </c>
      <c r="AD412" s="510"/>
      <c r="AE412" s="510"/>
      <c r="AF412" s="497"/>
      <c r="AG412" s="1403">
        <v>1</v>
      </c>
      <c r="AH412" s="1397">
        <f t="shared" si="576"/>
        <v>0</v>
      </c>
      <c r="AI412" s="355">
        <f t="shared" si="435"/>
        <v>149790.41</v>
      </c>
      <c r="AJ412" s="351">
        <f t="shared" si="467"/>
        <v>6.3150971442817616E-2</v>
      </c>
      <c r="AK412" s="351"/>
      <c r="AL412" s="1398"/>
      <c r="AM412" s="2271"/>
      <c r="AN412" s="2506"/>
      <c r="AO412" s="2829">
        <v>149790.41</v>
      </c>
      <c r="AP412" s="1983">
        <f>81791.1293+AQ412</f>
        <v>163582.2586</v>
      </c>
      <c r="AQ412" s="1983">
        <v>81791.129300000001</v>
      </c>
      <c r="AR412" s="1983">
        <v>81791.129300000001</v>
      </c>
      <c r="AS412" s="1983">
        <v>81791.129300000001</v>
      </c>
      <c r="AT412" s="1983">
        <v>81791.129300000001</v>
      </c>
      <c r="AU412" s="1983">
        <v>81791.129300000001</v>
      </c>
      <c r="AV412" s="1983">
        <f>81791.1293+1.25</f>
        <v>81792.379300000001</v>
      </c>
      <c r="AW412" s="1983">
        <v>81791.129300000001</v>
      </c>
      <c r="AX412" s="1983">
        <v>81791.129300000001</v>
      </c>
      <c r="AY412" s="2237">
        <v>81791.129300000001</v>
      </c>
      <c r="AZ412" s="2273">
        <v>81791.129300000001</v>
      </c>
      <c r="BA412" s="2011">
        <v>81791.129300000001</v>
      </c>
      <c r="BB412" s="2011">
        <v>81791.129300000001</v>
      </c>
      <c r="BC412" s="2011">
        <v>81791.129300000001</v>
      </c>
      <c r="BD412" s="2011">
        <v>81791.129300000001</v>
      </c>
      <c r="BE412" s="2011">
        <v>81791.129300000001</v>
      </c>
      <c r="BF412" s="2011">
        <v>81791.129300000001</v>
      </c>
      <c r="BG412" s="2011">
        <v>81791.129300000001</v>
      </c>
      <c r="BH412" s="2011">
        <v>81791.129300000001</v>
      </c>
      <c r="BI412" s="2011">
        <v>81791.129300000001</v>
      </c>
      <c r="BJ412" s="2011">
        <v>81791.129300000001</v>
      </c>
      <c r="BK412" s="2137">
        <v>81791.129300000001</v>
      </c>
      <c r="BL412" s="2011">
        <v>81791.129300000001</v>
      </c>
      <c r="BM412" s="2011">
        <v>81791.129300000001</v>
      </c>
      <c r="BN412" s="2011">
        <v>81791.129300000001</v>
      </c>
      <c r="BO412" s="2011">
        <v>81791.129300000001</v>
      </c>
      <c r="BP412" s="2011">
        <v>13789.35</v>
      </c>
      <c r="BQ412" s="2507"/>
      <c r="BR412" s="2507"/>
      <c r="BS412" s="2517"/>
      <c r="BT412" s="2517"/>
      <c r="BU412" s="2517"/>
      <c r="BV412" s="2517"/>
      <c r="BW412" s="2517"/>
      <c r="BX412" s="2417"/>
      <c r="BY412" s="2549"/>
      <c r="BZ412" s="2549"/>
      <c r="CA412" s="2435">
        <f t="shared" si="484"/>
        <v>2222151.0910999994</v>
      </c>
      <c r="CB412" s="2380">
        <f t="shared" si="485"/>
        <v>0.93684902855718233</v>
      </c>
      <c r="CC412" s="365">
        <f t="shared" si="486"/>
        <v>3.9497138867999652E-7</v>
      </c>
      <c r="CD412" s="1380">
        <f t="shared" si="487"/>
        <v>-4.6375491485698456E-10</v>
      </c>
      <c r="CE412" s="1381">
        <f t="shared" si="488"/>
        <v>-1.0999995283782482E-3</v>
      </c>
      <c r="CF412" s="1381"/>
      <c r="CG412" s="501"/>
      <c r="CH412" s="502"/>
      <c r="CI412" s="503"/>
      <c r="CJ412" s="504"/>
      <c r="CK412" s="505"/>
      <c r="CL412" s="329">
        <f t="shared" si="551"/>
        <v>149790.40890000062</v>
      </c>
      <c r="CM412" s="330">
        <f t="shared" si="552"/>
        <v>0</v>
      </c>
      <c r="CN412" s="331">
        <f t="shared" si="517"/>
        <v>-1322447.4187999992</v>
      </c>
      <c r="CO412" s="86"/>
      <c r="CP412" s="86"/>
      <c r="CQ412" s="86"/>
      <c r="CR412" s="86"/>
      <c r="CS412" s="86"/>
      <c r="CT412" s="86"/>
      <c r="CU412" s="86"/>
      <c r="CV412" s="86"/>
      <c r="CW412" s="86"/>
      <c r="CX412" s="86"/>
      <c r="CY412" s="86"/>
      <c r="CZ412" s="86"/>
      <c r="DA412" s="86"/>
      <c r="DB412" s="32"/>
      <c r="DC412" s="32"/>
      <c r="DD412" s="1660"/>
      <c r="DE412" s="35"/>
      <c r="DF412" s="35"/>
      <c r="DG412" s="1642"/>
      <c r="DH412" s="1642"/>
      <c r="DI412" s="1642"/>
      <c r="DJ412" s="1642"/>
      <c r="DK412" s="1642"/>
      <c r="DL412" s="1642"/>
      <c r="DM412" s="1642"/>
      <c r="DN412" s="1642"/>
      <c r="DO412" s="1642"/>
      <c r="DP412" s="1642"/>
      <c r="DQ412" s="1642"/>
      <c r="DR412" s="1642"/>
      <c r="DS412" s="1642"/>
      <c r="DT412" s="1642"/>
      <c r="DU412" s="1642"/>
      <c r="DV412" s="1642"/>
      <c r="DW412" s="1642"/>
      <c r="DX412" s="1642"/>
      <c r="DY412" s="1642"/>
      <c r="DZ412" s="1642"/>
      <c r="EA412" s="1642"/>
      <c r="EB412" s="1642"/>
      <c r="EC412" s="1642"/>
      <c r="ED412" s="1642"/>
      <c r="EE412" s="1642"/>
      <c r="EF412" s="1642"/>
      <c r="EG412" s="1642"/>
      <c r="EH412" s="35"/>
      <c r="EI412" s="1658"/>
      <c r="EJ412" s="35"/>
      <c r="EK412" s="35"/>
      <c r="EL412" s="35"/>
      <c r="EM412" s="35"/>
      <c r="EN412" s="35"/>
      <c r="EO412" s="35"/>
      <c r="EP412" s="35"/>
      <c r="EQ412" s="35"/>
      <c r="ER412" s="35"/>
      <c r="ES412" s="35"/>
      <c r="ET412" s="35"/>
      <c r="EU412" s="35"/>
      <c r="EV412" s="35"/>
      <c r="EW412" s="35"/>
      <c r="EX412" s="35"/>
      <c r="EY412" s="35"/>
      <c r="EZ412" s="35"/>
      <c r="FA412" s="35"/>
      <c r="FB412" s="35"/>
      <c r="FC412" s="35"/>
      <c r="FD412" s="35"/>
      <c r="FE412" s="35"/>
      <c r="FF412" s="35"/>
      <c r="FG412" s="35"/>
      <c r="FH412" s="35"/>
      <c r="FI412" s="35"/>
      <c r="FJ412" s="35"/>
      <c r="FK412" s="35"/>
      <c r="FL412" s="35"/>
      <c r="FM412" s="35"/>
      <c r="FN412" s="35"/>
      <c r="FO412" s="35"/>
      <c r="FP412" s="35"/>
      <c r="FQ412" s="35"/>
      <c r="FR412" s="35"/>
      <c r="FS412" s="35"/>
      <c r="FT412" s="35"/>
      <c r="FU412" s="35"/>
      <c r="FV412" s="35"/>
      <c r="FW412" s="35"/>
      <c r="FX412" s="35"/>
      <c r="FY412" s="35"/>
      <c r="FZ412" s="35"/>
      <c r="GA412" s="35"/>
      <c r="GB412" s="35"/>
      <c r="GC412" s="35"/>
      <c r="GD412" s="35"/>
      <c r="GE412" s="35"/>
      <c r="GF412" s="35"/>
      <c r="GG412" s="35"/>
      <c r="GH412" s="35"/>
      <c r="GI412" s="35"/>
      <c r="GJ412" s="35"/>
      <c r="GK412" s="35"/>
      <c r="GL412" s="35"/>
      <c r="GM412" s="35"/>
      <c r="GN412" s="35"/>
      <c r="GO412" s="35"/>
      <c r="GP412" s="35"/>
      <c r="GQ412" s="35"/>
      <c r="GR412" s="35"/>
      <c r="GS412" s="35"/>
      <c r="GT412" s="35"/>
      <c r="GU412" s="35"/>
      <c r="GV412" s="35"/>
      <c r="GW412" s="35"/>
      <c r="GX412" s="35"/>
      <c r="GY412" s="35"/>
      <c r="GZ412" s="35"/>
      <c r="HA412" s="35"/>
      <c r="HB412" s="35"/>
      <c r="HC412" s="35"/>
      <c r="HD412" s="35"/>
      <c r="HE412" s="35"/>
      <c r="HF412" s="35"/>
      <c r="HG412" s="35"/>
      <c r="HH412" s="35"/>
      <c r="HI412" s="35"/>
      <c r="HJ412" s="35"/>
      <c r="HK412" s="35"/>
      <c r="HL412" s="35"/>
      <c r="HM412" s="35"/>
      <c r="HN412" s="35"/>
      <c r="HO412" s="35"/>
      <c r="HP412" s="35"/>
      <c r="HQ412" s="35"/>
      <c r="HR412" s="35"/>
      <c r="HS412" s="35"/>
      <c r="HT412" s="35"/>
      <c r="HU412" s="35"/>
      <c r="HV412" s="35"/>
      <c r="HW412" s="35"/>
      <c r="HX412" s="35"/>
      <c r="HY412" s="35"/>
      <c r="HZ412" s="35"/>
      <c r="IA412" s="35"/>
      <c r="IB412" s="35"/>
      <c r="IC412" s="35"/>
      <c r="ID412" s="35"/>
      <c r="IE412" s="35"/>
      <c r="IF412" s="35"/>
      <c r="IG412" s="35"/>
      <c r="IH412" s="35"/>
      <c r="II412" s="35"/>
      <c r="IJ412" s="35"/>
      <c r="IK412" s="35"/>
      <c r="IL412" s="35"/>
      <c r="IM412" s="35"/>
      <c r="IN412" s="35"/>
      <c r="IO412" s="35"/>
      <c r="IP412" s="35"/>
      <c r="IQ412" s="35"/>
      <c r="IR412" s="35"/>
      <c r="IS412" s="35"/>
      <c r="IT412" s="35"/>
      <c r="IU412" s="35"/>
      <c r="IV412" s="35"/>
      <c r="IW412" s="35"/>
      <c r="IX412" s="35"/>
      <c r="IY412" s="35"/>
      <c r="IZ412" s="35"/>
      <c r="JA412" s="35"/>
      <c r="JB412" s="35"/>
      <c r="JC412" s="35"/>
      <c r="JD412" s="35"/>
      <c r="JE412" s="35"/>
      <c r="JF412" s="35"/>
      <c r="JG412" s="35"/>
      <c r="JH412" s="35"/>
      <c r="JI412" s="35"/>
      <c r="JJ412" s="35"/>
      <c r="JK412" s="35"/>
      <c r="JL412" s="35"/>
      <c r="JM412" s="35"/>
      <c r="JN412" s="35"/>
      <c r="JO412" s="35"/>
      <c r="JP412" s="35"/>
      <c r="JQ412" s="35"/>
      <c r="JR412" s="35"/>
      <c r="JS412" s="35"/>
      <c r="JT412" s="35"/>
      <c r="JU412" s="35"/>
      <c r="JV412" s="35"/>
      <c r="JW412" s="35"/>
      <c r="JX412" s="35"/>
      <c r="JY412" s="35"/>
      <c r="JZ412" s="35"/>
      <c r="KA412" s="35"/>
      <c r="KB412" s="35"/>
      <c r="KC412" s="35"/>
      <c r="KD412" s="35"/>
      <c r="KE412" s="35"/>
      <c r="KF412" s="35"/>
      <c r="KG412" s="35"/>
      <c r="KH412" s="35"/>
      <c r="KI412" s="35"/>
      <c r="KJ412" s="35"/>
      <c r="KK412" s="35"/>
      <c r="KL412" s="35"/>
      <c r="KM412" s="35"/>
      <c r="KN412" s="35"/>
      <c r="KO412" s="35"/>
      <c r="KP412" s="1633"/>
    </row>
    <row r="413" spans="1:302" s="92" customFormat="1" ht="25.25" customHeight="1" outlineLevel="1">
      <c r="A413" s="1676" t="s">
        <v>174</v>
      </c>
      <c r="B413" s="1676"/>
      <c r="C413" s="1407" t="s">
        <v>115</v>
      </c>
      <c r="D413" s="1407" t="s">
        <v>242</v>
      </c>
      <c r="E413" s="1389"/>
      <c r="F413" s="506"/>
      <c r="G413" s="1390"/>
      <c r="H413" s="1391"/>
      <c r="I413" s="1694">
        <v>2155415.11</v>
      </c>
      <c r="J413" s="1672"/>
      <c r="K413" s="1697"/>
      <c r="L413" s="1697"/>
      <c r="M413" s="1698"/>
      <c r="N413" s="1697"/>
      <c r="O413" s="1397">
        <f t="shared" si="561"/>
        <v>2155415.11</v>
      </c>
      <c r="P413" s="1671"/>
      <c r="Q413" s="1671"/>
      <c r="R413" s="1671"/>
      <c r="S413" s="1672"/>
      <c r="T413" s="1699"/>
      <c r="U413" s="1700"/>
      <c r="V413" s="1700"/>
      <c r="W413" s="1672">
        <f t="shared" si="562"/>
        <v>2155415.11</v>
      </c>
      <c r="X413" s="1672"/>
      <c r="Y413" s="1699"/>
      <c r="Z413" s="1700"/>
      <c r="AA413" s="1699"/>
      <c r="AB413" s="2821">
        <f t="shared" si="577"/>
        <v>2155415.105599999</v>
      </c>
      <c r="AC413" s="510" t="s">
        <v>502</v>
      </c>
      <c r="AD413" s="510"/>
      <c r="AE413" s="510"/>
      <c r="AF413" s="497"/>
      <c r="AG413" s="1403">
        <v>1</v>
      </c>
      <c r="AH413" s="1397">
        <f t="shared" si="576"/>
        <v>0</v>
      </c>
      <c r="AI413" s="355">
        <f t="shared" ref="AI413:AI421" si="578">SUMIF($AM$10:$BZ$10,$AI$9,AM413:BZ413)</f>
        <v>102059.65</v>
      </c>
      <c r="AJ413" s="351">
        <f t="shared" si="467"/>
        <v>4.7350345525016553E-2</v>
      </c>
      <c r="AK413" s="351"/>
      <c r="AL413" s="1398"/>
      <c r="AM413" s="2736">
        <v>22503.68</v>
      </c>
      <c r="AN413" s="1983">
        <v>53624.56</v>
      </c>
      <c r="AO413" s="2829">
        <v>25931.41</v>
      </c>
      <c r="AP413" s="1983">
        <f>74324.6552+25889.5652-1000-427.73</f>
        <v>98786.490399999995</v>
      </c>
      <c r="AQ413" s="1983">
        <f>74324.6552+23931.41</f>
        <v>98256.065199999997</v>
      </c>
      <c r="AR413" s="1983">
        <v>74324.655199999994</v>
      </c>
      <c r="AS413" s="1983">
        <v>74324.655199999994</v>
      </c>
      <c r="AT413" s="1983">
        <v>74324.655199999994</v>
      </c>
      <c r="AU413" s="1983">
        <v>74328.655199999994</v>
      </c>
      <c r="AV413" s="1983">
        <v>74324.655199999994</v>
      </c>
      <c r="AW413" s="1983">
        <v>74324.655199999994</v>
      </c>
      <c r="AX413" s="1983">
        <v>74320.655199999994</v>
      </c>
      <c r="AY413" s="2237">
        <v>74324.655199999994</v>
      </c>
      <c r="AZ413" s="2273">
        <v>74324.655199999994</v>
      </c>
      <c r="BA413" s="2011">
        <v>74324.655199999994</v>
      </c>
      <c r="BB413" s="497">
        <v>74324.655199999994</v>
      </c>
      <c r="BC413" s="497">
        <v>74324.655199999994</v>
      </c>
      <c r="BD413" s="497">
        <v>74324.655199999994</v>
      </c>
      <c r="BE413" s="497">
        <v>74324.655199999994</v>
      </c>
      <c r="BF413" s="497">
        <v>74324.655199999994</v>
      </c>
      <c r="BG413" s="497">
        <v>74324.655199999994</v>
      </c>
      <c r="BH413" s="497">
        <v>74324.655199999994</v>
      </c>
      <c r="BI413" s="497">
        <v>74324.655199999994</v>
      </c>
      <c r="BJ413" s="497">
        <v>74324.655199999994</v>
      </c>
      <c r="BK413" s="2137">
        <v>74324.655199999994</v>
      </c>
      <c r="BL413" s="2011">
        <v>74324.655199999994</v>
      </c>
      <c r="BM413" s="2011">
        <v>74324.655199999994</v>
      </c>
      <c r="BN413" s="2011">
        <v>74320.655199999994</v>
      </c>
      <c r="BO413" s="2011">
        <v>74324.655199999994</v>
      </c>
      <c r="BP413" s="2011">
        <v>72525.175199999998</v>
      </c>
      <c r="BQ413" s="497"/>
      <c r="BR413" s="2507"/>
      <c r="BS413" s="2517"/>
      <c r="BT413" s="2517"/>
      <c r="BU413" s="2517"/>
      <c r="BV413" s="2517"/>
      <c r="BW413" s="2517"/>
      <c r="BX413" s="2417"/>
      <c r="BY413" s="2549"/>
      <c r="BZ413" s="2549"/>
      <c r="CA413" s="2435">
        <f t="shared" si="484"/>
        <v>2053355.4555999991</v>
      </c>
      <c r="CB413" s="2380">
        <f t="shared" si="485"/>
        <v>0.95264965447498351</v>
      </c>
      <c r="CC413" s="365">
        <f t="shared" si="486"/>
        <v>4.4197966878857709E-7</v>
      </c>
      <c r="CD413" s="1380">
        <f t="shared" si="487"/>
        <v>2.0413705402114942E-9</v>
      </c>
      <c r="CE413" s="1381">
        <f t="shared" si="488"/>
        <v>4.4000009074807167E-3</v>
      </c>
      <c r="CF413" s="1381"/>
      <c r="CG413" s="501"/>
      <c r="CH413" s="502"/>
      <c r="CI413" s="503"/>
      <c r="CJ413" s="504"/>
      <c r="CK413" s="505"/>
      <c r="CL413" s="329">
        <f t="shared" si="551"/>
        <v>102059.65440000081</v>
      </c>
      <c r="CM413" s="330">
        <f t="shared" si="552"/>
        <v>0</v>
      </c>
      <c r="CN413" s="331">
        <f t="shared" si="517"/>
        <v>-1284219.3383999988</v>
      </c>
      <c r="CO413" s="86"/>
      <c r="CP413" s="86">
        <f t="shared" ref="CP413:CP452" si="579">I413-O413</f>
        <v>0</v>
      </c>
      <c r="CQ413" s="86"/>
      <c r="CR413" s="86"/>
      <c r="CS413" s="86"/>
      <c r="CT413" s="86"/>
      <c r="CU413" s="86"/>
      <c r="CV413" s="86"/>
      <c r="CW413" s="86"/>
      <c r="CX413" s="86"/>
      <c r="CY413" s="86"/>
      <c r="CZ413" s="86"/>
      <c r="DA413" s="86"/>
      <c r="DB413" s="32" t="e">
        <f>#REF!-CA413-AI413</f>
        <v>#REF!</v>
      </c>
      <c r="DC413" s="32" t="e">
        <f>W413-#REF!</f>
        <v>#REF!</v>
      </c>
      <c r="DD413" s="1660"/>
      <c r="DE413" s="35"/>
      <c r="DF413" s="35"/>
      <c r="DG413" s="1642" t="e">
        <f>ROUND(#REF!,2)</f>
        <v>#REF!</v>
      </c>
      <c r="DH413" s="1642" t="e">
        <f>ROUND(#REF!,2)</f>
        <v>#REF!</v>
      </c>
      <c r="DI413" s="1642" t="e">
        <f>ROUND(#REF!,2)</f>
        <v>#REF!</v>
      </c>
      <c r="DJ413" s="1642" t="e">
        <f>ROUND(#REF!,2)</f>
        <v>#REF!</v>
      </c>
      <c r="DK413" s="1642" t="e">
        <f>ROUND(#REF!,2)</f>
        <v>#REF!</v>
      </c>
      <c r="DL413" s="1642" t="e">
        <f>ROUND(#REF!,2)</f>
        <v>#REF!</v>
      </c>
      <c r="DM413" s="1642" t="e">
        <f>ROUND(#REF!,2)</f>
        <v>#REF!</v>
      </c>
      <c r="DN413" s="1642" t="e">
        <f>ROUND(#REF!,2)</f>
        <v>#REF!</v>
      </c>
      <c r="DO413" s="1642" t="e">
        <f>ROUND(#REF!,2)</f>
        <v>#REF!</v>
      </c>
      <c r="DP413" s="1642">
        <f t="shared" ref="DP413:DV415" si="580">ROUND(AN413,2)</f>
        <v>53624.56</v>
      </c>
      <c r="DQ413" s="1642">
        <f t="shared" si="580"/>
        <v>25931.41</v>
      </c>
      <c r="DR413" s="1642">
        <f t="shared" si="580"/>
        <v>98786.49</v>
      </c>
      <c r="DS413" s="1642">
        <f t="shared" si="580"/>
        <v>98256.07</v>
      </c>
      <c r="DT413" s="1642">
        <f t="shared" si="580"/>
        <v>74324.66</v>
      </c>
      <c r="DU413" s="1642">
        <f t="shared" si="580"/>
        <v>74324.66</v>
      </c>
      <c r="DV413" s="1642">
        <f t="shared" si="580"/>
        <v>74324.66</v>
      </c>
      <c r="DW413" s="1642">
        <f>ROUND(AU412,2)</f>
        <v>81791.13</v>
      </c>
      <c r="DX413" s="1642">
        <f t="shared" ref="DX413:EA414" si="581">ROUND(AV413,2)</f>
        <v>74324.66</v>
      </c>
      <c r="DY413" s="1642">
        <f t="shared" si="581"/>
        <v>74324.66</v>
      </c>
      <c r="DZ413" s="1642">
        <f t="shared" si="581"/>
        <v>74320.66</v>
      </c>
      <c r="EA413" s="1642">
        <f t="shared" si="581"/>
        <v>74324.66</v>
      </c>
      <c r="EB413" s="1642" t="e">
        <f>ROUND(#REF!,2)</f>
        <v>#REF!</v>
      </c>
      <c r="EC413" s="1642" t="e">
        <f>ROUND(#REF!,2)</f>
        <v>#REF!</v>
      </c>
      <c r="ED413" s="1642" t="e">
        <f>ROUND(#REF!,2)</f>
        <v>#REF!</v>
      </c>
      <c r="EE413" s="1642" t="e">
        <f>ROUND(#REF!,2)</f>
        <v>#REF!</v>
      </c>
      <c r="EF413" s="1642" t="e">
        <f>ROUND(#REF!,2)</f>
        <v>#REF!</v>
      </c>
      <c r="EG413" s="1642" t="e">
        <f>ROUND(#REF!,2)</f>
        <v>#REF!</v>
      </c>
      <c r="EH413" s="35"/>
      <c r="EI413" s="1658"/>
      <c r="EJ413" s="35"/>
      <c r="EK413" s="35"/>
      <c r="EL413" s="35"/>
      <c r="EM413" s="35"/>
      <c r="EN413" s="35"/>
      <c r="EO413" s="35"/>
      <c r="EP413" s="35"/>
      <c r="EQ413" s="35"/>
      <c r="ER413" s="35"/>
      <c r="ES413" s="35"/>
      <c r="ET413" s="35"/>
      <c r="EU413" s="35"/>
      <c r="EV413" s="35"/>
      <c r="EW413" s="35"/>
      <c r="EX413" s="35"/>
      <c r="EY413" s="35"/>
      <c r="EZ413" s="35"/>
      <c r="FA413" s="35"/>
      <c r="FB413" s="35"/>
      <c r="FC413" s="35"/>
      <c r="FD413" s="35"/>
      <c r="FE413" s="35"/>
      <c r="FF413" s="35"/>
      <c r="FG413" s="35"/>
      <c r="FH413" s="35"/>
      <c r="FI413" s="35"/>
      <c r="FJ413" s="35"/>
      <c r="FK413" s="35"/>
      <c r="FL413" s="35"/>
      <c r="FM413" s="35"/>
      <c r="FN413" s="35"/>
      <c r="FO413" s="35"/>
      <c r="FP413" s="35"/>
      <c r="FQ413" s="35"/>
      <c r="FR413" s="35"/>
      <c r="FS413" s="35"/>
      <c r="FT413" s="35"/>
      <c r="FU413" s="35"/>
      <c r="FV413" s="35"/>
      <c r="FW413" s="35"/>
      <c r="FX413" s="35"/>
      <c r="FY413" s="35"/>
      <c r="FZ413" s="35"/>
      <c r="GA413" s="35"/>
      <c r="GB413" s="35"/>
      <c r="GC413" s="35"/>
      <c r="GD413" s="35"/>
      <c r="GE413" s="35"/>
      <c r="GF413" s="35"/>
      <c r="GG413" s="35"/>
      <c r="GH413" s="35"/>
      <c r="GI413" s="35"/>
      <c r="GJ413" s="35"/>
      <c r="GK413" s="35"/>
      <c r="GL413" s="35"/>
      <c r="GM413" s="35"/>
      <c r="GN413" s="35"/>
      <c r="GO413" s="35"/>
      <c r="GP413" s="35"/>
      <c r="GQ413" s="35"/>
      <c r="GR413" s="35"/>
      <c r="GS413" s="35"/>
      <c r="GT413" s="35"/>
      <c r="GU413" s="35"/>
      <c r="GV413" s="35"/>
      <c r="GW413" s="35"/>
      <c r="GX413" s="35"/>
      <c r="GY413" s="35"/>
      <c r="GZ413" s="35"/>
      <c r="HA413" s="35"/>
      <c r="HB413" s="35"/>
      <c r="HC413" s="35"/>
      <c r="HD413" s="35"/>
      <c r="HE413" s="35"/>
      <c r="HF413" s="35"/>
      <c r="HG413" s="35"/>
      <c r="HH413" s="35"/>
      <c r="HI413" s="35"/>
      <c r="HJ413" s="35"/>
      <c r="HK413" s="35"/>
      <c r="HL413" s="35"/>
      <c r="HM413" s="35"/>
      <c r="HN413" s="35"/>
      <c r="HO413" s="35"/>
      <c r="HP413" s="35"/>
      <c r="HQ413" s="35"/>
      <c r="HR413" s="35"/>
      <c r="HS413" s="35"/>
      <c r="HT413" s="35"/>
      <c r="HU413" s="35"/>
      <c r="HV413" s="35"/>
      <c r="HW413" s="35"/>
      <c r="HX413" s="35"/>
      <c r="HY413" s="35"/>
      <c r="HZ413" s="35"/>
      <c r="IA413" s="35"/>
      <c r="IB413" s="35"/>
      <c r="IC413" s="35"/>
      <c r="ID413" s="35"/>
      <c r="IE413" s="35"/>
      <c r="IF413" s="35"/>
      <c r="IG413" s="35"/>
      <c r="IH413" s="35"/>
      <c r="II413" s="35"/>
      <c r="IJ413" s="35"/>
      <c r="IK413" s="35"/>
      <c r="IL413" s="35"/>
      <c r="IM413" s="35"/>
      <c r="IN413" s="35"/>
      <c r="IO413" s="35"/>
      <c r="IP413" s="35"/>
      <c r="IQ413" s="35"/>
      <c r="IR413" s="35"/>
      <c r="IS413" s="35"/>
      <c r="IT413" s="35"/>
      <c r="IU413" s="35"/>
      <c r="IV413" s="35"/>
      <c r="IW413" s="35"/>
      <c r="IX413" s="35"/>
      <c r="IY413" s="35"/>
      <c r="IZ413" s="35"/>
      <c r="JA413" s="35"/>
      <c r="JB413" s="35"/>
      <c r="JC413" s="35"/>
      <c r="JD413" s="35"/>
      <c r="JE413" s="35"/>
      <c r="JF413" s="35"/>
      <c r="JG413" s="35"/>
      <c r="JH413" s="35"/>
      <c r="JI413" s="35"/>
      <c r="JJ413" s="35"/>
      <c r="JK413" s="35"/>
      <c r="JL413" s="35"/>
      <c r="JM413" s="35"/>
      <c r="JN413" s="35"/>
      <c r="JO413" s="35"/>
      <c r="JP413" s="35"/>
      <c r="JQ413" s="35"/>
      <c r="JR413" s="35"/>
      <c r="JS413" s="35"/>
      <c r="JT413" s="35"/>
      <c r="JU413" s="35"/>
      <c r="JV413" s="35"/>
      <c r="JW413" s="35"/>
      <c r="JX413" s="35"/>
      <c r="JY413" s="35"/>
      <c r="JZ413" s="35"/>
      <c r="KA413" s="35"/>
      <c r="KB413" s="35"/>
      <c r="KC413" s="35"/>
      <c r="KD413" s="35"/>
      <c r="KE413" s="35"/>
      <c r="KF413" s="35"/>
      <c r="KG413" s="35"/>
      <c r="KH413" s="35"/>
      <c r="KI413" s="35"/>
      <c r="KJ413" s="35"/>
      <c r="KK413" s="35"/>
      <c r="KL413" s="35"/>
      <c r="KM413" s="35"/>
      <c r="KN413" s="35"/>
      <c r="KO413" s="35"/>
      <c r="KP413" s="1633"/>
    </row>
    <row r="414" spans="1:302" s="92" customFormat="1" ht="25.25" customHeight="1" outlineLevel="1">
      <c r="A414" s="1676" t="s">
        <v>175</v>
      </c>
      <c r="B414" s="1676"/>
      <c r="C414" s="1407" t="s">
        <v>116</v>
      </c>
      <c r="D414" s="1407" t="s">
        <v>318</v>
      </c>
      <c r="E414" s="1389"/>
      <c r="F414" s="506"/>
      <c r="G414" s="1390"/>
      <c r="H414" s="1391"/>
      <c r="I414" s="518">
        <v>1721141.67</v>
      </c>
      <c r="J414" s="1672"/>
      <c r="K414" s="1697"/>
      <c r="L414" s="1697"/>
      <c r="M414" s="1703"/>
      <c r="N414" s="1697"/>
      <c r="O414" s="1397">
        <f t="shared" si="561"/>
        <v>1721141.67</v>
      </c>
      <c r="P414" s="1671"/>
      <c r="Q414" s="1671"/>
      <c r="R414" s="1671"/>
      <c r="S414" s="1672"/>
      <c r="T414" s="1699"/>
      <c r="U414" s="1700"/>
      <c r="V414" s="1700"/>
      <c r="W414" s="1672">
        <f t="shared" si="562"/>
        <v>1721141.67</v>
      </c>
      <c r="X414" s="1672"/>
      <c r="Y414" s="1699"/>
      <c r="Z414" s="1700"/>
      <c r="AA414" s="1699"/>
      <c r="AB414" s="2728">
        <f t="shared" si="577"/>
        <v>1721141.67</v>
      </c>
      <c r="AC414" s="510" t="s">
        <v>116</v>
      </c>
      <c r="AD414" s="510"/>
      <c r="AE414" s="510"/>
      <c r="AF414" s="497"/>
      <c r="AG414" s="1403">
        <v>1</v>
      </c>
      <c r="AH414" s="1397">
        <f t="shared" si="576"/>
        <v>0</v>
      </c>
      <c r="AI414" s="355">
        <f t="shared" si="578"/>
        <v>0</v>
      </c>
      <c r="AJ414" s="351">
        <f t="shared" si="467"/>
        <v>0</v>
      </c>
      <c r="AK414" s="351"/>
      <c r="AL414" s="1398"/>
      <c r="AM414" s="2273"/>
      <c r="AN414" s="2273"/>
      <c r="AO414" s="497"/>
      <c r="AP414" s="497"/>
      <c r="AQ414" s="497"/>
      <c r="AR414" s="497"/>
      <c r="AS414" s="497"/>
      <c r="AT414" s="497"/>
      <c r="AU414" s="497"/>
      <c r="AV414" s="497"/>
      <c r="AW414" s="497"/>
      <c r="AX414" s="497"/>
      <c r="AY414" s="2060"/>
      <c r="AZ414" s="2273"/>
      <c r="BA414" s="2011"/>
      <c r="BB414" s="2011"/>
      <c r="BC414" s="2011"/>
      <c r="BD414" s="2011"/>
      <c r="BE414" s="2011"/>
      <c r="BF414" s="2011"/>
      <c r="BG414" s="2011"/>
      <c r="BH414" s="2011"/>
      <c r="BI414" s="2011"/>
      <c r="BJ414" s="2011"/>
      <c r="BK414" s="2137"/>
      <c r="BL414" s="2011"/>
      <c r="BM414" s="2011"/>
      <c r="BN414" s="2011"/>
      <c r="BO414" s="2011"/>
      <c r="BP414" s="2011"/>
      <c r="BQ414" s="497"/>
      <c r="BR414" s="2507"/>
      <c r="BS414" s="2726"/>
      <c r="BT414" s="2517"/>
      <c r="BU414" s="2517"/>
      <c r="BV414" s="2517"/>
      <c r="BW414" s="2726">
        <f>1721142-0.33</f>
        <v>1721141.67</v>
      </c>
      <c r="BX414" s="2726"/>
      <c r="BY414" s="2549"/>
      <c r="BZ414" s="2549"/>
      <c r="CA414" s="2435">
        <f t="shared" si="484"/>
        <v>1721141.67</v>
      </c>
      <c r="CB414" s="2380">
        <f t="shared" si="485"/>
        <v>1</v>
      </c>
      <c r="CC414" s="365">
        <f t="shared" si="486"/>
        <v>5.810096968949686E-7</v>
      </c>
      <c r="CD414" s="1380">
        <f t="shared" si="487"/>
        <v>0</v>
      </c>
      <c r="CE414" s="1381">
        <f t="shared" si="488"/>
        <v>0</v>
      </c>
      <c r="CF414" s="1381"/>
      <c r="CG414" s="501"/>
      <c r="CH414" s="502"/>
      <c r="CI414" s="503"/>
      <c r="CJ414" s="504"/>
      <c r="CK414" s="505"/>
      <c r="CL414" s="329">
        <f t="shared" si="551"/>
        <v>0</v>
      </c>
      <c r="CM414" s="330">
        <f t="shared" si="552"/>
        <v>0</v>
      </c>
      <c r="CN414" s="331">
        <f t="shared" si="517"/>
        <v>-1721141.67</v>
      </c>
      <c r="CO414" s="86"/>
      <c r="CP414" s="86">
        <f t="shared" si="579"/>
        <v>0</v>
      </c>
      <c r="CQ414" s="86"/>
      <c r="CR414" s="86"/>
      <c r="CS414" s="86"/>
      <c r="CT414" s="86"/>
      <c r="CU414" s="86"/>
      <c r="CV414" s="86"/>
      <c r="CW414" s="86"/>
      <c r="CX414" s="86"/>
      <c r="CY414" s="86"/>
      <c r="CZ414" s="86"/>
      <c r="DA414" s="86"/>
      <c r="DB414" s="32"/>
      <c r="DC414" s="32"/>
      <c r="DD414" s="1665"/>
      <c r="DE414" s="35"/>
      <c r="DF414" s="35"/>
      <c r="DG414" s="1642" t="e">
        <f>ROUND(#REF!,2)</f>
        <v>#REF!</v>
      </c>
      <c r="DH414" s="1642" t="e">
        <f>ROUND(#REF!,2)</f>
        <v>#REF!</v>
      </c>
      <c r="DI414" s="1642" t="e">
        <f>ROUND(#REF!,2)</f>
        <v>#REF!</v>
      </c>
      <c r="DJ414" s="1642" t="e">
        <f>ROUND(#REF!,2)</f>
        <v>#REF!</v>
      </c>
      <c r="DK414" s="1642" t="e">
        <f>ROUND(#REF!,2)</f>
        <v>#REF!</v>
      </c>
      <c r="DL414" s="1642" t="e">
        <f>ROUND(#REF!,2)</f>
        <v>#REF!</v>
      </c>
      <c r="DM414" s="1642" t="e">
        <f>ROUND(#REF!,2)</f>
        <v>#REF!</v>
      </c>
      <c r="DN414" s="1642" t="e">
        <f>ROUND(#REF!,2)</f>
        <v>#REF!</v>
      </c>
      <c r="DO414" s="1642" t="e">
        <f>ROUND(#REF!,2)</f>
        <v>#REF!</v>
      </c>
      <c r="DP414" s="1642">
        <f t="shared" si="580"/>
        <v>0</v>
      </c>
      <c r="DQ414" s="1642">
        <f t="shared" si="580"/>
        <v>0</v>
      </c>
      <c r="DR414" s="1642">
        <f t="shared" si="580"/>
        <v>0</v>
      </c>
      <c r="DS414" s="1642">
        <f t="shared" si="580"/>
        <v>0</v>
      </c>
      <c r="DT414" s="1642">
        <f t="shared" si="580"/>
        <v>0</v>
      </c>
      <c r="DU414" s="1642">
        <f t="shared" si="580"/>
        <v>0</v>
      </c>
      <c r="DV414" s="1642">
        <f t="shared" si="580"/>
        <v>0</v>
      </c>
      <c r="DW414" s="1642">
        <f>ROUND(AU414,2)</f>
        <v>0</v>
      </c>
      <c r="DX414" s="1642">
        <f t="shared" si="581"/>
        <v>0</v>
      </c>
      <c r="DY414" s="1642">
        <f t="shared" si="581"/>
        <v>0</v>
      </c>
      <c r="DZ414" s="1642">
        <f t="shared" si="581"/>
        <v>0</v>
      </c>
      <c r="EA414" s="1642">
        <f t="shared" si="581"/>
        <v>0</v>
      </c>
      <c r="EB414" s="1642" t="e">
        <f>ROUND(#REF!,2)</f>
        <v>#REF!</v>
      </c>
      <c r="EC414" s="1642" t="e">
        <f>ROUND(#REF!,2)</f>
        <v>#REF!</v>
      </c>
      <c r="ED414" s="1642" t="e">
        <f>ROUND(#REF!,2)</f>
        <v>#REF!</v>
      </c>
      <c r="EE414" s="1642" t="e">
        <f>ROUND(#REF!,2)</f>
        <v>#REF!</v>
      </c>
      <c r="EF414" s="1642" t="e">
        <f>ROUND(#REF!,2)</f>
        <v>#REF!</v>
      </c>
      <c r="EG414" s="1642" t="e">
        <f>ROUND(#REF!,2)</f>
        <v>#REF!</v>
      </c>
      <c r="EH414" s="35"/>
      <c r="EI414" s="1658"/>
      <c r="EJ414" s="35"/>
      <c r="EK414" s="35"/>
      <c r="EL414" s="35"/>
      <c r="EM414" s="35"/>
      <c r="EN414" s="35"/>
      <c r="EO414" s="35"/>
      <c r="EP414" s="35"/>
      <c r="EQ414" s="35"/>
      <c r="ER414" s="35"/>
      <c r="ES414" s="35"/>
      <c r="ET414" s="35"/>
      <c r="EU414" s="35"/>
      <c r="EV414" s="35"/>
      <c r="EW414" s="35"/>
      <c r="EX414" s="35"/>
      <c r="EY414" s="35"/>
      <c r="EZ414" s="35"/>
      <c r="FA414" s="35"/>
      <c r="FB414" s="35"/>
      <c r="FC414" s="35"/>
      <c r="FD414" s="35"/>
      <c r="FE414" s="35"/>
      <c r="FF414" s="35"/>
      <c r="FG414" s="35"/>
      <c r="FH414" s="35"/>
      <c r="FI414" s="35"/>
      <c r="FJ414" s="35"/>
      <c r="FK414" s="35"/>
      <c r="FL414" s="35"/>
      <c r="FM414" s="35"/>
      <c r="FN414" s="35"/>
      <c r="FO414" s="35"/>
      <c r="FP414" s="35"/>
      <c r="FQ414" s="35"/>
      <c r="FR414" s="35"/>
      <c r="FS414" s="35"/>
      <c r="FT414" s="35"/>
      <c r="FU414" s="35"/>
      <c r="FV414" s="35"/>
      <c r="FW414" s="35"/>
      <c r="FX414" s="35"/>
      <c r="FY414" s="35"/>
      <c r="FZ414" s="35"/>
      <c r="GA414" s="35"/>
      <c r="GB414" s="35"/>
      <c r="GC414" s="35"/>
      <c r="GD414" s="35"/>
      <c r="GE414" s="35"/>
      <c r="GF414" s="35"/>
      <c r="GG414" s="35"/>
      <c r="GH414" s="35"/>
      <c r="GI414" s="35"/>
      <c r="GJ414" s="35"/>
      <c r="GK414" s="35"/>
      <c r="GL414" s="35"/>
      <c r="GM414" s="35"/>
      <c r="GN414" s="35"/>
      <c r="GO414" s="35"/>
      <c r="GP414" s="35"/>
      <c r="GQ414" s="35"/>
      <c r="GR414" s="35"/>
      <c r="GS414" s="35"/>
      <c r="GT414" s="35"/>
      <c r="GU414" s="35"/>
      <c r="GV414" s="35"/>
      <c r="GW414" s="35"/>
      <c r="GX414" s="35"/>
      <c r="GY414" s="35"/>
      <c r="GZ414" s="35"/>
      <c r="HA414" s="35"/>
      <c r="HB414" s="35"/>
      <c r="HC414" s="35"/>
      <c r="HD414" s="35"/>
      <c r="HE414" s="35"/>
      <c r="HF414" s="35"/>
      <c r="HG414" s="35"/>
      <c r="HH414" s="35"/>
      <c r="HI414" s="35"/>
      <c r="HJ414" s="35"/>
      <c r="HK414" s="35"/>
      <c r="HL414" s="35"/>
      <c r="HM414" s="35"/>
      <c r="HN414" s="35"/>
      <c r="HO414" s="35"/>
      <c r="HP414" s="35"/>
      <c r="HQ414" s="35"/>
      <c r="HR414" s="35"/>
      <c r="HS414" s="35"/>
      <c r="HT414" s="35"/>
      <c r="HU414" s="35"/>
      <c r="HV414" s="35"/>
      <c r="HW414" s="35"/>
      <c r="HX414" s="35"/>
      <c r="HY414" s="35"/>
      <c r="HZ414" s="35"/>
      <c r="IA414" s="35"/>
      <c r="IB414" s="35"/>
      <c r="IC414" s="35"/>
      <c r="ID414" s="35"/>
      <c r="IE414" s="35"/>
      <c r="IF414" s="35"/>
      <c r="IG414" s="35"/>
      <c r="IH414" s="35"/>
      <c r="II414" s="35"/>
      <c r="IJ414" s="35"/>
      <c r="IK414" s="35"/>
      <c r="IL414" s="35"/>
      <c r="IM414" s="35"/>
      <c r="IN414" s="35"/>
      <c r="IO414" s="35"/>
      <c r="IP414" s="35"/>
      <c r="IQ414" s="35"/>
      <c r="IR414" s="35"/>
      <c r="IS414" s="35"/>
      <c r="IT414" s="35"/>
      <c r="IU414" s="35"/>
      <c r="IV414" s="35"/>
      <c r="IW414" s="35"/>
      <c r="IX414" s="35"/>
      <c r="IY414" s="35"/>
      <c r="IZ414" s="35"/>
      <c r="JA414" s="35"/>
      <c r="JB414" s="35"/>
      <c r="JC414" s="35"/>
      <c r="JD414" s="35"/>
      <c r="JE414" s="35"/>
      <c r="JF414" s="35"/>
      <c r="JG414" s="35"/>
      <c r="JH414" s="35"/>
      <c r="JI414" s="35"/>
      <c r="JJ414" s="35"/>
      <c r="JK414" s="35"/>
      <c r="JL414" s="35"/>
      <c r="JM414" s="35"/>
      <c r="JN414" s="35"/>
      <c r="JO414" s="35"/>
      <c r="JP414" s="35"/>
      <c r="JQ414" s="35"/>
      <c r="JR414" s="35"/>
      <c r="JS414" s="35"/>
      <c r="JT414" s="35"/>
      <c r="JU414" s="35"/>
      <c r="JV414" s="35"/>
      <c r="JW414" s="35"/>
      <c r="JX414" s="35"/>
      <c r="JY414" s="35"/>
      <c r="JZ414" s="35"/>
      <c r="KA414" s="35"/>
      <c r="KB414" s="35"/>
      <c r="KC414" s="35"/>
      <c r="KD414" s="35"/>
      <c r="KE414" s="35"/>
      <c r="KF414" s="35"/>
      <c r="KG414" s="35"/>
      <c r="KH414" s="35"/>
      <c r="KI414" s="35"/>
      <c r="KJ414" s="35"/>
      <c r="KK414" s="35"/>
      <c r="KL414" s="35"/>
      <c r="KM414" s="35"/>
      <c r="KN414" s="35"/>
      <c r="KO414" s="35"/>
      <c r="KP414" s="1633"/>
    </row>
    <row r="415" spans="1:302" s="92" customFormat="1" ht="25.25" customHeight="1" outlineLevel="1">
      <c r="A415" s="1676" t="s">
        <v>450</v>
      </c>
      <c r="B415" s="1676"/>
      <c r="C415" s="1922" t="s">
        <v>452</v>
      </c>
      <c r="D415" s="1410" t="s">
        <v>451</v>
      </c>
      <c r="E415" s="1389"/>
      <c r="F415" s="506"/>
      <c r="G415" s="1390"/>
      <c r="H415" s="1391"/>
      <c r="I415" s="1671">
        <v>-10332381.99</v>
      </c>
      <c r="J415" s="1672"/>
      <c r="K415" s="1697"/>
      <c r="L415" s="1697"/>
      <c r="M415" s="1704"/>
      <c r="N415" s="1697"/>
      <c r="O415" s="1397">
        <f t="shared" si="561"/>
        <v>-10332381.99</v>
      </c>
      <c r="P415" s="1671"/>
      <c r="Q415" s="1671"/>
      <c r="R415" s="1671"/>
      <c r="S415" s="1672"/>
      <c r="T415" s="1699"/>
      <c r="U415" s="1700"/>
      <c r="V415" s="1700"/>
      <c r="W415" s="1672">
        <f t="shared" si="562"/>
        <v>-10332381.99</v>
      </c>
      <c r="X415" s="1672"/>
      <c r="Y415" s="1699"/>
      <c r="Z415" s="1700"/>
      <c r="AA415" s="1699"/>
      <c r="AB415" s="2719">
        <f t="shared" si="577"/>
        <v>-10332381.99</v>
      </c>
      <c r="AC415" s="510" t="s">
        <v>452</v>
      </c>
      <c r="AD415" s="510"/>
      <c r="AE415" s="510"/>
      <c r="AF415" s="497"/>
      <c r="AG415" s="1403">
        <v>1</v>
      </c>
      <c r="AH415" s="1397">
        <f t="shared" ref="AH415:AH420" si="582">+AF415*AG415</f>
        <v>0</v>
      </c>
      <c r="AI415" s="355">
        <f t="shared" si="578"/>
        <v>-1506054.4100000001</v>
      </c>
      <c r="AJ415" s="351">
        <f t="shared" si="467"/>
        <v>0.14576062048979668</v>
      </c>
      <c r="AK415" s="351"/>
      <c r="AL415" s="1398"/>
      <c r="AM415" s="2736">
        <v>-67344.37</v>
      </c>
      <c r="AN415" s="1983">
        <f>-765082.91-490.01</f>
        <v>-765572.92</v>
      </c>
      <c r="AO415" s="1983">
        <f>-692339.13+19202.01</f>
        <v>-673137.12</v>
      </c>
      <c r="AP415" s="1983">
        <f>-356289.034-40631.39-19202.01-200000</f>
        <v>-616122.43400000001</v>
      </c>
      <c r="AQ415" s="1983">
        <v>-356289.03399999999</v>
      </c>
      <c r="AR415" s="1983">
        <v>-356289.03399999999</v>
      </c>
      <c r="AS415" s="1983">
        <v>-356289.03399999999</v>
      </c>
      <c r="AT415" s="2025">
        <v>-356289.03399999999</v>
      </c>
      <c r="AU415" s="1983">
        <v>-356289.03399999999</v>
      </c>
      <c r="AV415" s="1983">
        <v>-356289.03399999999</v>
      </c>
      <c r="AW415" s="1983">
        <v>-356289.03399999999</v>
      </c>
      <c r="AX415" s="1983">
        <v>-356289.03399999999</v>
      </c>
      <c r="AY415" s="2327">
        <v>-356289.03399999999</v>
      </c>
      <c r="AZ415" s="2273">
        <v>-356289.03399999999</v>
      </c>
      <c r="BA415" s="2011">
        <f>-356289.034+200000</f>
        <v>-156289.03399999999</v>
      </c>
      <c r="BB415" s="497">
        <v>-356289.03399999999</v>
      </c>
      <c r="BC415" s="497">
        <v>-356289.03399999999</v>
      </c>
      <c r="BD415" s="497">
        <v>-356289.03399999999</v>
      </c>
      <c r="BE415" s="497">
        <v>-356289.03399999999</v>
      </c>
      <c r="BF415" s="497">
        <v>-356289.03399999999</v>
      </c>
      <c r="BG415" s="497">
        <v>-356289.03399999999</v>
      </c>
      <c r="BH415" s="497">
        <v>-356289.03399999999</v>
      </c>
      <c r="BI415" s="497">
        <v>-356289.03399999999</v>
      </c>
      <c r="BJ415" s="497">
        <v>-356289.03399999999</v>
      </c>
      <c r="BK415" s="2137">
        <v>-356289.03399999999</v>
      </c>
      <c r="BL415" s="2011">
        <v>-356289.03399999999</v>
      </c>
      <c r="BM415" s="2011">
        <v>-356289.03399999999</v>
      </c>
      <c r="BN415" s="2011">
        <f>-356289.034+205287.79</f>
        <v>-151001.24399999998</v>
      </c>
      <c r="BO415" s="2011">
        <f>-240593.98+205287.79</f>
        <v>-35306.19</v>
      </c>
      <c r="BP415" s="2011">
        <f>-440504.47+410575.58-678.96-1357.92+2715.84</f>
        <v>-29249.929999999953</v>
      </c>
      <c r="BQ415" s="497"/>
      <c r="BR415" s="497"/>
      <c r="BS415" s="497"/>
      <c r="BT415" s="497"/>
      <c r="BU415" s="497"/>
      <c r="BV415" s="497"/>
      <c r="BW415" s="2060"/>
      <c r="BX415" s="2417"/>
      <c r="BY415" s="2549"/>
      <c r="BZ415" s="2549"/>
      <c r="CA415" s="2435">
        <f t="shared" si="484"/>
        <v>-8826327.5800000001</v>
      </c>
      <c r="CB415" s="2380">
        <f t="shared" si="485"/>
        <v>0.85423937951020334</v>
      </c>
      <c r="CC415" s="365">
        <f t="shared" si="486"/>
        <v>-8.2675938649670782E-8</v>
      </c>
      <c r="CD415" s="1380">
        <f t="shared" si="487"/>
        <v>0</v>
      </c>
      <c r="CE415" s="1381">
        <f t="shared" si="488"/>
        <v>0</v>
      </c>
      <c r="CF415" s="1381"/>
      <c r="CG415" s="501"/>
      <c r="CH415" s="502"/>
      <c r="CI415" s="503"/>
      <c r="CJ415" s="504"/>
      <c r="CK415" s="505"/>
      <c r="CL415" s="329">
        <f t="shared" si="551"/>
        <v>-1506054.4100000001</v>
      </c>
      <c r="CM415" s="330">
        <f t="shared" si="552"/>
        <v>0</v>
      </c>
      <c r="CN415" s="331">
        <f t="shared" si="517"/>
        <v>5070948.2100000009</v>
      </c>
      <c r="CO415" s="86"/>
      <c r="CP415" s="86">
        <f t="shared" si="579"/>
        <v>0</v>
      </c>
      <c r="CQ415" s="86"/>
      <c r="CR415" s="86"/>
      <c r="CS415" s="86"/>
      <c r="CT415" s="86"/>
      <c r="CU415" s="86"/>
      <c r="CV415" s="86"/>
      <c r="CW415" s="86"/>
      <c r="CX415" s="86"/>
      <c r="CY415" s="86"/>
      <c r="CZ415" s="86"/>
      <c r="DA415" s="86"/>
      <c r="DB415" s="32"/>
      <c r="DC415" s="32"/>
      <c r="DD415" s="1665"/>
      <c r="DE415" s="35"/>
      <c r="DF415" s="35"/>
      <c r="DG415" s="1642" t="e">
        <f>ROUND(#REF!,2)</f>
        <v>#REF!</v>
      </c>
      <c r="DH415" s="1642" t="e">
        <f>ROUND(#REF!,2)</f>
        <v>#REF!</v>
      </c>
      <c r="DI415" s="1642" t="e">
        <f>ROUND(#REF!,2)</f>
        <v>#REF!</v>
      </c>
      <c r="DJ415" s="1642" t="e">
        <f>ROUND(#REF!,2)</f>
        <v>#REF!</v>
      </c>
      <c r="DK415" s="1642" t="e">
        <f>ROUND(#REF!,2)</f>
        <v>#REF!</v>
      </c>
      <c r="DL415" s="1642" t="e">
        <f>ROUND(#REF!,2)</f>
        <v>#REF!</v>
      </c>
      <c r="DM415" s="1642" t="e">
        <f>ROUND(#REF!,2)</f>
        <v>#REF!</v>
      </c>
      <c r="DN415" s="1642" t="e">
        <f>ROUND(#REF!,2)</f>
        <v>#REF!</v>
      </c>
      <c r="DO415" s="1642" t="e">
        <f>ROUND(#REF!,2)</f>
        <v>#REF!</v>
      </c>
      <c r="DP415" s="1642">
        <f t="shared" si="580"/>
        <v>-765572.92</v>
      </c>
      <c r="DQ415" s="1642">
        <f t="shared" si="580"/>
        <v>-673137.12</v>
      </c>
      <c r="DR415" s="1642">
        <f t="shared" si="580"/>
        <v>-616122.43000000005</v>
      </c>
      <c r="DS415" s="1642">
        <f t="shared" si="580"/>
        <v>-356289.03</v>
      </c>
      <c r="DT415" s="1642">
        <f t="shared" si="580"/>
        <v>-356289.03</v>
      </c>
      <c r="DU415" s="1642">
        <f t="shared" si="580"/>
        <v>-356289.03</v>
      </c>
      <c r="DV415" s="1642">
        <f t="shared" si="580"/>
        <v>-356289.03</v>
      </c>
      <c r="DW415" s="1642">
        <f>ROUND(AU415,2)</f>
        <v>-356289.03</v>
      </c>
      <c r="DX415" s="1642">
        <f>ROUND(AV415,2)</f>
        <v>-356289.03</v>
      </c>
      <c r="DY415" s="1642">
        <f>ROUND(AW415,2)</f>
        <v>-356289.03</v>
      </c>
      <c r="DZ415" s="1642">
        <f>ROUND(AX415,2)</f>
        <v>-356289.03</v>
      </c>
      <c r="EA415" s="1642" t="e">
        <f>ROUND(#REF!,2)</f>
        <v>#REF!</v>
      </c>
      <c r="EB415" s="1642" t="e">
        <f>ROUND(#REF!,2)</f>
        <v>#REF!</v>
      </c>
      <c r="EC415" s="1642" t="e">
        <f>ROUND(#REF!,2)</f>
        <v>#REF!</v>
      </c>
      <c r="ED415" s="1642" t="e">
        <f>ROUND(#REF!,2)</f>
        <v>#REF!</v>
      </c>
      <c r="EE415" s="1642" t="e">
        <f>ROUND(#REF!,2)</f>
        <v>#REF!</v>
      </c>
      <c r="EF415" s="1642" t="e">
        <f>ROUND(#REF!,2)</f>
        <v>#REF!</v>
      </c>
      <c r="EG415" s="1642" t="e">
        <f>ROUND(#REF!,2)</f>
        <v>#REF!</v>
      </c>
      <c r="EH415" s="35"/>
      <c r="EI415" s="1658"/>
      <c r="EJ415" s="35"/>
      <c r="EK415" s="35"/>
      <c r="EL415" s="35"/>
      <c r="EM415" s="35"/>
      <c r="EN415" s="35"/>
      <c r="EO415" s="35"/>
      <c r="EP415" s="35"/>
      <c r="EQ415" s="35"/>
      <c r="ER415" s="35"/>
      <c r="ES415" s="35"/>
      <c r="ET415" s="35"/>
      <c r="EU415" s="35"/>
      <c r="EV415" s="35"/>
      <c r="EW415" s="35"/>
      <c r="EX415" s="35"/>
      <c r="EY415" s="35"/>
      <c r="EZ415" s="35"/>
      <c r="FA415" s="35"/>
      <c r="FB415" s="35"/>
      <c r="FC415" s="35"/>
      <c r="FD415" s="35"/>
      <c r="FE415" s="35"/>
      <c r="FF415" s="35"/>
      <c r="FG415" s="35"/>
      <c r="FH415" s="35"/>
      <c r="FI415" s="35"/>
      <c r="FJ415" s="35"/>
      <c r="FK415" s="35"/>
      <c r="FL415" s="35"/>
      <c r="FM415" s="35"/>
      <c r="FN415" s="35"/>
      <c r="FO415" s="35"/>
      <c r="FP415" s="35"/>
      <c r="FQ415" s="35"/>
      <c r="FR415" s="35"/>
      <c r="FS415" s="35"/>
      <c r="FT415" s="35"/>
      <c r="FU415" s="35"/>
      <c r="FV415" s="35"/>
      <c r="FW415" s="35"/>
      <c r="FX415" s="35"/>
      <c r="FY415" s="35"/>
      <c r="FZ415" s="35"/>
      <c r="GA415" s="35"/>
      <c r="GB415" s="35"/>
      <c r="GC415" s="35"/>
      <c r="GD415" s="35"/>
      <c r="GE415" s="35"/>
      <c r="GF415" s="35"/>
      <c r="GG415" s="35"/>
      <c r="GH415" s="35"/>
      <c r="GI415" s="35"/>
      <c r="GJ415" s="35"/>
      <c r="GK415" s="35"/>
      <c r="GL415" s="35"/>
      <c r="GM415" s="35"/>
      <c r="GN415" s="35"/>
      <c r="GO415" s="35"/>
      <c r="GP415" s="35"/>
      <c r="GQ415" s="35"/>
      <c r="GR415" s="35"/>
      <c r="GS415" s="35"/>
      <c r="GT415" s="35"/>
      <c r="GU415" s="35"/>
      <c r="GV415" s="35"/>
      <c r="GW415" s="35"/>
      <c r="GX415" s="35"/>
      <c r="GY415" s="35"/>
      <c r="GZ415" s="35"/>
      <c r="HA415" s="35"/>
      <c r="HB415" s="35"/>
      <c r="HC415" s="35"/>
      <c r="HD415" s="35"/>
      <c r="HE415" s="35"/>
      <c r="HF415" s="35"/>
      <c r="HG415" s="35"/>
      <c r="HH415" s="35"/>
      <c r="HI415" s="35"/>
      <c r="HJ415" s="35"/>
      <c r="HK415" s="35"/>
      <c r="HL415" s="35"/>
      <c r="HM415" s="35"/>
      <c r="HN415" s="35"/>
      <c r="HO415" s="35"/>
      <c r="HP415" s="35"/>
      <c r="HQ415" s="35"/>
      <c r="HR415" s="35"/>
      <c r="HS415" s="35"/>
      <c r="HT415" s="35"/>
      <c r="HU415" s="35"/>
      <c r="HV415" s="35"/>
      <c r="HW415" s="35"/>
      <c r="HX415" s="35"/>
      <c r="HY415" s="35"/>
      <c r="HZ415" s="35"/>
      <c r="IA415" s="35"/>
      <c r="IB415" s="35"/>
      <c r="IC415" s="35"/>
      <c r="ID415" s="35"/>
      <c r="IE415" s="35"/>
      <c r="IF415" s="35"/>
      <c r="IG415" s="35"/>
      <c r="IH415" s="35"/>
      <c r="II415" s="35"/>
      <c r="IJ415" s="35"/>
      <c r="IK415" s="35"/>
      <c r="IL415" s="35"/>
      <c r="IM415" s="35"/>
      <c r="IN415" s="35"/>
      <c r="IO415" s="35"/>
      <c r="IP415" s="35"/>
      <c r="IQ415" s="35"/>
      <c r="IR415" s="35"/>
      <c r="IS415" s="35"/>
      <c r="IT415" s="35"/>
      <c r="IU415" s="35"/>
      <c r="IV415" s="35"/>
      <c r="IW415" s="35"/>
      <c r="IX415" s="35"/>
      <c r="IY415" s="35"/>
      <c r="IZ415" s="35"/>
      <c r="JA415" s="35"/>
      <c r="JB415" s="35"/>
      <c r="JC415" s="35"/>
      <c r="JD415" s="35"/>
      <c r="JE415" s="35"/>
      <c r="JF415" s="35"/>
      <c r="JG415" s="35"/>
      <c r="JH415" s="35"/>
      <c r="JI415" s="35"/>
      <c r="JJ415" s="35"/>
      <c r="JK415" s="35"/>
      <c r="JL415" s="35"/>
      <c r="JM415" s="35"/>
      <c r="JN415" s="35"/>
      <c r="JO415" s="35"/>
      <c r="JP415" s="35"/>
      <c r="JQ415" s="35"/>
      <c r="JR415" s="35"/>
      <c r="JS415" s="35"/>
      <c r="JT415" s="35"/>
      <c r="JU415" s="35"/>
      <c r="JV415" s="35"/>
      <c r="JW415" s="35"/>
      <c r="JX415" s="35"/>
      <c r="JY415" s="35"/>
      <c r="JZ415" s="35"/>
      <c r="KA415" s="35"/>
      <c r="KB415" s="35"/>
      <c r="KC415" s="35"/>
      <c r="KD415" s="35"/>
      <c r="KE415" s="35"/>
      <c r="KF415" s="35"/>
      <c r="KG415" s="35"/>
      <c r="KH415" s="35"/>
      <c r="KI415" s="35"/>
      <c r="KJ415" s="35"/>
      <c r="KK415" s="35"/>
      <c r="KL415" s="35"/>
      <c r="KM415" s="35"/>
      <c r="KN415" s="35"/>
      <c r="KO415" s="35"/>
      <c r="KP415" s="1633"/>
    </row>
    <row r="416" spans="1:302" s="92" customFormat="1" ht="25.25" customHeight="1" outlineLevel="1">
      <c r="A416" s="1676" t="s">
        <v>1236</v>
      </c>
      <c r="B416" s="1676"/>
      <c r="C416" s="1922" t="s">
        <v>1425</v>
      </c>
      <c r="D416" s="1410" t="s">
        <v>451</v>
      </c>
      <c r="E416" s="1389"/>
      <c r="F416" s="506"/>
      <c r="G416" s="1390"/>
      <c r="H416" s="1391"/>
      <c r="I416" s="1671"/>
      <c r="J416" s="1672"/>
      <c r="K416" s="1697"/>
      <c r="L416" s="1697"/>
      <c r="M416" s="1704"/>
      <c r="N416" s="1697"/>
      <c r="O416" s="1397">
        <f t="shared" si="561"/>
        <v>0</v>
      </c>
      <c r="P416" s="1671"/>
      <c r="Q416" s="1671"/>
      <c r="R416" s="1671"/>
      <c r="S416" s="1672"/>
      <c r="T416" s="1699"/>
      <c r="U416" s="1700"/>
      <c r="V416" s="1700"/>
      <c r="W416" s="1672">
        <f t="shared" si="562"/>
        <v>0</v>
      </c>
      <c r="X416" s="1672"/>
      <c r="Y416" s="1699"/>
      <c r="Z416" s="1700"/>
      <c r="AA416" s="1699"/>
      <c r="AB416" s="2719">
        <f t="shared" si="577"/>
        <v>-32297.41</v>
      </c>
      <c r="AC416" s="510" t="s">
        <v>452</v>
      </c>
      <c r="AD416" s="510"/>
      <c r="AE416" s="510"/>
      <c r="AF416" s="497"/>
      <c r="AG416" s="1403">
        <v>1</v>
      </c>
      <c r="AH416" s="1397">
        <f t="shared" si="582"/>
        <v>0</v>
      </c>
      <c r="AI416" s="355">
        <f t="shared" si="578"/>
        <v>0</v>
      </c>
      <c r="AJ416" s="351">
        <f t="shared" si="467"/>
        <v>0</v>
      </c>
      <c r="AK416" s="351"/>
      <c r="AL416" s="1398"/>
      <c r="AM416" s="2736"/>
      <c r="AN416" s="2820"/>
      <c r="AO416" s="1983"/>
      <c r="AP416" s="2507">
        <v>-32297.41</v>
      </c>
      <c r="AQ416" s="1983"/>
      <c r="AR416" s="1983"/>
      <c r="AS416" s="1983"/>
      <c r="AT416" s="2025"/>
      <c r="AU416" s="1983"/>
      <c r="AV416" s="1983"/>
      <c r="AW416" s="1983"/>
      <c r="AX416" s="1983"/>
      <c r="AY416" s="2327"/>
      <c r="AZ416" s="2273"/>
      <c r="BA416" s="2011"/>
      <c r="BB416" s="497"/>
      <c r="BC416" s="497"/>
      <c r="BD416" s="497"/>
      <c r="BE416" s="497"/>
      <c r="BF416" s="497"/>
      <c r="BG416" s="497"/>
      <c r="BH416" s="497"/>
      <c r="BI416" s="497"/>
      <c r="BJ416" s="497"/>
      <c r="BK416" s="2137"/>
      <c r="BL416" s="2011"/>
      <c r="BM416" s="2011"/>
      <c r="BN416" s="2011"/>
      <c r="BO416" s="2011"/>
      <c r="BP416" s="2011"/>
      <c r="BQ416" s="2403"/>
      <c r="BR416" s="497"/>
      <c r="BS416" s="497"/>
      <c r="BT416" s="497"/>
      <c r="BU416" s="497"/>
      <c r="BV416" s="497"/>
      <c r="BW416" s="2060"/>
      <c r="BX416" s="2417"/>
      <c r="BY416" s="2549"/>
      <c r="BZ416" s="2549"/>
      <c r="CA416" s="2435">
        <f t="shared" ref="CA416:CA417" si="583">SUMIF($AM$10:$BZ$10,$CA$9,AM416:BZ416)</f>
        <v>-32297.41</v>
      </c>
      <c r="CB416" s="2380">
        <f t="shared" ref="CB416:CB417" si="584">IF($AB416&lt;&gt;0,CA416/$AB416,"")</f>
        <v>1</v>
      </c>
      <c r="CC416" s="365">
        <f t="shared" ref="CC416:CC417" si="585">IF($AB416&lt;&gt;0,CB416/$AB416,"")</f>
        <v>-3.0962235052284378E-5</v>
      </c>
      <c r="CD416" s="1380" t="str">
        <f t="shared" ref="CD416:CD417" si="586">IF($W416&lt;&gt;0,(CE416)/$W416,"0,00%")</f>
        <v>0,00%</v>
      </c>
      <c r="CE416" s="1381">
        <f t="shared" ref="CE416:CE417" si="587">W416-AB416</f>
        <v>32297.41</v>
      </c>
      <c r="CF416" s="1381"/>
      <c r="CG416" s="501"/>
      <c r="CH416" s="502"/>
      <c r="CI416" s="503"/>
      <c r="CJ416" s="504"/>
      <c r="CK416" s="505"/>
      <c r="CL416" s="329">
        <f t="shared" ref="CL416:CL417" si="588">O416-CA416</f>
        <v>32297.41</v>
      </c>
      <c r="CM416" s="330">
        <f t="shared" ref="CM416:CM417" si="589">CA416+AI416-AB416</f>
        <v>0</v>
      </c>
      <c r="CN416" s="331"/>
      <c r="CO416" s="86"/>
      <c r="CP416" s="86"/>
      <c r="CQ416" s="86"/>
      <c r="CR416" s="86"/>
      <c r="CS416" s="86"/>
      <c r="CT416" s="86"/>
      <c r="CU416" s="86"/>
      <c r="CV416" s="86"/>
      <c r="CW416" s="86"/>
      <c r="CX416" s="86"/>
      <c r="CY416" s="86"/>
      <c r="CZ416" s="86"/>
      <c r="DA416" s="86"/>
      <c r="DB416" s="32"/>
      <c r="DC416" s="32"/>
      <c r="DD416" s="1665"/>
      <c r="DE416" s="35"/>
      <c r="DF416" s="35"/>
      <c r="DG416" s="1642"/>
      <c r="DH416" s="1642"/>
      <c r="DI416" s="1642"/>
      <c r="DJ416" s="1642"/>
      <c r="DK416" s="1642"/>
      <c r="DL416" s="1642"/>
      <c r="DM416" s="1642"/>
      <c r="DN416" s="1642"/>
      <c r="DO416" s="1642"/>
      <c r="DP416" s="1642"/>
      <c r="DQ416" s="1642"/>
      <c r="DR416" s="1642"/>
      <c r="DS416" s="1642"/>
      <c r="DT416" s="1642"/>
      <c r="DU416" s="1642"/>
      <c r="DV416" s="1642"/>
      <c r="DW416" s="1642"/>
      <c r="DX416" s="1642"/>
      <c r="DY416" s="1642"/>
      <c r="DZ416" s="1642"/>
      <c r="EA416" s="1642"/>
      <c r="EB416" s="1642"/>
      <c r="EC416" s="1642"/>
      <c r="ED416" s="1642"/>
      <c r="EE416" s="1642"/>
      <c r="EF416" s="1642"/>
      <c r="EG416" s="1642"/>
      <c r="EH416" s="35"/>
      <c r="EI416" s="1658"/>
      <c r="EJ416" s="35"/>
      <c r="EK416" s="35"/>
      <c r="EL416" s="35"/>
      <c r="EM416" s="35"/>
      <c r="EN416" s="35"/>
      <c r="EO416" s="35"/>
      <c r="EP416" s="35"/>
      <c r="EQ416" s="35"/>
      <c r="ER416" s="35"/>
      <c r="ES416" s="35"/>
      <c r="ET416" s="35"/>
      <c r="EU416" s="35"/>
      <c r="EV416" s="35"/>
      <c r="EW416" s="35"/>
      <c r="EX416" s="35"/>
      <c r="EY416" s="35"/>
      <c r="EZ416" s="35"/>
      <c r="FA416" s="35"/>
      <c r="FB416" s="35"/>
      <c r="FC416" s="35"/>
      <c r="FD416" s="35"/>
      <c r="FE416" s="35"/>
      <c r="FF416" s="35"/>
      <c r="FG416" s="35"/>
      <c r="FH416" s="35"/>
      <c r="FI416" s="35"/>
      <c r="FJ416" s="35"/>
      <c r="FK416" s="35"/>
      <c r="FL416" s="35"/>
      <c r="FM416" s="35"/>
      <c r="FN416" s="35"/>
      <c r="FO416" s="35"/>
      <c r="FP416" s="35"/>
      <c r="FQ416" s="35"/>
      <c r="FR416" s="35"/>
      <c r="FS416" s="35"/>
      <c r="FT416" s="35"/>
      <c r="FU416" s="35"/>
      <c r="FV416" s="35"/>
      <c r="FW416" s="35"/>
      <c r="FX416" s="35"/>
      <c r="FY416" s="35"/>
      <c r="FZ416" s="35"/>
      <c r="GA416" s="35"/>
      <c r="GB416" s="35"/>
      <c r="GC416" s="35"/>
      <c r="GD416" s="35"/>
      <c r="GE416" s="35"/>
      <c r="GF416" s="35"/>
      <c r="GG416" s="35"/>
      <c r="GH416" s="35"/>
      <c r="GI416" s="35"/>
      <c r="GJ416" s="35"/>
      <c r="GK416" s="35"/>
      <c r="GL416" s="35"/>
      <c r="GM416" s="35"/>
      <c r="GN416" s="35"/>
      <c r="GO416" s="35"/>
      <c r="GP416" s="35"/>
      <c r="GQ416" s="35"/>
      <c r="GR416" s="35"/>
      <c r="GS416" s="35"/>
      <c r="GT416" s="35"/>
      <c r="GU416" s="35"/>
      <c r="GV416" s="35"/>
      <c r="GW416" s="35"/>
      <c r="GX416" s="35"/>
      <c r="GY416" s="35"/>
      <c r="GZ416" s="35"/>
      <c r="HA416" s="35"/>
      <c r="HB416" s="35"/>
      <c r="HC416" s="35"/>
      <c r="HD416" s="35"/>
      <c r="HE416" s="35"/>
      <c r="HF416" s="35"/>
      <c r="HG416" s="35"/>
      <c r="HH416" s="35"/>
      <c r="HI416" s="35"/>
      <c r="HJ416" s="35"/>
      <c r="HK416" s="35"/>
      <c r="HL416" s="35"/>
      <c r="HM416" s="35"/>
      <c r="HN416" s="35"/>
      <c r="HO416" s="35"/>
      <c r="HP416" s="35"/>
      <c r="HQ416" s="35"/>
      <c r="HR416" s="35"/>
      <c r="HS416" s="35"/>
      <c r="HT416" s="35"/>
      <c r="HU416" s="35"/>
      <c r="HV416" s="35"/>
      <c r="HW416" s="35"/>
      <c r="HX416" s="35"/>
      <c r="HY416" s="35"/>
      <c r="HZ416" s="35"/>
      <c r="IA416" s="35"/>
      <c r="IB416" s="35"/>
      <c r="IC416" s="35"/>
      <c r="ID416" s="35"/>
      <c r="IE416" s="35"/>
      <c r="IF416" s="35"/>
      <c r="IG416" s="35"/>
      <c r="IH416" s="35"/>
      <c r="II416" s="35"/>
      <c r="IJ416" s="35"/>
      <c r="IK416" s="35"/>
      <c r="IL416" s="35"/>
      <c r="IM416" s="35"/>
      <c r="IN416" s="35"/>
      <c r="IO416" s="35"/>
      <c r="IP416" s="35"/>
      <c r="IQ416" s="35"/>
      <c r="IR416" s="35"/>
      <c r="IS416" s="35"/>
      <c r="IT416" s="35"/>
      <c r="IU416" s="35"/>
      <c r="IV416" s="35"/>
      <c r="IW416" s="35"/>
      <c r="IX416" s="35"/>
      <c r="IY416" s="35"/>
      <c r="IZ416" s="35"/>
      <c r="JA416" s="35"/>
      <c r="JB416" s="35"/>
      <c r="JC416" s="35"/>
      <c r="JD416" s="35"/>
      <c r="JE416" s="35"/>
      <c r="JF416" s="35"/>
      <c r="JG416" s="35"/>
      <c r="JH416" s="35"/>
      <c r="JI416" s="35"/>
      <c r="JJ416" s="35"/>
      <c r="JK416" s="35"/>
      <c r="JL416" s="35"/>
      <c r="JM416" s="35"/>
      <c r="JN416" s="35"/>
      <c r="JO416" s="35"/>
      <c r="JP416" s="35"/>
      <c r="JQ416" s="35"/>
      <c r="JR416" s="35"/>
      <c r="JS416" s="35"/>
      <c r="JT416" s="35"/>
      <c r="JU416" s="35"/>
      <c r="JV416" s="35"/>
      <c r="JW416" s="35"/>
      <c r="JX416" s="35"/>
      <c r="JY416" s="35"/>
      <c r="JZ416" s="35"/>
      <c r="KA416" s="35"/>
      <c r="KB416" s="35"/>
      <c r="KC416" s="35"/>
      <c r="KD416" s="35"/>
      <c r="KE416" s="35"/>
      <c r="KF416" s="35"/>
      <c r="KG416" s="35"/>
      <c r="KH416" s="35"/>
      <c r="KI416" s="35"/>
      <c r="KJ416" s="35"/>
      <c r="KK416" s="35"/>
      <c r="KL416" s="35"/>
      <c r="KM416" s="35"/>
      <c r="KN416" s="35"/>
      <c r="KO416" s="35"/>
      <c r="KP416" s="1633"/>
    </row>
    <row r="417" spans="1:302" s="92" customFormat="1" ht="25.25" customHeight="1" outlineLevel="1">
      <c r="A417" s="1676" t="s">
        <v>207</v>
      </c>
      <c r="B417" s="1676"/>
      <c r="C417" s="1922" t="s">
        <v>453</v>
      </c>
      <c r="D417" s="1410" t="s">
        <v>222</v>
      </c>
      <c r="E417" s="1389"/>
      <c r="F417" s="506"/>
      <c r="G417" s="1390"/>
      <c r="H417" s="1391"/>
      <c r="I417" s="1408"/>
      <c r="J417" s="1392"/>
      <c r="K417" s="1390"/>
      <c r="L417" s="507"/>
      <c r="M417" s="517"/>
      <c r="N417" s="1409"/>
      <c r="O417" s="1397">
        <f t="shared" si="561"/>
        <v>0</v>
      </c>
      <c r="P417" s="515"/>
      <c r="Q417" s="515"/>
      <c r="R417" s="515"/>
      <c r="S417" s="1394"/>
      <c r="T417" s="508"/>
      <c r="U417" s="509"/>
      <c r="V417" s="509"/>
      <c r="W417" s="1672">
        <f t="shared" si="562"/>
        <v>0</v>
      </c>
      <c r="X417" s="1392"/>
      <c r="Y417" s="508"/>
      <c r="Z417" s="509"/>
      <c r="AA417" s="1395"/>
      <c r="AB417" s="2719">
        <f t="shared" si="577"/>
        <v>0</v>
      </c>
      <c r="AC417" s="510" t="s">
        <v>453</v>
      </c>
      <c r="AD417" s="510"/>
      <c r="AE417" s="510"/>
      <c r="AF417" s="497"/>
      <c r="AG417" s="1403">
        <v>1</v>
      </c>
      <c r="AH417" s="1397">
        <f t="shared" si="582"/>
        <v>0</v>
      </c>
      <c r="AI417" s="355">
        <f t="shared" si="578"/>
        <v>0</v>
      </c>
      <c r="AJ417" s="351" t="str">
        <f t="shared" si="467"/>
        <v/>
      </c>
      <c r="AK417" s="351"/>
      <c r="AL417" s="1398"/>
      <c r="AM417" s="2273"/>
      <c r="AN417" s="2273"/>
      <c r="AO417" s="497"/>
      <c r="AP417" s="1922"/>
      <c r="AQ417" s="1922"/>
      <c r="AR417" s="1986"/>
      <c r="AS417" s="1986"/>
      <c r="AT417" s="2025"/>
      <c r="AU417" s="1922"/>
      <c r="AV417" s="1922"/>
      <c r="AW417" s="1983"/>
      <c r="AX417" s="1922"/>
      <c r="AY417" s="2327"/>
      <c r="AZ417" s="2273"/>
      <c r="BA417" s="2011"/>
      <c r="BB417" s="1706"/>
      <c r="BC417" s="1706"/>
      <c r="BD417" s="1706"/>
      <c r="BE417" s="497"/>
      <c r="BF417" s="497"/>
      <c r="BG417" s="497"/>
      <c r="BH417" s="497"/>
      <c r="BI417" s="497"/>
      <c r="BJ417" s="497"/>
      <c r="BK417" s="2137"/>
      <c r="BL417" s="2011"/>
      <c r="BM417" s="2011"/>
      <c r="BN417" s="2011"/>
      <c r="BO417" s="2011"/>
      <c r="BP417" s="2011"/>
      <c r="BQ417" s="2403"/>
      <c r="BR417" s="497"/>
      <c r="BS417" s="497"/>
      <c r="BT417" s="497"/>
      <c r="BU417" s="497"/>
      <c r="BV417" s="497"/>
      <c r="BW417" s="2060"/>
      <c r="BX417" s="2417"/>
      <c r="BY417" s="2549"/>
      <c r="BZ417" s="2549"/>
      <c r="CA417" s="2435">
        <f t="shared" si="583"/>
        <v>0</v>
      </c>
      <c r="CB417" s="2380" t="str">
        <f t="shared" si="584"/>
        <v/>
      </c>
      <c r="CC417" s="365" t="str">
        <f t="shared" si="585"/>
        <v/>
      </c>
      <c r="CD417" s="1380" t="str">
        <f t="shared" si="586"/>
        <v>0,00%</v>
      </c>
      <c r="CE417" s="1381">
        <f t="shared" si="587"/>
        <v>0</v>
      </c>
      <c r="CF417" s="1381"/>
      <c r="CG417" s="501"/>
      <c r="CH417" s="502"/>
      <c r="CI417" s="503"/>
      <c r="CJ417" s="504"/>
      <c r="CK417" s="505"/>
      <c r="CL417" s="329">
        <f t="shared" si="588"/>
        <v>0</v>
      </c>
      <c r="CM417" s="330">
        <f t="shared" si="589"/>
        <v>0</v>
      </c>
      <c r="CN417" s="331">
        <f t="shared" si="517"/>
        <v>0</v>
      </c>
      <c r="CO417" s="86"/>
      <c r="CP417" s="86">
        <f t="shared" si="579"/>
        <v>0</v>
      </c>
      <c r="CQ417" s="86"/>
      <c r="CR417" s="86"/>
      <c r="CS417" s="86"/>
      <c r="CT417" s="86"/>
      <c r="CU417" s="86"/>
      <c r="CV417" s="86"/>
      <c r="CW417" s="86"/>
      <c r="CX417" s="86"/>
      <c r="CY417" s="86"/>
      <c r="CZ417" s="86"/>
      <c r="DA417" s="86"/>
      <c r="DB417" s="32"/>
      <c r="DC417" s="32"/>
      <c r="DD417" s="1665"/>
      <c r="DE417" s="35"/>
      <c r="DF417" s="35"/>
      <c r="DG417" s="1642" t="e">
        <f>ROUND(#REF!,2)</f>
        <v>#REF!</v>
      </c>
      <c r="DH417" s="1642" t="e">
        <f>ROUND(#REF!,2)</f>
        <v>#REF!</v>
      </c>
      <c r="DI417" s="1642" t="e">
        <f>ROUND(#REF!,2)</f>
        <v>#REF!</v>
      </c>
      <c r="DJ417" s="1642" t="e">
        <f>ROUND(#REF!,2)</f>
        <v>#REF!</v>
      </c>
      <c r="DK417" s="1642" t="e">
        <f>ROUND(#REF!,2)</f>
        <v>#REF!</v>
      </c>
      <c r="DL417" s="1642" t="e">
        <f>ROUND(#REF!,2)</f>
        <v>#REF!</v>
      </c>
      <c r="DM417" s="1642" t="e">
        <f>ROUND(#REF!,2)</f>
        <v>#REF!</v>
      </c>
      <c r="DN417" s="1642" t="e">
        <f>ROUND(#REF!,2)</f>
        <v>#REF!</v>
      </c>
      <c r="DO417" s="1642" t="e">
        <f>ROUND(#REF!,2)</f>
        <v>#REF!</v>
      </c>
      <c r="DP417" s="1642">
        <f t="shared" ref="DP417:DQ421" si="590">ROUND(AN417,2)</f>
        <v>0</v>
      </c>
      <c r="DQ417" s="1642">
        <f t="shared" si="590"/>
        <v>0</v>
      </c>
      <c r="DR417" s="1642" t="e">
        <f>ROUND(#REF!,2)</f>
        <v>#REF!</v>
      </c>
      <c r="DS417" s="1642" t="e">
        <f>ROUND(#REF!,2)</f>
        <v>#REF!</v>
      </c>
      <c r="DT417" s="1642" t="e">
        <f>ROUND(#REF!,2)</f>
        <v>#REF!</v>
      </c>
      <c r="DU417" s="1642" t="e">
        <f>ROUND(#REF!,2)</f>
        <v>#REF!</v>
      </c>
      <c r="DV417" s="1642" t="e">
        <f>ROUND(#REF!,2)</f>
        <v>#REF!</v>
      </c>
      <c r="DW417" s="1642" t="e">
        <f>ROUND(#REF!,2)</f>
        <v>#REF!</v>
      </c>
      <c r="DX417" s="1642" t="e">
        <f>ROUND(#REF!,2)</f>
        <v>#REF!</v>
      </c>
      <c r="DY417" s="1642" t="e">
        <f>ROUND(#REF!,2)</f>
        <v>#REF!</v>
      </c>
      <c r="DZ417" s="1642" t="e">
        <f>ROUND(#REF!,2)</f>
        <v>#REF!</v>
      </c>
      <c r="EA417" s="1642" t="e">
        <f>ROUND(#REF!,2)</f>
        <v>#REF!</v>
      </c>
      <c r="EB417" s="1642" t="e">
        <f>ROUND(#REF!,2)</f>
        <v>#REF!</v>
      </c>
      <c r="EC417" s="1642" t="e">
        <f>ROUND(#REF!,2)</f>
        <v>#REF!</v>
      </c>
      <c r="ED417" s="1642" t="e">
        <f>ROUND(#REF!,2)</f>
        <v>#REF!</v>
      </c>
      <c r="EE417" s="1642" t="e">
        <f>ROUND(#REF!,2)</f>
        <v>#REF!</v>
      </c>
      <c r="EF417" s="1642" t="e">
        <f>ROUND(#REF!,2)</f>
        <v>#REF!</v>
      </c>
      <c r="EG417" s="1642" t="e">
        <f>ROUND(#REF!,2)</f>
        <v>#REF!</v>
      </c>
      <c r="EH417" s="35"/>
      <c r="EI417" s="1658"/>
      <c r="EJ417" s="35"/>
      <c r="EK417" s="35"/>
      <c r="EL417" s="35"/>
      <c r="EM417" s="35"/>
      <c r="EN417" s="35"/>
      <c r="EO417" s="35"/>
      <c r="EP417" s="35"/>
      <c r="EQ417" s="35"/>
      <c r="ER417" s="35"/>
      <c r="ES417" s="35"/>
      <c r="ET417" s="35"/>
      <c r="EU417" s="35"/>
      <c r="EV417" s="35"/>
      <c r="EW417" s="35"/>
      <c r="EX417" s="35"/>
      <c r="EY417" s="35"/>
      <c r="EZ417" s="35"/>
      <c r="FA417" s="35"/>
      <c r="FB417" s="35"/>
      <c r="FC417" s="35"/>
      <c r="FD417" s="35"/>
      <c r="FE417" s="35"/>
      <c r="FF417" s="35"/>
      <c r="FG417" s="35"/>
      <c r="FH417" s="35"/>
      <c r="FI417" s="35"/>
      <c r="FJ417" s="35"/>
      <c r="FK417" s="35"/>
      <c r="FL417" s="35"/>
      <c r="FM417" s="35"/>
      <c r="FN417" s="35"/>
      <c r="FO417" s="35"/>
      <c r="FP417" s="35"/>
      <c r="FQ417" s="35"/>
      <c r="FR417" s="35"/>
      <c r="FS417" s="35"/>
      <c r="FT417" s="35"/>
      <c r="FU417" s="35"/>
      <c r="FV417" s="35"/>
      <c r="FW417" s="35"/>
      <c r="FX417" s="35"/>
      <c r="FY417" s="35"/>
      <c r="FZ417" s="35"/>
      <c r="GA417" s="35"/>
      <c r="GB417" s="35"/>
      <c r="GC417" s="35"/>
      <c r="GD417" s="35"/>
      <c r="GE417" s="35"/>
      <c r="GF417" s="35"/>
      <c r="GG417" s="35"/>
      <c r="GH417" s="35"/>
      <c r="GI417" s="35"/>
      <c r="GJ417" s="35"/>
      <c r="GK417" s="35"/>
      <c r="GL417" s="35"/>
      <c r="GM417" s="35"/>
      <c r="GN417" s="35"/>
      <c r="GO417" s="35"/>
      <c r="GP417" s="35"/>
      <c r="GQ417" s="35"/>
      <c r="GR417" s="35"/>
      <c r="GS417" s="35"/>
      <c r="GT417" s="35"/>
      <c r="GU417" s="35"/>
      <c r="GV417" s="35"/>
      <c r="GW417" s="35"/>
      <c r="GX417" s="35"/>
      <c r="GY417" s="35"/>
      <c r="GZ417" s="35"/>
      <c r="HA417" s="35"/>
      <c r="HB417" s="35"/>
      <c r="HC417" s="35"/>
      <c r="HD417" s="35"/>
      <c r="HE417" s="35"/>
      <c r="HF417" s="35"/>
      <c r="HG417" s="35"/>
      <c r="HH417" s="35"/>
      <c r="HI417" s="35"/>
      <c r="HJ417" s="35"/>
      <c r="HK417" s="35"/>
      <c r="HL417" s="35"/>
      <c r="HM417" s="35"/>
      <c r="HN417" s="35"/>
      <c r="HO417" s="35"/>
      <c r="HP417" s="35"/>
      <c r="HQ417" s="35"/>
      <c r="HR417" s="35"/>
      <c r="HS417" s="35"/>
      <c r="HT417" s="35"/>
      <c r="HU417" s="35"/>
      <c r="HV417" s="35"/>
      <c r="HW417" s="35"/>
      <c r="HX417" s="35"/>
      <c r="HY417" s="35"/>
      <c r="HZ417" s="35"/>
      <c r="IA417" s="35"/>
      <c r="IB417" s="35"/>
      <c r="IC417" s="35"/>
      <c r="ID417" s="35"/>
      <c r="IE417" s="35"/>
      <c r="IF417" s="35"/>
      <c r="IG417" s="35"/>
      <c r="IH417" s="35"/>
      <c r="II417" s="35"/>
      <c r="IJ417" s="35"/>
      <c r="IK417" s="35"/>
      <c r="IL417" s="35"/>
      <c r="IM417" s="35"/>
      <c r="IN417" s="35"/>
      <c r="IO417" s="35"/>
      <c r="IP417" s="35"/>
      <c r="IQ417" s="35"/>
      <c r="IR417" s="35"/>
      <c r="IS417" s="35"/>
      <c r="IT417" s="35"/>
      <c r="IU417" s="35"/>
      <c r="IV417" s="35"/>
      <c r="IW417" s="35"/>
      <c r="IX417" s="35"/>
      <c r="IY417" s="35"/>
      <c r="IZ417" s="35"/>
      <c r="JA417" s="35"/>
      <c r="JB417" s="35"/>
      <c r="JC417" s="35"/>
      <c r="JD417" s="35"/>
      <c r="JE417" s="35"/>
      <c r="JF417" s="35"/>
      <c r="JG417" s="35"/>
      <c r="JH417" s="35"/>
      <c r="JI417" s="35"/>
      <c r="JJ417" s="35"/>
      <c r="JK417" s="35"/>
      <c r="JL417" s="35"/>
      <c r="JM417" s="35"/>
      <c r="JN417" s="35"/>
      <c r="JO417" s="35"/>
      <c r="JP417" s="35"/>
      <c r="JQ417" s="35"/>
      <c r="JR417" s="35"/>
      <c r="JS417" s="35"/>
      <c r="JT417" s="35"/>
      <c r="JU417" s="35"/>
      <c r="JV417" s="35"/>
      <c r="JW417" s="35"/>
      <c r="JX417" s="35"/>
      <c r="JY417" s="35"/>
      <c r="JZ417" s="35"/>
      <c r="KA417" s="35"/>
      <c r="KB417" s="35"/>
      <c r="KC417" s="35"/>
      <c r="KD417" s="35"/>
      <c r="KE417" s="35"/>
      <c r="KF417" s="35"/>
      <c r="KG417" s="35"/>
      <c r="KH417" s="35"/>
      <c r="KI417" s="35"/>
      <c r="KJ417" s="35"/>
      <c r="KK417" s="35"/>
      <c r="KL417" s="35"/>
      <c r="KM417" s="35"/>
      <c r="KN417" s="35"/>
      <c r="KO417" s="35"/>
      <c r="KP417" s="1633"/>
    </row>
    <row r="418" spans="1:302" s="92" customFormat="1" ht="25.25" customHeight="1" outlineLevel="1">
      <c r="A418" s="1676" t="s">
        <v>494</v>
      </c>
      <c r="B418" s="1676"/>
      <c r="C418" s="1410" t="s">
        <v>479</v>
      </c>
      <c r="D418" s="1410" t="s">
        <v>478</v>
      </c>
      <c r="E418" s="1389"/>
      <c r="F418" s="506"/>
      <c r="G418" s="1390"/>
      <c r="H418" s="1391"/>
      <c r="I418" s="1408"/>
      <c r="J418" s="1392"/>
      <c r="K418" s="1390"/>
      <c r="L418" s="507"/>
      <c r="M418" s="517"/>
      <c r="N418" s="1409"/>
      <c r="O418" s="1379">
        <f t="shared" ref="O418:O420" si="591">M418*N418</f>
        <v>0</v>
      </c>
      <c r="P418" s="515"/>
      <c r="Q418" s="515"/>
      <c r="R418" s="515"/>
      <c r="S418" s="1394"/>
      <c r="T418" s="508"/>
      <c r="U418" s="509"/>
      <c r="V418" s="509"/>
      <c r="W418" s="1394">
        <v>0</v>
      </c>
      <c r="X418" s="1392"/>
      <c r="Y418" s="508"/>
      <c r="Z418" s="509"/>
      <c r="AA418" s="1395"/>
      <c r="AB418" s="2719">
        <f t="shared" si="577"/>
        <v>0</v>
      </c>
      <c r="AC418" s="510" t="s">
        <v>480</v>
      </c>
      <c r="AD418" s="510"/>
      <c r="AE418" s="510"/>
      <c r="AF418" s="497"/>
      <c r="AG418" s="1403">
        <v>1</v>
      </c>
      <c r="AH418" s="1397">
        <f t="shared" si="582"/>
        <v>0</v>
      </c>
      <c r="AI418" s="355">
        <f t="shared" si="578"/>
        <v>0</v>
      </c>
      <c r="AJ418" s="351" t="str">
        <f t="shared" si="467"/>
        <v/>
      </c>
      <c r="AK418" s="351"/>
      <c r="AL418" s="1398"/>
      <c r="AM418" s="2273"/>
      <c r="AN418" s="2273"/>
      <c r="AO418" s="497"/>
      <c r="AP418" s="497"/>
      <c r="AQ418" s="1983"/>
      <c r="AR418" s="1983"/>
      <c r="AS418" s="1986"/>
      <c r="AT418" s="2025"/>
      <c r="AU418" s="1983"/>
      <c r="AV418" s="1983"/>
      <c r="AW418" s="1983"/>
      <c r="AX418" s="1983"/>
      <c r="AY418" s="2327"/>
      <c r="AZ418" s="2273"/>
      <c r="BA418" s="2011"/>
      <c r="BB418" s="497"/>
      <c r="BC418" s="497"/>
      <c r="BD418" s="497"/>
      <c r="BE418" s="497"/>
      <c r="BF418" s="497"/>
      <c r="BG418" s="497"/>
      <c r="BH418" s="497"/>
      <c r="BI418" s="497"/>
      <c r="BJ418" s="497"/>
      <c r="BK418" s="2139"/>
      <c r="BL418" s="2011"/>
      <c r="BM418" s="2011"/>
      <c r="BN418" s="2011"/>
      <c r="BO418" s="2011"/>
      <c r="BP418" s="2011"/>
      <c r="BQ418" s="2403"/>
      <c r="BR418" s="497"/>
      <c r="BS418" s="497"/>
      <c r="BT418" s="497"/>
      <c r="BU418" s="497"/>
      <c r="BV418" s="497"/>
      <c r="BW418" s="2060"/>
      <c r="BX418" s="2417"/>
      <c r="BY418" s="2549"/>
      <c r="BZ418" s="2549"/>
      <c r="CA418" s="2435">
        <f t="shared" ref="CA418:CA421" si="592">SUMIF($AM$10:$BZ$10,$CA$9,AM418:BZ418)</f>
        <v>0</v>
      </c>
      <c r="CB418" s="2380" t="str">
        <f t="shared" ref="CB418:CB421" si="593">IF($AB418&lt;&gt;0,CA418/$AB418,"")</f>
        <v/>
      </c>
      <c r="CC418" s="365" t="str">
        <f t="shared" ref="CC418:CC421" si="594">IF($AB418&lt;&gt;0,CB418/$AB418,"")</f>
        <v/>
      </c>
      <c r="CD418" s="1380" t="str">
        <f t="shared" si="487"/>
        <v>0,00%</v>
      </c>
      <c r="CE418" s="1381">
        <f t="shared" si="488"/>
        <v>0</v>
      </c>
      <c r="CF418" s="1381"/>
      <c r="CG418" s="501"/>
      <c r="CH418" s="502"/>
      <c r="CI418" s="503"/>
      <c r="CJ418" s="504"/>
      <c r="CK418" s="505"/>
      <c r="CL418" s="329">
        <f t="shared" si="551"/>
        <v>0</v>
      </c>
      <c r="CM418" s="330">
        <f t="shared" si="552"/>
        <v>0</v>
      </c>
      <c r="CN418" s="331">
        <f t="shared" si="517"/>
        <v>0</v>
      </c>
      <c r="CO418" s="86"/>
      <c r="CP418" s="86">
        <f t="shared" si="579"/>
        <v>0</v>
      </c>
      <c r="CQ418" s="86"/>
      <c r="CR418" s="86"/>
      <c r="CS418" s="86"/>
      <c r="CT418" s="86"/>
      <c r="CU418" s="86"/>
      <c r="CV418" s="86"/>
      <c r="CW418" s="86"/>
      <c r="CX418" s="86"/>
      <c r="CY418" s="86"/>
      <c r="CZ418" s="86"/>
      <c r="DA418" s="86"/>
      <c r="DB418" s="32"/>
      <c r="DC418" s="32"/>
      <c r="DD418" s="1665"/>
      <c r="DE418" s="35"/>
      <c r="DF418" s="35"/>
      <c r="DG418" s="1642" t="e">
        <f>ROUND(#REF!,2)</f>
        <v>#REF!</v>
      </c>
      <c r="DH418" s="1642" t="e">
        <f>ROUND(#REF!,2)</f>
        <v>#REF!</v>
      </c>
      <c r="DI418" s="1642" t="e">
        <f>ROUND(#REF!,2)</f>
        <v>#REF!</v>
      </c>
      <c r="DJ418" s="1642" t="e">
        <f>ROUND(#REF!,2)</f>
        <v>#REF!</v>
      </c>
      <c r="DK418" s="1642" t="e">
        <f>ROUND(#REF!,2)</f>
        <v>#REF!</v>
      </c>
      <c r="DL418" s="1642" t="e">
        <f>ROUND(#REF!,2)</f>
        <v>#REF!</v>
      </c>
      <c r="DM418" s="1642" t="e">
        <f>ROUND(#REF!,2)</f>
        <v>#REF!</v>
      </c>
      <c r="DN418" s="1642" t="e">
        <f>ROUND(#REF!,2)</f>
        <v>#REF!</v>
      </c>
      <c r="DO418" s="1642" t="e">
        <f>ROUND(#REF!,2)</f>
        <v>#REF!</v>
      </c>
      <c r="DP418" s="1642">
        <f t="shared" si="590"/>
        <v>0</v>
      </c>
      <c r="DQ418" s="1642">
        <f t="shared" si="590"/>
        <v>0</v>
      </c>
      <c r="DR418" s="1642">
        <f t="shared" ref="DR418:DT421" si="595">ROUND(AP418,2)</f>
        <v>0</v>
      </c>
      <c r="DS418" s="1642">
        <f t="shared" si="595"/>
        <v>0</v>
      </c>
      <c r="DT418" s="1642">
        <f t="shared" si="595"/>
        <v>0</v>
      </c>
      <c r="DU418" s="1642" t="e">
        <f>ROUND(#REF!,2)</f>
        <v>#REF!</v>
      </c>
      <c r="DV418" s="1642" t="e">
        <f>ROUND(#REF!,2)</f>
        <v>#REF!</v>
      </c>
      <c r="DW418" s="1642" t="e">
        <f>ROUND(#REF!,2)</f>
        <v>#REF!</v>
      </c>
      <c r="DX418" s="1642">
        <f t="shared" ref="DX418:DY421" si="596">ROUND(AV418,2)</f>
        <v>0</v>
      </c>
      <c r="DY418" s="1642">
        <f t="shared" si="596"/>
        <v>0</v>
      </c>
      <c r="DZ418" s="1642" t="e">
        <f>ROUND(#REF!,2)</f>
        <v>#REF!</v>
      </c>
      <c r="EA418" s="1642" t="e">
        <f>ROUND(#REF!,2)</f>
        <v>#REF!</v>
      </c>
      <c r="EB418" s="1642" t="e">
        <f>ROUND(#REF!,2)</f>
        <v>#REF!</v>
      </c>
      <c r="EC418" s="1642" t="e">
        <f>ROUND(#REF!,2)</f>
        <v>#REF!</v>
      </c>
      <c r="ED418" s="1642" t="e">
        <f>ROUND(#REF!,2)</f>
        <v>#REF!</v>
      </c>
      <c r="EE418" s="1642" t="e">
        <f>ROUND(#REF!,2)</f>
        <v>#REF!</v>
      </c>
      <c r="EF418" s="1642" t="e">
        <f>ROUND(#REF!,2)</f>
        <v>#REF!</v>
      </c>
      <c r="EG418" s="1642" t="e">
        <f>ROUND(#REF!,2)</f>
        <v>#REF!</v>
      </c>
      <c r="EH418" s="35"/>
      <c r="EI418" s="1658"/>
      <c r="EJ418" s="35"/>
      <c r="EK418" s="35"/>
      <c r="EL418" s="35"/>
      <c r="EM418" s="35"/>
      <c r="EN418" s="35"/>
      <c r="EO418" s="35"/>
      <c r="EP418" s="35"/>
      <c r="EQ418" s="35"/>
      <c r="ER418" s="35"/>
      <c r="ES418" s="35"/>
      <c r="ET418" s="35"/>
      <c r="EU418" s="35"/>
      <c r="EV418" s="35"/>
      <c r="EW418" s="35"/>
      <c r="EX418" s="35"/>
      <c r="EY418" s="35"/>
      <c r="EZ418" s="35"/>
      <c r="FA418" s="35"/>
      <c r="FB418" s="35"/>
      <c r="FC418" s="35"/>
      <c r="FD418" s="35"/>
      <c r="FE418" s="35"/>
      <c r="FF418" s="35"/>
      <c r="FG418" s="35"/>
      <c r="FH418" s="35"/>
      <c r="FI418" s="35"/>
      <c r="FJ418" s="35"/>
      <c r="FK418" s="35"/>
      <c r="FL418" s="35"/>
      <c r="FM418" s="35"/>
      <c r="FN418" s="35"/>
      <c r="FO418" s="35"/>
      <c r="FP418" s="35"/>
      <c r="FQ418" s="35"/>
      <c r="FR418" s="35"/>
      <c r="FS418" s="35"/>
      <c r="FT418" s="35"/>
      <c r="FU418" s="35"/>
      <c r="FV418" s="35"/>
      <c r="FW418" s="35"/>
      <c r="FX418" s="35"/>
      <c r="FY418" s="35"/>
      <c r="FZ418" s="35"/>
      <c r="GA418" s="35"/>
      <c r="GB418" s="35"/>
      <c r="GC418" s="35"/>
      <c r="GD418" s="35"/>
      <c r="GE418" s="35"/>
      <c r="GF418" s="35"/>
      <c r="GG418" s="35"/>
      <c r="GH418" s="35"/>
      <c r="GI418" s="35"/>
      <c r="GJ418" s="35"/>
      <c r="GK418" s="35"/>
      <c r="GL418" s="35"/>
      <c r="GM418" s="35"/>
      <c r="GN418" s="35"/>
      <c r="GO418" s="35"/>
      <c r="GP418" s="35"/>
      <c r="GQ418" s="35"/>
      <c r="GR418" s="35"/>
      <c r="GS418" s="35"/>
      <c r="GT418" s="35"/>
      <c r="GU418" s="35"/>
      <c r="GV418" s="35"/>
      <c r="GW418" s="35"/>
      <c r="GX418" s="35"/>
      <c r="GY418" s="35"/>
      <c r="GZ418" s="35"/>
      <c r="HA418" s="35"/>
      <c r="HB418" s="35"/>
      <c r="HC418" s="35"/>
      <c r="HD418" s="35"/>
      <c r="HE418" s="35"/>
      <c r="HF418" s="35"/>
      <c r="HG418" s="35"/>
      <c r="HH418" s="35"/>
      <c r="HI418" s="35"/>
      <c r="HJ418" s="35"/>
      <c r="HK418" s="35"/>
      <c r="HL418" s="35"/>
      <c r="HM418" s="35"/>
      <c r="HN418" s="35"/>
      <c r="HO418" s="35"/>
      <c r="HP418" s="35"/>
      <c r="HQ418" s="35"/>
      <c r="HR418" s="35"/>
      <c r="HS418" s="35"/>
      <c r="HT418" s="35"/>
      <c r="HU418" s="35"/>
      <c r="HV418" s="35"/>
      <c r="HW418" s="35"/>
      <c r="HX418" s="35"/>
      <c r="HY418" s="35"/>
      <c r="HZ418" s="35"/>
      <c r="IA418" s="35"/>
      <c r="IB418" s="35"/>
      <c r="IC418" s="35"/>
      <c r="ID418" s="35"/>
      <c r="IE418" s="35"/>
      <c r="IF418" s="35"/>
      <c r="IG418" s="35"/>
      <c r="IH418" s="35"/>
      <c r="II418" s="35"/>
      <c r="IJ418" s="35"/>
      <c r="IK418" s="35"/>
      <c r="IL418" s="35"/>
      <c r="IM418" s="35"/>
      <c r="IN418" s="35"/>
      <c r="IO418" s="35"/>
      <c r="IP418" s="35"/>
      <c r="IQ418" s="35"/>
      <c r="IR418" s="35"/>
      <c r="IS418" s="35"/>
      <c r="IT418" s="35"/>
      <c r="IU418" s="35"/>
      <c r="IV418" s="35"/>
      <c r="IW418" s="35"/>
      <c r="IX418" s="35"/>
      <c r="IY418" s="35"/>
      <c r="IZ418" s="35"/>
      <c r="JA418" s="35"/>
      <c r="JB418" s="35"/>
      <c r="JC418" s="35"/>
      <c r="JD418" s="35"/>
      <c r="JE418" s="35"/>
      <c r="JF418" s="35"/>
      <c r="JG418" s="35"/>
      <c r="JH418" s="35"/>
      <c r="JI418" s="35"/>
      <c r="JJ418" s="35"/>
      <c r="JK418" s="35"/>
      <c r="JL418" s="35"/>
      <c r="JM418" s="35"/>
      <c r="JN418" s="35"/>
      <c r="JO418" s="35"/>
      <c r="JP418" s="35"/>
      <c r="JQ418" s="35"/>
      <c r="JR418" s="35"/>
      <c r="JS418" s="35"/>
      <c r="JT418" s="35"/>
      <c r="JU418" s="35"/>
      <c r="JV418" s="35"/>
      <c r="JW418" s="35"/>
      <c r="JX418" s="35"/>
      <c r="JY418" s="35"/>
      <c r="JZ418" s="35"/>
      <c r="KA418" s="35"/>
      <c r="KB418" s="35"/>
      <c r="KC418" s="35"/>
      <c r="KD418" s="35"/>
      <c r="KE418" s="35"/>
      <c r="KF418" s="35"/>
      <c r="KG418" s="35"/>
      <c r="KH418" s="35"/>
      <c r="KI418" s="35"/>
      <c r="KJ418" s="35"/>
      <c r="KK418" s="35"/>
      <c r="KL418" s="35"/>
      <c r="KM418" s="35"/>
      <c r="KN418" s="35"/>
      <c r="KO418" s="35"/>
      <c r="KP418" s="1633"/>
    </row>
    <row r="419" spans="1:302" s="92" customFormat="1" ht="25.25" customHeight="1" outlineLevel="1">
      <c r="A419" s="1676" t="s">
        <v>64</v>
      </c>
      <c r="B419" s="1676"/>
      <c r="C419" s="1410" t="s">
        <v>501</v>
      </c>
      <c r="D419" s="1410" t="s">
        <v>495</v>
      </c>
      <c r="E419" s="1389"/>
      <c r="F419" s="506"/>
      <c r="G419" s="1390"/>
      <c r="H419" s="1391"/>
      <c r="I419" s="1408"/>
      <c r="J419" s="1392"/>
      <c r="K419" s="1390"/>
      <c r="L419" s="507"/>
      <c r="M419" s="517"/>
      <c r="N419" s="1409"/>
      <c r="O419" s="1379">
        <f t="shared" si="591"/>
        <v>0</v>
      </c>
      <c r="P419" s="515"/>
      <c r="Q419" s="515"/>
      <c r="R419" s="515"/>
      <c r="S419" s="1394"/>
      <c r="T419" s="508"/>
      <c r="U419" s="509"/>
      <c r="V419" s="509"/>
      <c r="W419" s="1394">
        <v>0</v>
      </c>
      <c r="X419" s="1392"/>
      <c r="Y419" s="508"/>
      <c r="Z419" s="509"/>
      <c r="AA419" s="1395"/>
      <c r="AB419" s="2719">
        <f t="shared" si="577"/>
        <v>0</v>
      </c>
      <c r="AC419" s="510"/>
      <c r="AD419" s="2052"/>
      <c r="AE419" s="510"/>
      <c r="AF419" s="497"/>
      <c r="AG419" s="1403">
        <v>1</v>
      </c>
      <c r="AH419" s="1397">
        <f t="shared" si="582"/>
        <v>0</v>
      </c>
      <c r="AI419" s="355">
        <f t="shared" si="578"/>
        <v>0</v>
      </c>
      <c r="AJ419" s="351" t="str">
        <f t="shared" ref="AJ419:AJ421" si="597">IF($AB419&lt;&gt;0,AI419/$AB419,"")</f>
        <v/>
      </c>
      <c r="AK419" s="351"/>
      <c r="AL419" s="1398"/>
      <c r="AM419" s="2275"/>
      <c r="AN419" s="2275"/>
      <c r="AO419" s="518"/>
      <c r="AP419" s="518"/>
      <c r="AQ419" s="518"/>
      <c r="AR419" s="518"/>
      <c r="AS419" s="497"/>
      <c r="AT419" s="2034"/>
      <c r="AU419" s="2070"/>
      <c r="AV419" s="2070"/>
      <c r="AW419" s="2077"/>
      <c r="AX419" s="1922"/>
      <c r="AY419" s="2238"/>
      <c r="AZ419" s="2275"/>
      <c r="BA419" s="2013"/>
      <c r="BB419" s="518"/>
      <c r="BC419" s="518"/>
      <c r="BD419" s="518"/>
      <c r="BE419" s="518"/>
      <c r="BF419" s="518"/>
      <c r="BG419" s="518"/>
      <c r="BH419" s="518"/>
      <c r="BI419" s="518"/>
      <c r="BJ419" s="518"/>
      <c r="BK419" s="2140"/>
      <c r="BL419" s="2013"/>
      <c r="BM419" s="2013"/>
      <c r="BN419" s="2013"/>
      <c r="BO419" s="2013"/>
      <c r="BP419" s="2013"/>
      <c r="BQ419" s="2406"/>
      <c r="BR419" s="518"/>
      <c r="BS419" s="518"/>
      <c r="BT419" s="518"/>
      <c r="BU419" s="518"/>
      <c r="BV419" s="518"/>
      <c r="BW419" s="2239"/>
      <c r="BX419" s="2419"/>
      <c r="BY419" s="2554"/>
      <c r="BZ419" s="2554"/>
      <c r="CA419" s="2435">
        <f t="shared" si="592"/>
        <v>0</v>
      </c>
      <c r="CB419" s="2380" t="str">
        <f t="shared" si="593"/>
        <v/>
      </c>
      <c r="CC419" s="365" t="str">
        <f t="shared" si="594"/>
        <v/>
      </c>
      <c r="CD419" s="1380" t="str">
        <f t="shared" si="487"/>
        <v>0,00%</v>
      </c>
      <c r="CE419" s="1381">
        <f t="shared" si="488"/>
        <v>0</v>
      </c>
      <c r="CF419" s="1381"/>
      <c r="CG419" s="501"/>
      <c r="CH419" s="502"/>
      <c r="CI419" s="503"/>
      <c r="CJ419" s="504"/>
      <c r="CK419" s="505"/>
      <c r="CL419" s="329">
        <f t="shared" si="551"/>
        <v>0</v>
      </c>
      <c r="CM419" s="330">
        <f t="shared" si="552"/>
        <v>0</v>
      </c>
      <c r="CN419" s="331">
        <f t="shared" si="517"/>
        <v>0</v>
      </c>
      <c r="CO419" s="86"/>
      <c r="CP419" s="86">
        <f t="shared" si="579"/>
        <v>0</v>
      </c>
      <c r="CQ419" s="86"/>
      <c r="CR419" s="86"/>
      <c r="CS419" s="86"/>
      <c r="CT419" s="86"/>
      <c r="CU419" s="86"/>
      <c r="CV419" s="86"/>
      <c r="CW419" s="86"/>
      <c r="CX419" s="86"/>
      <c r="CY419" s="86"/>
      <c r="CZ419" s="86"/>
      <c r="DA419" s="86"/>
      <c r="DB419" s="32"/>
      <c r="DC419" s="32"/>
      <c r="DD419" s="1665"/>
      <c r="DE419" s="35"/>
      <c r="DF419" s="35"/>
      <c r="DG419" s="1642" t="e">
        <f>ROUND(#REF!,2)</f>
        <v>#REF!</v>
      </c>
      <c r="DH419" s="1642" t="e">
        <f>ROUND(#REF!,2)</f>
        <v>#REF!</v>
      </c>
      <c r="DI419" s="1642" t="e">
        <f>ROUND(#REF!,2)</f>
        <v>#REF!</v>
      </c>
      <c r="DJ419" s="1642" t="e">
        <f>ROUND(#REF!,2)</f>
        <v>#REF!</v>
      </c>
      <c r="DK419" s="1642" t="e">
        <f>ROUND(#REF!,2)</f>
        <v>#REF!</v>
      </c>
      <c r="DL419" s="1642" t="e">
        <f>ROUND(#REF!,2)</f>
        <v>#REF!</v>
      </c>
      <c r="DM419" s="1642" t="e">
        <f>ROUND(#REF!,2)</f>
        <v>#REF!</v>
      </c>
      <c r="DN419" s="1642" t="e">
        <f>ROUND(#REF!,2)</f>
        <v>#REF!</v>
      </c>
      <c r="DO419" s="1642" t="e">
        <f>ROUND(#REF!,2)</f>
        <v>#REF!</v>
      </c>
      <c r="DP419" s="1642">
        <f t="shared" si="590"/>
        <v>0</v>
      </c>
      <c r="DQ419" s="1642" t="e">
        <f>ROUND(#REF!,2)</f>
        <v>#REF!</v>
      </c>
      <c r="DR419" s="1642">
        <f t="shared" si="595"/>
        <v>0</v>
      </c>
      <c r="DS419" s="1642">
        <f t="shared" si="595"/>
        <v>0</v>
      </c>
      <c r="DT419" s="1642">
        <f t="shared" si="595"/>
        <v>0</v>
      </c>
      <c r="DU419" s="1642">
        <f t="shared" ref="DU419:DW421" si="598">ROUND(AS419,2)</f>
        <v>0</v>
      </c>
      <c r="DV419" s="1642">
        <f t="shared" si="598"/>
        <v>0</v>
      </c>
      <c r="DW419" s="1642">
        <f t="shared" si="598"/>
        <v>0</v>
      </c>
      <c r="DX419" s="1642">
        <f t="shared" si="596"/>
        <v>0</v>
      </c>
      <c r="DY419" s="1642">
        <f t="shared" si="596"/>
        <v>0</v>
      </c>
      <c r="DZ419" s="1642" t="e">
        <f>ROUND(#REF!,2)</f>
        <v>#REF!</v>
      </c>
      <c r="EA419" s="1642" t="e">
        <f>ROUND(#REF!,2)</f>
        <v>#REF!</v>
      </c>
      <c r="EB419" s="1642" t="e">
        <f>ROUND(#REF!,2)</f>
        <v>#REF!</v>
      </c>
      <c r="EC419" s="1642" t="e">
        <f>ROUND(#REF!,2)</f>
        <v>#REF!</v>
      </c>
      <c r="ED419" s="1642" t="e">
        <f>ROUND(#REF!,2)</f>
        <v>#REF!</v>
      </c>
      <c r="EE419" s="1642" t="e">
        <f>ROUND(#REF!,2)</f>
        <v>#REF!</v>
      </c>
      <c r="EF419" s="1642" t="e">
        <f>ROUND(#REF!,2)</f>
        <v>#REF!</v>
      </c>
      <c r="EG419" s="1642" t="e">
        <f>ROUND(#REF!,2)</f>
        <v>#REF!</v>
      </c>
      <c r="EH419" s="35"/>
      <c r="EI419" s="1658"/>
      <c r="EJ419" s="35"/>
      <c r="EK419" s="35"/>
      <c r="EL419" s="35"/>
      <c r="EM419" s="35"/>
      <c r="EN419" s="35"/>
      <c r="EO419" s="35"/>
      <c r="EP419" s="35"/>
      <c r="EQ419" s="35"/>
      <c r="ER419" s="35"/>
      <c r="ES419" s="35"/>
      <c r="ET419" s="35"/>
      <c r="EU419" s="35"/>
      <c r="EV419" s="35"/>
      <c r="EW419" s="35"/>
      <c r="EX419" s="35"/>
      <c r="EY419" s="35"/>
      <c r="EZ419" s="35"/>
      <c r="FA419" s="35"/>
      <c r="FB419" s="35"/>
      <c r="FC419" s="35"/>
      <c r="FD419" s="35"/>
      <c r="FE419" s="35"/>
      <c r="FF419" s="35"/>
      <c r="FG419" s="35"/>
      <c r="FH419" s="35"/>
      <c r="FI419" s="35"/>
      <c r="FJ419" s="35"/>
      <c r="FK419" s="35"/>
      <c r="FL419" s="35"/>
      <c r="FM419" s="35"/>
      <c r="FN419" s="35"/>
      <c r="FO419" s="35"/>
      <c r="FP419" s="35"/>
      <c r="FQ419" s="35"/>
      <c r="FR419" s="35"/>
      <c r="FS419" s="35"/>
      <c r="FT419" s="35"/>
      <c r="FU419" s="35"/>
      <c r="FV419" s="35"/>
      <c r="FW419" s="35"/>
      <c r="FX419" s="35"/>
      <c r="FY419" s="35"/>
      <c r="FZ419" s="35"/>
      <c r="GA419" s="35"/>
      <c r="GB419" s="35"/>
      <c r="GC419" s="35"/>
      <c r="GD419" s="35"/>
      <c r="GE419" s="35"/>
      <c r="GF419" s="35"/>
      <c r="GG419" s="35"/>
      <c r="GH419" s="35"/>
      <c r="GI419" s="35"/>
      <c r="GJ419" s="35"/>
      <c r="GK419" s="35"/>
      <c r="GL419" s="35"/>
      <c r="GM419" s="35"/>
      <c r="GN419" s="35"/>
      <c r="GO419" s="35"/>
      <c r="GP419" s="35"/>
      <c r="GQ419" s="35"/>
      <c r="GR419" s="35"/>
      <c r="GS419" s="35"/>
      <c r="GT419" s="35"/>
      <c r="GU419" s="35"/>
      <c r="GV419" s="35"/>
      <c r="GW419" s="35"/>
      <c r="GX419" s="35"/>
      <c r="GY419" s="35"/>
      <c r="GZ419" s="35"/>
      <c r="HA419" s="35"/>
      <c r="HB419" s="35"/>
      <c r="HC419" s="35"/>
      <c r="HD419" s="35"/>
      <c r="HE419" s="35"/>
      <c r="HF419" s="35"/>
      <c r="HG419" s="35"/>
      <c r="HH419" s="35"/>
      <c r="HI419" s="35"/>
      <c r="HJ419" s="35"/>
      <c r="HK419" s="35"/>
      <c r="HL419" s="35"/>
      <c r="HM419" s="35"/>
      <c r="HN419" s="35"/>
      <c r="HO419" s="35"/>
      <c r="HP419" s="35"/>
      <c r="HQ419" s="35"/>
      <c r="HR419" s="35"/>
      <c r="HS419" s="35"/>
      <c r="HT419" s="35"/>
      <c r="HU419" s="35"/>
      <c r="HV419" s="35"/>
      <c r="HW419" s="35"/>
      <c r="HX419" s="35"/>
      <c r="HY419" s="35"/>
      <c r="HZ419" s="35"/>
      <c r="IA419" s="35"/>
      <c r="IB419" s="35"/>
      <c r="IC419" s="35"/>
      <c r="ID419" s="35"/>
      <c r="IE419" s="35"/>
      <c r="IF419" s="35"/>
      <c r="IG419" s="35"/>
      <c r="IH419" s="35"/>
      <c r="II419" s="35"/>
      <c r="IJ419" s="35"/>
      <c r="IK419" s="35"/>
      <c r="IL419" s="35"/>
      <c r="IM419" s="35"/>
      <c r="IN419" s="35"/>
      <c r="IO419" s="35"/>
      <c r="IP419" s="35"/>
      <c r="IQ419" s="35"/>
      <c r="IR419" s="35"/>
      <c r="IS419" s="35"/>
      <c r="IT419" s="35"/>
      <c r="IU419" s="35"/>
      <c r="IV419" s="35"/>
      <c r="IW419" s="35"/>
      <c r="IX419" s="35"/>
      <c r="IY419" s="35"/>
      <c r="IZ419" s="35"/>
      <c r="JA419" s="35"/>
      <c r="JB419" s="35"/>
      <c r="JC419" s="35"/>
      <c r="JD419" s="35"/>
      <c r="JE419" s="35"/>
      <c r="JF419" s="35"/>
      <c r="JG419" s="35"/>
      <c r="JH419" s="35"/>
      <c r="JI419" s="35"/>
      <c r="JJ419" s="35"/>
      <c r="JK419" s="35"/>
      <c r="JL419" s="35"/>
      <c r="JM419" s="35"/>
      <c r="JN419" s="35"/>
      <c r="JO419" s="35"/>
      <c r="JP419" s="35"/>
      <c r="JQ419" s="35"/>
      <c r="JR419" s="35"/>
      <c r="JS419" s="35"/>
      <c r="JT419" s="35"/>
      <c r="JU419" s="35"/>
      <c r="JV419" s="35"/>
      <c r="JW419" s="35"/>
      <c r="JX419" s="35"/>
      <c r="JY419" s="35"/>
      <c r="JZ419" s="35"/>
      <c r="KA419" s="35"/>
      <c r="KB419" s="35"/>
      <c r="KC419" s="35"/>
      <c r="KD419" s="35"/>
      <c r="KE419" s="35"/>
      <c r="KF419" s="35"/>
      <c r="KG419" s="35"/>
      <c r="KH419" s="35"/>
      <c r="KI419" s="35"/>
      <c r="KJ419" s="35"/>
      <c r="KK419" s="35"/>
      <c r="KL419" s="35"/>
      <c r="KM419" s="35"/>
      <c r="KN419" s="35"/>
      <c r="KO419" s="35"/>
      <c r="KP419" s="1633"/>
    </row>
    <row r="420" spans="1:302" s="92" customFormat="1" ht="25.25" customHeight="1" outlineLevel="1">
      <c r="A420" s="1677"/>
      <c r="B420" s="1677"/>
      <c r="C420" s="1411"/>
      <c r="D420" s="1411"/>
      <c r="E420" s="1389"/>
      <c r="F420" s="506"/>
      <c r="G420" s="1390"/>
      <c r="H420" s="1392"/>
      <c r="I420" s="1408"/>
      <c r="J420" s="1392"/>
      <c r="K420" s="1390"/>
      <c r="L420" s="507"/>
      <c r="M420" s="517"/>
      <c r="N420" s="1393"/>
      <c r="O420" s="1379">
        <f t="shared" si="591"/>
        <v>0</v>
      </c>
      <c r="P420" s="515"/>
      <c r="Q420" s="515"/>
      <c r="R420" s="515"/>
      <c r="S420" s="1394"/>
      <c r="T420" s="508"/>
      <c r="U420" s="509"/>
      <c r="V420" s="509"/>
      <c r="W420" s="1394">
        <v>0</v>
      </c>
      <c r="X420" s="1392"/>
      <c r="Y420" s="508"/>
      <c r="Z420" s="509"/>
      <c r="AA420" s="1395"/>
      <c r="AB420" s="2719">
        <f t="shared" si="577"/>
        <v>0</v>
      </c>
      <c r="AC420" s="1412"/>
      <c r="AD420" s="1471"/>
      <c r="AE420" s="1412"/>
      <c r="AF420" s="518"/>
      <c r="AG420" s="1403">
        <v>1</v>
      </c>
      <c r="AH420" s="1397">
        <f t="shared" si="582"/>
        <v>0</v>
      </c>
      <c r="AI420" s="355">
        <f t="shared" si="578"/>
        <v>0</v>
      </c>
      <c r="AJ420" s="351" t="str">
        <f t="shared" si="597"/>
        <v/>
      </c>
      <c r="AK420" s="351"/>
      <c r="AL420" s="1398"/>
      <c r="AM420" s="2275"/>
      <c r="AN420" s="2275"/>
      <c r="AO420" s="497"/>
      <c r="AP420" s="518"/>
      <c r="AQ420" s="518"/>
      <c r="AR420" s="518"/>
      <c r="AS420" s="518"/>
      <c r="AT420" s="2018"/>
      <c r="AU420" s="518"/>
      <c r="AV420" s="518"/>
      <c r="AW420" s="518"/>
      <c r="AX420" s="518"/>
      <c r="AY420" s="2239"/>
      <c r="AZ420" s="2275"/>
      <c r="BA420" s="2013"/>
      <c r="BB420" s="518"/>
      <c r="BC420" s="518"/>
      <c r="BD420" s="518"/>
      <c r="BE420" s="518"/>
      <c r="BF420" s="518"/>
      <c r="BG420" s="518"/>
      <c r="BH420" s="518"/>
      <c r="BI420" s="518"/>
      <c r="BJ420" s="518"/>
      <c r="BK420" s="2140"/>
      <c r="BL420" s="2013"/>
      <c r="BM420" s="2013"/>
      <c r="BN420" s="2013"/>
      <c r="BO420" s="2013"/>
      <c r="BP420" s="2013"/>
      <c r="BQ420" s="2406"/>
      <c r="BR420" s="518"/>
      <c r="BS420" s="518"/>
      <c r="BT420" s="518"/>
      <c r="BU420" s="518"/>
      <c r="BV420" s="518"/>
      <c r="BW420" s="2239"/>
      <c r="BX420" s="2419"/>
      <c r="BY420" s="2554"/>
      <c r="BZ420" s="2554"/>
      <c r="CA420" s="2435">
        <f t="shared" si="592"/>
        <v>0</v>
      </c>
      <c r="CB420" s="2380" t="str">
        <f t="shared" si="593"/>
        <v/>
      </c>
      <c r="CC420" s="365" t="str">
        <f t="shared" si="594"/>
        <v/>
      </c>
      <c r="CD420" s="1380" t="str">
        <f t="shared" si="487"/>
        <v>0,00%</v>
      </c>
      <c r="CE420" s="1381">
        <f t="shared" si="488"/>
        <v>0</v>
      </c>
      <c r="CF420" s="1381"/>
      <c r="CG420" s="501"/>
      <c r="CH420" s="502"/>
      <c r="CI420" s="503"/>
      <c r="CJ420" s="504"/>
      <c r="CK420" s="505"/>
      <c r="CL420" s="329">
        <f t="shared" si="551"/>
        <v>0</v>
      </c>
      <c r="CM420" s="330">
        <f t="shared" si="552"/>
        <v>0</v>
      </c>
      <c r="CN420" s="331">
        <f t="shared" si="517"/>
        <v>0</v>
      </c>
      <c r="CO420" s="86"/>
      <c r="CP420" s="86">
        <f t="shared" si="579"/>
        <v>0</v>
      </c>
      <c r="CQ420" s="86"/>
      <c r="CR420" s="86"/>
      <c r="CS420" s="86"/>
      <c r="CT420" s="86"/>
      <c r="CU420" s="86"/>
      <c r="CV420" s="86"/>
      <c r="CW420" s="86"/>
      <c r="CX420" s="86"/>
      <c r="CY420" s="86"/>
      <c r="CZ420" s="86"/>
      <c r="DA420" s="86"/>
      <c r="DB420" s="32" t="e">
        <f>#REF!-CA420-AI420</f>
        <v>#REF!</v>
      </c>
      <c r="DC420" s="32" t="e">
        <f>W420-#REF!</f>
        <v>#REF!</v>
      </c>
      <c r="DD420" s="1660"/>
      <c r="DE420" s="35"/>
      <c r="DF420" s="35"/>
      <c r="DG420" s="1642" t="e">
        <f>ROUND(#REF!,2)</f>
        <v>#REF!</v>
      </c>
      <c r="DH420" s="1642" t="e">
        <f>ROUND(#REF!,2)</f>
        <v>#REF!</v>
      </c>
      <c r="DI420" s="1642" t="e">
        <f>ROUND(#REF!,2)</f>
        <v>#REF!</v>
      </c>
      <c r="DJ420" s="1642" t="e">
        <f>ROUND(#REF!,2)</f>
        <v>#REF!</v>
      </c>
      <c r="DK420" s="1642" t="e">
        <f>ROUND(#REF!,2)</f>
        <v>#REF!</v>
      </c>
      <c r="DL420" s="1642" t="e">
        <f>ROUND(#REF!,2)</f>
        <v>#REF!</v>
      </c>
      <c r="DM420" s="1642" t="e">
        <f>ROUND(#REF!,2)</f>
        <v>#REF!</v>
      </c>
      <c r="DN420" s="1642" t="e">
        <f>ROUND(#REF!,2)</f>
        <v>#REF!</v>
      </c>
      <c r="DO420" s="1642" t="e">
        <f>ROUND(#REF!,2)</f>
        <v>#REF!</v>
      </c>
      <c r="DP420" s="1642">
        <f t="shared" si="590"/>
        <v>0</v>
      </c>
      <c r="DQ420" s="1642">
        <f>ROUND(AO419,2)</f>
        <v>0</v>
      </c>
      <c r="DR420" s="1642">
        <f t="shared" si="595"/>
        <v>0</v>
      </c>
      <c r="DS420" s="1642">
        <f t="shared" si="595"/>
        <v>0</v>
      </c>
      <c r="DT420" s="1642">
        <f t="shared" si="595"/>
        <v>0</v>
      </c>
      <c r="DU420" s="1642">
        <f t="shared" si="598"/>
        <v>0</v>
      </c>
      <c r="DV420" s="1642">
        <f t="shared" si="598"/>
        <v>0</v>
      </c>
      <c r="DW420" s="1642">
        <f t="shared" si="598"/>
        <v>0</v>
      </c>
      <c r="DX420" s="1642">
        <f t="shared" si="596"/>
        <v>0</v>
      </c>
      <c r="DY420" s="1642">
        <f t="shared" si="596"/>
        <v>0</v>
      </c>
      <c r="DZ420" s="1642">
        <f>ROUND(AX420,2)</f>
        <v>0</v>
      </c>
      <c r="EA420" s="1642">
        <f>ROUND(AY420,2)</f>
        <v>0</v>
      </c>
      <c r="EB420" s="1642" t="e">
        <f>ROUND(#REF!,2)</f>
        <v>#REF!</v>
      </c>
      <c r="EC420" s="1642" t="e">
        <f>ROUND(#REF!,2)</f>
        <v>#REF!</v>
      </c>
      <c r="ED420" s="1642" t="e">
        <f>ROUND(#REF!,2)</f>
        <v>#REF!</v>
      </c>
      <c r="EE420" s="1642" t="e">
        <f>ROUND(#REF!,2)</f>
        <v>#REF!</v>
      </c>
      <c r="EF420" s="1642" t="e">
        <f>ROUND(#REF!,2)</f>
        <v>#REF!</v>
      </c>
      <c r="EG420" s="1642" t="e">
        <f>ROUND(#REF!,2)</f>
        <v>#REF!</v>
      </c>
      <c r="EH420" s="35"/>
      <c r="EI420" s="1658"/>
      <c r="EJ420" s="35"/>
      <c r="EK420" s="35"/>
      <c r="EL420" s="35"/>
      <c r="EM420" s="35"/>
      <c r="EN420" s="35"/>
      <c r="EO420" s="35"/>
      <c r="EP420" s="35"/>
      <c r="EQ420" s="35"/>
      <c r="ER420" s="35"/>
      <c r="ES420" s="35"/>
      <c r="ET420" s="35"/>
      <c r="EU420" s="35"/>
      <c r="EV420" s="35"/>
      <c r="EW420" s="35"/>
      <c r="EX420" s="35"/>
      <c r="EY420" s="35"/>
      <c r="EZ420" s="35"/>
      <c r="FA420" s="35"/>
      <c r="FB420" s="35"/>
      <c r="FC420" s="35"/>
      <c r="FD420" s="35"/>
      <c r="FE420" s="35"/>
      <c r="FF420" s="35"/>
      <c r="FG420" s="35"/>
      <c r="FH420" s="35"/>
      <c r="FI420" s="35"/>
      <c r="FJ420" s="35"/>
      <c r="FK420" s="35"/>
      <c r="FL420" s="35"/>
      <c r="FM420" s="35"/>
      <c r="FN420" s="35"/>
      <c r="FO420" s="35"/>
      <c r="FP420" s="35"/>
      <c r="FQ420" s="35"/>
      <c r="FR420" s="35"/>
      <c r="FS420" s="35"/>
      <c r="FT420" s="35"/>
      <c r="FU420" s="35"/>
      <c r="FV420" s="35"/>
      <c r="FW420" s="35"/>
      <c r="FX420" s="35"/>
      <c r="FY420" s="35"/>
      <c r="FZ420" s="35"/>
      <c r="GA420" s="35"/>
      <c r="GB420" s="35"/>
      <c r="GC420" s="35"/>
      <c r="GD420" s="35"/>
      <c r="GE420" s="35"/>
      <c r="GF420" s="35"/>
      <c r="GG420" s="35"/>
      <c r="GH420" s="35"/>
      <c r="GI420" s="35"/>
      <c r="GJ420" s="35"/>
      <c r="GK420" s="35"/>
      <c r="GL420" s="35"/>
      <c r="GM420" s="35"/>
      <c r="GN420" s="35"/>
      <c r="GO420" s="35"/>
      <c r="GP420" s="35"/>
      <c r="GQ420" s="35"/>
      <c r="GR420" s="35"/>
      <c r="GS420" s="35"/>
      <c r="GT420" s="35"/>
      <c r="GU420" s="35"/>
      <c r="GV420" s="35"/>
      <c r="GW420" s="35"/>
      <c r="GX420" s="35"/>
      <c r="GY420" s="35"/>
      <c r="GZ420" s="35"/>
      <c r="HA420" s="35"/>
      <c r="HB420" s="35"/>
      <c r="HC420" s="35"/>
      <c r="HD420" s="35"/>
      <c r="HE420" s="35"/>
      <c r="HF420" s="35"/>
      <c r="HG420" s="35"/>
      <c r="HH420" s="35"/>
      <c r="HI420" s="35"/>
      <c r="HJ420" s="35"/>
      <c r="HK420" s="35"/>
      <c r="HL420" s="35"/>
      <c r="HM420" s="35"/>
      <c r="HN420" s="35"/>
      <c r="HO420" s="35"/>
      <c r="HP420" s="35"/>
      <c r="HQ420" s="35"/>
      <c r="HR420" s="35"/>
      <c r="HS420" s="35"/>
      <c r="HT420" s="35"/>
      <c r="HU420" s="35"/>
      <c r="HV420" s="35"/>
      <c r="HW420" s="35"/>
      <c r="HX420" s="35"/>
      <c r="HY420" s="35"/>
      <c r="HZ420" s="35"/>
      <c r="IA420" s="35"/>
      <c r="IB420" s="35"/>
      <c r="IC420" s="35"/>
      <c r="ID420" s="35"/>
      <c r="IE420" s="35"/>
      <c r="IF420" s="35"/>
      <c r="IG420" s="35"/>
      <c r="IH420" s="35"/>
      <c r="II420" s="35"/>
      <c r="IJ420" s="35"/>
      <c r="IK420" s="35"/>
      <c r="IL420" s="35"/>
      <c r="IM420" s="35"/>
      <c r="IN420" s="35"/>
      <c r="IO420" s="35"/>
      <c r="IP420" s="35"/>
      <c r="IQ420" s="35"/>
      <c r="IR420" s="35"/>
      <c r="IS420" s="35"/>
      <c r="IT420" s="35"/>
      <c r="IU420" s="35"/>
      <c r="IV420" s="35"/>
      <c r="IW420" s="35"/>
      <c r="IX420" s="35"/>
      <c r="IY420" s="35"/>
      <c r="IZ420" s="35"/>
      <c r="JA420" s="35"/>
      <c r="JB420" s="35"/>
      <c r="JC420" s="35"/>
      <c r="JD420" s="35"/>
      <c r="JE420" s="35"/>
      <c r="JF420" s="35"/>
      <c r="JG420" s="35"/>
      <c r="JH420" s="35"/>
      <c r="JI420" s="35"/>
      <c r="JJ420" s="35"/>
      <c r="JK420" s="35"/>
      <c r="JL420" s="35"/>
      <c r="JM420" s="35"/>
      <c r="JN420" s="35"/>
      <c r="JO420" s="35"/>
      <c r="JP420" s="35"/>
      <c r="JQ420" s="35"/>
      <c r="JR420" s="35"/>
      <c r="JS420" s="35"/>
      <c r="JT420" s="35"/>
      <c r="JU420" s="35"/>
      <c r="JV420" s="35"/>
      <c r="JW420" s="35"/>
      <c r="JX420" s="35"/>
      <c r="JY420" s="35"/>
      <c r="JZ420" s="35"/>
      <c r="KA420" s="35"/>
      <c r="KB420" s="35"/>
      <c r="KC420" s="35"/>
      <c r="KD420" s="35"/>
      <c r="KE420" s="35"/>
      <c r="KF420" s="35"/>
      <c r="KG420" s="35"/>
      <c r="KH420" s="35"/>
      <c r="KI420" s="35"/>
      <c r="KJ420" s="35"/>
      <c r="KK420" s="35"/>
      <c r="KL420" s="35"/>
      <c r="KM420" s="35"/>
      <c r="KN420" s="35"/>
      <c r="KO420" s="35"/>
      <c r="KP420" s="1633"/>
    </row>
    <row r="421" spans="1:302" s="36" customFormat="1" ht="25.25" customHeight="1" outlineLevel="2" thickBot="1">
      <c r="A421" s="2669"/>
      <c r="B421" s="521"/>
      <c r="C421" s="1373" t="s">
        <v>84</v>
      </c>
      <c r="D421" s="1374"/>
      <c r="E421" s="522"/>
      <c r="F421" s="523"/>
      <c r="G421" s="524"/>
      <c r="H421" s="525"/>
      <c r="I421" s="526"/>
      <c r="J421" s="527"/>
      <c r="K421" s="528"/>
      <c r="L421" s="529"/>
      <c r="M421" s="530"/>
      <c r="N421" s="531"/>
      <c r="O421" s="1375">
        <f t="shared" ref="O421:O423" si="599">M421*N421</f>
        <v>0</v>
      </c>
      <c r="P421" s="533"/>
      <c r="Q421" s="534"/>
      <c r="R421" s="534"/>
      <c r="S421" s="535"/>
      <c r="T421" s="536"/>
      <c r="U421" s="537"/>
      <c r="V421" s="537"/>
      <c r="W421" s="538">
        <v>0</v>
      </c>
      <c r="X421" s="527"/>
      <c r="Y421" s="536"/>
      <c r="Z421" s="537"/>
      <c r="AA421" s="1376"/>
      <c r="AB421" s="2719">
        <f t="shared" si="577"/>
        <v>0</v>
      </c>
      <c r="AC421" s="539"/>
      <c r="AD421" s="1472"/>
      <c r="AE421" s="540"/>
      <c r="AF421" s="541"/>
      <c r="AG421" s="2569">
        <v>1</v>
      </c>
      <c r="AH421" s="542">
        <f>+AF421*AG421</f>
        <v>0</v>
      </c>
      <c r="AI421" s="543">
        <f t="shared" si="578"/>
        <v>0</v>
      </c>
      <c r="AJ421" s="351" t="str">
        <f t="shared" si="597"/>
        <v/>
      </c>
      <c r="AK421" s="2187"/>
      <c r="AL421" s="569"/>
      <c r="AM421" s="2276"/>
      <c r="AN421" s="2276"/>
      <c r="AO421" s="1377"/>
      <c r="AP421" s="1377"/>
      <c r="AQ421" s="1377"/>
      <c r="AR421" s="1377"/>
      <c r="AS421" s="1377"/>
      <c r="AT421" s="2100"/>
      <c r="AU421" s="1377"/>
      <c r="AV421" s="1377"/>
      <c r="AW421" s="1377"/>
      <c r="AX421" s="1377"/>
      <c r="AY421" s="2328"/>
      <c r="AZ421" s="2276"/>
      <c r="BA421" s="1708"/>
      <c r="BB421" s="1709"/>
      <c r="BC421" s="1709"/>
      <c r="BD421" s="1709"/>
      <c r="BE421" s="1709"/>
      <c r="BF421" s="1709"/>
      <c r="BG421" s="1709"/>
      <c r="BH421" s="1709"/>
      <c r="BI421" s="1710"/>
      <c r="BJ421" s="1377"/>
      <c r="BK421" s="2141"/>
      <c r="BL421" s="1710"/>
      <c r="BM421" s="1710"/>
      <c r="BN421" s="1710"/>
      <c r="BO421" s="1710"/>
      <c r="BP421" s="1710"/>
      <c r="BQ421" s="2407"/>
      <c r="BR421" s="1377"/>
      <c r="BS421" s="1377"/>
      <c r="BT421" s="1378"/>
      <c r="BU421" s="1378"/>
      <c r="BV421" s="1378"/>
      <c r="BW421" s="1707"/>
      <c r="BX421" s="2420"/>
      <c r="BY421" s="1707"/>
      <c r="BZ421" s="2420"/>
      <c r="CA421" s="2435">
        <f t="shared" si="592"/>
        <v>0</v>
      </c>
      <c r="CB421" s="2380" t="str">
        <f t="shared" si="593"/>
        <v/>
      </c>
      <c r="CC421" s="365" t="str">
        <f t="shared" si="594"/>
        <v/>
      </c>
      <c r="CD421" s="1380" t="str">
        <f t="shared" si="487"/>
        <v>0,00%</v>
      </c>
      <c r="CE421" s="1381">
        <f t="shared" si="488"/>
        <v>0</v>
      </c>
      <c r="CF421" s="1381"/>
      <c r="CG421" s="501"/>
      <c r="CH421" s="502"/>
      <c r="CI421" s="503"/>
      <c r="CJ421" s="504"/>
      <c r="CK421" s="505"/>
      <c r="CL421" s="329">
        <f t="shared" si="551"/>
        <v>0</v>
      </c>
      <c r="CM421" s="330">
        <f t="shared" si="552"/>
        <v>0</v>
      </c>
      <c r="CN421" s="331">
        <f t="shared" si="517"/>
        <v>0</v>
      </c>
      <c r="CO421" s="86"/>
      <c r="CP421" s="86">
        <f t="shared" si="579"/>
        <v>0</v>
      </c>
      <c r="CQ421" s="86"/>
      <c r="CR421" s="86"/>
      <c r="CS421" s="86"/>
      <c r="CT421" s="86"/>
      <c r="CU421" s="86"/>
      <c r="CV421" s="86"/>
      <c r="CW421" s="86"/>
      <c r="CX421" s="86"/>
      <c r="CY421" s="86"/>
      <c r="CZ421" s="86"/>
      <c r="DA421" s="86"/>
      <c r="DB421" s="74"/>
      <c r="DC421" s="74"/>
      <c r="DD421" s="74" t="e">
        <f>SUM(DD293:DD420)</f>
        <v>#REF!</v>
      </c>
      <c r="DG421" s="1642" t="e">
        <f>ROUND(#REF!,2)</f>
        <v>#REF!</v>
      </c>
      <c r="DH421" s="1642" t="e">
        <f>ROUND(#REF!,2)</f>
        <v>#REF!</v>
      </c>
      <c r="DI421" s="1642" t="e">
        <f>ROUND(#REF!,2)</f>
        <v>#REF!</v>
      </c>
      <c r="DJ421" s="1642" t="e">
        <f>ROUND(#REF!,2)</f>
        <v>#REF!</v>
      </c>
      <c r="DK421" s="1642" t="e">
        <f>ROUND(#REF!,2)</f>
        <v>#REF!</v>
      </c>
      <c r="DL421" s="1642" t="e">
        <f>ROUND(#REF!,2)</f>
        <v>#REF!</v>
      </c>
      <c r="DM421" s="1642" t="e">
        <f>ROUND(#REF!,2)</f>
        <v>#REF!</v>
      </c>
      <c r="DN421" s="1642" t="e">
        <f>ROUND(#REF!,2)</f>
        <v>#REF!</v>
      </c>
      <c r="DO421" s="1642" t="e">
        <f>ROUND(#REF!,2)</f>
        <v>#REF!</v>
      </c>
      <c r="DP421" s="1642">
        <f t="shared" si="590"/>
        <v>0</v>
      </c>
      <c r="DQ421" s="1642">
        <f t="shared" si="590"/>
        <v>0</v>
      </c>
      <c r="DR421" s="1642">
        <f t="shared" si="595"/>
        <v>0</v>
      </c>
      <c r="DS421" s="1642">
        <f t="shared" si="595"/>
        <v>0</v>
      </c>
      <c r="DT421" s="1642">
        <f t="shared" si="595"/>
        <v>0</v>
      </c>
      <c r="DU421" s="1642">
        <f t="shared" si="598"/>
        <v>0</v>
      </c>
      <c r="DV421" s="1642">
        <f t="shared" si="598"/>
        <v>0</v>
      </c>
      <c r="DW421" s="1642">
        <f t="shared" si="598"/>
        <v>0</v>
      </c>
      <c r="DX421" s="1642">
        <f t="shared" si="596"/>
        <v>0</v>
      </c>
      <c r="DY421" s="1642">
        <f t="shared" si="596"/>
        <v>0</v>
      </c>
      <c r="DZ421" s="1642">
        <f>ROUND(AX421,2)</f>
        <v>0</v>
      </c>
      <c r="EA421" s="1642">
        <f>ROUND(AY421,2)</f>
        <v>0</v>
      </c>
      <c r="EB421" s="1642" t="e">
        <f>ROUND(#REF!,2)</f>
        <v>#REF!</v>
      </c>
      <c r="EC421" s="1642" t="e">
        <f>ROUND(#REF!,2)</f>
        <v>#REF!</v>
      </c>
      <c r="ED421" s="1642" t="e">
        <f>ROUND(#REF!,2)</f>
        <v>#REF!</v>
      </c>
      <c r="EE421" s="1642" t="e">
        <f>ROUND(#REF!,2)</f>
        <v>#REF!</v>
      </c>
      <c r="EF421" s="1642" t="e">
        <f>ROUND(#REF!,2)</f>
        <v>#REF!</v>
      </c>
      <c r="EG421" s="1642" t="e">
        <f>ROUND(#REF!,2)</f>
        <v>#REF!</v>
      </c>
      <c r="EI421" s="1658"/>
    </row>
    <row r="422" spans="1:302" s="36" customFormat="1" ht="25.25" customHeight="1" outlineLevel="1" thickBot="1">
      <c r="A422" s="2669"/>
      <c r="B422" s="521"/>
      <c r="C422" s="113" t="s">
        <v>74</v>
      </c>
      <c r="D422" s="168"/>
      <c r="E422" s="545"/>
      <c r="F422" s="546"/>
      <c r="G422" s="547"/>
      <c r="H422" s="548"/>
      <c r="I422" s="549"/>
      <c r="J422" s="550"/>
      <c r="K422" s="551"/>
      <c r="L422" s="552"/>
      <c r="M422" s="553"/>
      <c r="N422" s="553"/>
      <c r="O422" s="554">
        <f t="shared" si="599"/>
        <v>0</v>
      </c>
      <c r="P422" s="555"/>
      <c r="Q422" s="556"/>
      <c r="R422" s="556"/>
      <c r="S422" s="557"/>
      <c r="T422" s="558"/>
      <c r="U422" s="559"/>
      <c r="V422" s="559"/>
      <c r="W422" s="560">
        <f>O422+S422</f>
        <v>0</v>
      </c>
      <c r="X422" s="561"/>
      <c r="Y422" s="562"/>
      <c r="Z422" s="563"/>
      <c r="AA422" s="2566"/>
      <c r="AB422" s="2567">
        <f>SUM(AM422:BZ422)</f>
        <v>0</v>
      </c>
      <c r="AC422" s="564"/>
      <c r="AD422" s="1473"/>
      <c r="AE422" s="565"/>
      <c r="AF422" s="2568"/>
      <c r="AG422" s="2570">
        <v>1</v>
      </c>
      <c r="AH422" s="566">
        <f>+AF422*AG422</f>
        <v>0</v>
      </c>
      <c r="AI422" s="567">
        <f t="shared" ref="AI422:AI427" si="600">SUMIF($AM$10:$BZ$10,$AI$9,AM422:BZ422)</f>
        <v>0</v>
      </c>
      <c r="AJ422" s="568" t="str">
        <f>IF($AB422&lt;&gt;0,AI422/$AB422,"")</f>
        <v/>
      </c>
      <c r="AK422" s="2187"/>
      <c r="AL422" s="569"/>
      <c r="AM422" s="2277"/>
      <c r="AN422" s="2277"/>
      <c r="AO422" s="571"/>
      <c r="AP422" s="572"/>
      <c r="AQ422" s="1346"/>
      <c r="AR422" s="1345"/>
      <c r="AS422" s="570"/>
      <c r="AT422" s="2027"/>
      <c r="AU422" s="570"/>
      <c r="AV422" s="570"/>
      <c r="AW422" s="573"/>
      <c r="AX422" s="573"/>
      <c r="AY422" s="574"/>
      <c r="AZ422" s="2339"/>
      <c r="BA422" s="2056"/>
      <c r="BB422" s="575"/>
      <c r="BC422" s="575"/>
      <c r="BD422" s="575"/>
      <c r="BE422" s="575"/>
      <c r="BF422" s="575"/>
      <c r="BG422" s="575"/>
      <c r="BH422" s="575"/>
      <c r="BI422" s="576"/>
      <c r="BJ422" s="577"/>
      <c r="BK422" s="2142"/>
      <c r="BL422" s="576"/>
      <c r="BM422" s="576"/>
      <c r="BN422" s="576"/>
      <c r="BO422" s="576"/>
      <c r="BP422" s="576"/>
      <c r="BQ422" s="2488"/>
      <c r="BR422" s="577"/>
      <c r="BS422" s="577"/>
      <c r="BT422" s="578"/>
      <c r="BU422" s="578"/>
      <c r="BV422" s="578"/>
      <c r="BW422" s="2426"/>
      <c r="BX422" s="2470"/>
      <c r="BY422" s="2470"/>
      <c r="BZ422" s="2470"/>
      <c r="CA422" s="2435">
        <f t="shared" ref="CA422" si="601">SUMIF($AM$10:$BZ$10,$CA$9,AM422:BZ422)</f>
        <v>0</v>
      </c>
      <c r="CB422" s="2381" t="str">
        <f t="shared" ref="CB422" si="602">IF($AB422&lt;&gt;0,CA422/$AB422,"")</f>
        <v/>
      </c>
      <c r="CC422" s="365" t="str">
        <f t="shared" ref="CC422" si="603">IF($AB422&lt;&gt;0,CB422/$AB422,"")</f>
        <v/>
      </c>
      <c r="CD422" s="498" t="str">
        <f>IF($W422&lt;&gt;0,(CE422)/$W422,"0,00%")</f>
        <v>0,00%</v>
      </c>
      <c r="CE422" s="499">
        <f>W422-AB422</f>
        <v>0</v>
      </c>
      <c r="CF422" s="500"/>
      <c r="CG422" s="544"/>
      <c r="CH422" s="582">
        <f t="shared" ref="CH422:CI422" si="604">Y422</f>
        <v>0</v>
      </c>
      <c r="CI422" s="583">
        <f t="shared" si="604"/>
        <v>0</v>
      </c>
      <c r="CJ422" s="584">
        <f>AA422-AG422</f>
        <v>-1</v>
      </c>
      <c r="CK422" s="585">
        <f>CI422*CJ422</f>
        <v>0</v>
      </c>
      <c r="CL422" s="329">
        <f t="shared" si="551"/>
        <v>0</v>
      </c>
      <c r="CM422" s="330">
        <f t="shared" si="552"/>
        <v>0</v>
      </c>
      <c r="CN422" s="331">
        <f t="shared" si="517"/>
        <v>0</v>
      </c>
      <c r="CO422" s="86"/>
      <c r="CP422" s="86">
        <f t="shared" si="579"/>
        <v>0</v>
      </c>
      <c r="CQ422" s="86"/>
      <c r="CR422" s="86"/>
      <c r="CS422" s="86"/>
      <c r="CT422" s="86"/>
      <c r="CU422" s="86"/>
      <c r="CV422" s="86"/>
      <c r="CW422" s="86"/>
      <c r="CX422" s="86"/>
      <c r="CY422" s="86"/>
      <c r="CZ422" s="86"/>
      <c r="DA422" s="86"/>
      <c r="DB422" s="74"/>
      <c r="DC422" s="74"/>
      <c r="DD422" s="74" t="e">
        <f>DD421-#REF!-#REF!</f>
        <v>#REF!</v>
      </c>
      <c r="EI422" s="1658"/>
    </row>
    <row r="423" spans="1:302" s="36" customFormat="1" ht="25.25" customHeight="1" thickBot="1">
      <c r="A423" s="2670" t="s">
        <v>70</v>
      </c>
      <c r="B423" s="586"/>
      <c r="C423" s="100" t="s">
        <v>71</v>
      </c>
      <c r="D423" s="169"/>
      <c r="E423" s="587"/>
      <c r="F423" s="588"/>
      <c r="G423" s="589"/>
      <c r="H423" s="590"/>
      <c r="I423" s="591"/>
      <c r="J423" s="592"/>
      <c r="K423" s="593"/>
      <c r="L423" s="594"/>
      <c r="M423" s="595"/>
      <c r="N423" s="596"/>
      <c r="O423" s="597">
        <f t="shared" si="599"/>
        <v>0</v>
      </c>
      <c r="P423" s="598"/>
      <c r="Q423" s="599"/>
      <c r="R423" s="599"/>
      <c r="S423" s="600">
        <f>R423*Q423</f>
        <v>0</v>
      </c>
      <c r="T423" s="601"/>
      <c r="U423" s="602"/>
      <c r="V423" s="602"/>
      <c r="W423" s="603">
        <f>O423+S423</f>
        <v>0</v>
      </c>
      <c r="X423" s="598"/>
      <c r="Y423" s="601"/>
      <c r="Z423" s="602"/>
      <c r="AA423" s="602"/>
      <c r="AB423" s="603">
        <f>SUM(AM423:BZ423)</f>
        <v>0</v>
      </c>
      <c r="AC423" s="604"/>
      <c r="AD423" s="1474"/>
      <c r="AE423" s="605"/>
      <c r="AF423" s="606"/>
      <c r="AG423" s="607"/>
      <c r="AH423" s="608"/>
      <c r="AI423" s="597">
        <f t="shared" si="600"/>
        <v>0</v>
      </c>
      <c r="AJ423" s="608"/>
      <c r="AK423" s="608"/>
      <c r="AL423" s="609"/>
      <c r="AM423" s="2278"/>
      <c r="AN423" s="2278"/>
      <c r="AO423" s="610"/>
      <c r="AP423" s="610"/>
      <c r="AQ423" s="610"/>
      <c r="AR423" s="610"/>
      <c r="AS423" s="610"/>
      <c r="AT423" s="2028"/>
      <c r="AU423" s="610"/>
      <c r="AV423" s="610"/>
      <c r="AW423" s="610"/>
      <c r="AX423" s="610"/>
      <c r="AY423" s="2240"/>
      <c r="AZ423" s="2340"/>
      <c r="BA423" s="2057"/>
      <c r="BB423" s="1352"/>
      <c r="BC423" s="1352"/>
      <c r="BD423" s="1352"/>
      <c r="BE423" s="1352"/>
      <c r="BF423" s="1352"/>
      <c r="BG423" s="1352"/>
      <c r="BH423" s="1352"/>
      <c r="BI423" s="611"/>
      <c r="BJ423" s="611"/>
      <c r="BK423" s="2143"/>
      <c r="BL423" s="611"/>
      <c r="BM423" s="611"/>
      <c r="BN423" s="611"/>
      <c r="BO423" s="611"/>
      <c r="BP423" s="611"/>
      <c r="BQ423" s="2427"/>
      <c r="BR423" s="611"/>
      <c r="BS423" s="611"/>
      <c r="BT423" s="611"/>
      <c r="BU423" s="611"/>
      <c r="BV423" s="611"/>
      <c r="BW423" s="2427"/>
      <c r="BX423" s="2471"/>
      <c r="BY423" s="2471"/>
      <c r="BZ423" s="2471"/>
      <c r="CA423" s="2437">
        <f>SUMIF($AM$10:$AY$10,$CA$9,AM423:BX423)</f>
        <v>0</v>
      </c>
      <c r="CB423" s="612"/>
      <c r="CC423" s="365" t="str">
        <f t="shared" ref="CC423" si="605">IF($AB423&lt;&gt;0,CB423/$AB423,"")</f>
        <v/>
      </c>
      <c r="CD423" s="498" t="str">
        <f>IF($W423&lt;&gt;0,(CE423)/$W423,"0,00%")</f>
        <v>0,00%</v>
      </c>
      <c r="CE423" s="499">
        <f>W423-AB423</f>
        <v>0</v>
      </c>
      <c r="CF423" s="500"/>
      <c r="CG423" s="544"/>
      <c r="CH423" s="613"/>
      <c r="CI423" s="614"/>
      <c r="CJ423" s="614"/>
      <c r="CK423" s="615"/>
      <c r="CL423" s="329">
        <f t="shared" si="551"/>
        <v>0</v>
      </c>
      <c r="CM423" s="330">
        <f t="shared" si="552"/>
        <v>0</v>
      </c>
      <c r="CN423" s="331">
        <f t="shared" si="517"/>
        <v>0</v>
      </c>
      <c r="CO423" s="86"/>
      <c r="CP423" s="86">
        <f t="shared" si="579"/>
        <v>0</v>
      </c>
      <c r="CQ423" s="86"/>
      <c r="CR423" s="86"/>
      <c r="CS423" s="86"/>
      <c r="CT423" s="86"/>
      <c r="CU423" s="86"/>
      <c r="CV423" s="86"/>
      <c r="CW423" s="86"/>
      <c r="CX423" s="86"/>
      <c r="CY423" s="86"/>
      <c r="CZ423" s="86"/>
      <c r="DA423" s="86"/>
      <c r="DB423" s="74"/>
      <c r="DC423" s="74"/>
      <c r="EI423" s="1658"/>
    </row>
    <row r="424" spans="1:302" s="36" customFormat="1" ht="25.25" customHeight="1" thickBot="1">
      <c r="A424" s="2669"/>
      <c r="B424" s="521"/>
      <c r="C424" s="114"/>
      <c r="D424" s="170"/>
      <c r="E424" s="616"/>
      <c r="F424" s="617"/>
      <c r="G424" s="618"/>
      <c r="H424" s="548"/>
      <c r="I424" s="619"/>
      <c r="J424" s="550"/>
      <c r="K424" s="620"/>
      <c r="L424" s="621"/>
      <c r="M424" s="622"/>
      <c r="N424" s="622"/>
      <c r="O424" s="623"/>
      <c r="P424" s="624"/>
      <c r="Q424" s="625"/>
      <c r="R424" s="625"/>
      <c r="S424" s="626"/>
      <c r="T424" s="627"/>
      <c r="U424" s="628"/>
      <c r="V424" s="628"/>
      <c r="W424" s="629"/>
      <c r="X424" s="630"/>
      <c r="Y424" s="627"/>
      <c r="Z424" s="628"/>
      <c r="AA424" s="628"/>
      <c r="AB424" s="629">
        <v>0</v>
      </c>
      <c r="AC424" s="631"/>
      <c r="AD424" s="1475"/>
      <c r="AE424" s="632"/>
      <c r="AF424" s="633"/>
      <c r="AG424" s="634"/>
      <c r="AH424" s="635"/>
      <c r="AI424" s="636">
        <f t="shared" si="600"/>
        <v>0</v>
      </c>
      <c r="AJ424" s="637"/>
      <c r="AK424" s="637"/>
      <c r="AL424" s="638"/>
      <c r="AM424" s="2279"/>
      <c r="AN424" s="2279"/>
      <c r="AO424" s="640"/>
      <c r="AP424" s="641"/>
      <c r="AQ424" s="1347"/>
      <c r="AR424" s="639"/>
      <c r="AS424" s="642"/>
      <c r="AT424" s="2029"/>
      <c r="AU424" s="2047"/>
      <c r="AV424" s="2047"/>
      <c r="AW424" s="1353"/>
      <c r="AX424" s="1353"/>
      <c r="AY424" s="2048"/>
      <c r="AZ424" s="2341"/>
      <c r="BA424" s="2043"/>
      <c r="BB424" s="1353"/>
      <c r="BC424" s="1353"/>
      <c r="BD424" s="1353"/>
      <c r="BE424" s="1353"/>
      <c r="BF424" s="1353"/>
      <c r="BG424" s="1353"/>
      <c r="BH424" s="1354"/>
      <c r="BI424" s="643"/>
      <c r="BJ424" s="643"/>
      <c r="BK424" s="2144"/>
      <c r="BL424" s="643"/>
      <c r="BM424" s="643"/>
      <c r="BN424" s="643"/>
      <c r="BO424" s="643"/>
      <c r="BP424" s="643"/>
      <c r="BQ424" s="2428"/>
      <c r="BR424" s="643"/>
      <c r="BS424" s="643"/>
      <c r="BT424" s="643"/>
      <c r="BU424" s="643"/>
      <c r="BV424" s="643"/>
      <c r="BW424" s="2428"/>
      <c r="BX424" s="2472"/>
      <c r="BY424" s="2555"/>
      <c r="BZ424" s="2555"/>
      <c r="CA424" s="2438"/>
      <c r="CB424" s="644"/>
      <c r="CC424" s="581"/>
      <c r="CD424" s="645"/>
      <c r="CE424" s="499">
        <f>W424-AB424</f>
        <v>0</v>
      </c>
      <c r="CF424" s="500"/>
      <c r="CG424" s="544"/>
      <c r="CH424" s="613"/>
      <c r="CI424" s="614"/>
      <c r="CJ424" s="614"/>
      <c r="CK424" s="615"/>
      <c r="CL424" s="329">
        <f t="shared" si="551"/>
        <v>0</v>
      </c>
      <c r="CM424" s="330">
        <f t="shared" si="552"/>
        <v>0</v>
      </c>
      <c r="CN424" s="331">
        <f t="shared" si="517"/>
        <v>0</v>
      </c>
      <c r="CO424" s="86"/>
      <c r="CP424" s="86">
        <f t="shared" si="579"/>
        <v>0</v>
      </c>
      <c r="CQ424" s="86"/>
      <c r="CR424" s="86"/>
      <c r="CS424" s="86"/>
      <c r="CT424" s="86"/>
      <c r="CU424" s="86"/>
      <c r="CV424" s="86"/>
      <c r="CW424" s="86"/>
      <c r="CX424" s="86"/>
      <c r="CY424" s="86"/>
      <c r="CZ424" s="86"/>
      <c r="DA424" s="86"/>
      <c r="DB424" s="74"/>
      <c r="DC424" s="74"/>
      <c r="EI424" s="1658"/>
    </row>
    <row r="425" spans="1:302" s="33" customFormat="1" ht="25.25" customHeight="1">
      <c r="A425" s="2671" t="s">
        <v>30</v>
      </c>
      <c r="B425" s="646"/>
      <c r="C425" s="115" t="s">
        <v>31</v>
      </c>
      <c r="D425" s="171" t="s">
        <v>244</v>
      </c>
      <c r="E425" s="153"/>
      <c r="F425" s="647"/>
      <c r="G425" s="648"/>
      <c r="H425" s="649">
        <f>SUM(H314:H422)</f>
        <v>0</v>
      </c>
      <c r="I425" s="650">
        <f>SUM(I290:I422)</f>
        <v>40391014.149999999</v>
      </c>
      <c r="J425" s="649"/>
      <c r="K425" s="651"/>
      <c r="L425" s="647"/>
      <c r="M425" s="652"/>
      <c r="N425" s="652"/>
      <c r="O425" s="653">
        <f>SUM(O290:O422)</f>
        <v>40391014.149999999</v>
      </c>
      <c r="P425" s="654"/>
      <c r="Q425" s="655"/>
      <c r="R425" s="655"/>
      <c r="S425" s="432">
        <f>SUM(S314:S422)</f>
        <v>0</v>
      </c>
      <c r="T425" s="655"/>
      <c r="U425" s="656"/>
      <c r="V425" s="656"/>
      <c r="W425" s="657">
        <f>SUM(W290:W422)</f>
        <v>40391014.149999999</v>
      </c>
      <c r="X425" s="654"/>
      <c r="Y425" s="655"/>
      <c r="Z425" s="656"/>
      <c r="AA425" s="656"/>
      <c r="AB425" s="657">
        <f>SUM(AB290:AB422)</f>
        <v>40358716.721877269</v>
      </c>
      <c r="AC425" s="658"/>
      <c r="AD425" s="1476"/>
      <c r="AE425" s="659"/>
      <c r="AF425" s="660"/>
      <c r="AG425" s="661"/>
      <c r="AH425" s="662">
        <f>SUM(AH290:AH421)</f>
        <v>36627316.470000006</v>
      </c>
      <c r="AI425" s="355">
        <f>SUMIF($AM$10:$BZ$10,$AI$9,AM425:BZ425)</f>
        <v>1451124.3703333333</v>
      </c>
      <c r="AJ425" s="663">
        <f>IF($AB425&lt;&gt;0,AI425/$AB425,"")</f>
        <v>3.5955661829721201E-2</v>
      </c>
      <c r="AK425" s="663"/>
      <c r="AL425" s="2280">
        <f t="shared" ref="AL425:BZ425" si="606">SUM(AL290:AL422)</f>
        <v>0</v>
      </c>
      <c r="AM425" s="2280">
        <f t="shared" si="606"/>
        <v>29263.089999999997</v>
      </c>
      <c r="AN425" s="2280">
        <f t="shared" si="606"/>
        <v>-210874.00966666674</v>
      </c>
      <c r="AO425" s="664">
        <f t="shared" si="606"/>
        <v>1632735.29</v>
      </c>
      <c r="AP425" s="664">
        <f t="shared" si="606"/>
        <v>1410818.9672539684</v>
      </c>
      <c r="AQ425" s="664">
        <f t="shared" si="606"/>
        <v>1207567.2427658625</v>
      </c>
      <c r="AR425" s="665">
        <f t="shared" si="606"/>
        <v>1067365.8432658643</v>
      </c>
      <c r="AS425" s="664">
        <f t="shared" si="606"/>
        <v>1163727.3444900019</v>
      </c>
      <c r="AT425" s="666">
        <f t="shared" si="606"/>
        <v>1205152.5910689496</v>
      </c>
      <c r="AU425" s="2044">
        <f t="shared" si="606"/>
        <v>1230243.6151458723</v>
      </c>
      <c r="AV425" s="2044">
        <f t="shared" si="606"/>
        <v>1361377.7801458724</v>
      </c>
      <c r="AW425" s="2044">
        <f t="shared" si="606"/>
        <v>1384739.2751458723</v>
      </c>
      <c r="AX425" s="2045">
        <f t="shared" si="606"/>
        <v>1335920.5001458724</v>
      </c>
      <c r="AY425" s="2045">
        <f t="shared" si="606"/>
        <v>1319109.2751458723</v>
      </c>
      <c r="AZ425" s="2342">
        <f t="shared" si="606"/>
        <v>1422136.5963957724</v>
      </c>
      <c r="BA425" s="2046">
        <f t="shared" si="606"/>
        <v>1617970.5463957724</v>
      </c>
      <c r="BB425" s="567">
        <f t="shared" si="606"/>
        <v>1470892.1484647379</v>
      </c>
      <c r="BC425" s="567">
        <f t="shared" si="606"/>
        <v>1369505.0484647378</v>
      </c>
      <c r="BD425" s="567">
        <f t="shared" si="606"/>
        <v>1362539.7205337035</v>
      </c>
      <c r="BE425" s="567">
        <f t="shared" si="606"/>
        <v>1327928.5405337035</v>
      </c>
      <c r="BF425" s="567">
        <f t="shared" si="606"/>
        <v>1281415.9936371518</v>
      </c>
      <c r="BG425" s="567">
        <f t="shared" si="606"/>
        <v>1301337.1236371521</v>
      </c>
      <c r="BH425" s="567">
        <f t="shared" si="606"/>
        <v>1099010.6036371519</v>
      </c>
      <c r="BI425" s="665">
        <f t="shared" si="606"/>
        <v>1101264.9720582045</v>
      </c>
      <c r="BJ425" s="664">
        <f t="shared" si="606"/>
        <v>988664.97205820447</v>
      </c>
      <c r="BK425" s="2145">
        <f t="shared" si="606"/>
        <v>943960.97205820447</v>
      </c>
      <c r="BL425" s="665">
        <f t="shared" si="606"/>
        <v>830982.13205820462</v>
      </c>
      <c r="BM425" s="665">
        <f t="shared" si="606"/>
        <v>695982.13205820485</v>
      </c>
      <c r="BN425" s="665">
        <f t="shared" si="606"/>
        <v>778270.21787017072</v>
      </c>
      <c r="BO425" s="665">
        <f t="shared" si="606"/>
        <v>859685.94187017065</v>
      </c>
      <c r="BP425" s="665">
        <f t="shared" si="606"/>
        <v>629620.94257017062</v>
      </c>
      <c r="BQ425" s="2408">
        <f t="shared" si="606"/>
        <v>566000.41650708718</v>
      </c>
      <c r="BR425" s="664">
        <f t="shared" si="606"/>
        <v>357385.77388999215</v>
      </c>
      <c r="BS425" s="664">
        <f t="shared" si="606"/>
        <v>429440.18941428571</v>
      </c>
      <c r="BT425" s="664">
        <f t="shared" si="606"/>
        <v>78357.305714285714</v>
      </c>
      <c r="BU425" s="664">
        <f t="shared" si="606"/>
        <v>49117.305714285714</v>
      </c>
      <c r="BV425" s="664">
        <f t="shared" si="606"/>
        <v>49117.305714285714</v>
      </c>
      <c r="BW425" s="664">
        <f t="shared" si="606"/>
        <v>5610983.0157142859</v>
      </c>
      <c r="BX425" s="664">
        <f t="shared" si="606"/>
        <v>0</v>
      </c>
      <c r="BY425" s="664">
        <f t="shared" si="606"/>
        <v>0</v>
      </c>
      <c r="BZ425" s="664">
        <f t="shared" si="606"/>
        <v>0</v>
      </c>
      <c r="CA425" s="2439">
        <f>SUMIF($AM$10:$BZ$10,$CA$9,AM425:BZ425)</f>
        <v>38907592.351543933</v>
      </c>
      <c r="CB425" s="1073">
        <f>IF($AB425&lt;&gt;0,CA425/$AB425,"")</f>
        <v>0.96404433817027868</v>
      </c>
      <c r="CC425" s="328"/>
      <c r="CD425" s="433">
        <f>IF($W425&lt;&gt;0,(CE425)/$W425,"0,00%")</f>
        <v>7.996191603035995E-4</v>
      </c>
      <c r="CE425" s="667">
        <f>SUM(CE314:CE422)</f>
        <v>32297.428818433804</v>
      </c>
      <c r="CF425" s="668"/>
      <c r="CG425" s="669"/>
      <c r="CH425" s="437"/>
      <c r="CI425" s="438"/>
      <c r="CJ425" s="438"/>
      <c r="CK425" s="670">
        <f>SUM(CK314:CK420)</f>
        <v>0</v>
      </c>
      <c r="CL425" s="329">
        <f t="shared" si="551"/>
        <v>1483421.7984560654</v>
      </c>
      <c r="CM425" s="330">
        <f t="shared" si="552"/>
        <v>0</v>
      </c>
      <c r="CN425" s="331">
        <f t="shared" si="517"/>
        <v>-26250833.006969925</v>
      </c>
      <c r="CO425" s="86"/>
      <c r="CP425" s="86">
        <f t="shared" si="579"/>
        <v>0</v>
      </c>
      <c r="CQ425" s="86"/>
      <c r="CR425" s="86"/>
      <c r="CS425" s="86"/>
      <c r="CT425" s="86"/>
      <c r="CU425" s="86"/>
      <c r="CV425" s="86"/>
      <c r="CW425" s="86"/>
      <c r="CX425" s="86"/>
      <c r="CY425" s="86"/>
      <c r="CZ425" s="86"/>
      <c r="DA425" s="86"/>
      <c r="DB425" s="1658" t="e">
        <f>#REF!-CA425-AI425</f>
        <v>#REF!</v>
      </c>
      <c r="DC425" s="1658" t="e">
        <f>W425-#REF!</f>
        <v>#REF!</v>
      </c>
      <c r="DD425" s="1658" t="e">
        <f>17832349-#REF!</f>
        <v>#REF!</v>
      </c>
      <c r="EI425" s="1658"/>
    </row>
    <row r="426" spans="1:302" s="38" customFormat="1" ht="25.25" customHeight="1" thickBot="1">
      <c r="A426" s="2672"/>
      <c r="B426" s="671"/>
      <c r="C426" s="101" t="s">
        <v>60</v>
      </c>
      <c r="D426" s="167"/>
      <c r="E426" s="154"/>
      <c r="F426" s="672"/>
      <c r="G426" s="673"/>
      <c r="H426" s="674"/>
      <c r="I426" s="1783">
        <f>IF(I440=0,"",I425/I440)</f>
        <v>6.3971982511490597E-2</v>
      </c>
      <c r="J426" s="675"/>
      <c r="K426" s="676"/>
      <c r="L426" s="676"/>
      <c r="M426" s="677"/>
      <c r="N426" s="676"/>
      <c r="O426" s="1784">
        <f t="shared" ref="O426:W426" si="607">IF(O440=0,"",O425/O440)</f>
        <v>6.4410645669015096E-2</v>
      </c>
      <c r="P426" s="678" t="str">
        <f t="shared" si="607"/>
        <v/>
      </c>
      <c r="Q426" s="679" t="str">
        <f t="shared" si="607"/>
        <v/>
      </c>
      <c r="R426" s="679" t="str">
        <f t="shared" si="607"/>
        <v/>
      </c>
      <c r="S426" s="679" t="str">
        <f t="shared" si="607"/>
        <v/>
      </c>
      <c r="T426" s="679" t="str">
        <f t="shared" si="607"/>
        <v/>
      </c>
      <c r="U426" s="679" t="str">
        <f t="shared" si="607"/>
        <v/>
      </c>
      <c r="V426" s="679" t="str">
        <f t="shared" si="607"/>
        <v/>
      </c>
      <c r="W426" s="1785">
        <f t="shared" si="607"/>
        <v>6.4410645669015096E-2</v>
      </c>
      <c r="X426" s="678"/>
      <c r="Y426" s="679"/>
      <c r="Z426" s="679"/>
      <c r="AA426" s="679"/>
      <c r="AB426" s="1785">
        <f>IF(AB440=0,"",AB425/AB440)</f>
        <v>6.4359141683720048E-2</v>
      </c>
      <c r="AC426" s="680"/>
      <c r="AD426" s="1477"/>
      <c r="AE426" s="681"/>
      <c r="AF426" s="682"/>
      <c r="AG426" s="683"/>
      <c r="AH426" s="684"/>
      <c r="AI426" s="355">
        <f t="shared" si="600"/>
        <v>0</v>
      </c>
      <c r="AJ426" s="685"/>
      <c r="AK426" s="685"/>
      <c r="AL426" s="686"/>
      <c r="AM426" s="2281"/>
      <c r="AN426" s="2281"/>
      <c r="AO426" s="688"/>
      <c r="AP426" s="689"/>
      <c r="AQ426" s="1343"/>
      <c r="AR426" s="688"/>
      <c r="AS426" s="687"/>
      <c r="AT426" s="2030"/>
      <c r="AU426" s="687"/>
      <c r="AV426" s="687"/>
      <c r="AW426" s="687"/>
      <c r="AX426" s="687"/>
      <c r="AY426" s="2241"/>
      <c r="AZ426" s="2343"/>
      <c r="BA426" s="2058"/>
      <c r="BB426" s="691"/>
      <c r="BC426" s="691"/>
      <c r="BD426" s="691"/>
      <c r="BE426" s="691"/>
      <c r="BF426" s="691"/>
      <c r="BG426" s="691"/>
      <c r="BH426" s="691"/>
      <c r="BI426" s="690"/>
      <c r="BJ426" s="690"/>
      <c r="BK426" s="2146"/>
      <c r="BL426" s="690"/>
      <c r="BM426" s="690"/>
      <c r="BN426" s="690"/>
      <c r="BO426" s="690"/>
      <c r="BP426" s="690"/>
      <c r="BQ426" s="2429"/>
      <c r="BR426" s="690"/>
      <c r="BS426" s="690"/>
      <c r="BT426" s="690"/>
      <c r="BU426" s="690"/>
      <c r="BV426" s="690"/>
      <c r="BW426" s="2429"/>
      <c r="BX426" s="2473"/>
      <c r="BY426" s="2556"/>
      <c r="BZ426" s="2556"/>
      <c r="CA426" s="2440">
        <f ca="1">IF(CA440=0,"",CA425/CA440)</f>
        <v>6.3598361259036201E-2</v>
      </c>
      <c r="CB426" s="2382"/>
      <c r="CC426" s="692"/>
      <c r="CD426" s="693"/>
      <c r="CE426" s="694"/>
      <c r="CF426" s="695"/>
      <c r="CG426" s="696"/>
      <c r="CH426" s="697"/>
      <c r="CI426" s="698"/>
      <c r="CJ426" s="698"/>
      <c r="CK426" s="699"/>
      <c r="CL426" s="329">
        <f t="shared" ca="1" si="551"/>
        <v>8.1228440997889451E-4</v>
      </c>
      <c r="CM426" s="330">
        <f t="shared" ca="1" si="552"/>
        <v>-7.6078042468384621E-4</v>
      </c>
      <c r="CN426" s="331">
        <f t="shared" ca="1" si="517"/>
        <v>-6.3598361259036201E-2</v>
      </c>
      <c r="CO426" s="86"/>
      <c r="CP426" s="86">
        <f t="shared" si="579"/>
        <v>-4.3866315752449925E-4</v>
      </c>
      <c r="CQ426" s="86"/>
      <c r="CR426" s="86"/>
      <c r="CS426" s="86"/>
      <c r="CT426" s="86"/>
      <c r="CU426" s="86"/>
      <c r="CV426" s="86"/>
      <c r="CW426" s="86"/>
      <c r="CX426" s="86"/>
      <c r="CY426" s="86"/>
      <c r="CZ426" s="86"/>
      <c r="DA426" s="86"/>
      <c r="DB426" s="1666"/>
      <c r="DC426" s="1666"/>
      <c r="EI426" s="1658"/>
    </row>
    <row r="427" spans="1:302" s="33" customFormat="1" ht="25.25" customHeight="1" thickBot="1">
      <c r="A427" s="2673" t="s">
        <v>69</v>
      </c>
      <c r="B427" s="701"/>
      <c r="C427" s="2580" t="s">
        <v>565</v>
      </c>
      <c r="D427" s="172"/>
      <c r="E427" s="702"/>
      <c r="F427" s="703"/>
      <c r="G427" s="704"/>
      <c r="H427" s="703"/>
      <c r="I427" s="705">
        <v>0</v>
      </c>
      <c r="J427" s="706"/>
      <c r="K427" s="707"/>
      <c r="L427" s="708"/>
      <c r="M427" s="709"/>
      <c r="N427" s="709"/>
      <c r="O427" s="710"/>
      <c r="P427" s="711">
        <f>P440*2%</f>
        <v>0</v>
      </c>
      <c r="Q427" s="712">
        <f>Q440*2%</f>
        <v>0</v>
      </c>
      <c r="R427" s="712">
        <f>R440*2%</f>
        <v>0</v>
      </c>
      <c r="S427" s="712"/>
      <c r="T427" s="713"/>
      <c r="U427" s="714"/>
      <c r="V427" s="714"/>
      <c r="W427" s="715">
        <f>O427+S427</f>
        <v>0</v>
      </c>
      <c r="X427" s="716"/>
      <c r="Y427" s="713"/>
      <c r="Z427" s="714"/>
      <c r="AA427" s="714"/>
      <c r="AB427" s="715">
        <f>SUM(AM427:BZ427)</f>
        <v>22098535.149999999</v>
      </c>
      <c r="AC427" s="717"/>
      <c r="AD427" s="1478"/>
      <c r="AE427" s="718"/>
      <c r="AF427" s="719"/>
      <c r="AG427" s="720"/>
      <c r="AH427" s="721"/>
      <c r="AI427" s="722">
        <f t="shared" si="600"/>
        <v>0</v>
      </c>
      <c r="AJ427" s="723">
        <f>IF($AB427&lt;&gt;0,AI427/$AB427,"")</f>
        <v>0</v>
      </c>
      <c r="AK427" s="723"/>
      <c r="AL427" s="724"/>
      <c r="AM427" s="2282"/>
      <c r="AN427" s="2282"/>
      <c r="AO427" s="725"/>
      <c r="AP427" s="725"/>
      <c r="AQ427" s="1316"/>
      <c r="AR427" s="725"/>
      <c r="AS427" s="726"/>
      <c r="AT427" s="2031"/>
      <c r="AU427" s="726"/>
      <c r="AV427" s="726"/>
      <c r="AW427" s="726"/>
      <c r="AX427" s="726"/>
      <c r="AY427" s="2248"/>
      <c r="AZ427" s="2344"/>
      <c r="BA427" s="2059"/>
      <c r="BB427" s="1350"/>
      <c r="BC427" s="1350"/>
      <c r="BD427" s="1350"/>
      <c r="BE427" s="1350"/>
      <c r="BF427" s="1350"/>
      <c r="BG427" s="1350"/>
      <c r="BH427" s="1350"/>
      <c r="BI427" s="727"/>
      <c r="BJ427" s="727"/>
      <c r="BK427" s="2147"/>
      <c r="BL427" s="727"/>
      <c r="BM427" s="727"/>
      <c r="BN427" s="727"/>
      <c r="BO427" s="727"/>
      <c r="BP427" s="727"/>
      <c r="BQ427" s="727"/>
      <c r="BR427" s="412">
        <f>22098535.15</f>
        <v>22098535.149999999</v>
      </c>
      <c r="BS427" s="727"/>
      <c r="BT427" s="727"/>
      <c r="BU427" s="728"/>
      <c r="BV427" s="728"/>
      <c r="BW427" s="728"/>
      <c r="BX427" s="2474"/>
      <c r="BY427" s="2557"/>
      <c r="BZ427" s="2557"/>
      <c r="CA427" s="2441">
        <f>SUMIF($AM$10:$BZ$10,$CA$9,AM427:BZ427)</f>
        <v>22098535.149999999</v>
      </c>
      <c r="CB427" s="729">
        <f>IF($AB427&lt;&gt;0,CA427/$AB427,"")</f>
        <v>1</v>
      </c>
      <c r="CC427" s="436"/>
      <c r="CD427" s="730"/>
      <c r="CE427" s="731"/>
      <c r="CF427" s="731"/>
      <c r="CG427" s="436"/>
      <c r="CH427" s="732"/>
      <c r="CI427" s="436"/>
      <c r="CJ427" s="436"/>
      <c r="CK427" s="436"/>
      <c r="CL427" s="329">
        <f t="shared" si="551"/>
        <v>-22098535.149999999</v>
      </c>
      <c r="CM427" s="330">
        <f t="shared" si="552"/>
        <v>0</v>
      </c>
      <c r="CN427" s="331">
        <f t="shared" si="517"/>
        <v>-22098535.149999999</v>
      </c>
      <c r="CO427" s="86"/>
      <c r="CP427" s="86">
        <f t="shared" si="579"/>
        <v>0</v>
      </c>
      <c r="CQ427" s="86"/>
      <c r="CR427" s="86"/>
      <c r="CS427" s="86"/>
      <c r="CT427" s="86"/>
      <c r="CU427" s="86"/>
      <c r="CV427" s="86"/>
      <c r="CW427" s="86"/>
      <c r="CX427" s="86"/>
      <c r="CY427" s="86"/>
      <c r="CZ427" s="86"/>
      <c r="DA427" s="86"/>
      <c r="DE427" s="1658">
        <f>DE428-'[4]1.1102.00459'!$CP$1415</f>
        <v>-7084456.7896321863</v>
      </c>
      <c r="DF427" s="1658">
        <f>DF428-'[4]1.1102.00459'!$CQ$1415</f>
        <v>110703681.99225502</v>
      </c>
      <c r="DG427" s="1658" t="e">
        <f>DG428-'[4]1.1102.00459'!$CR$1415</f>
        <v>#REF!</v>
      </c>
      <c r="EI427" s="1658"/>
    </row>
    <row r="428" spans="1:302" s="33" customFormat="1" ht="25.25" customHeight="1" thickBot="1">
      <c r="A428" s="2674">
        <v>2</v>
      </c>
      <c r="B428" s="733"/>
      <c r="C428" s="104" t="s">
        <v>32</v>
      </c>
      <c r="D428" s="173" t="s">
        <v>245</v>
      </c>
      <c r="E428" s="155"/>
      <c r="F428" s="734"/>
      <c r="G428" s="735"/>
      <c r="H428" s="736"/>
      <c r="I428" s="737">
        <f>I425+I283+I427</f>
        <v>546148867.14999998</v>
      </c>
      <c r="J428" s="736"/>
      <c r="K428" s="738"/>
      <c r="L428" s="734"/>
      <c r="M428" s="739"/>
      <c r="N428" s="739"/>
      <c r="O428" s="740">
        <f ca="1">O425+O283+O427</f>
        <v>541848867.14999998</v>
      </c>
      <c r="P428" s="741"/>
      <c r="Q428" s="741"/>
      <c r="R428" s="741"/>
      <c r="S428" s="742">
        <f>S425+S283+S427</f>
        <v>0</v>
      </c>
      <c r="T428" s="741"/>
      <c r="U428" s="743"/>
      <c r="V428" s="743"/>
      <c r="W428" s="744">
        <f>W425+W283+W427</f>
        <v>541848867.14999998</v>
      </c>
      <c r="X428" s="745"/>
      <c r="Y428" s="741"/>
      <c r="Z428" s="743"/>
      <c r="AA428" s="743"/>
      <c r="AB428" s="744">
        <f>AB425+AB283+AB427</f>
        <v>563915104.86308074</v>
      </c>
      <c r="AC428" s="913"/>
      <c r="AD428" s="1479"/>
      <c r="AE428" s="746"/>
      <c r="AF428" s="747"/>
      <c r="AG428" s="748"/>
      <c r="AH428" s="737">
        <f>AH425+AH283+AH427</f>
        <v>273635154.43000001</v>
      </c>
      <c r="AI428" s="740">
        <f ca="1">AI425+AI283+AI427</f>
        <v>13774167.170333331</v>
      </c>
      <c r="AJ428" s="749">
        <f ca="1">IF($AB428&lt;&gt;0,AI428/$AB428,"")</f>
        <v>2.4425958892655864E-2</v>
      </c>
      <c r="AK428" s="749"/>
      <c r="AL428" s="750">
        <v>0</v>
      </c>
      <c r="AM428" s="2283">
        <f t="shared" ref="AM428:CA428" si="608">AM425+AM283+AM427</f>
        <v>6228403.0899999999</v>
      </c>
      <c r="AN428" s="2283">
        <f t="shared" si="608"/>
        <v>998971.02033333329</v>
      </c>
      <c r="AO428" s="751">
        <f t="shared" si="608"/>
        <v>6546793.0599999996</v>
      </c>
      <c r="AP428" s="751">
        <f t="shared" si="608"/>
        <v>7176290.9100344833</v>
      </c>
      <c r="AQ428" s="752">
        <f t="shared" si="608"/>
        <v>8113301.3358644117</v>
      </c>
      <c r="AR428" s="755">
        <f t="shared" si="608"/>
        <v>9941192.9902329296</v>
      </c>
      <c r="AS428" s="752">
        <f t="shared" si="608"/>
        <v>11449359.637738265</v>
      </c>
      <c r="AT428" s="2032">
        <f t="shared" si="608"/>
        <v>11945534.52876132</v>
      </c>
      <c r="AU428" s="752">
        <f t="shared" si="608"/>
        <v>12793266.67831777</v>
      </c>
      <c r="AV428" s="752">
        <f t="shared" si="608"/>
        <v>18322466.441092543</v>
      </c>
      <c r="AW428" s="752">
        <f t="shared" si="608"/>
        <v>22031641.201076061</v>
      </c>
      <c r="AX428" s="754">
        <f t="shared" si="608"/>
        <v>18303188.071419198</v>
      </c>
      <c r="AY428" s="753">
        <f t="shared" si="608"/>
        <v>20973541.607752528</v>
      </c>
      <c r="AZ428" s="2345">
        <f t="shared" si="608"/>
        <v>28459243.849818431</v>
      </c>
      <c r="BA428" s="742">
        <f t="shared" si="608"/>
        <v>32669974.501385096</v>
      </c>
      <c r="BB428" s="742">
        <f t="shared" si="608"/>
        <v>38835536.119448081</v>
      </c>
      <c r="BC428" s="742">
        <f t="shared" si="608"/>
        <v>34214344.149715371</v>
      </c>
      <c r="BD428" s="742">
        <f t="shared" si="608"/>
        <v>35498343.669006564</v>
      </c>
      <c r="BE428" s="742">
        <f t="shared" si="608"/>
        <v>30198471.717528779</v>
      </c>
      <c r="BF428" s="742">
        <f t="shared" si="608"/>
        <v>26418793.520017702</v>
      </c>
      <c r="BG428" s="742">
        <f t="shared" si="608"/>
        <v>20336129.450129461</v>
      </c>
      <c r="BH428" s="737">
        <f t="shared" si="608"/>
        <v>25382232.364862796</v>
      </c>
      <c r="BI428" s="755">
        <f t="shared" si="608"/>
        <v>13522659.03430607</v>
      </c>
      <c r="BJ428" s="752">
        <f t="shared" si="608"/>
        <v>11192771.954717182</v>
      </c>
      <c r="BK428" s="2148">
        <f t="shared" si="608"/>
        <v>19445695.762706067</v>
      </c>
      <c r="BL428" s="755">
        <f t="shared" si="608"/>
        <v>6648799.0982615184</v>
      </c>
      <c r="BM428" s="755">
        <f t="shared" si="608"/>
        <v>3975051.3652504077</v>
      </c>
      <c r="BN428" s="755">
        <f t="shared" si="608"/>
        <v>3638072.6050623739</v>
      </c>
      <c r="BO428" s="755">
        <f t="shared" si="608"/>
        <v>1168312.8682972461</v>
      </c>
      <c r="BP428" s="755">
        <f t="shared" si="608"/>
        <v>3965109.3834416904</v>
      </c>
      <c r="BQ428" s="920">
        <f t="shared" si="608"/>
        <v>1532685.49034157</v>
      </c>
      <c r="BR428" s="752">
        <f t="shared" si="608"/>
        <v>22455920.923889991</v>
      </c>
      <c r="BS428" s="752">
        <f t="shared" si="608"/>
        <v>429440.18941428571</v>
      </c>
      <c r="BT428" s="752">
        <f t="shared" si="608"/>
        <v>252357.3057142857</v>
      </c>
      <c r="BU428" s="752">
        <f t="shared" si="608"/>
        <v>49117.305714285714</v>
      </c>
      <c r="BV428" s="752">
        <f t="shared" si="608"/>
        <v>49117.305714285714</v>
      </c>
      <c r="BW428" s="752">
        <f t="shared" si="608"/>
        <v>48439555.355714284</v>
      </c>
      <c r="BX428" s="752">
        <f t="shared" si="608"/>
        <v>313419</v>
      </c>
      <c r="BY428" s="752">
        <f t="shared" si="608"/>
        <v>0</v>
      </c>
      <c r="BZ428" s="752">
        <f t="shared" si="608"/>
        <v>0</v>
      </c>
      <c r="CA428" s="756">
        <f t="shared" si="608"/>
        <v>550140937.69274735</v>
      </c>
      <c r="CB428" s="1044">
        <f>IF($AB428&lt;&gt;0,CA428/$AB428,"")</f>
        <v>0.97557404110734403</v>
      </c>
      <c r="CC428" s="328"/>
      <c r="CD428" s="757">
        <f>IF($W428&lt;&gt;0,(CE428)/$W428,"0,00%")</f>
        <v>4.0723971296911778E-2</v>
      </c>
      <c r="CE428" s="758">
        <f>$AB428-$W428</f>
        <v>22066237.713080764</v>
      </c>
      <c r="CF428" s="435"/>
      <c r="CG428" s="436"/>
      <c r="CH428" s="759"/>
      <c r="CI428" s="760"/>
      <c r="CJ428" s="760"/>
      <c r="CK428" s="761">
        <f>CK425+CK283</f>
        <v>0</v>
      </c>
      <c r="CL428" s="329">
        <f t="shared" ca="1" si="551"/>
        <v>-8292070.5427473783</v>
      </c>
      <c r="CM428" s="330">
        <f t="shared" ca="1" si="552"/>
        <v>0</v>
      </c>
      <c r="CN428" s="331">
        <f t="shared" ca="1" si="517"/>
        <v>-415319557.38045782</v>
      </c>
      <c r="CO428" s="86"/>
      <c r="CP428" s="86">
        <f t="shared" ca="1" si="579"/>
        <v>4300000</v>
      </c>
      <c r="CQ428" s="86"/>
      <c r="CR428" s="86"/>
      <c r="CS428" s="86"/>
      <c r="CT428" s="86"/>
      <c r="CU428" s="86"/>
      <c r="CV428" s="86"/>
      <c r="CW428" s="86"/>
      <c r="CX428" s="86"/>
      <c r="CY428" s="86"/>
      <c r="CZ428" s="86"/>
      <c r="DA428" s="86"/>
      <c r="DB428" s="1658">
        <f ca="1">CA428+AI428</f>
        <v>563915104.86308074</v>
      </c>
      <c r="DC428" s="1658">
        <f ca="1">DB428+DB463</f>
        <v>595093200.88267434</v>
      </c>
      <c r="DD428" s="1658">
        <f ca="1">DB428-'[4]1.1102.00459'!$CM$1415</f>
        <v>498848917.60308075</v>
      </c>
      <c r="DE428" s="1658">
        <f>SUM(AN428:AP428)</f>
        <v>14722054.990367815</v>
      </c>
      <c r="DF428" s="1658">
        <f>SUM(AQ428:AY428)</f>
        <v>133873492.49225502</v>
      </c>
      <c r="DG428" s="1658" t="e">
        <f>#REF!</f>
        <v>#REF!</v>
      </c>
      <c r="EI428" s="1658"/>
    </row>
    <row r="429" spans="1:302" s="24" customFormat="1" ht="25.25" customHeight="1">
      <c r="A429" s="2675">
        <v>3</v>
      </c>
      <c r="B429" s="762"/>
      <c r="C429" s="201" t="s">
        <v>33</v>
      </c>
      <c r="D429" s="202"/>
      <c r="E429" s="203"/>
      <c r="F429" s="763"/>
      <c r="G429" s="764"/>
      <c r="H429" s="765"/>
      <c r="I429" s="766">
        <f>ROUND((I440-I428),2)</f>
        <v>85237132.849999994</v>
      </c>
      <c r="J429" s="765"/>
      <c r="K429" s="767"/>
      <c r="L429" s="768"/>
      <c r="M429" s="769"/>
      <c r="N429" s="770"/>
      <c r="O429" s="771">
        <f ca="1">ROUND((O442-O428),2)</f>
        <v>85237132.849999994</v>
      </c>
      <c r="P429" s="772"/>
      <c r="Q429" s="772"/>
      <c r="R429" s="772"/>
      <c r="S429" s="773">
        <f>ROUND((S442-S428),2)</f>
        <v>0</v>
      </c>
      <c r="T429" s="774"/>
      <c r="U429" s="775"/>
      <c r="V429" s="775"/>
      <c r="W429" s="776">
        <f>ROUND((W442-W428),2)</f>
        <v>85237132.849999994</v>
      </c>
      <c r="X429" s="776">
        <f t="shared" ref="X429:AA429" si="609">ROUND((X442-X428),2)</f>
        <v>0</v>
      </c>
      <c r="Y429" s="776">
        <f t="shared" si="609"/>
        <v>0</v>
      </c>
      <c r="Z429" s="776">
        <f t="shared" si="609"/>
        <v>0</v>
      </c>
      <c r="AA429" s="776">
        <f t="shared" si="609"/>
        <v>0</v>
      </c>
      <c r="AB429" s="776">
        <f>ROUND((AB442-AB428),2)</f>
        <v>63170895.140000001</v>
      </c>
      <c r="AC429" s="777"/>
      <c r="AD429" s="1462"/>
      <c r="AE429" s="778"/>
      <c r="AF429" s="779"/>
      <c r="AG429" s="780"/>
      <c r="AH429" s="781"/>
      <c r="AI429" s="782">
        <f>SUMIF($AM$10:$BZ$10,$AI$9,AM429:BZ429)</f>
        <v>1541473.01</v>
      </c>
      <c r="AJ429" s="783">
        <f>IF($AB429&lt;&gt;0,AI429/$AB429,"")</f>
        <v>2.4401633166409489E-2</v>
      </c>
      <c r="AK429" s="783"/>
      <c r="AL429" s="784"/>
      <c r="AM429" s="2284">
        <f>ROUND((AM442-AM428),2)</f>
        <v>692044.79</v>
      </c>
      <c r="AN429" s="2284">
        <f>ROUND((AN442-AN428),2)</f>
        <v>516478.77</v>
      </c>
      <c r="AO429" s="785">
        <f>ROUND((AO442-AO428),2)</f>
        <v>332949.45</v>
      </c>
      <c r="AP429" s="785">
        <f t="shared" ref="AP429:BY429" si="610">ROUND((AP442-AP428),2)</f>
        <v>797364.86</v>
      </c>
      <c r="AQ429" s="785">
        <f t="shared" si="610"/>
        <v>901477.02</v>
      </c>
      <c r="AR429" s="787">
        <f t="shared" si="610"/>
        <v>1104575.8899999999</v>
      </c>
      <c r="AS429" s="785">
        <f>ROUND((AS442-AS428),2)</f>
        <v>1272149.8</v>
      </c>
      <c r="AT429" s="2035">
        <f t="shared" si="610"/>
        <v>1327280.29</v>
      </c>
      <c r="AU429" s="785">
        <f>ROUND((AU442-AU428),2)</f>
        <v>1421472.65</v>
      </c>
      <c r="AV429" s="785">
        <f t="shared" si="610"/>
        <v>2035827.57</v>
      </c>
      <c r="AW429" s="785">
        <f t="shared" si="610"/>
        <v>2447957.69</v>
      </c>
      <c r="AX429" s="785">
        <f t="shared" si="610"/>
        <v>2033685.53</v>
      </c>
      <c r="AY429" s="786">
        <f t="shared" si="610"/>
        <v>2330391.1800000002</v>
      </c>
      <c r="AZ429" s="2284">
        <f t="shared" ref="AZ429:BT429" si="611">ROUND((AZ442-AZ428),2)</f>
        <v>3162135.04</v>
      </c>
      <c r="BA429" s="1351">
        <f t="shared" si="611"/>
        <v>3629993.54</v>
      </c>
      <c r="BB429" s="1351">
        <f t="shared" si="611"/>
        <v>4315055.25</v>
      </c>
      <c r="BC429" s="1351">
        <f t="shared" si="611"/>
        <v>3801589.99</v>
      </c>
      <c r="BD429" s="1351">
        <f t="shared" si="611"/>
        <v>3944256.46</v>
      </c>
      <c r="BE429" s="1351">
        <f t="shared" si="611"/>
        <v>3355382.39</v>
      </c>
      <c r="BF429" s="1351">
        <f t="shared" si="611"/>
        <v>2935418.57</v>
      </c>
      <c r="BG429" s="1351">
        <f t="shared" si="611"/>
        <v>2259567.6800000002</v>
      </c>
      <c r="BH429" s="1351">
        <f t="shared" si="611"/>
        <v>2820245.22</v>
      </c>
      <c r="BI429" s="787">
        <f t="shared" si="611"/>
        <v>1502516.17</v>
      </c>
      <c r="BJ429" s="785">
        <f t="shared" si="611"/>
        <v>1243640.08</v>
      </c>
      <c r="BK429" s="2149">
        <f t="shared" si="611"/>
        <v>2160630.7000000002</v>
      </c>
      <c r="BL429" s="787">
        <f t="shared" si="611"/>
        <v>738754.72</v>
      </c>
      <c r="BM429" s="787">
        <f t="shared" si="611"/>
        <v>441671.93</v>
      </c>
      <c r="BN429" s="787">
        <f t="shared" si="611"/>
        <v>404229.89</v>
      </c>
      <c r="BO429" s="787">
        <f t="shared" si="611"/>
        <v>129812.41</v>
      </c>
      <c r="BP429" s="787">
        <f t="shared" si="611"/>
        <v>440567.27</v>
      </c>
      <c r="BQ429" s="2371">
        <f t="shared" si="611"/>
        <v>170298.22</v>
      </c>
      <c r="BR429" s="785">
        <f t="shared" si="611"/>
        <v>2495099.83</v>
      </c>
      <c r="BS429" s="785">
        <f t="shared" si="611"/>
        <v>47715.53</v>
      </c>
      <c r="BT429" s="785">
        <f t="shared" si="611"/>
        <v>362126.33</v>
      </c>
      <c r="BU429" s="785">
        <f t="shared" si="610"/>
        <v>5457.47</v>
      </c>
      <c r="BV429" s="785">
        <f t="shared" si="610"/>
        <v>5457.47</v>
      </c>
      <c r="BW429" s="785">
        <f t="shared" si="610"/>
        <v>5898953.0199999996</v>
      </c>
      <c r="BX429" s="785">
        <f t="shared" si="610"/>
        <v>-313419</v>
      </c>
      <c r="BY429" s="785">
        <f t="shared" si="610"/>
        <v>0</v>
      </c>
      <c r="BZ429" s="785">
        <f>ROUND((BZ442-BZ428),2)</f>
        <v>83.46</v>
      </c>
      <c r="CA429" s="2442">
        <f>SUMIF($AM$10:$BZ$10,$CA$9,AM429:BZ429)</f>
        <v>61629422.119999997</v>
      </c>
      <c r="CB429" s="2383">
        <f>IF($AB429&lt;&gt;0,CA429/$AB429,"")</f>
        <v>0.97559836667528976</v>
      </c>
      <c r="CC429" s="788"/>
      <c r="CD429" s="789">
        <f>IF($W429&lt;&gt;0,(CE429)/$W429,"0,00%")</f>
        <v>-0.25888057202524728</v>
      </c>
      <c r="CE429" s="790">
        <f>$AB429-$W429</f>
        <v>-22066237.709999993</v>
      </c>
      <c r="CF429" s="791"/>
      <c r="CG429" s="792"/>
      <c r="CH429" s="732"/>
      <c r="CI429" s="436"/>
      <c r="CJ429" s="436"/>
      <c r="CK429" s="436"/>
      <c r="CL429" s="329">
        <f t="shared" ca="1" si="551"/>
        <v>23607710.729999997</v>
      </c>
      <c r="CM429" s="330">
        <f t="shared" si="552"/>
        <v>-1.000000536441803E-2</v>
      </c>
      <c r="CN429" s="331">
        <f t="shared" si="517"/>
        <v>-46649284.43</v>
      </c>
      <c r="CO429" s="86"/>
      <c r="CP429" s="86">
        <f t="shared" ca="1" si="579"/>
        <v>0</v>
      </c>
      <c r="CQ429" s="86"/>
      <c r="CR429" s="86"/>
      <c r="CS429" s="86"/>
      <c r="CT429" s="86"/>
      <c r="CU429" s="86"/>
      <c r="CV429" s="86"/>
      <c r="CW429" s="86"/>
      <c r="CX429" s="86"/>
      <c r="CY429" s="86"/>
      <c r="CZ429" s="86"/>
      <c r="DA429" s="86"/>
      <c r="DB429" s="1658">
        <f>CA429+AI429</f>
        <v>63170895.129999995</v>
      </c>
      <c r="DC429" s="23"/>
      <c r="DD429" s="23"/>
      <c r="DF429" s="1658"/>
      <c r="EI429" s="1658"/>
    </row>
    <row r="430" spans="1:302" s="24" customFormat="1" ht="25.25" customHeight="1" thickBot="1">
      <c r="A430" s="2676">
        <v>4</v>
      </c>
      <c r="B430" s="2615"/>
      <c r="C430" s="198" t="s">
        <v>34</v>
      </c>
      <c r="D430" s="199"/>
      <c r="E430" s="200"/>
      <c r="F430" s="793"/>
      <c r="G430" s="794"/>
      <c r="H430" s="795"/>
      <c r="I430" s="1786">
        <f>IF(I429&lt;&gt;0,I429/I428,"0,00%")</f>
        <v>0.15606941252995327</v>
      </c>
      <c r="J430" s="1787"/>
      <c r="K430" s="1788"/>
      <c r="L430" s="1789"/>
      <c r="M430" s="1790"/>
      <c r="N430" s="1790"/>
      <c r="O430" s="1791">
        <f ca="1">IF(O429&lt;&gt;0,O429/O428,"0,00%")</f>
        <v>0.15730794695267639</v>
      </c>
      <c r="P430" s="1792"/>
      <c r="Q430" s="1792"/>
      <c r="R430" s="1792"/>
      <c r="S430" s="1793" t="str">
        <f>IF(S429&lt;&gt;0,S429/S428,"0,00%")</f>
        <v>0,00%</v>
      </c>
      <c r="T430" s="1792"/>
      <c r="U430" s="1794"/>
      <c r="V430" s="1794"/>
      <c r="W430" s="1795">
        <f>IF(W429&lt;&gt;0,W429/W428,"0,00%")</f>
        <v>0.15730794695267639</v>
      </c>
      <c r="X430" s="1796"/>
      <c r="Y430" s="1792"/>
      <c r="Z430" s="1794"/>
      <c r="AA430" s="1794"/>
      <c r="AB430" s="2524">
        <f>IF(AB429&lt;&gt;0,AB429/AB428,"0,00%")</f>
        <v>0.11202199514648215</v>
      </c>
      <c r="AC430" s="796"/>
      <c r="AD430" s="1480"/>
      <c r="AE430" s="797"/>
      <c r="AF430" s="798"/>
      <c r="AG430" s="799"/>
      <c r="AH430" s="800"/>
      <c r="AI430" s="801">
        <f ca="1">IF(AI429&lt;&gt;0,AI429/AI428,"0,00%")</f>
        <v>0.11191043283691299</v>
      </c>
      <c r="AJ430" s="802"/>
      <c r="AK430" s="2188"/>
      <c r="AL430" s="803"/>
      <c r="AM430" s="2285">
        <f t="shared" ref="AM430" si="612">IF(AM429&lt;&gt;0,AM429/AM428,"0,00%")</f>
        <v>0.11111111146789956</v>
      </c>
      <c r="AN430" s="2285">
        <f t="shared" ref="AN430:BX430" si="613">IF(AN429&lt;&gt;0,AN429/AN428,"0,00%")</f>
        <v>0.51701076356315434</v>
      </c>
      <c r="AO430" s="804">
        <f t="shared" si="613"/>
        <v>5.0856877092125476E-2</v>
      </c>
      <c r="AP430" s="804">
        <f>IF(AP429&lt;&gt;0,AP429/AP428,"0,00%")</f>
        <v>0.11111100009686878</v>
      </c>
      <c r="AQ430" s="804">
        <f t="shared" si="613"/>
        <v>0.11111099941710156</v>
      </c>
      <c r="AR430" s="807">
        <f t="shared" si="613"/>
        <v>0.11111099956365689</v>
      </c>
      <c r="AS430" s="804">
        <f>IF(AS429&lt;&gt;0,AS429/AS428,"0,00%")</f>
        <v>0.11111100011278043</v>
      </c>
      <c r="AT430" s="2036">
        <f t="shared" si="613"/>
        <v>0.11111100024903038</v>
      </c>
      <c r="AU430" s="804">
        <f>IF(AU429&lt;&gt;0,AU429/AU428,"0,00%")</f>
        <v>0.1111109996955769</v>
      </c>
      <c r="AV430" s="804">
        <f t="shared" si="613"/>
        <v>0.11111100006897361</v>
      </c>
      <c r="AW430" s="804">
        <f>IF(AW429&lt;&gt;0,AW429/AW428,"0,00%")</f>
        <v>0.11111100020458022</v>
      </c>
      <c r="AX430" s="804">
        <f t="shared" si="613"/>
        <v>0.11111100001073811</v>
      </c>
      <c r="AY430" s="805">
        <f t="shared" si="613"/>
        <v>0.1111109999247151</v>
      </c>
      <c r="AZ430" s="2346">
        <f t="shared" ref="AZ430:BT430" si="614">IF(AZ429&lt;&gt;0,AZ429/AZ428,"0,00%")</f>
        <v>0.11111099988063015</v>
      </c>
      <c r="BA430" s="806">
        <f t="shared" si="614"/>
        <v>0.11111100009723303</v>
      </c>
      <c r="BB430" s="806">
        <f t="shared" si="614"/>
        <v>0.11111099990297557</v>
      </c>
      <c r="BC430" s="806">
        <f t="shared" si="614"/>
        <v>0.11111099991760694</v>
      </c>
      <c r="BD430" s="806">
        <f t="shared" si="614"/>
        <v>0.11111099990402402</v>
      </c>
      <c r="BE430" s="806">
        <f t="shared" si="614"/>
        <v>0.1111109999666758</v>
      </c>
      <c r="BF430" s="806">
        <f t="shared" si="614"/>
        <v>0.11111100012102418</v>
      </c>
      <c r="BG430" s="806">
        <f t="shared" si="614"/>
        <v>0.11111100003278233</v>
      </c>
      <c r="BH430" s="806">
        <f t="shared" si="614"/>
        <v>0.11111099998848525</v>
      </c>
      <c r="BI430" s="807">
        <f t="shared" si="614"/>
        <v>0.1111110001508001</v>
      </c>
      <c r="BJ430" s="804">
        <f t="shared" si="614"/>
        <v>0.111110999583608</v>
      </c>
      <c r="BK430" s="2150">
        <f t="shared" si="614"/>
        <v>0.11111099990280453</v>
      </c>
      <c r="BL430" s="807">
        <f t="shared" si="614"/>
        <v>0.11111100051032741</v>
      </c>
      <c r="BM430" s="807">
        <f t="shared" si="614"/>
        <v>0.11111099943539395</v>
      </c>
      <c r="BN430" s="807">
        <f t="shared" si="614"/>
        <v>0.11111100131358417</v>
      </c>
      <c r="BO430" s="807">
        <f t="shared" si="614"/>
        <v>0.11111099905044673</v>
      </c>
      <c r="BP430" s="807">
        <f t="shared" si="614"/>
        <v>0.11111100032695451</v>
      </c>
      <c r="BQ430" s="2372">
        <f t="shared" si="614"/>
        <v>0.11111100161980904</v>
      </c>
      <c r="BR430" s="804">
        <f t="shared" si="614"/>
        <v>0.11111100001004899</v>
      </c>
      <c r="BS430" s="804">
        <f t="shared" si="614"/>
        <v>0.11111100259404995</v>
      </c>
      <c r="BT430" s="804">
        <f t="shared" si="614"/>
        <v>1.4349746244715134</v>
      </c>
      <c r="BU430" s="804">
        <f t="shared" si="613"/>
        <v>0.11111093983342618</v>
      </c>
      <c r="BV430" s="804">
        <f t="shared" si="613"/>
        <v>0.11111093983342618</v>
      </c>
      <c r="BW430" s="804">
        <f t="shared" si="613"/>
        <v>0.1217796690469438</v>
      </c>
      <c r="BX430" s="804">
        <f t="shared" si="613"/>
        <v>-1</v>
      </c>
      <c r="BY430" s="804" t="str">
        <f t="shared" ref="BY430:BZ430" si="615">IF(BY429&lt;&gt;0,BY429/BY428,"0,00%")</f>
        <v>0,00%</v>
      </c>
      <c r="BZ430" s="804" t="e">
        <f t="shared" si="615"/>
        <v>#DIV/0!</v>
      </c>
      <c r="CA430" s="2443">
        <f>IF(CA429&lt;&gt;0,CA429/CA428,"0,00%")</f>
        <v>0.11202478837235688</v>
      </c>
      <c r="CB430" s="2384"/>
      <c r="CC430" s="788"/>
      <c r="CD430" s="808"/>
      <c r="CE430" s="809"/>
      <c r="CF430" s="791"/>
      <c r="CG430" s="792"/>
      <c r="CH430" s="732"/>
      <c r="CI430" s="436"/>
      <c r="CJ430" s="436"/>
      <c r="CK430" s="436"/>
      <c r="CL430" s="329">
        <f t="shared" ca="1" si="551"/>
        <v>4.5283158580319505E-2</v>
      </c>
      <c r="CM430" s="330">
        <f t="shared" ca="1" si="552"/>
        <v>0.11191322606278772</v>
      </c>
      <c r="CN430" s="331">
        <f t="shared" ca="1" si="517"/>
        <v>1.4550424187900319</v>
      </c>
      <c r="CO430" s="86"/>
      <c r="CP430" s="86">
        <f t="shared" ca="1" si="579"/>
        <v>-1.2385344227231199E-3</v>
      </c>
      <c r="CQ430" s="86"/>
      <c r="CR430" s="86"/>
      <c r="CS430" s="86"/>
      <c r="CT430" s="86"/>
      <c r="CU430" s="86"/>
      <c r="CV430" s="86"/>
      <c r="CW430" s="86"/>
      <c r="CX430" s="86"/>
      <c r="CY430" s="86"/>
      <c r="CZ430" s="86"/>
      <c r="DA430" s="86"/>
      <c r="DB430" s="1658"/>
      <c r="DC430" s="23"/>
      <c r="DD430" s="23"/>
      <c r="DF430" s="1658"/>
      <c r="EI430" s="1658"/>
    </row>
    <row r="431" spans="1:302" s="24" customFormat="1" ht="25.25" customHeight="1" outlineLevel="2" thickBot="1">
      <c r="A431" s="2677" t="s">
        <v>24</v>
      </c>
      <c r="B431" s="810"/>
      <c r="C431" s="116" t="s">
        <v>35</v>
      </c>
      <c r="D431" s="174"/>
      <c r="E431" s="811"/>
      <c r="F431" s="812"/>
      <c r="G431" s="813"/>
      <c r="H431" s="814"/>
      <c r="I431" s="815" t="s">
        <v>36</v>
      </c>
      <c r="J431" s="814"/>
      <c r="K431" s="812"/>
      <c r="L431" s="812"/>
      <c r="M431" s="816"/>
      <c r="N431" s="817"/>
      <c r="O431" s="818" t="s">
        <v>36</v>
      </c>
      <c r="P431" s="819"/>
      <c r="Q431" s="819"/>
      <c r="R431" s="819"/>
      <c r="S431" s="819" t="s">
        <v>37</v>
      </c>
      <c r="T431" s="819"/>
      <c r="U431" s="820"/>
      <c r="V431" s="820"/>
      <c r="W431" s="821" t="s">
        <v>38</v>
      </c>
      <c r="X431" s="822"/>
      <c r="Y431" s="823"/>
      <c r="Z431" s="824"/>
      <c r="AA431" s="824"/>
      <c r="AB431" s="821" t="s">
        <v>39</v>
      </c>
      <c r="AC431" s="825"/>
      <c r="AD431" s="1481"/>
      <c r="AE431" s="826"/>
      <c r="AF431" s="827"/>
      <c r="AG431" s="828"/>
      <c r="AH431" s="829"/>
      <c r="AI431" s="830" t="s">
        <v>40</v>
      </c>
      <c r="AJ431" s="831" t="s">
        <v>22</v>
      </c>
      <c r="AK431" s="2189"/>
      <c r="AL431" s="832"/>
      <c r="AM431" s="2286"/>
      <c r="AN431" s="2286"/>
      <c r="AO431" s="833"/>
      <c r="AP431" s="834"/>
      <c r="AQ431" s="1344"/>
      <c r="AR431" s="837"/>
      <c r="AS431" s="835"/>
      <c r="AT431" s="2037"/>
      <c r="AU431" s="835"/>
      <c r="AV431" s="835"/>
      <c r="AW431" s="836"/>
      <c r="AX431" s="836"/>
      <c r="AY431" s="2329"/>
      <c r="AZ431" s="2347"/>
      <c r="BA431" s="838"/>
      <c r="BB431" s="838"/>
      <c r="BC431" s="838"/>
      <c r="BD431" s="838"/>
      <c r="BE431" s="838"/>
      <c r="BF431" s="838"/>
      <c r="BG431" s="838"/>
      <c r="BH431" s="838"/>
      <c r="BI431" s="839"/>
      <c r="BJ431" s="839"/>
      <c r="BK431" s="2151"/>
      <c r="BL431" s="839"/>
      <c r="BM431" s="839"/>
      <c r="BN431" s="839"/>
      <c r="BO431" s="839"/>
      <c r="BP431" s="839"/>
      <c r="BQ431" s="2489"/>
      <c r="BR431" s="839"/>
      <c r="BS431" s="839"/>
      <c r="BT431" s="839"/>
      <c r="BU431" s="839"/>
      <c r="BV431" s="839"/>
      <c r="BW431" s="839"/>
      <c r="BX431" s="839"/>
      <c r="BY431" s="2489"/>
      <c r="BZ431" s="2489"/>
      <c r="CA431" s="2444" t="s">
        <v>40</v>
      </c>
      <c r="CB431" s="2385" t="s">
        <v>22</v>
      </c>
      <c r="CC431" s="788"/>
      <c r="CD431" s="840" t="s">
        <v>22</v>
      </c>
      <c r="CE431" s="841" t="s">
        <v>41</v>
      </c>
      <c r="CF431" s="842"/>
      <c r="CG431" s="792"/>
      <c r="CH431" s="732"/>
      <c r="CI431" s="436"/>
      <c r="CJ431" s="436"/>
      <c r="CK431" s="436"/>
      <c r="CL431" s="329" t="e">
        <f t="shared" si="551"/>
        <v>#VALUE!</v>
      </c>
      <c r="CM431" s="330" t="e">
        <f t="shared" si="552"/>
        <v>#VALUE!</v>
      </c>
      <c r="CN431" s="331" t="e">
        <f t="shared" si="517"/>
        <v>#VALUE!</v>
      </c>
      <c r="CO431" s="86"/>
      <c r="CP431" s="86" t="e">
        <f t="shared" si="579"/>
        <v>#VALUE!</v>
      </c>
      <c r="CQ431" s="86"/>
      <c r="CR431" s="86"/>
      <c r="CS431" s="86"/>
      <c r="CT431" s="86"/>
      <c r="CU431" s="86"/>
      <c r="CV431" s="86"/>
      <c r="CW431" s="86"/>
      <c r="CX431" s="86"/>
      <c r="CY431" s="86"/>
      <c r="CZ431" s="86"/>
      <c r="DA431" s="86"/>
      <c r="DB431" s="1658" t="e">
        <f t="shared" ref="DB431:DB440" si="616">CA431+AI431</f>
        <v>#VALUE!</v>
      </c>
      <c r="DC431" s="23"/>
      <c r="DD431" s="23"/>
      <c r="DF431" s="1658"/>
      <c r="EI431" s="1658"/>
    </row>
    <row r="432" spans="1:302" ht="36" customHeight="1" outlineLevel="2">
      <c r="A432" s="2678" t="s">
        <v>42</v>
      </c>
      <c r="B432" s="843"/>
      <c r="C432" s="844" t="s">
        <v>153</v>
      </c>
      <c r="D432" s="1588" t="s">
        <v>431</v>
      </c>
      <c r="E432" s="1589"/>
      <c r="F432" s="1590"/>
      <c r="G432" s="1591"/>
      <c r="H432" s="1586" t="s">
        <v>430</v>
      </c>
      <c r="I432" s="1587">
        <v>631386000</v>
      </c>
      <c r="J432" s="845" t="s">
        <v>251</v>
      </c>
      <c r="K432" s="1592"/>
      <c r="L432" s="1592"/>
      <c r="M432" s="846">
        <v>631386000</v>
      </c>
      <c r="N432" s="496">
        <v>1</v>
      </c>
      <c r="O432" s="771">
        <f>631386000-4300000</f>
        <v>627086000</v>
      </c>
      <c r="P432" s="1593"/>
      <c r="Q432" s="1593"/>
      <c r="R432" s="1593"/>
      <c r="S432" s="773"/>
      <c r="T432" s="1594"/>
      <c r="U432" s="848">
        <f t="shared" ref="U432:V437" si="617">M432+Q432</f>
        <v>631386000</v>
      </c>
      <c r="V432" s="563">
        <f t="shared" si="617"/>
        <v>1</v>
      </c>
      <c r="W432" s="776">
        <f>O432+S432</f>
        <v>627086000</v>
      </c>
      <c r="X432" s="1595"/>
      <c r="Y432" s="774"/>
      <c r="Z432" s="775"/>
      <c r="AA432" s="775"/>
      <c r="AB432" s="2528">
        <f>SUM(AM432:BZ432)</f>
        <v>627086000.00221717</v>
      </c>
      <c r="AC432" s="851"/>
      <c r="AD432" s="1482"/>
      <c r="AE432" s="852"/>
      <c r="AF432" s="853"/>
      <c r="AG432" s="854"/>
      <c r="AH432" s="566">
        <f>AB432</f>
        <v>627086000.00221717</v>
      </c>
      <c r="AI432" s="855">
        <f>SUMIF($AM$10:$AY$10,$AI$9,AM432:AY432)</f>
        <v>15315640.18</v>
      </c>
      <c r="AJ432" s="856"/>
      <c r="AK432" s="2190"/>
      <c r="AL432" s="857"/>
      <c r="AM432" s="2287">
        <v>6920447.8799999999</v>
      </c>
      <c r="AN432" s="2287">
        <v>1515449.79</v>
      </c>
      <c r="AO432" s="2287">
        <v>6879742.5099999998</v>
      </c>
      <c r="AP432" s="2287">
        <f t="shared" ref="AP432:BY432" si="618">AP428*1.111111</f>
        <v>7973655.7693393249</v>
      </c>
      <c r="AQ432" s="2287">
        <f t="shared" si="618"/>
        <v>9014778.3605936412</v>
      </c>
      <c r="AR432" s="2287">
        <f t="shared" si="618"/>
        <v>11045768.884570701</v>
      </c>
      <c r="AS432" s="2287">
        <f t="shared" si="618"/>
        <v>12721509.436447</v>
      </c>
      <c r="AT432" s="2287">
        <f t="shared" si="618"/>
        <v>13272814.815786518</v>
      </c>
      <c r="AU432" s="2287">
        <f t="shared" si="618"/>
        <v>14214739.332212336</v>
      </c>
      <c r="AV432" s="2287">
        <f t="shared" si="618"/>
        <v>20358294.009828776</v>
      </c>
      <c r="AW432" s="2287">
        <f t="shared" si="618"/>
        <v>24479598.886568822</v>
      </c>
      <c r="AX432" s="2287">
        <f t="shared" si="618"/>
        <v>20336873.601222657</v>
      </c>
      <c r="AY432" s="2287">
        <f t="shared" si="618"/>
        <v>23303932.789331518</v>
      </c>
      <c r="AZ432" s="2287">
        <f t="shared" si="618"/>
        <v>31621378.893215604</v>
      </c>
      <c r="BA432" s="2287">
        <f t="shared" si="618"/>
        <v>36299968.038208492</v>
      </c>
      <c r="BB432" s="2287">
        <f t="shared" si="618"/>
        <v>43150591.373216078</v>
      </c>
      <c r="BC432" s="2287">
        <f t="shared" si="618"/>
        <v>38015934.142534398</v>
      </c>
      <c r="BD432" s="2287">
        <f t="shared" si="618"/>
        <v>39442600.132413551</v>
      </c>
      <c r="BE432" s="2287">
        <f t="shared" si="618"/>
        <v>33553854.108535118</v>
      </c>
      <c r="BF432" s="2287">
        <f t="shared" si="618"/>
        <v>29354212.086820386</v>
      </c>
      <c r="BG432" s="2287">
        <f t="shared" si="618"/>
        <v>22595697.129462793</v>
      </c>
      <c r="BH432" s="2287">
        <f t="shared" si="618"/>
        <v>28202477.585155066</v>
      </c>
      <c r="BI432" s="2287">
        <f t="shared" si="618"/>
        <v>15025175.202266851</v>
      </c>
      <c r="BJ432" s="2287">
        <f t="shared" si="618"/>
        <v>12436412.039377762</v>
      </c>
      <c r="BK432" s="2287">
        <f t="shared" si="618"/>
        <v>21606326.4645961</v>
      </c>
      <c r="BL432" s="2287">
        <f t="shared" si="618"/>
        <v>7387553.8148684539</v>
      </c>
      <c r="BM432" s="2287">
        <f t="shared" si="618"/>
        <v>4416723.2974947458</v>
      </c>
      <c r="BN432" s="2287">
        <f t="shared" si="618"/>
        <v>4042302.4902834594</v>
      </c>
      <c r="BO432" s="2287">
        <f t="shared" si="618"/>
        <v>1298125.2794066214</v>
      </c>
      <c r="BP432" s="2287">
        <f t="shared" si="618"/>
        <v>4405676.6521452796</v>
      </c>
      <c r="BQ432" s="2287">
        <f t="shared" si="618"/>
        <v>1702983.7078589122</v>
      </c>
      <c r="BR432" s="2287">
        <f t="shared" si="618"/>
        <v>24951020.75366433</v>
      </c>
      <c r="BS432" s="2287">
        <f t="shared" si="618"/>
        <v>477155.7183002964</v>
      </c>
      <c r="BT432" s="2287">
        <f>BT428*1.111111+334086.66</f>
        <v>614483.63830950565</v>
      </c>
      <c r="BU432" s="2287">
        <f t="shared" si="618"/>
        <v>54574.778669505715</v>
      </c>
      <c r="BV432" s="2287">
        <f t="shared" si="618"/>
        <v>54574.778669505715</v>
      </c>
      <c r="BW432" s="2287">
        <f>BW428*1.111111+516785.58</f>
        <v>54338508.370843053</v>
      </c>
      <c r="BX432" s="2287"/>
      <c r="BY432" s="2287">
        <f t="shared" si="618"/>
        <v>0</v>
      </c>
      <c r="BZ432" s="2287">
        <f>BZ428*1.111111+59.83+1+22.23+0.01+0.04+0.35</f>
        <v>83.460000000000008</v>
      </c>
      <c r="CA432" s="858">
        <f ca="1">SUMIF($AM$10:$CA$10,$CA$9,AM432:BZ432)</f>
        <v>611770359.82221711</v>
      </c>
      <c r="CB432" s="2386"/>
      <c r="CC432" s="861"/>
      <c r="CD432" s="498"/>
      <c r="CE432" s="499"/>
      <c r="CF432" s="500"/>
      <c r="CG432" s="514"/>
      <c r="CH432" s="862">
        <f ca="1">CA432-AH432</f>
        <v>-15315640.180000067</v>
      </c>
      <c r="CI432" s="436"/>
      <c r="CJ432" s="436"/>
      <c r="CK432" s="436"/>
      <c r="CL432" s="329">
        <f t="shared" ca="1" si="551"/>
        <v>15315640.177782893</v>
      </c>
      <c r="CM432" s="330">
        <f t="shared" ca="1" si="552"/>
        <v>0</v>
      </c>
      <c r="CN432" s="331">
        <f t="shared" ca="1" si="517"/>
        <v>-461968841.81631583</v>
      </c>
      <c r="CO432" s="86"/>
      <c r="CP432" s="86">
        <f t="shared" si="579"/>
        <v>4300000</v>
      </c>
      <c r="CQ432" s="86"/>
      <c r="CR432" s="86"/>
      <c r="CS432" s="86"/>
      <c r="CT432" s="86"/>
      <c r="CU432" s="86"/>
      <c r="CV432" s="86"/>
      <c r="CW432" s="86"/>
      <c r="CX432" s="86"/>
      <c r="CY432" s="86"/>
      <c r="CZ432" s="86"/>
      <c r="DA432" s="86"/>
      <c r="DB432" s="1658">
        <f t="shared" ca="1" si="616"/>
        <v>627086000.00221705</v>
      </c>
      <c r="DC432" s="32"/>
      <c r="DD432" s="32"/>
      <c r="DF432" s="1658"/>
      <c r="DG432" s="35"/>
      <c r="DH432" s="35"/>
      <c r="EI432" s="1658"/>
    </row>
    <row r="433" spans="1:139" ht="25.25" customHeight="1" outlineLevel="2">
      <c r="A433" s="2678"/>
      <c r="B433" s="843"/>
      <c r="C433" s="117" t="s">
        <v>154</v>
      </c>
      <c r="D433" s="1596"/>
      <c r="E433" s="1589"/>
      <c r="F433" s="1590"/>
      <c r="G433" s="1591"/>
      <c r="H433" s="1597"/>
      <c r="I433" s="1587"/>
      <c r="J433" s="1598"/>
      <c r="K433" s="1599"/>
      <c r="L433" s="1599"/>
      <c r="M433" s="866"/>
      <c r="N433" s="496">
        <v>1</v>
      </c>
      <c r="O433" s="771">
        <f>N433*M431</f>
        <v>0</v>
      </c>
      <c r="P433" s="1600"/>
      <c r="Q433" s="1600"/>
      <c r="R433" s="1600"/>
      <c r="S433" s="1601"/>
      <c r="T433" s="1602"/>
      <c r="U433" s="848">
        <f t="shared" si="617"/>
        <v>0</v>
      </c>
      <c r="V433" s="848">
        <f t="shared" si="617"/>
        <v>1</v>
      </c>
      <c r="W433" s="1603">
        <f t="shared" ref="W433:W436" si="619">O433+S433</f>
        <v>0</v>
      </c>
      <c r="X433" s="1604"/>
      <c r="Y433" s="1605"/>
      <c r="Z433" s="1606"/>
      <c r="AA433" s="1606"/>
      <c r="AB433" s="776">
        <f>SUM(AM433:BZ433)</f>
        <v>0</v>
      </c>
      <c r="AC433" s="851"/>
      <c r="AD433" s="1482"/>
      <c r="AE433" s="852"/>
      <c r="AF433" s="853"/>
      <c r="AG433" s="854"/>
      <c r="AH433" s="566"/>
      <c r="AI433" s="855">
        <f t="shared" ref="AI433:AI439" si="620">SUMIF($AM$10:$AY$10,$AI$9,AM433:AY433)</f>
        <v>0</v>
      </c>
      <c r="AJ433" s="856"/>
      <c r="AK433" s="2191"/>
      <c r="AL433" s="873"/>
      <c r="AM433" s="2288"/>
      <c r="AN433" s="2288"/>
      <c r="AO433" s="875"/>
      <c r="AP433" s="876"/>
      <c r="AQ433" s="875"/>
      <c r="AR433" s="1338"/>
      <c r="AS433" s="875"/>
      <c r="AT433" s="2038"/>
      <c r="AU433" s="875"/>
      <c r="AV433" s="875"/>
      <c r="AW433" s="875"/>
      <c r="AX433" s="875"/>
      <c r="AY433" s="876"/>
      <c r="AZ433" s="2348"/>
      <c r="BA433" s="859"/>
      <c r="BB433" s="859"/>
      <c r="BC433" s="859"/>
      <c r="BD433" s="859"/>
      <c r="BE433" s="859"/>
      <c r="BF433" s="859"/>
      <c r="BG433" s="859"/>
      <c r="BH433" s="575"/>
      <c r="BI433" s="575"/>
      <c r="BJ433" s="575"/>
      <c r="BK433" s="2152"/>
      <c r="BL433" s="2056"/>
      <c r="BM433" s="2056"/>
      <c r="BN433" s="2056"/>
      <c r="BO433" s="2056"/>
      <c r="BP433" s="2056"/>
      <c r="BQ433" s="2490"/>
      <c r="BR433" s="575"/>
      <c r="BS433" s="575"/>
      <c r="BT433" s="575"/>
      <c r="BU433" s="575"/>
      <c r="BV433" s="575"/>
      <c r="BW433" s="575"/>
      <c r="BX433" s="2475"/>
      <c r="BY433" s="2558"/>
      <c r="BZ433" s="2558"/>
      <c r="CA433" s="858">
        <f t="shared" ref="CA433:CA439" ca="1" si="621">SUMIF($AM$10:$CA$10,$CA$9,AM433:BZ433)</f>
        <v>0</v>
      </c>
      <c r="CB433" s="2386"/>
      <c r="CC433" s="861"/>
      <c r="CD433" s="498"/>
      <c r="CE433" s="499"/>
      <c r="CF433" s="500"/>
      <c r="CG433" s="514"/>
      <c r="CH433" s="732"/>
      <c r="CI433" s="436"/>
      <c r="CJ433" s="436"/>
      <c r="CK433" s="436"/>
      <c r="CL433" s="329">
        <f t="shared" ca="1" si="551"/>
        <v>0</v>
      </c>
      <c r="CM433" s="330">
        <f t="shared" ca="1" si="552"/>
        <v>0</v>
      </c>
      <c r="CN433" s="331">
        <f t="shared" ca="1" si="517"/>
        <v>0</v>
      </c>
      <c r="CO433" s="86"/>
      <c r="CP433" s="86">
        <f t="shared" si="579"/>
        <v>0</v>
      </c>
      <c r="CQ433" s="86"/>
      <c r="CR433" s="86"/>
      <c r="CS433" s="86"/>
      <c r="CT433" s="86"/>
      <c r="CU433" s="86"/>
      <c r="CV433" s="86"/>
      <c r="CW433" s="86"/>
      <c r="CX433" s="86"/>
      <c r="CY433" s="86"/>
      <c r="CZ433" s="86"/>
      <c r="DA433" s="86"/>
      <c r="DB433" s="1658">
        <f t="shared" ca="1" si="616"/>
        <v>0</v>
      </c>
      <c r="DC433" s="32"/>
      <c r="DD433" s="32"/>
      <c r="DF433" s="1658"/>
      <c r="DG433" s="35"/>
      <c r="DH433" s="35"/>
      <c r="EI433" s="1658"/>
    </row>
    <row r="434" spans="1:139" ht="25.25" customHeight="1" outlineLevel="2">
      <c r="A434" s="2678"/>
      <c r="B434" s="843"/>
      <c r="C434" s="117" t="s">
        <v>155</v>
      </c>
      <c r="D434" s="1607"/>
      <c r="E434" s="1589"/>
      <c r="F434" s="1590"/>
      <c r="G434" s="1591"/>
      <c r="H434" s="1598"/>
      <c r="I434" s="1590"/>
      <c r="J434" s="1598"/>
      <c r="K434" s="1599"/>
      <c r="L434" s="1608"/>
      <c r="M434" s="878"/>
      <c r="N434" s="496"/>
      <c r="O434" s="771">
        <f>N434*M432</f>
        <v>0</v>
      </c>
      <c r="P434" s="1600"/>
      <c r="Q434" s="1600"/>
      <c r="R434" s="1600"/>
      <c r="S434" s="1601"/>
      <c r="T434" s="1602"/>
      <c r="U434" s="848">
        <f t="shared" si="617"/>
        <v>0</v>
      </c>
      <c r="V434" s="848">
        <f t="shared" si="617"/>
        <v>0</v>
      </c>
      <c r="W434" s="1603">
        <f t="shared" si="619"/>
        <v>0</v>
      </c>
      <c r="X434" s="1604"/>
      <c r="Y434" s="1605"/>
      <c r="Z434" s="1606"/>
      <c r="AA434" s="1606"/>
      <c r="AB434" s="776">
        <f t="shared" ref="AB434:AB438" si="622">SUM(AM434:BZ434)</f>
        <v>0</v>
      </c>
      <c r="AC434" s="851"/>
      <c r="AD434" s="1482"/>
      <c r="AE434" s="852"/>
      <c r="AF434" s="853"/>
      <c r="AG434" s="854"/>
      <c r="AH434" s="566"/>
      <c r="AI434" s="855">
        <f t="shared" si="620"/>
        <v>0</v>
      </c>
      <c r="AJ434" s="856"/>
      <c r="AK434" s="2191"/>
      <c r="AL434" s="873"/>
      <c r="AM434" s="2288"/>
      <c r="AN434" s="2288"/>
      <c r="AO434" s="875"/>
      <c r="AP434" s="876"/>
      <c r="AQ434" s="875"/>
      <c r="AR434" s="1338"/>
      <c r="AS434" s="874"/>
      <c r="AT434" s="2039"/>
      <c r="AU434" s="874"/>
      <c r="AV434" s="874"/>
      <c r="AW434" s="875"/>
      <c r="AX434" s="875"/>
      <c r="AY434" s="876"/>
      <c r="AZ434" s="2349"/>
      <c r="BA434" s="575"/>
      <c r="BB434" s="575"/>
      <c r="BC434" s="575"/>
      <c r="BD434" s="575"/>
      <c r="BE434" s="575"/>
      <c r="BF434" s="575"/>
      <c r="BG434" s="575"/>
      <c r="BH434" s="575"/>
      <c r="BI434" s="575"/>
      <c r="BJ434" s="575"/>
      <c r="BK434" s="2152"/>
      <c r="BL434" s="2056"/>
      <c r="BM434" s="2056"/>
      <c r="BN434" s="2056"/>
      <c r="BO434" s="2056"/>
      <c r="BP434" s="2056"/>
      <c r="BQ434" s="2490"/>
      <c r="BR434" s="575"/>
      <c r="BS434" s="575"/>
      <c r="BT434" s="575"/>
      <c r="BU434" s="575"/>
      <c r="BV434" s="575"/>
      <c r="BW434" s="575"/>
      <c r="BX434" s="2475"/>
      <c r="BY434" s="2558"/>
      <c r="BZ434" s="2558"/>
      <c r="CA434" s="858">
        <f t="shared" ca="1" si="621"/>
        <v>0</v>
      </c>
      <c r="CB434" s="2386"/>
      <c r="CC434" s="861"/>
      <c r="CD434" s="498"/>
      <c r="CE434" s="499"/>
      <c r="CF434" s="500"/>
      <c r="CG434" s="514"/>
      <c r="CH434" s="732"/>
      <c r="CI434" s="436"/>
      <c r="CJ434" s="436"/>
      <c r="CK434" s="436"/>
      <c r="CL434" s="329">
        <f t="shared" ca="1" si="551"/>
        <v>0</v>
      </c>
      <c r="CM434" s="330">
        <f t="shared" ca="1" si="552"/>
        <v>0</v>
      </c>
      <c r="CN434" s="331">
        <f t="shared" ca="1" si="517"/>
        <v>0</v>
      </c>
      <c r="CO434" s="86"/>
      <c r="CP434" s="86">
        <f t="shared" si="579"/>
        <v>0</v>
      </c>
      <c r="CQ434" s="86"/>
      <c r="CR434" s="86"/>
      <c r="CS434" s="86"/>
      <c r="CT434" s="86"/>
      <c r="CU434" s="86"/>
      <c r="CV434" s="86"/>
      <c r="CW434" s="86"/>
      <c r="CX434" s="86"/>
      <c r="CY434" s="86"/>
      <c r="CZ434" s="86"/>
      <c r="DA434" s="86"/>
      <c r="DB434" s="1658">
        <f t="shared" ca="1" si="616"/>
        <v>0</v>
      </c>
      <c r="DC434" s="32"/>
      <c r="DD434" s="32"/>
      <c r="DF434" s="1658"/>
      <c r="DG434" s="35"/>
      <c r="DH434" s="35"/>
      <c r="EI434" s="1658"/>
    </row>
    <row r="435" spans="1:139" ht="25.25" customHeight="1" outlineLevel="2">
      <c r="A435" s="2678"/>
      <c r="B435" s="843"/>
      <c r="C435" s="117" t="s">
        <v>156</v>
      </c>
      <c r="D435" s="1607"/>
      <c r="E435" s="1589"/>
      <c r="F435" s="1590"/>
      <c r="G435" s="1591"/>
      <c r="H435" s="1598"/>
      <c r="I435" s="1609"/>
      <c r="J435" s="1598"/>
      <c r="K435" s="1599"/>
      <c r="L435" s="1608"/>
      <c r="M435" s="878"/>
      <c r="N435" s="496"/>
      <c r="O435" s="771">
        <f t="shared" ref="O435:O438" si="623">N435*M435</f>
        <v>0</v>
      </c>
      <c r="P435" s="1600"/>
      <c r="Q435" s="1600"/>
      <c r="R435" s="1600"/>
      <c r="S435" s="1601"/>
      <c r="T435" s="1602"/>
      <c r="U435" s="848">
        <f t="shared" si="617"/>
        <v>0</v>
      </c>
      <c r="V435" s="848">
        <f t="shared" si="617"/>
        <v>0</v>
      </c>
      <c r="W435" s="1603">
        <f t="shared" si="619"/>
        <v>0</v>
      </c>
      <c r="X435" s="1604"/>
      <c r="Y435" s="1605"/>
      <c r="Z435" s="1606"/>
      <c r="AA435" s="1606"/>
      <c r="AB435" s="776">
        <f t="shared" si="622"/>
        <v>0</v>
      </c>
      <c r="AC435" s="851"/>
      <c r="AD435" s="1482"/>
      <c r="AE435" s="852"/>
      <c r="AF435" s="853"/>
      <c r="AG435" s="854"/>
      <c r="AH435" s="566"/>
      <c r="AI435" s="855">
        <f t="shared" si="620"/>
        <v>0</v>
      </c>
      <c r="AJ435" s="856"/>
      <c r="AK435" s="2191"/>
      <c r="AL435" s="873"/>
      <c r="AM435" s="2288"/>
      <c r="AN435" s="2288"/>
      <c r="AO435" s="860"/>
      <c r="AP435" s="1337"/>
      <c r="AQ435" s="875"/>
      <c r="AR435" s="1338"/>
      <c r="AS435" s="874"/>
      <c r="AT435" s="2039"/>
      <c r="AU435" s="874"/>
      <c r="AV435" s="874"/>
      <c r="AW435" s="879"/>
      <c r="AX435" s="879"/>
      <c r="AY435" s="876"/>
      <c r="AZ435" s="2350"/>
      <c r="BA435" s="880"/>
      <c r="BB435" s="880"/>
      <c r="BC435" s="880"/>
      <c r="BD435" s="880"/>
      <c r="BE435" s="880"/>
      <c r="BF435" s="880"/>
      <c r="BG435" s="880"/>
      <c r="BH435" s="575"/>
      <c r="BI435" s="575"/>
      <c r="BJ435" s="575"/>
      <c r="BK435" s="2152"/>
      <c r="BL435" s="2056"/>
      <c r="BM435" s="2056"/>
      <c r="BN435" s="2056"/>
      <c r="BO435" s="2056"/>
      <c r="BP435" s="2056"/>
      <c r="BQ435" s="2490"/>
      <c r="BR435" s="575"/>
      <c r="BS435" s="575"/>
      <c r="BT435" s="575"/>
      <c r="BU435" s="575"/>
      <c r="BV435" s="575"/>
      <c r="BW435" s="575"/>
      <c r="BX435" s="2475"/>
      <c r="BY435" s="2558"/>
      <c r="BZ435" s="2558"/>
      <c r="CA435" s="858">
        <f t="shared" ca="1" si="621"/>
        <v>0</v>
      </c>
      <c r="CB435" s="2386"/>
      <c r="CC435" s="861"/>
      <c r="CD435" s="498"/>
      <c r="CE435" s="499"/>
      <c r="CF435" s="500"/>
      <c r="CG435" s="514"/>
      <c r="CH435" s="732"/>
      <c r="CI435" s="436"/>
      <c r="CJ435" s="436"/>
      <c r="CK435" s="436"/>
      <c r="CL435" s="329">
        <f t="shared" ca="1" si="551"/>
        <v>0</v>
      </c>
      <c r="CM435" s="330">
        <f t="shared" ca="1" si="552"/>
        <v>0</v>
      </c>
      <c r="CN435" s="331">
        <f t="shared" ca="1" si="517"/>
        <v>0</v>
      </c>
      <c r="CO435" s="86"/>
      <c r="CP435" s="86">
        <f t="shared" si="579"/>
        <v>0</v>
      </c>
      <c r="CQ435" s="86"/>
      <c r="CR435" s="86"/>
      <c r="CS435" s="86"/>
      <c r="CT435" s="86"/>
      <c r="CU435" s="86"/>
      <c r="CV435" s="86"/>
      <c r="CW435" s="86"/>
      <c r="CX435" s="86"/>
      <c r="CY435" s="86"/>
      <c r="CZ435" s="86"/>
      <c r="DA435" s="86"/>
      <c r="DB435" s="1658">
        <f t="shared" ca="1" si="616"/>
        <v>0</v>
      </c>
      <c r="DC435" s="32"/>
      <c r="DD435" s="32"/>
      <c r="DF435" s="1658"/>
      <c r="DG435" s="35"/>
      <c r="DH435" s="35"/>
      <c r="EI435" s="1658"/>
    </row>
    <row r="436" spans="1:139" ht="25.25" customHeight="1" outlineLevel="2">
      <c r="A436" s="2678"/>
      <c r="B436" s="843"/>
      <c r="C436" s="117" t="s">
        <v>157</v>
      </c>
      <c r="D436" s="1607"/>
      <c r="E436" s="1589"/>
      <c r="F436" s="1590"/>
      <c r="G436" s="1591"/>
      <c r="H436" s="1598"/>
      <c r="I436" s="1609"/>
      <c r="J436" s="1598"/>
      <c r="K436" s="1599"/>
      <c r="L436" s="1608"/>
      <c r="M436" s="878"/>
      <c r="N436" s="496"/>
      <c r="O436" s="771">
        <f t="shared" si="623"/>
        <v>0</v>
      </c>
      <c r="P436" s="1600"/>
      <c r="Q436" s="1600"/>
      <c r="R436" s="1600"/>
      <c r="S436" s="1601"/>
      <c r="T436" s="1602"/>
      <c r="U436" s="848">
        <f t="shared" si="617"/>
        <v>0</v>
      </c>
      <c r="V436" s="848">
        <f t="shared" si="617"/>
        <v>0</v>
      </c>
      <c r="W436" s="1603">
        <f t="shared" si="619"/>
        <v>0</v>
      </c>
      <c r="X436" s="1604"/>
      <c r="Y436" s="1605"/>
      <c r="Z436" s="1606"/>
      <c r="AA436" s="1606"/>
      <c r="AB436" s="776">
        <f t="shared" si="622"/>
        <v>0</v>
      </c>
      <c r="AC436" s="851"/>
      <c r="AD436" s="1482"/>
      <c r="AE436" s="852"/>
      <c r="AF436" s="853"/>
      <c r="AG436" s="854"/>
      <c r="AH436" s="566"/>
      <c r="AI436" s="855">
        <f t="shared" si="620"/>
        <v>0</v>
      </c>
      <c r="AJ436" s="856"/>
      <c r="AK436" s="2191"/>
      <c r="AL436" s="873"/>
      <c r="AM436" s="2288"/>
      <c r="AN436" s="2288"/>
      <c r="AO436" s="860"/>
      <c r="AP436" s="1337"/>
      <c r="AQ436" s="875"/>
      <c r="AR436" s="1338"/>
      <c r="AS436" s="874"/>
      <c r="AT436" s="2039"/>
      <c r="AU436" s="874"/>
      <c r="AV436" s="874"/>
      <c r="AW436" s="879"/>
      <c r="AX436" s="879"/>
      <c r="AY436" s="876"/>
      <c r="AZ436" s="2349"/>
      <c r="BA436" s="575"/>
      <c r="BB436" s="575"/>
      <c r="BC436" s="575"/>
      <c r="BD436" s="575"/>
      <c r="BE436" s="575"/>
      <c r="BF436" s="575"/>
      <c r="BG436" s="575"/>
      <c r="BH436" s="575"/>
      <c r="BI436" s="575"/>
      <c r="BJ436" s="575"/>
      <c r="BK436" s="2152"/>
      <c r="BL436" s="2056"/>
      <c r="BM436" s="2056"/>
      <c r="BN436" s="2056"/>
      <c r="BO436" s="2056"/>
      <c r="BP436" s="2056"/>
      <c r="BQ436" s="2490"/>
      <c r="BR436" s="575"/>
      <c r="BS436" s="575"/>
      <c r="BT436" s="575"/>
      <c r="BU436" s="575"/>
      <c r="BV436" s="575"/>
      <c r="BW436" s="575"/>
      <c r="BX436" s="2475"/>
      <c r="BY436" s="2558"/>
      <c r="BZ436" s="2558"/>
      <c r="CA436" s="858">
        <f t="shared" ca="1" si="621"/>
        <v>0</v>
      </c>
      <c r="CB436" s="2386"/>
      <c r="CC436" s="861"/>
      <c r="CD436" s="498"/>
      <c r="CE436" s="499"/>
      <c r="CF436" s="500"/>
      <c r="CG436" s="514"/>
      <c r="CH436" s="732"/>
      <c r="CI436" s="436"/>
      <c r="CJ436" s="436"/>
      <c r="CK436" s="436"/>
      <c r="CL436" s="329">
        <f t="shared" ca="1" si="551"/>
        <v>0</v>
      </c>
      <c r="CM436" s="330">
        <f t="shared" ca="1" si="552"/>
        <v>0</v>
      </c>
      <c r="CN436" s="331">
        <f t="shared" ca="1" si="517"/>
        <v>0</v>
      </c>
      <c r="CO436" s="86"/>
      <c r="CP436" s="86">
        <f t="shared" si="579"/>
        <v>0</v>
      </c>
      <c r="CQ436" s="86"/>
      <c r="CR436" s="86"/>
      <c r="CS436" s="86"/>
      <c r="CT436" s="86"/>
      <c r="CU436" s="86"/>
      <c r="CV436" s="86"/>
      <c r="CW436" s="86"/>
      <c r="CX436" s="86"/>
      <c r="CY436" s="86"/>
      <c r="CZ436" s="86"/>
      <c r="DA436" s="86"/>
      <c r="DB436" s="1658">
        <f t="shared" ca="1" si="616"/>
        <v>0</v>
      </c>
      <c r="DC436" s="32"/>
      <c r="DD436" s="32"/>
      <c r="DF436" s="1658"/>
      <c r="DG436" s="35"/>
      <c r="DH436" s="35"/>
      <c r="EI436" s="1658"/>
    </row>
    <row r="437" spans="1:139" ht="25.25" customHeight="1" outlineLevel="2">
      <c r="A437" s="2678"/>
      <c r="B437" s="843"/>
      <c r="C437" s="117" t="s">
        <v>152</v>
      </c>
      <c r="D437" s="1607"/>
      <c r="E437" s="1589"/>
      <c r="F437" s="1590"/>
      <c r="G437" s="1591"/>
      <c r="H437" s="1598"/>
      <c r="I437" s="1609"/>
      <c r="J437" s="1598"/>
      <c r="K437" s="1599"/>
      <c r="L437" s="1608"/>
      <c r="M437" s="878"/>
      <c r="N437" s="496"/>
      <c r="O437" s="771">
        <f t="shared" si="623"/>
        <v>0</v>
      </c>
      <c r="P437" s="1600"/>
      <c r="Q437" s="1600"/>
      <c r="R437" s="1600"/>
      <c r="S437" s="1601"/>
      <c r="T437" s="1602"/>
      <c r="U437" s="848">
        <f t="shared" si="617"/>
        <v>0</v>
      </c>
      <c r="V437" s="848">
        <f t="shared" si="617"/>
        <v>0</v>
      </c>
      <c r="W437" s="1603">
        <f>O437+S437</f>
        <v>0</v>
      </c>
      <c r="X437" s="1604"/>
      <c r="Y437" s="1605"/>
      <c r="Z437" s="1606"/>
      <c r="AA437" s="1606"/>
      <c r="AB437" s="776">
        <f t="shared" si="622"/>
        <v>0</v>
      </c>
      <c r="AC437" s="851"/>
      <c r="AD437" s="1482"/>
      <c r="AE437" s="852"/>
      <c r="AF437" s="853"/>
      <c r="AG437" s="854"/>
      <c r="AH437" s="566"/>
      <c r="AI437" s="855">
        <f t="shared" si="620"/>
        <v>0</v>
      </c>
      <c r="AJ437" s="856"/>
      <c r="AK437" s="2191"/>
      <c r="AL437" s="873"/>
      <c r="AM437" s="2288"/>
      <c r="AN437" s="2288"/>
      <c r="AO437" s="860"/>
      <c r="AP437" s="1337"/>
      <c r="AQ437" s="1339"/>
      <c r="AR437" s="1338"/>
      <c r="AS437" s="874"/>
      <c r="AT437" s="2039"/>
      <c r="AU437" s="874"/>
      <c r="AV437" s="874"/>
      <c r="AW437" s="879"/>
      <c r="AX437" s="879"/>
      <c r="AY437" s="876"/>
      <c r="AZ437" s="2349"/>
      <c r="BA437" s="575"/>
      <c r="BB437" s="575"/>
      <c r="BC437" s="575"/>
      <c r="BD437" s="575"/>
      <c r="BE437" s="575"/>
      <c r="BF437" s="575"/>
      <c r="BG437" s="575"/>
      <c r="BH437" s="575"/>
      <c r="BI437" s="575"/>
      <c r="BJ437" s="575"/>
      <c r="BK437" s="2152"/>
      <c r="BL437" s="2056"/>
      <c r="BM437" s="2056"/>
      <c r="BN437" s="2056"/>
      <c r="BO437" s="2056"/>
      <c r="BP437" s="2056"/>
      <c r="BQ437" s="2490"/>
      <c r="BR437" s="575"/>
      <c r="BS437" s="575"/>
      <c r="BT437" s="575"/>
      <c r="BU437" s="575"/>
      <c r="BV437" s="575"/>
      <c r="BW437" s="575"/>
      <c r="BX437" s="2475"/>
      <c r="BY437" s="2558"/>
      <c r="BZ437" s="2558"/>
      <c r="CA437" s="858">
        <f t="shared" ca="1" si="621"/>
        <v>0</v>
      </c>
      <c r="CB437" s="2386"/>
      <c r="CC437" s="861"/>
      <c r="CD437" s="498"/>
      <c r="CE437" s="499"/>
      <c r="CF437" s="500"/>
      <c r="CG437" s="514"/>
      <c r="CH437" s="732"/>
      <c r="CI437" s="436"/>
      <c r="CJ437" s="436"/>
      <c r="CK437" s="436"/>
      <c r="CL437" s="329">
        <f t="shared" ca="1" si="551"/>
        <v>0</v>
      </c>
      <c r="CM437" s="330">
        <f t="shared" ca="1" si="552"/>
        <v>0</v>
      </c>
      <c r="CN437" s="331">
        <f t="shared" ca="1" si="517"/>
        <v>0</v>
      </c>
      <c r="CO437" s="86"/>
      <c r="CP437" s="86">
        <f t="shared" si="579"/>
        <v>0</v>
      </c>
      <c r="CQ437" s="86"/>
      <c r="CR437" s="86"/>
      <c r="CS437" s="86"/>
      <c r="CT437" s="86"/>
      <c r="CU437" s="86"/>
      <c r="CV437" s="86"/>
      <c r="CW437" s="86"/>
      <c r="CX437" s="86"/>
      <c r="CY437" s="86"/>
      <c r="CZ437" s="86"/>
      <c r="DA437" s="86"/>
      <c r="DB437" s="1658">
        <f t="shared" ca="1" si="616"/>
        <v>0</v>
      </c>
      <c r="DC437" s="32"/>
      <c r="DD437" s="32"/>
      <c r="DF437" s="1658"/>
      <c r="DG437" s="35"/>
      <c r="DH437" s="35"/>
      <c r="EI437" s="1658"/>
    </row>
    <row r="438" spans="1:139" ht="25.25" customHeight="1" outlineLevel="2">
      <c r="A438" s="2678"/>
      <c r="B438" s="843"/>
      <c r="C438" s="117"/>
      <c r="D438" s="1607"/>
      <c r="E438" s="1589"/>
      <c r="F438" s="1590"/>
      <c r="G438" s="1591"/>
      <c r="H438" s="1598"/>
      <c r="I438" s="1609"/>
      <c r="J438" s="1598"/>
      <c r="K438" s="1599"/>
      <c r="L438" s="1608"/>
      <c r="M438" s="878"/>
      <c r="N438" s="496"/>
      <c r="O438" s="771">
        <f t="shared" si="623"/>
        <v>0</v>
      </c>
      <c r="P438" s="1600"/>
      <c r="Q438" s="1600"/>
      <c r="R438" s="1600"/>
      <c r="S438" s="1601"/>
      <c r="T438" s="1602"/>
      <c r="U438" s="848"/>
      <c r="V438" s="848"/>
      <c r="W438" s="1603">
        <f>O438+S438</f>
        <v>0</v>
      </c>
      <c r="X438" s="1604"/>
      <c r="Y438" s="1605"/>
      <c r="Z438" s="1606"/>
      <c r="AA438" s="1606"/>
      <c r="AB438" s="776">
        <f t="shared" si="622"/>
        <v>0</v>
      </c>
      <c r="AC438" s="851"/>
      <c r="AD438" s="1482"/>
      <c r="AE438" s="852"/>
      <c r="AF438" s="853"/>
      <c r="AG438" s="854"/>
      <c r="AH438" s="566"/>
      <c r="AI438" s="855">
        <f t="shared" si="620"/>
        <v>0</v>
      </c>
      <c r="AJ438" s="856"/>
      <c r="AK438" s="2191"/>
      <c r="AL438" s="873"/>
      <c r="AM438" s="2288"/>
      <c r="AN438" s="2288"/>
      <c r="AO438" s="860"/>
      <c r="AP438" s="1340"/>
      <c r="AQ438" s="859"/>
      <c r="AR438" s="1338"/>
      <c r="AS438" s="874"/>
      <c r="AT438" s="2039"/>
      <c r="AU438" s="874"/>
      <c r="AV438" s="874"/>
      <c r="AW438" s="879"/>
      <c r="AX438" s="879"/>
      <c r="AY438" s="876"/>
      <c r="AZ438" s="2349"/>
      <c r="BA438" s="575"/>
      <c r="BB438" s="575"/>
      <c r="BC438" s="575"/>
      <c r="BD438" s="575"/>
      <c r="BE438" s="575"/>
      <c r="BF438" s="575"/>
      <c r="BG438" s="575"/>
      <c r="BH438" s="575"/>
      <c r="BI438" s="575"/>
      <c r="BJ438" s="575"/>
      <c r="BK438" s="2152"/>
      <c r="BL438" s="2056"/>
      <c r="BM438" s="2056"/>
      <c r="BN438" s="2056"/>
      <c r="BO438" s="2056"/>
      <c r="BP438" s="2056"/>
      <c r="BQ438" s="2490"/>
      <c r="BR438" s="575"/>
      <c r="BS438" s="575"/>
      <c r="BT438" s="575"/>
      <c r="BU438" s="575"/>
      <c r="BV438" s="575"/>
      <c r="BW438" s="575"/>
      <c r="BX438" s="2475"/>
      <c r="BY438" s="2558"/>
      <c r="BZ438" s="2558"/>
      <c r="CA438" s="858">
        <f t="shared" ca="1" si="621"/>
        <v>0</v>
      </c>
      <c r="CB438" s="2386"/>
      <c r="CC438" s="861"/>
      <c r="CD438" s="498"/>
      <c r="CE438" s="499"/>
      <c r="CF438" s="500"/>
      <c r="CG438" s="514"/>
      <c r="CH438" s="732"/>
      <c r="CI438" s="436"/>
      <c r="CJ438" s="436"/>
      <c r="CK438" s="436"/>
      <c r="CL438" s="329">
        <f t="shared" ca="1" si="551"/>
        <v>0</v>
      </c>
      <c r="CM438" s="330">
        <f t="shared" ca="1" si="552"/>
        <v>0</v>
      </c>
      <c r="CN438" s="331">
        <f t="shared" ca="1" si="517"/>
        <v>0</v>
      </c>
      <c r="CO438" s="86"/>
      <c r="CP438" s="86">
        <f t="shared" si="579"/>
        <v>0</v>
      </c>
      <c r="CQ438" s="86"/>
      <c r="CR438" s="86"/>
      <c r="CS438" s="86"/>
      <c r="CT438" s="86"/>
      <c r="CU438" s="86"/>
      <c r="CV438" s="86"/>
      <c r="CW438" s="86"/>
      <c r="CX438" s="86"/>
      <c r="CY438" s="86"/>
      <c r="CZ438" s="86"/>
      <c r="DA438" s="86"/>
      <c r="DB438" s="1658">
        <f t="shared" ca="1" si="616"/>
        <v>0</v>
      </c>
      <c r="DC438" s="32"/>
      <c r="DD438" s="32"/>
      <c r="DF438" s="1658"/>
      <c r="DG438" s="35"/>
      <c r="DH438" s="35"/>
      <c r="EI438" s="1658"/>
    </row>
    <row r="439" spans="1:139" ht="25.25" customHeight="1" outlineLevel="2" thickBot="1">
      <c r="A439" s="2679"/>
      <c r="B439" s="881"/>
      <c r="C439" s="118" t="s">
        <v>61</v>
      </c>
      <c r="D439" s="1610"/>
      <c r="E439" s="1611"/>
      <c r="F439" s="1612"/>
      <c r="G439" s="1613"/>
      <c r="H439" s="1614"/>
      <c r="I439" s="883">
        <f>SUM(I432:I438)</f>
        <v>631386000</v>
      </c>
      <c r="J439" s="519"/>
      <c r="K439" s="884"/>
      <c r="L439" s="882"/>
      <c r="M439" s="885"/>
      <c r="N439" s="885"/>
      <c r="O439" s="886">
        <f>SUM(O432:O437)</f>
        <v>627086000</v>
      </c>
      <c r="P439" s="887"/>
      <c r="Q439" s="887"/>
      <c r="R439" s="887"/>
      <c r="S439" s="888">
        <f>SUM(S432:S438)</f>
        <v>0</v>
      </c>
      <c r="T439" s="887"/>
      <c r="U439" s="889"/>
      <c r="V439" s="889"/>
      <c r="W439" s="890">
        <f>SUM(W432:W438)</f>
        <v>627086000</v>
      </c>
      <c r="X439" s="891"/>
      <c r="Y439" s="892"/>
      <c r="Z439" s="893"/>
      <c r="AA439" s="893"/>
      <c r="AB439" s="890">
        <f>SUM(AB432:AB438)</f>
        <v>627086000.00221717</v>
      </c>
      <c r="AC439" s="894"/>
      <c r="AD439" s="1483"/>
      <c r="AE439" s="895"/>
      <c r="AF439" s="896"/>
      <c r="AG439" s="897"/>
      <c r="AH439" s="898"/>
      <c r="AI439" s="855">
        <f t="shared" si="620"/>
        <v>15315640.18</v>
      </c>
      <c r="AJ439" s="899">
        <f>IF($AB439&lt;&gt;0,AI439/$AB439,"")</f>
        <v>2.4423508386323164E-2</v>
      </c>
      <c r="AK439" s="2192"/>
      <c r="AL439" s="900"/>
      <c r="AM439" s="2289">
        <f>SUM(AM432:AM438)</f>
        <v>6920447.8799999999</v>
      </c>
      <c r="AN439" s="2289">
        <f>SUM(AN432:AN438)</f>
        <v>1515449.79</v>
      </c>
      <c r="AO439" s="520">
        <f>SUM(AO432:AO438)</f>
        <v>6879742.5099999998</v>
      </c>
      <c r="AP439" s="520">
        <f t="shared" ref="AP439:AY439" si="624">SUM(AP432:AP438)</f>
        <v>7973655.7693393249</v>
      </c>
      <c r="AQ439" s="520">
        <f t="shared" si="624"/>
        <v>9014778.3605936412</v>
      </c>
      <c r="AR439" s="520">
        <f t="shared" si="624"/>
        <v>11045768.884570701</v>
      </c>
      <c r="AS439" s="520">
        <f>SUM(AS432:AS438)</f>
        <v>12721509.436447</v>
      </c>
      <c r="AT439" s="2026">
        <f t="shared" si="624"/>
        <v>13272814.815786518</v>
      </c>
      <c r="AU439" s="520">
        <f>SUM(AU432:AU438)</f>
        <v>14214739.332212336</v>
      </c>
      <c r="AV439" s="520">
        <f>SUM(AV432:AV438)</f>
        <v>20358294.009828776</v>
      </c>
      <c r="AW439" s="520">
        <f t="shared" si="624"/>
        <v>24479598.886568822</v>
      </c>
      <c r="AX439" s="520">
        <f t="shared" si="624"/>
        <v>20336873.601222657</v>
      </c>
      <c r="AY439" s="2100">
        <f t="shared" si="624"/>
        <v>23303932.789331518</v>
      </c>
      <c r="AZ439" s="2289">
        <f t="shared" ref="AZ439:BZ439" si="625">SUM(AZ432:AZ438)</f>
        <v>31621378.893215604</v>
      </c>
      <c r="BA439" s="520">
        <f t="shared" si="625"/>
        <v>36299968.038208492</v>
      </c>
      <c r="BB439" s="520">
        <f t="shared" si="625"/>
        <v>43150591.373216078</v>
      </c>
      <c r="BC439" s="520">
        <f t="shared" si="625"/>
        <v>38015934.142534398</v>
      </c>
      <c r="BD439" s="520">
        <f t="shared" si="625"/>
        <v>39442600.132413551</v>
      </c>
      <c r="BE439" s="520">
        <f t="shared" si="625"/>
        <v>33553854.108535118</v>
      </c>
      <c r="BF439" s="520">
        <f t="shared" si="625"/>
        <v>29354212.086820386</v>
      </c>
      <c r="BG439" s="520">
        <f t="shared" si="625"/>
        <v>22595697.129462793</v>
      </c>
      <c r="BH439" s="520">
        <f t="shared" si="625"/>
        <v>28202477.585155066</v>
      </c>
      <c r="BI439" s="520">
        <f t="shared" si="625"/>
        <v>15025175.202266851</v>
      </c>
      <c r="BJ439" s="520">
        <f t="shared" si="625"/>
        <v>12436412.039377762</v>
      </c>
      <c r="BK439" s="2153">
        <f t="shared" si="625"/>
        <v>21606326.4645961</v>
      </c>
      <c r="BL439" s="2061">
        <f t="shared" si="625"/>
        <v>7387553.8148684539</v>
      </c>
      <c r="BM439" s="2061">
        <f t="shared" si="625"/>
        <v>4416723.2974947458</v>
      </c>
      <c r="BN439" s="2061">
        <f t="shared" si="625"/>
        <v>4042302.4902834594</v>
      </c>
      <c r="BO439" s="2061">
        <f t="shared" si="625"/>
        <v>1298125.2794066214</v>
      </c>
      <c r="BP439" s="2061">
        <f t="shared" si="625"/>
        <v>4405676.6521452796</v>
      </c>
      <c r="BQ439" s="2409">
        <f t="shared" si="625"/>
        <v>1702983.7078589122</v>
      </c>
      <c r="BR439" s="520">
        <f t="shared" si="625"/>
        <v>24951020.75366433</v>
      </c>
      <c r="BS439" s="520">
        <f t="shared" si="625"/>
        <v>477155.7183002964</v>
      </c>
      <c r="BT439" s="520">
        <f t="shared" si="625"/>
        <v>614483.63830950565</v>
      </c>
      <c r="BU439" s="520">
        <f t="shared" si="625"/>
        <v>54574.778669505715</v>
      </c>
      <c r="BV439" s="520">
        <f t="shared" si="625"/>
        <v>54574.778669505715</v>
      </c>
      <c r="BW439" s="520">
        <f t="shared" si="625"/>
        <v>54338508.370843053</v>
      </c>
      <c r="BX439" s="520">
        <f t="shared" si="625"/>
        <v>0</v>
      </c>
      <c r="BY439" s="520">
        <f t="shared" si="625"/>
        <v>0</v>
      </c>
      <c r="BZ439" s="520">
        <f t="shared" si="625"/>
        <v>83.460000000000008</v>
      </c>
      <c r="CA439" s="858">
        <f t="shared" ca="1" si="621"/>
        <v>611770359.82221711</v>
      </c>
      <c r="CB439" s="2387">
        <f ca="1">IF($AB439&lt;&gt;0,CA439/$AB439,"")</f>
        <v>0.97557649161367677</v>
      </c>
      <c r="CC439" s="901"/>
      <c r="CD439" s="902">
        <f>IF($W439&lt;&gt;0,(CE439)/$W439,"0,00%")</f>
        <v>-3.5356770464577114E-12</v>
      </c>
      <c r="CE439" s="903">
        <f>W439-AB439</f>
        <v>-2.2171735763549805E-3</v>
      </c>
      <c r="CF439" s="500"/>
      <c r="CG439" s="514"/>
      <c r="CH439" s="732"/>
      <c r="CI439" s="436"/>
      <c r="CJ439" s="436"/>
      <c r="CK439" s="436"/>
      <c r="CL439" s="329">
        <f t="shared" ca="1" si="551"/>
        <v>15315640.177782893</v>
      </c>
      <c r="CM439" s="330">
        <f t="shared" ca="1" si="552"/>
        <v>0</v>
      </c>
      <c r="CN439" s="331">
        <f t="shared" ca="1" si="517"/>
        <v>-461968841.81631583</v>
      </c>
      <c r="CO439" s="86"/>
      <c r="CP439" s="86">
        <f t="shared" si="579"/>
        <v>4300000</v>
      </c>
      <c r="CQ439" s="86"/>
      <c r="CR439" s="86"/>
      <c r="CS439" s="86"/>
      <c r="CT439" s="86"/>
      <c r="CU439" s="86"/>
      <c r="CV439" s="86"/>
      <c r="CW439" s="86"/>
      <c r="CX439" s="86"/>
      <c r="CY439" s="86"/>
      <c r="CZ439" s="86"/>
      <c r="DA439" s="86"/>
      <c r="DB439" s="1658">
        <f t="shared" ca="1" si="616"/>
        <v>627086000.00221705</v>
      </c>
      <c r="DC439" s="32"/>
      <c r="DD439" s="32"/>
      <c r="DF439" s="1658"/>
      <c r="DG439" s="35"/>
      <c r="DH439" s="35"/>
      <c r="EI439" s="1658"/>
    </row>
    <row r="440" spans="1:139" s="38" customFormat="1" ht="25.25" customHeight="1" thickBot="1">
      <c r="A440" s="2680">
        <v>5</v>
      </c>
      <c r="B440" s="2616"/>
      <c r="C440" s="119" t="s">
        <v>77</v>
      </c>
      <c r="D440" s="176"/>
      <c r="E440" s="156"/>
      <c r="F440" s="904"/>
      <c r="G440" s="905"/>
      <c r="H440" s="906"/>
      <c r="I440" s="907">
        <f>ROUND((I439),2)</f>
        <v>631386000</v>
      </c>
      <c r="J440" s="1797"/>
      <c r="K440" s="1798"/>
      <c r="L440" s="1799"/>
      <c r="M440" s="1800"/>
      <c r="N440" s="1800"/>
      <c r="O440" s="908">
        <f>ROUND((O439),2)</f>
        <v>627086000</v>
      </c>
      <c r="P440" s="909"/>
      <c r="Q440" s="909"/>
      <c r="R440" s="909"/>
      <c r="S440" s="910">
        <f>ROUND((S439),2)</f>
        <v>0</v>
      </c>
      <c r="T440" s="909"/>
      <c r="U440" s="910"/>
      <c r="V440" s="910"/>
      <c r="W440" s="911">
        <f>ROUND((W439),2)</f>
        <v>627086000</v>
      </c>
      <c r="X440" s="1801"/>
      <c r="Y440" s="912"/>
      <c r="Z440" s="1802"/>
      <c r="AA440" s="1802"/>
      <c r="AB440" s="911">
        <f>ROUND((AB439),2)</f>
        <v>627086000</v>
      </c>
      <c r="AC440" s="913"/>
      <c r="AD440" s="1479"/>
      <c r="AE440" s="914"/>
      <c r="AF440" s="915"/>
      <c r="AG440" s="916"/>
      <c r="AH440" s="917"/>
      <c r="AI440" s="918">
        <f>SUMIF($AM$10:$BZ$10,$AI$9,AM440:BZ440)</f>
        <v>15315640.18</v>
      </c>
      <c r="AJ440" s="919">
        <f>IF($AB440&lt;&gt;0,AI440/$AB440,"")</f>
        <v>2.4423508386409519E-2</v>
      </c>
      <c r="AK440" s="2193"/>
      <c r="AL440" s="920">
        <f>ROUND(AL428*AL486,2)</f>
        <v>0</v>
      </c>
      <c r="AM440" s="2290">
        <f>AM432</f>
        <v>6920447.8799999999</v>
      </c>
      <c r="AN440" s="2290">
        <f t="shared" ref="AN440:AY440" si="626">AN432</f>
        <v>1515449.79</v>
      </c>
      <c r="AO440" s="921">
        <f t="shared" si="626"/>
        <v>6879742.5099999998</v>
      </c>
      <c r="AP440" s="921">
        <f t="shared" si="626"/>
        <v>7973655.7693393249</v>
      </c>
      <c r="AQ440" s="921">
        <f t="shared" si="626"/>
        <v>9014778.3605936412</v>
      </c>
      <c r="AR440" s="921">
        <f t="shared" si="626"/>
        <v>11045768.884570701</v>
      </c>
      <c r="AS440" s="921">
        <f t="shared" si="626"/>
        <v>12721509.436447</v>
      </c>
      <c r="AT440" s="2040">
        <f t="shared" si="626"/>
        <v>13272814.815786518</v>
      </c>
      <c r="AU440" s="921">
        <f>AU432</f>
        <v>14214739.332212336</v>
      </c>
      <c r="AV440" s="921">
        <f t="shared" si="626"/>
        <v>20358294.009828776</v>
      </c>
      <c r="AW440" s="921">
        <f t="shared" si="626"/>
        <v>24479598.886568822</v>
      </c>
      <c r="AX440" s="921">
        <f t="shared" si="626"/>
        <v>20336873.601222657</v>
      </c>
      <c r="AY440" s="2243">
        <f t="shared" si="626"/>
        <v>23303932.789331518</v>
      </c>
      <c r="AZ440" s="2351">
        <f t="shared" ref="AZ440:BZ440" si="627">AZ432</f>
        <v>31621378.893215604</v>
      </c>
      <c r="BA440" s="921">
        <f t="shared" si="627"/>
        <v>36299968.038208492</v>
      </c>
      <c r="BB440" s="921">
        <f t="shared" si="627"/>
        <v>43150591.373216078</v>
      </c>
      <c r="BC440" s="921">
        <f t="shared" si="627"/>
        <v>38015934.142534398</v>
      </c>
      <c r="BD440" s="921">
        <f t="shared" si="627"/>
        <v>39442600.132413551</v>
      </c>
      <c r="BE440" s="921">
        <f t="shared" si="627"/>
        <v>33553854.108535118</v>
      </c>
      <c r="BF440" s="921">
        <f t="shared" si="627"/>
        <v>29354212.086820386</v>
      </c>
      <c r="BG440" s="921">
        <f t="shared" si="627"/>
        <v>22595697.129462793</v>
      </c>
      <c r="BH440" s="921">
        <f t="shared" si="627"/>
        <v>28202477.585155066</v>
      </c>
      <c r="BI440" s="921">
        <f t="shared" si="627"/>
        <v>15025175.202266851</v>
      </c>
      <c r="BJ440" s="921">
        <f t="shared" si="627"/>
        <v>12436412.039377762</v>
      </c>
      <c r="BK440" s="2154">
        <f t="shared" si="627"/>
        <v>21606326.4645961</v>
      </c>
      <c r="BL440" s="921">
        <f t="shared" si="627"/>
        <v>7387553.8148684539</v>
      </c>
      <c r="BM440" s="921">
        <f t="shared" si="627"/>
        <v>4416723.2974947458</v>
      </c>
      <c r="BN440" s="921">
        <f t="shared" si="627"/>
        <v>4042302.4902834594</v>
      </c>
      <c r="BO440" s="921">
        <f t="shared" si="627"/>
        <v>1298125.2794066214</v>
      </c>
      <c r="BP440" s="921">
        <f t="shared" si="627"/>
        <v>4405676.6521452796</v>
      </c>
      <c r="BQ440" s="2243">
        <f t="shared" si="627"/>
        <v>1702983.7078589122</v>
      </c>
      <c r="BR440" s="921">
        <f t="shared" si="627"/>
        <v>24951020.75366433</v>
      </c>
      <c r="BS440" s="921">
        <f t="shared" si="627"/>
        <v>477155.7183002964</v>
      </c>
      <c r="BT440" s="921">
        <f t="shared" si="627"/>
        <v>614483.63830950565</v>
      </c>
      <c r="BU440" s="921">
        <f t="shared" si="627"/>
        <v>54574.778669505715</v>
      </c>
      <c r="BV440" s="921">
        <f t="shared" si="627"/>
        <v>54574.778669505715</v>
      </c>
      <c r="BW440" s="921">
        <f t="shared" si="627"/>
        <v>54338508.370843053</v>
      </c>
      <c r="BX440" s="921">
        <f t="shared" si="627"/>
        <v>0</v>
      </c>
      <c r="BY440" s="921">
        <f t="shared" si="627"/>
        <v>0</v>
      </c>
      <c r="BZ440" s="921">
        <f t="shared" si="627"/>
        <v>83.460000000000008</v>
      </c>
      <c r="CA440" s="2445">
        <f ca="1">SUMIF($AM$10:$CA$10,$CA$9,AM440:BZ440)</f>
        <v>611770359.82221711</v>
      </c>
      <c r="CB440" s="2388">
        <f ca="1">IF($AB440&lt;&gt;0,CA440/$AB440,"")</f>
        <v>0.97557649161712601</v>
      </c>
      <c r="CC440" s="328"/>
      <c r="CD440" s="922">
        <f>IF($W440&lt;&gt;0,(CE440)/$W440,"0,00%")</f>
        <v>0</v>
      </c>
      <c r="CE440" s="758">
        <f>$AB440-$W440</f>
        <v>0</v>
      </c>
      <c r="CF440" s="435"/>
      <c r="CG440" s="700"/>
      <c r="CH440" s="732"/>
      <c r="CI440" s="436"/>
      <c r="CJ440" s="436"/>
      <c r="CK440" s="436"/>
      <c r="CL440" s="329">
        <f t="shared" ca="1" si="551"/>
        <v>15315640.177782893</v>
      </c>
      <c r="CM440" s="330">
        <f t="shared" ca="1" si="552"/>
        <v>2.2170543670654297E-3</v>
      </c>
      <c r="CN440" s="331">
        <f t="shared" ca="1" si="517"/>
        <v>-461968841.81631583</v>
      </c>
      <c r="CO440" s="86"/>
      <c r="CP440" s="86">
        <f t="shared" si="579"/>
        <v>4300000</v>
      </c>
      <c r="CQ440" s="86"/>
      <c r="CR440" s="86"/>
      <c r="CS440" s="86"/>
      <c r="CT440" s="86"/>
      <c r="CU440" s="86"/>
      <c r="CV440" s="86"/>
      <c r="CW440" s="86"/>
      <c r="CX440" s="86"/>
      <c r="CY440" s="86"/>
      <c r="CZ440" s="86"/>
      <c r="DA440" s="86"/>
      <c r="DB440" s="1658">
        <f t="shared" ca="1" si="616"/>
        <v>627086000.00221705</v>
      </c>
      <c r="DC440" s="1666">
        <f ca="1">DC428/1000+'[5]CASHFLOW 1.1102.00459 (2)'!$AT$25</f>
        <v>447271.46336675028</v>
      </c>
      <c r="DD440" s="1666"/>
      <c r="DF440" s="1658"/>
      <c r="EI440" s="1658"/>
    </row>
    <row r="441" spans="1:139" s="57" customFormat="1" ht="25.5" customHeight="1" thickBot="1">
      <c r="A441" s="2681">
        <v>6</v>
      </c>
      <c r="B441" s="2617"/>
      <c r="C441" s="102" t="s">
        <v>117</v>
      </c>
      <c r="D441" s="177"/>
      <c r="E441" s="923"/>
      <c r="F441" s="924"/>
      <c r="G441" s="925"/>
      <c r="H441" s="926"/>
      <c r="I441" s="927"/>
      <c r="J441" s="1803"/>
      <c r="K441" s="1804"/>
      <c r="L441" s="1805"/>
      <c r="M441" s="1806"/>
      <c r="N441" s="1806"/>
      <c r="O441" s="928">
        <v>0</v>
      </c>
      <c r="P441" s="929"/>
      <c r="Q441" s="929"/>
      <c r="R441" s="929"/>
      <c r="S441" s="930">
        <f>Q441*R441</f>
        <v>0</v>
      </c>
      <c r="T441" s="929"/>
      <c r="U441" s="1807"/>
      <c r="V441" s="1807"/>
      <c r="W441" s="931">
        <f>S441</f>
        <v>0</v>
      </c>
      <c r="X441" s="1808"/>
      <c r="Y441" s="1809"/>
      <c r="Z441" s="559"/>
      <c r="AA441" s="559"/>
      <c r="AB441" s="931"/>
      <c r="AC441" s="932"/>
      <c r="AD441" s="1484"/>
      <c r="AE441" s="933"/>
      <c r="AF441" s="934"/>
      <c r="AG441" s="935"/>
      <c r="AH441" s="936">
        <v>0</v>
      </c>
      <c r="AI441" s="782">
        <f>SUMIF($AM$10:$AY$10,$AI$9,AM441:AY441)</f>
        <v>0</v>
      </c>
      <c r="AJ441" s="937" t="str">
        <f>IF($AB441&lt;&gt;0,AI441/$AB441,"")</f>
        <v/>
      </c>
      <c r="AK441" s="2194"/>
      <c r="AL441" s="938"/>
      <c r="AM441" s="2291"/>
      <c r="AN441" s="2291"/>
      <c r="AO441" s="939"/>
      <c r="AP441" s="1342"/>
      <c r="AQ441" s="1341"/>
      <c r="AR441" s="726"/>
      <c r="AS441" s="940"/>
      <c r="AT441" s="2041"/>
      <c r="AU441" s="940"/>
      <c r="AV441" s="940"/>
      <c r="AW441" s="940"/>
      <c r="AX441" s="940"/>
      <c r="AY441" s="2244"/>
      <c r="AZ441" s="2352"/>
      <c r="BA441" s="941"/>
      <c r="BB441" s="941"/>
      <c r="BC441" s="941"/>
      <c r="BD441" s="941"/>
      <c r="BE441" s="941"/>
      <c r="BF441" s="941"/>
      <c r="BG441" s="941"/>
      <c r="BH441" s="942"/>
      <c r="BI441" s="943"/>
      <c r="BJ441" s="943"/>
      <c r="BK441" s="2155"/>
      <c r="BL441" s="943"/>
      <c r="BM441" s="943"/>
      <c r="BN441" s="943"/>
      <c r="BO441" s="943"/>
      <c r="BP441" s="943"/>
      <c r="BQ441" s="2491"/>
      <c r="BR441" s="943"/>
      <c r="BS441" s="943"/>
      <c r="BT441" s="943"/>
      <c r="BU441" s="944"/>
      <c r="BV441" s="944"/>
      <c r="BW441" s="2374"/>
      <c r="BX441" s="2476"/>
      <c r="BY441" s="2559"/>
      <c r="BZ441" s="2559"/>
      <c r="CA441" s="2446">
        <f>SUMIF($AM$10:$AY$10,$CA$9,AM441:AY441)</f>
        <v>0</v>
      </c>
      <c r="CB441" s="2389" t="str">
        <f>IF($AB441&lt;&gt;0,CA441/$AB441,"")</f>
        <v/>
      </c>
      <c r="CC441" s="945"/>
      <c r="CD441" s="946" t="str">
        <f>IF($W441&lt;&gt;0,(CE441)/$W441,"0,00%")</f>
        <v>0,00%</v>
      </c>
      <c r="CE441" s="947">
        <f>$AB441-$W441</f>
        <v>0</v>
      </c>
      <c r="CF441" s="948"/>
      <c r="CG441" s="949"/>
      <c r="CH441" s="732"/>
      <c r="CI441" s="436"/>
      <c r="CJ441" s="436"/>
      <c r="CK441" s="436"/>
      <c r="CL441" s="329">
        <f t="shared" si="551"/>
        <v>0</v>
      </c>
      <c r="CM441" s="330">
        <f t="shared" si="552"/>
        <v>0</v>
      </c>
      <c r="CN441" s="331">
        <f t="shared" si="517"/>
        <v>0</v>
      </c>
      <c r="CO441" s="86"/>
      <c r="CP441" s="86">
        <f t="shared" si="579"/>
        <v>0</v>
      </c>
      <c r="CQ441" s="86"/>
      <c r="CR441" s="86"/>
      <c r="CS441" s="86"/>
      <c r="CT441" s="86"/>
      <c r="CU441" s="86"/>
      <c r="CV441" s="86"/>
      <c r="CW441" s="86"/>
      <c r="CX441" s="86"/>
      <c r="CY441" s="86"/>
      <c r="CZ441" s="86"/>
      <c r="DA441" s="86"/>
      <c r="DB441" s="1658"/>
      <c r="DC441" s="1667">
        <f ca="1">DB428/1000+'[5]CASHFLOW 1.1102.00459 (2)'!$AT$26</f>
        <v>425640.09474608081</v>
      </c>
      <c r="DD441" s="1667"/>
      <c r="DF441" s="1658"/>
      <c r="EI441" s="1658"/>
    </row>
    <row r="442" spans="1:139" s="33" customFormat="1" ht="25.25" customHeight="1" thickBot="1">
      <c r="A442" s="2674">
        <v>7</v>
      </c>
      <c r="B442" s="2618"/>
      <c r="C442" s="119" t="s">
        <v>72</v>
      </c>
      <c r="D442" s="176" t="s">
        <v>246</v>
      </c>
      <c r="E442" s="950"/>
      <c r="F442" s="951"/>
      <c r="G442" s="952"/>
      <c r="H442" s="953"/>
      <c r="I442" s="954">
        <f>ROUND((I440+I441),2)</f>
        <v>631386000</v>
      </c>
      <c r="J442" s="1810"/>
      <c r="K442" s="1811"/>
      <c r="L442" s="1812"/>
      <c r="M442" s="1813"/>
      <c r="N442" s="1813"/>
      <c r="O442" s="955">
        <f>ROUND((O440+O441),2)</f>
        <v>627086000</v>
      </c>
      <c r="P442" s="909"/>
      <c r="Q442" s="909"/>
      <c r="R442" s="909"/>
      <c r="S442" s="956">
        <f>ROUND((S440+S441),2)</f>
        <v>0</v>
      </c>
      <c r="T442" s="909"/>
      <c r="U442" s="910"/>
      <c r="V442" s="910"/>
      <c r="W442" s="957">
        <f>ROUND((W440+W441),2)</f>
        <v>627086000</v>
      </c>
      <c r="X442" s="1814"/>
      <c r="Y442" s="909"/>
      <c r="Z442" s="910"/>
      <c r="AA442" s="910"/>
      <c r="AB442" s="957">
        <f>ROUND((AB440+AB441),2)</f>
        <v>627086000</v>
      </c>
      <c r="AC442" s="958"/>
      <c r="AD442" s="1485"/>
      <c r="AE442" s="959"/>
      <c r="AF442" s="960"/>
      <c r="AG442" s="961"/>
      <c r="AH442" s="962">
        <f>ROUND((AH441),2)</f>
        <v>0</v>
      </c>
      <c r="AI442" s="918">
        <f>SUMIF($AM$10:$AY$10,$AI$9,AM442:BZ442)</f>
        <v>15315640.18</v>
      </c>
      <c r="AJ442" s="963">
        <f>IF($AB442&lt;&gt;0,AI442/$AB442,"")</f>
        <v>2.4423508386409519E-2</v>
      </c>
      <c r="AK442" s="2195"/>
      <c r="AL442" s="964">
        <f>ROUND((IF(AL428=0,0,IF(SUM(AL428:$AL428,AL463:$AL463),($W$442/SUM($AB428,$AB463)*SUM(AL428:$AL428,AL463:$AL463)-SUM(AI442:$AI442))))),2)</f>
        <v>0</v>
      </c>
      <c r="AM442" s="2290">
        <f>AM440+AM441</f>
        <v>6920447.8799999999</v>
      </c>
      <c r="AN442" s="2290">
        <f>AN440+AN441</f>
        <v>1515449.79</v>
      </c>
      <c r="AO442" s="755">
        <f t="shared" ref="AO442:AY442" si="628">AO440+AO441</f>
        <v>6879742.5099999998</v>
      </c>
      <c r="AP442" s="755">
        <f t="shared" si="628"/>
        <v>7973655.7693393249</v>
      </c>
      <c r="AQ442" s="755">
        <f t="shared" si="628"/>
        <v>9014778.3605936412</v>
      </c>
      <c r="AR442" s="755">
        <f t="shared" si="628"/>
        <v>11045768.884570701</v>
      </c>
      <c r="AS442" s="755">
        <f t="shared" si="628"/>
        <v>12721509.436447</v>
      </c>
      <c r="AT442" s="2042">
        <f t="shared" si="628"/>
        <v>13272814.815786518</v>
      </c>
      <c r="AU442" s="755">
        <f>AU440+AU441</f>
        <v>14214739.332212336</v>
      </c>
      <c r="AV442" s="755">
        <f>AV440+AV441</f>
        <v>20358294.009828776</v>
      </c>
      <c r="AW442" s="755">
        <f t="shared" si="628"/>
        <v>24479598.886568822</v>
      </c>
      <c r="AX442" s="755">
        <f t="shared" si="628"/>
        <v>20336873.601222657</v>
      </c>
      <c r="AY442" s="920">
        <f t="shared" si="628"/>
        <v>23303932.789331518</v>
      </c>
      <c r="AZ442" s="2353">
        <f t="shared" ref="AZ442:BZ442" si="629">AZ440+AZ441</f>
        <v>31621378.893215604</v>
      </c>
      <c r="BA442" s="755">
        <f t="shared" si="629"/>
        <v>36299968.038208492</v>
      </c>
      <c r="BB442" s="755">
        <f t="shared" si="629"/>
        <v>43150591.373216078</v>
      </c>
      <c r="BC442" s="755">
        <f t="shared" si="629"/>
        <v>38015934.142534398</v>
      </c>
      <c r="BD442" s="755">
        <f t="shared" si="629"/>
        <v>39442600.132413551</v>
      </c>
      <c r="BE442" s="755">
        <f t="shared" si="629"/>
        <v>33553854.108535118</v>
      </c>
      <c r="BF442" s="755">
        <f t="shared" si="629"/>
        <v>29354212.086820386</v>
      </c>
      <c r="BG442" s="755">
        <f t="shared" si="629"/>
        <v>22595697.129462793</v>
      </c>
      <c r="BH442" s="755">
        <f t="shared" si="629"/>
        <v>28202477.585155066</v>
      </c>
      <c r="BI442" s="755">
        <f t="shared" si="629"/>
        <v>15025175.202266851</v>
      </c>
      <c r="BJ442" s="1918">
        <f t="shared" si="629"/>
        <v>12436412.039377762</v>
      </c>
      <c r="BK442" s="2156">
        <f t="shared" si="629"/>
        <v>21606326.4645961</v>
      </c>
      <c r="BL442" s="755">
        <f t="shared" si="629"/>
        <v>7387553.8148684539</v>
      </c>
      <c r="BM442" s="755">
        <f t="shared" si="629"/>
        <v>4416723.2974947458</v>
      </c>
      <c r="BN442" s="755">
        <f t="shared" si="629"/>
        <v>4042302.4902834594</v>
      </c>
      <c r="BO442" s="755">
        <f t="shared" si="629"/>
        <v>1298125.2794066214</v>
      </c>
      <c r="BP442" s="755">
        <f t="shared" si="629"/>
        <v>4405676.6521452796</v>
      </c>
      <c r="BQ442" s="920">
        <f t="shared" si="629"/>
        <v>1702983.7078589122</v>
      </c>
      <c r="BR442" s="755">
        <f>BR440+BR441</f>
        <v>24951020.75366433</v>
      </c>
      <c r="BS442" s="755">
        <f>BS440+BS441</f>
        <v>477155.7183002964</v>
      </c>
      <c r="BT442" s="755">
        <f t="shared" si="629"/>
        <v>614483.63830950565</v>
      </c>
      <c r="BU442" s="755">
        <f t="shared" si="629"/>
        <v>54574.778669505715</v>
      </c>
      <c r="BV442" s="755">
        <f t="shared" si="629"/>
        <v>54574.778669505715</v>
      </c>
      <c r="BW442" s="755">
        <f t="shared" si="629"/>
        <v>54338508.370843053</v>
      </c>
      <c r="BX442" s="755">
        <f t="shared" si="629"/>
        <v>0</v>
      </c>
      <c r="BY442" s="755">
        <f t="shared" si="629"/>
        <v>0</v>
      </c>
      <c r="BZ442" s="755">
        <f t="shared" si="629"/>
        <v>83.460000000000008</v>
      </c>
      <c r="CA442" s="2447">
        <f ca="1">SUMIF($AM$10:$CA$10,$CA$9,AM442:BZ442)</f>
        <v>611770359.82221711</v>
      </c>
      <c r="CB442" s="2390">
        <f ca="1">IF($AB442&lt;&gt;0,CA442/$AB442,"")</f>
        <v>0.97557649161712601</v>
      </c>
      <c r="CC442" s="328"/>
      <c r="CD442" s="965">
        <f>IF($W442&lt;&gt;0,(CE442)/$W442,"0,00%")</f>
        <v>0</v>
      </c>
      <c r="CE442" s="966">
        <f>$AB442-$W442</f>
        <v>0</v>
      </c>
      <c r="CF442" s="435"/>
      <c r="CG442" s="436"/>
      <c r="CH442" s="732"/>
      <c r="CI442" s="436"/>
      <c r="CJ442" s="436"/>
      <c r="CK442" s="436"/>
      <c r="CL442" s="329">
        <f t="shared" ca="1" si="551"/>
        <v>15315640.177782893</v>
      </c>
      <c r="CM442" s="330">
        <f t="shared" ca="1" si="552"/>
        <v>2.2170543670654297E-3</v>
      </c>
      <c r="CN442" s="331">
        <f t="shared" ca="1" si="517"/>
        <v>-461968841.81631583</v>
      </c>
      <c r="CO442" s="86"/>
      <c r="CP442" s="86">
        <f t="shared" si="579"/>
        <v>4300000</v>
      </c>
      <c r="CQ442" s="86"/>
      <c r="CR442" s="86"/>
      <c r="CS442" s="86"/>
      <c r="CT442" s="86"/>
      <c r="CU442" s="86"/>
      <c r="CV442" s="86"/>
      <c r="CW442" s="86"/>
      <c r="CX442" s="86"/>
      <c r="CY442" s="86"/>
      <c r="CZ442" s="86"/>
      <c r="DA442" s="86"/>
      <c r="DB442" s="1658">
        <f ca="1">CA442+AI442</f>
        <v>627086000.00221705</v>
      </c>
      <c r="DC442" s="1658"/>
      <c r="DD442" s="1658"/>
      <c r="DF442" s="1658"/>
      <c r="EI442" s="1658"/>
    </row>
    <row r="443" spans="1:139" s="33" customFormat="1" ht="25.25" customHeight="1">
      <c r="A443" s="1209"/>
      <c r="B443" s="967"/>
      <c r="C443" s="120"/>
      <c r="D443" s="120"/>
      <c r="E443" s="968"/>
      <c r="F443" s="969"/>
      <c r="G443" s="969"/>
      <c r="H443" s="969"/>
      <c r="I443" s="970">
        <f>W283-AB283</f>
        <v>8.7964534759521484E-3</v>
      </c>
      <c r="J443" s="1815"/>
      <c r="K443" s="1815"/>
      <c r="L443" s="1816"/>
      <c r="M443" s="1817"/>
      <c r="N443" s="1817"/>
      <c r="O443" s="971"/>
      <c r="P443" s="972"/>
      <c r="Q443" s="972"/>
      <c r="R443" s="972"/>
      <c r="S443" s="1818"/>
      <c r="T443" s="1819"/>
      <c r="U443" s="1819"/>
      <c r="V443" s="1819"/>
      <c r="W443" s="973">
        <f>W440-AB440</f>
        <v>0</v>
      </c>
      <c r="X443" s="1819"/>
      <c r="Y443" s="1819"/>
      <c r="Z443" s="1819"/>
      <c r="AA443" s="1819"/>
      <c r="AB443" s="1820"/>
      <c r="AC443" s="2830"/>
      <c r="AD443" s="1486"/>
      <c r="AE443" s="974"/>
      <c r="AF443" s="975"/>
      <c r="AG443" s="975"/>
      <c r="AH443" s="976">
        <f>AB428-W428</f>
        <v>22066237.713080764</v>
      </c>
      <c r="AI443" s="977"/>
      <c r="AJ443" s="978"/>
      <c r="AK443" s="978"/>
      <c r="AL443" s="978"/>
      <c r="AM443" s="2292"/>
      <c r="AN443" s="2292"/>
      <c r="AO443" s="980"/>
      <c r="AP443" s="980"/>
      <c r="AQ443" s="980"/>
      <c r="AR443" s="981"/>
      <c r="AU443" s="982"/>
      <c r="AV443" s="982"/>
      <c r="AW443" s="979"/>
      <c r="AX443" s="1919" t="s">
        <v>550</v>
      </c>
      <c r="AY443" s="1920">
        <f>SUM(AN442:AY442)</f>
        <v>165117158.18590131</v>
      </c>
      <c r="AZ443" s="2354"/>
      <c r="BA443" s="979"/>
      <c r="BB443" s="979"/>
      <c r="BC443" s="979"/>
      <c r="BD443" s="979"/>
      <c r="BE443" s="979"/>
      <c r="BF443" s="979"/>
      <c r="BG443" s="979"/>
      <c r="BH443" s="983"/>
      <c r="BI443" s="983"/>
      <c r="BJ443" s="1920" t="s">
        <v>551</v>
      </c>
      <c r="BK443" s="2157">
        <f>SUM(AZ442:BK442)</f>
        <v>351304627.19580221</v>
      </c>
      <c r="BL443" s="983"/>
      <c r="BM443" s="983"/>
      <c r="BN443" s="983"/>
      <c r="BO443" s="983"/>
      <c r="BP443" s="983"/>
      <c r="BQ443" s="983"/>
      <c r="BR443" s="983"/>
      <c r="BS443" s="983"/>
      <c r="BT443" s="983"/>
      <c r="BU443" s="983"/>
      <c r="BV443" s="1920" t="s">
        <v>552</v>
      </c>
      <c r="BW443" s="1920">
        <f>SUM(BL442:BW442)</f>
        <v>103743683.28051367</v>
      </c>
      <c r="BX443" s="1920">
        <f>BX442</f>
        <v>0</v>
      </c>
      <c r="BY443" s="2448"/>
      <c r="BZ443" s="2448"/>
      <c r="CA443" s="2448"/>
      <c r="CB443" s="984"/>
      <c r="CC443" s="436"/>
      <c r="CD443" s="730"/>
      <c r="CE443" s="731"/>
      <c r="CF443" s="731"/>
      <c r="CG443" s="436"/>
      <c r="CH443" s="732"/>
      <c r="CI443" s="436"/>
      <c r="CJ443" s="436"/>
      <c r="CK443" s="436"/>
      <c r="CL443" s="329">
        <f t="shared" si="551"/>
        <v>0</v>
      </c>
      <c r="CM443" s="330">
        <f t="shared" si="552"/>
        <v>0</v>
      </c>
      <c r="CN443" s="331">
        <f t="shared" si="517"/>
        <v>165117158.18590131</v>
      </c>
      <c r="CO443" s="86"/>
      <c r="CP443" s="86">
        <f t="shared" si="579"/>
        <v>8.7964534759521484E-3</v>
      </c>
      <c r="CQ443" s="86"/>
      <c r="CR443" s="86"/>
      <c r="CS443" s="86"/>
      <c r="CT443" s="86"/>
      <c r="CU443" s="86"/>
      <c r="CV443" s="86"/>
      <c r="CW443" s="86"/>
      <c r="CX443" s="86"/>
      <c r="CY443" s="86"/>
      <c r="CZ443" s="86"/>
      <c r="DA443" s="86"/>
      <c r="DB443" s="1658"/>
      <c r="DC443" s="1658"/>
      <c r="DD443" s="1658"/>
      <c r="DF443" s="1658"/>
    </row>
    <row r="444" spans="1:139" s="44" customFormat="1" ht="25.25" customHeight="1" thickBot="1">
      <c r="A444" s="985" t="s">
        <v>79</v>
      </c>
      <c r="B444" s="985"/>
      <c r="C444" s="121"/>
      <c r="D444" s="121"/>
      <c r="E444" s="986"/>
      <c r="F444" s="985"/>
      <c r="G444" s="987"/>
      <c r="H444" s="985"/>
      <c r="I444" s="988"/>
      <c r="J444" s="989"/>
      <c r="K444" s="1821"/>
      <c r="L444" s="1822"/>
      <c r="M444" s="988"/>
      <c r="N444" s="988"/>
      <c r="O444" s="990">
        <f>W428-AB428</f>
        <v>-22066237.713080764</v>
      </c>
      <c r="P444" s="991"/>
      <c r="Q444" s="991"/>
      <c r="R444" s="991"/>
      <c r="S444" s="992"/>
      <c r="T444" s="993"/>
      <c r="U444" s="993"/>
      <c r="V444" s="993"/>
      <c r="W444" s="992"/>
      <c r="X444" s="993"/>
      <c r="Y444" s="993"/>
      <c r="Z444" s="993"/>
      <c r="AA444" s="993"/>
      <c r="AB444" s="994"/>
      <c r="AC444" s="974"/>
      <c r="AD444" s="1486"/>
      <c r="AE444" s="974"/>
      <c r="AF444" s="995"/>
      <c r="AG444" s="995"/>
      <c r="AH444" s="996">
        <f>W441-AB441</f>
        <v>0</v>
      </c>
      <c r="AI444" s="997"/>
      <c r="AJ444" s="997"/>
      <c r="AK444" s="997"/>
      <c r="AL444" s="997"/>
      <c r="AM444" s="2293"/>
      <c r="AN444" s="2293"/>
      <c r="AO444" s="998"/>
      <c r="AP444" s="998"/>
      <c r="AQ444" s="998"/>
      <c r="AR444" s="998"/>
      <c r="AS444" s="998"/>
      <c r="AT444" s="998"/>
      <c r="AU444" s="998"/>
      <c r="AV444" s="998"/>
      <c r="AW444" s="998"/>
      <c r="AX444" s="998"/>
      <c r="AY444" s="999"/>
      <c r="AZ444" s="2293"/>
      <c r="BA444" s="998"/>
      <c r="BB444" s="998"/>
      <c r="BC444" s="998"/>
      <c r="BD444" s="998"/>
      <c r="BE444" s="998"/>
      <c r="BF444" s="998"/>
      <c r="BG444" s="998"/>
      <c r="BH444" s="998"/>
      <c r="BI444" s="998"/>
      <c r="BJ444" s="998"/>
      <c r="BK444" s="2158"/>
      <c r="BL444" s="998"/>
      <c r="BM444" s="998"/>
      <c r="BN444" s="998"/>
      <c r="BO444" s="998"/>
      <c r="BP444" s="998"/>
      <c r="BQ444" s="998"/>
      <c r="BR444" s="998"/>
      <c r="BS444" s="998"/>
      <c r="BT444" s="998"/>
      <c r="BU444" s="998"/>
      <c r="BV444" s="998"/>
      <c r="BW444" s="998"/>
      <c r="BX444" s="2421"/>
      <c r="BY444" s="2560"/>
      <c r="BZ444" s="2560"/>
      <c r="CA444" s="2449"/>
      <c r="CB444" s="997"/>
      <c r="CC444" s="1000"/>
      <c r="CD444" s="1001"/>
      <c r="CE444" s="1002"/>
      <c r="CF444" s="1002"/>
      <c r="CG444" s="1000"/>
      <c r="CH444" s="1003"/>
      <c r="CI444" s="1000"/>
      <c r="CJ444" s="1000"/>
      <c r="CK444" s="1000"/>
      <c r="CL444" s="329">
        <f t="shared" si="551"/>
        <v>-22066237.713080764</v>
      </c>
      <c r="CM444" s="330">
        <f t="shared" si="552"/>
        <v>0</v>
      </c>
      <c r="CN444" s="331">
        <f t="shared" si="517"/>
        <v>0</v>
      </c>
      <c r="CO444" s="86"/>
      <c r="CP444" s="86">
        <f t="shared" si="579"/>
        <v>22066237.713080764</v>
      </c>
      <c r="CQ444" s="86"/>
      <c r="CR444" s="86"/>
      <c r="CS444" s="86"/>
      <c r="CT444" s="86"/>
      <c r="CU444" s="86"/>
      <c r="CV444" s="86"/>
      <c r="CW444" s="86"/>
      <c r="CX444" s="86"/>
      <c r="CY444" s="86"/>
      <c r="CZ444" s="86"/>
      <c r="DA444" s="86"/>
      <c r="DB444" s="1658"/>
      <c r="DC444" s="1668"/>
      <c r="DD444" s="1668"/>
      <c r="DF444" s="1658"/>
    </row>
    <row r="445" spans="1:139" s="33" customFormat="1" ht="25.25" customHeight="1" thickBot="1">
      <c r="A445" s="2682">
        <v>8</v>
      </c>
      <c r="B445" s="1004"/>
      <c r="C445" s="122" t="s">
        <v>75</v>
      </c>
      <c r="D445" s="178"/>
      <c r="E445" s="143"/>
      <c r="F445" s="1005"/>
      <c r="G445" s="1006"/>
      <c r="H445" s="1005"/>
      <c r="I445" s="1007"/>
      <c r="J445" s="1823"/>
      <c r="K445" s="1824"/>
      <c r="L445" s="1825"/>
      <c r="M445" s="1826"/>
      <c r="N445" s="1826"/>
      <c r="O445" s="1008"/>
      <c r="P445" s="1009"/>
      <c r="Q445" s="1009"/>
      <c r="R445" s="1009"/>
      <c r="S445" s="1010"/>
      <c r="T445" s="1009"/>
      <c r="U445" s="1827"/>
      <c r="V445" s="1827"/>
      <c r="W445" s="1010"/>
      <c r="X445" s="1828"/>
      <c r="Y445" s="1009"/>
      <c r="Z445" s="1827"/>
      <c r="AA445" s="1827"/>
      <c r="AB445" s="1011">
        <f>SUM(AN445:BX445)</f>
        <v>0</v>
      </c>
      <c r="AC445" s="1012"/>
      <c r="AD445" s="1487"/>
      <c r="AE445" s="1012"/>
      <c r="AF445" s="1013"/>
      <c r="AG445" s="1014"/>
      <c r="AH445" s="1015"/>
      <c r="AI445" s="1016">
        <f>SUMIF($AM$10:$BZ$10,$AI$9,AM445:BZ445)</f>
        <v>0</v>
      </c>
      <c r="AJ445" s="1017"/>
      <c r="AK445" s="1018"/>
      <c r="AL445" s="1018"/>
      <c r="AM445" s="2294"/>
      <c r="AN445" s="2294"/>
      <c r="AO445" s="1020"/>
      <c r="AP445" s="1021"/>
      <c r="AQ445" s="1020"/>
      <c r="AR445" s="1019"/>
      <c r="AS445" s="1019"/>
      <c r="AT445" s="1019"/>
      <c r="AU445" s="1019"/>
      <c r="AV445" s="1019"/>
      <c r="AW445" s="1019"/>
      <c r="AX445" s="1019"/>
      <c r="AY445" s="1022"/>
      <c r="AZ445" s="2355"/>
      <c r="BA445" s="1023"/>
      <c r="BB445" s="1023"/>
      <c r="BC445" s="1023"/>
      <c r="BD445" s="1023"/>
      <c r="BE445" s="1023"/>
      <c r="BF445" s="1023"/>
      <c r="BG445" s="1024"/>
      <c r="BH445" s="1019"/>
      <c r="BI445" s="1023"/>
      <c r="BJ445" s="1023"/>
      <c r="BK445" s="2159"/>
      <c r="BL445" s="1023"/>
      <c r="BM445" s="1023"/>
      <c r="BN445" s="1023"/>
      <c r="BO445" s="1023"/>
      <c r="BP445" s="1023"/>
      <c r="BQ445" s="1023"/>
      <c r="BR445" s="1023"/>
      <c r="BS445" s="1023"/>
      <c r="BT445" s="1023"/>
      <c r="BU445" s="1025"/>
      <c r="BV445" s="1025"/>
      <c r="BW445" s="1025"/>
      <c r="BX445" s="2477"/>
      <c r="BY445" s="2561"/>
      <c r="BZ445" s="2561"/>
      <c r="CA445" s="2450">
        <f>SUMIF($AN$10:$AY$10,$CA$9,AN445:BX445)</f>
        <v>0</v>
      </c>
      <c r="CB445" s="1026" t="str">
        <f>IF($AB445&lt;&gt;0,CA445/$AB445,"")</f>
        <v/>
      </c>
      <c r="CC445" s="436"/>
      <c r="CD445" s="730"/>
      <c r="CE445" s="731"/>
      <c r="CF445" s="731"/>
      <c r="CG445" s="436"/>
      <c r="CH445" s="732"/>
      <c r="CI445" s="436"/>
      <c r="CJ445" s="436"/>
      <c r="CK445" s="436"/>
      <c r="CL445" s="329">
        <f t="shared" si="551"/>
        <v>0</v>
      </c>
      <c r="CM445" s="330">
        <f t="shared" si="552"/>
        <v>0</v>
      </c>
      <c r="CN445" s="331">
        <f t="shared" si="517"/>
        <v>0</v>
      </c>
      <c r="CO445" s="86"/>
      <c r="CP445" s="86">
        <f t="shared" si="579"/>
        <v>0</v>
      </c>
      <c r="CQ445" s="86"/>
      <c r="CR445" s="86"/>
      <c r="CS445" s="86"/>
      <c r="CT445" s="86"/>
      <c r="CU445" s="86"/>
      <c r="CV445" s="86"/>
      <c r="CW445" s="86"/>
      <c r="CX445" s="86"/>
      <c r="CY445" s="86"/>
      <c r="CZ445" s="86"/>
      <c r="DA445" s="86"/>
      <c r="DB445" s="1658"/>
      <c r="DC445" s="1658"/>
      <c r="DD445" s="1658"/>
      <c r="DF445" s="1658"/>
    </row>
    <row r="446" spans="1:139" s="33" customFormat="1" ht="25.25" customHeight="1" thickBot="1">
      <c r="A446" s="2683">
        <v>9</v>
      </c>
      <c r="B446" s="1027"/>
      <c r="C446" s="104" t="s">
        <v>98</v>
      </c>
      <c r="D446" s="179"/>
      <c r="E446" s="144"/>
      <c r="F446" s="1028"/>
      <c r="G446" s="1029"/>
      <c r="H446" s="1028"/>
      <c r="I446" s="1030">
        <f>ROUND((I429),2)</f>
        <v>85237132.849999994</v>
      </c>
      <c r="J446" s="1829"/>
      <c r="K446" s="1830"/>
      <c r="L446" s="1831"/>
      <c r="M446" s="1832"/>
      <c r="N446" s="1832"/>
      <c r="O446" s="1031">
        <f ca="1">ROUND((O429),2)</f>
        <v>85237132.849999994</v>
      </c>
      <c r="P446" s="1032"/>
      <c r="Q446" s="1032"/>
      <c r="R446" s="1032"/>
      <c r="S446" s="1033">
        <f>ROUND((S429),2)</f>
        <v>0</v>
      </c>
      <c r="T446" s="1032"/>
      <c r="U446" s="1833"/>
      <c r="V446" s="1833"/>
      <c r="W446" s="1033">
        <f>W442-W428</f>
        <v>85237132.850000024</v>
      </c>
      <c r="X446" s="1834"/>
      <c r="Y446" s="1032"/>
      <c r="Z446" s="1833"/>
      <c r="AA446" s="1833"/>
      <c r="AB446" s="1034">
        <f>ROUND((AB429),2)</f>
        <v>63170895.140000001</v>
      </c>
      <c r="AC446" s="1035"/>
      <c r="AD446" s="1488"/>
      <c r="AE446" s="1035"/>
      <c r="AF446" s="1036"/>
      <c r="AG446" s="1037"/>
      <c r="AH446" s="1038">
        <f>ROUND((AH429),2)</f>
        <v>0</v>
      </c>
      <c r="AI446" s="918">
        <f>SUMIF($AM$10:$BZ$10,$AI$9,AM446:BZ446)</f>
        <v>1541473.01</v>
      </c>
      <c r="AJ446" s="1039">
        <f>IF($AB446&lt;&gt;0,AI446/$AB446,"")</f>
        <v>2.4401633166409489E-2</v>
      </c>
      <c r="AK446" s="1040"/>
      <c r="AL446" s="1040"/>
      <c r="AM446" s="2290">
        <f>ROUND((AM429),2)</f>
        <v>692044.79</v>
      </c>
      <c r="AN446" s="2290">
        <f>ROUND((AN429),2)</f>
        <v>516478.77</v>
      </c>
      <c r="AO446" s="1041">
        <f t="shared" ref="AO446:AY446" si="630">ROUND((AO429),2)</f>
        <v>332949.45</v>
      </c>
      <c r="AP446" s="1041">
        <f t="shared" si="630"/>
        <v>797364.86</v>
      </c>
      <c r="AQ446" s="1041">
        <f t="shared" si="630"/>
        <v>901477.02</v>
      </c>
      <c r="AR446" s="1041">
        <f t="shared" si="630"/>
        <v>1104575.8899999999</v>
      </c>
      <c r="AS446" s="1041">
        <f t="shared" si="630"/>
        <v>1272149.8</v>
      </c>
      <c r="AT446" s="1041">
        <f>ROUND((AT429),2)</f>
        <v>1327280.29</v>
      </c>
      <c r="AU446" s="1041">
        <f t="shared" si="630"/>
        <v>1421472.65</v>
      </c>
      <c r="AV446" s="1041">
        <f t="shared" si="630"/>
        <v>2035827.57</v>
      </c>
      <c r="AW446" s="1041">
        <f t="shared" si="630"/>
        <v>2447957.69</v>
      </c>
      <c r="AX446" s="1041">
        <f t="shared" si="630"/>
        <v>2033685.53</v>
      </c>
      <c r="AY446" s="1042">
        <f t="shared" si="630"/>
        <v>2330391.1800000002</v>
      </c>
      <c r="AZ446" s="2290">
        <f t="shared" ref="AZ446:BY446" si="631">ROUND((AZ429),2)</f>
        <v>3162135.04</v>
      </c>
      <c r="BA446" s="1041">
        <f t="shared" si="631"/>
        <v>3629993.54</v>
      </c>
      <c r="BB446" s="1041">
        <f t="shared" si="631"/>
        <v>4315055.25</v>
      </c>
      <c r="BC446" s="1041">
        <f t="shared" si="631"/>
        <v>3801589.99</v>
      </c>
      <c r="BD446" s="1041">
        <f t="shared" si="631"/>
        <v>3944256.46</v>
      </c>
      <c r="BE446" s="1041">
        <f t="shared" si="631"/>
        <v>3355382.39</v>
      </c>
      <c r="BF446" s="1041">
        <f t="shared" si="631"/>
        <v>2935418.57</v>
      </c>
      <c r="BG446" s="1043">
        <f t="shared" si="631"/>
        <v>2259567.6800000002</v>
      </c>
      <c r="BH446" s="1041">
        <f t="shared" si="631"/>
        <v>2820245.22</v>
      </c>
      <c r="BI446" s="1041">
        <f t="shared" si="631"/>
        <v>1502516.17</v>
      </c>
      <c r="BJ446" s="1041">
        <f t="shared" si="631"/>
        <v>1243640.08</v>
      </c>
      <c r="BK446" s="2160">
        <f t="shared" si="631"/>
        <v>2160630.7000000002</v>
      </c>
      <c r="BL446" s="1511">
        <f t="shared" si="631"/>
        <v>738754.72</v>
      </c>
      <c r="BM446" s="1511">
        <f t="shared" si="631"/>
        <v>441671.93</v>
      </c>
      <c r="BN446" s="1511">
        <f t="shared" si="631"/>
        <v>404229.89</v>
      </c>
      <c r="BO446" s="1511">
        <f t="shared" si="631"/>
        <v>129812.41</v>
      </c>
      <c r="BP446" s="1511">
        <f t="shared" si="631"/>
        <v>440567.27</v>
      </c>
      <c r="BQ446" s="2410">
        <f t="shared" si="631"/>
        <v>170298.22</v>
      </c>
      <c r="BR446" s="1041">
        <f t="shared" si="631"/>
        <v>2495099.83</v>
      </c>
      <c r="BS446" s="1041">
        <f t="shared" si="631"/>
        <v>47715.53</v>
      </c>
      <c r="BT446" s="1041">
        <f t="shared" si="631"/>
        <v>362126.33</v>
      </c>
      <c r="BU446" s="1041">
        <f t="shared" si="631"/>
        <v>5457.47</v>
      </c>
      <c r="BV446" s="1041">
        <f t="shared" si="631"/>
        <v>5457.47</v>
      </c>
      <c r="BW446" s="1041">
        <f t="shared" si="631"/>
        <v>5898953.0199999996</v>
      </c>
      <c r="BX446" s="1041">
        <f t="shared" si="631"/>
        <v>-313419</v>
      </c>
      <c r="BY446" s="1041">
        <f t="shared" si="631"/>
        <v>0</v>
      </c>
      <c r="BZ446" s="1041">
        <f>ROUND((BZ429),2)</f>
        <v>83.46</v>
      </c>
      <c r="CA446" s="2445">
        <f>SUMIF($AM$10:$CA$10,$CA$9,AM446:CA446)</f>
        <v>61629422.119999997</v>
      </c>
      <c r="CB446" s="1044">
        <f>IF($AB446&lt;&gt;0,CA446/$AB446,"")</f>
        <v>0.97559836667528976</v>
      </c>
      <c r="CC446" s="436"/>
      <c r="CD446" s="730"/>
      <c r="CE446" s="731"/>
      <c r="CF446" s="731"/>
      <c r="CG446" s="436"/>
      <c r="CH446" s="732"/>
      <c r="CI446" s="436"/>
      <c r="CJ446" s="436"/>
      <c r="CK446" s="436"/>
      <c r="CL446" s="329">
        <f t="shared" ca="1" si="551"/>
        <v>23607710.729999997</v>
      </c>
      <c r="CM446" s="330">
        <f t="shared" si="552"/>
        <v>-1.000000536441803E-2</v>
      </c>
      <c r="CN446" s="331">
        <f t="shared" si="517"/>
        <v>-46649284.43</v>
      </c>
      <c r="CO446" s="86"/>
      <c r="CP446" s="86">
        <f t="shared" ca="1" si="579"/>
        <v>0</v>
      </c>
      <c r="CQ446" s="86"/>
      <c r="CR446" s="86"/>
      <c r="CS446" s="86"/>
      <c r="CT446" s="86"/>
      <c r="CU446" s="86"/>
      <c r="CV446" s="86"/>
      <c r="CW446" s="86"/>
      <c r="CX446" s="86"/>
      <c r="CY446" s="86"/>
      <c r="CZ446" s="86"/>
      <c r="DA446" s="86"/>
      <c r="DB446" s="1658">
        <f>CA446+AI446</f>
        <v>63170895.129999995</v>
      </c>
      <c r="DC446" s="1658"/>
      <c r="DD446" s="1658"/>
      <c r="DF446" s="1658"/>
    </row>
    <row r="447" spans="1:139" s="33" customFormat="1" ht="25.25" customHeight="1" thickBot="1">
      <c r="A447" s="2684">
        <v>10</v>
      </c>
      <c r="B447" s="2618"/>
      <c r="C447" s="104" t="s">
        <v>76</v>
      </c>
      <c r="D447" s="180" t="s">
        <v>247</v>
      </c>
      <c r="E447" s="145"/>
      <c r="F447" s="1045"/>
      <c r="G447" s="1046"/>
      <c r="H447" s="1045"/>
      <c r="I447" s="1047"/>
      <c r="J447" s="1835"/>
      <c r="K447" s="1836"/>
      <c r="L447" s="1837"/>
      <c r="M447" s="1838"/>
      <c r="N447" s="1838"/>
      <c r="O447" s="1048"/>
      <c r="P447" s="1049"/>
      <c r="Q447" s="1049"/>
      <c r="R447" s="1049"/>
      <c r="S447" s="1050"/>
      <c r="T447" s="1049"/>
      <c r="U447" s="1839"/>
      <c r="V447" s="1839"/>
      <c r="W447" s="1050"/>
      <c r="X447" s="1840"/>
      <c r="Y447" s="1049"/>
      <c r="Z447" s="1839"/>
      <c r="AA447" s="1839"/>
      <c r="AB447" s="1051">
        <f>AB446</f>
        <v>63170895.140000001</v>
      </c>
      <c r="AC447" s="913"/>
      <c r="AD447" s="1479"/>
      <c r="AE447" s="1052"/>
      <c r="AF447" s="1053"/>
      <c r="AG447" s="2091"/>
      <c r="AH447" s="1038"/>
      <c r="AI447" s="1054">
        <f>SUMIF($AM$10:$BZ$10,$AI$9,AM447:BZ447)</f>
        <v>1541473.01</v>
      </c>
      <c r="AJ447" s="1055"/>
      <c r="AK447" s="1056"/>
      <c r="AL447" s="1056"/>
      <c r="AM447" s="2295">
        <f>AM446-AM445</f>
        <v>692044.79</v>
      </c>
      <c r="AN447" s="2295">
        <f>AN446-AN445</f>
        <v>516478.77</v>
      </c>
      <c r="AO447" s="1057">
        <f t="shared" ref="AO447:AY447" si="632">AO446-AO445</f>
        <v>332949.45</v>
      </c>
      <c r="AP447" s="1057">
        <f t="shared" si="632"/>
        <v>797364.86</v>
      </c>
      <c r="AQ447" s="1057">
        <f t="shared" si="632"/>
        <v>901477.02</v>
      </c>
      <c r="AR447" s="1057">
        <f t="shared" si="632"/>
        <v>1104575.8899999999</v>
      </c>
      <c r="AS447" s="1057">
        <f t="shared" si="632"/>
        <v>1272149.8</v>
      </c>
      <c r="AT447" s="1057">
        <f t="shared" si="632"/>
        <v>1327280.29</v>
      </c>
      <c r="AU447" s="1057">
        <f t="shared" si="632"/>
        <v>1421472.65</v>
      </c>
      <c r="AV447" s="1057">
        <f t="shared" si="632"/>
        <v>2035827.57</v>
      </c>
      <c r="AW447" s="1057">
        <f t="shared" si="632"/>
        <v>2447957.69</v>
      </c>
      <c r="AX447" s="1057">
        <f t="shared" si="632"/>
        <v>2033685.53</v>
      </c>
      <c r="AY447" s="1058">
        <f t="shared" si="632"/>
        <v>2330391.1800000002</v>
      </c>
      <c r="AZ447" s="2295">
        <f t="shared" ref="AZ447:BZ447" si="633">AZ446-AZ445</f>
        <v>3162135.04</v>
      </c>
      <c r="BA447" s="1057">
        <f t="shared" si="633"/>
        <v>3629993.54</v>
      </c>
      <c r="BB447" s="1057">
        <f t="shared" si="633"/>
        <v>4315055.25</v>
      </c>
      <c r="BC447" s="1057">
        <f t="shared" si="633"/>
        <v>3801589.99</v>
      </c>
      <c r="BD447" s="1057">
        <f t="shared" si="633"/>
        <v>3944256.46</v>
      </c>
      <c r="BE447" s="1057">
        <f t="shared" si="633"/>
        <v>3355382.39</v>
      </c>
      <c r="BF447" s="1057">
        <f t="shared" si="633"/>
        <v>2935418.57</v>
      </c>
      <c r="BG447" s="1059">
        <f t="shared" si="633"/>
        <v>2259567.6800000002</v>
      </c>
      <c r="BH447" s="1057">
        <f t="shared" si="633"/>
        <v>2820245.22</v>
      </c>
      <c r="BI447" s="1057">
        <f t="shared" si="633"/>
        <v>1502516.17</v>
      </c>
      <c r="BJ447" s="1057">
        <f t="shared" si="633"/>
        <v>1243640.08</v>
      </c>
      <c r="BK447" s="2161">
        <f t="shared" si="633"/>
        <v>2160630.7000000002</v>
      </c>
      <c r="BL447" s="2062">
        <f t="shared" si="633"/>
        <v>738754.72</v>
      </c>
      <c r="BM447" s="2062">
        <f t="shared" si="633"/>
        <v>441671.93</v>
      </c>
      <c r="BN447" s="2062">
        <f t="shared" si="633"/>
        <v>404229.89</v>
      </c>
      <c r="BO447" s="2062">
        <f t="shared" si="633"/>
        <v>129812.41</v>
      </c>
      <c r="BP447" s="2062">
        <f t="shared" si="633"/>
        <v>440567.27</v>
      </c>
      <c r="BQ447" s="2411">
        <f t="shared" si="633"/>
        <v>170298.22</v>
      </c>
      <c r="BR447" s="1057">
        <f t="shared" si="633"/>
        <v>2495099.83</v>
      </c>
      <c r="BS447" s="1057">
        <f t="shared" si="633"/>
        <v>47715.53</v>
      </c>
      <c r="BT447" s="1057">
        <f t="shared" si="633"/>
        <v>362126.33</v>
      </c>
      <c r="BU447" s="1057">
        <f t="shared" si="633"/>
        <v>5457.47</v>
      </c>
      <c r="BV447" s="1057">
        <f t="shared" si="633"/>
        <v>5457.47</v>
      </c>
      <c r="BW447" s="1057">
        <f t="shared" si="633"/>
        <v>5898953.0199999996</v>
      </c>
      <c r="BX447" s="1057">
        <f t="shared" si="633"/>
        <v>-313419</v>
      </c>
      <c r="BY447" s="1057">
        <f t="shared" si="633"/>
        <v>0</v>
      </c>
      <c r="BZ447" s="1057">
        <f t="shared" si="633"/>
        <v>83.46</v>
      </c>
      <c r="CA447" s="2451">
        <f ca="1">SUMIF($AM$10:$CA$10,$CA$9,AM447:BZ447)</f>
        <v>61629422.119999997</v>
      </c>
      <c r="CB447" s="1044"/>
      <c r="CC447" s="436"/>
      <c r="CD447" s="730"/>
      <c r="CE447" s="731"/>
      <c r="CF447" s="731"/>
      <c r="CG447" s="436"/>
      <c r="CH447" s="732"/>
      <c r="CI447" s="436"/>
      <c r="CJ447" s="436"/>
      <c r="CK447" s="436"/>
      <c r="CL447" s="329">
        <f t="shared" ca="1" si="551"/>
        <v>-61629422.119999997</v>
      </c>
      <c r="CM447" s="330">
        <f t="shared" ca="1" si="552"/>
        <v>-1.000000536441803E-2</v>
      </c>
      <c r="CN447" s="331">
        <f t="shared" ca="1" si="517"/>
        <v>-46649284.43</v>
      </c>
      <c r="CO447" s="86"/>
      <c r="CP447" s="86">
        <f t="shared" si="579"/>
        <v>0</v>
      </c>
      <c r="CQ447" s="86"/>
      <c r="CR447" s="86"/>
      <c r="CS447" s="86"/>
      <c r="CT447" s="86"/>
      <c r="CU447" s="86"/>
      <c r="CV447" s="86"/>
      <c r="CW447" s="86"/>
      <c r="CX447" s="86"/>
      <c r="CY447" s="86"/>
      <c r="CZ447" s="86"/>
      <c r="DA447" s="86"/>
      <c r="DB447" s="1658">
        <f ca="1">CA447+AI447</f>
        <v>63170895.129999995</v>
      </c>
      <c r="DC447" s="1658"/>
      <c r="DD447" s="1658"/>
      <c r="DF447" s="1658"/>
    </row>
    <row r="448" spans="1:139" s="33" customFormat="1" ht="25.25" customHeight="1" thickBot="1">
      <c r="A448" s="2685"/>
      <c r="B448" s="1060"/>
      <c r="C448" s="123"/>
      <c r="D448" s="181"/>
      <c r="E448" s="1061"/>
      <c r="F448" s="1062"/>
      <c r="G448" s="1063"/>
      <c r="H448" s="1062"/>
      <c r="I448" s="1064">
        <f>IF(I446&lt;&gt;0,I446/I440,"0,00%")</f>
        <v>0.13500003619022277</v>
      </c>
      <c r="J448" s="1909"/>
      <c r="K448" s="1910"/>
      <c r="L448" s="1911"/>
      <c r="M448" s="1912"/>
      <c r="N448" s="1912"/>
      <c r="O448" s="1065">
        <f ca="1">IF(O446&lt;&gt;0,O446/O440,"0,00%")</f>
        <v>0.13592574678752195</v>
      </c>
      <c r="P448" s="1913"/>
      <c r="Q448" s="1913"/>
      <c r="R448" s="1913"/>
      <c r="S448" s="1914" t="str">
        <f>IF(S446&lt;&gt;0,S446/S442,"0,00%")</f>
        <v>0,00%</v>
      </c>
      <c r="T448" s="1913"/>
      <c r="U448" s="1915"/>
      <c r="V448" s="1915"/>
      <c r="W448" s="1916">
        <f>IF(W446&lt;&gt;0,W446/W442,"0,00%")</f>
        <v>0.13592574678752201</v>
      </c>
      <c r="X448" s="1916" t="str">
        <f>IF(X446&lt;&gt;0,X446/X440,"0,00%")</f>
        <v>0,00%</v>
      </c>
      <c r="Y448" s="1916" t="str">
        <f>IF(Y446&lt;&gt;0,Y446/Y440,"0,00%")</f>
        <v>0,00%</v>
      </c>
      <c r="Z448" s="1916" t="str">
        <f>IF(Z446&lt;&gt;0,Z446/Z440,"0,00%")</f>
        <v>0,00%</v>
      </c>
      <c r="AA448" s="1916" t="str">
        <f>IF(AA446&lt;&gt;0,AA446/AA440,"0,00%")</f>
        <v>0,00%</v>
      </c>
      <c r="AB448" s="1917">
        <f>IF(AB446&lt;&gt;0,AB446/AB442,"0,00%")</f>
        <v>0.10073721170620936</v>
      </c>
      <c r="AC448" s="1066"/>
      <c r="AD448" s="1489"/>
      <c r="AE448" s="1066"/>
      <c r="AF448" s="1067"/>
      <c r="AG448" s="1067"/>
      <c r="AH448" s="1068"/>
      <c r="AI448" s="1069">
        <f>IF(AI446&lt;&gt;0,AI446/AI442,"0,00%")</f>
        <v>0.10064698516572228</v>
      </c>
      <c r="AJ448" s="83"/>
      <c r="AK448" s="257"/>
      <c r="AL448" s="257"/>
      <c r="AM448" s="2296">
        <f t="shared" ref="AM448" si="634">AM447/AM442</f>
        <v>0.10000000028899865</v>
      </c>
      <c r="AN448" s="2296">
        <f>AN447/AN442</f>
        <v>0.34080889608358456</v>
      </c>
      <c r="AO448" s="1070">
        <f t="shared" ref="AO448:AY448" si="635">AO447/AO442</f>
        <v>4.8395626655509817E-2</v>
      </c>
      <c r="AP448" s="1070">
        <f t="shared" si="635"/>
        <v>9.9999910087172905E-2</v>
      </c>
      <c r="AQ448" s="1070">
        <f t="shared" si="635"/>
        <v>9.999990947538237E-2</v>
      </c>
      <c r="AR448" s="1070">
        <f t="shared" si="635"/>
        <v>9.9999909607282153E-2</v>
      </c>
      <c r="AS448" s="1070">
        <f t="shared" si="635"/>
        <v>9.9999910101493408E-2</v>
      </c>
      <c r="AT448" s="1070">
        <f t="shared" si="635"/>
        <v>9.9999910224118374E-2</v>
      </c>
      <c r="AU448" s="1070">
        <f t="shared" si="635"/>
        <v>9.999990972601018E-2</v>
      </c>
      <c r="AV448" s="1070">
        <f t="shared" si="635"/>
        <v>9.9999910062067252E-2</v>
      </c>
      <c r="AW448" s="1070">
        <f t="shared" si="635"/>
        <v>9.9999910184113208E-2</v>
      </c>
      <c r="AX448" s="1070">
        <f t="shared" si="635"/>
        <v>9.9999910009655288E-2</v>
      </c>
      <c r="AY448" s="1071">
        <f t="shared" si="635"/>
        <v>9.9999909932234593E-2</v>
      </c>
      <c r="AZ448" s="2296">
        <f t="shared" ref="AZ448:BY448" si="636">AZ447/AZ442</f>
        <v>9.9999909892558136E-2</v>
      </c>
      <c r="BA448" s="1070">
        <f t="shared" si="636"/>
        <v>9.999991008750074E-2</v>
      </c>
      <c r="BB448" s="1070">
        <f t="shared" si="636"/>
        <v>9.9999909912669008E-2</v>
      </c>
      <c r="BC448" s="1070">
        <f t="shared" si="636"/>
        <v>9.9999909925837238E-2</v>
      </c>
      <c r="BD448" s="1070">
        <f t="shared" si="636"/>
        <v>9.9999909913612614E-2</v>
      </c>
      <c r="BE448" s="1070">
        <f t="shared" si="636"/>
        <v>9.9999909969999218E-2</v>
      </c>
      <c r="BF448" s="1070">
        <f t="shared" si="636"/>
        <v>9.9999910108912779E-2</v>
      </c>
      <c r="BG448" s="1072">
        <f t="shared" si="636"/>
        <v>9.9999910029495112E-2</v>
      </c>
      <c r="BH448" s="1070">
        <f t="shared" si="636"/>
        <v>9.9999909989627725E-2</v>
      </c>
      <c r="BI448" s="1070">
        <f t="shared" si="636"/>
        <v>9.9999910135711093E-2</v>
      </c>
      <c r="BJ448" s="1070">
        <f t="shared" si="636"/>
        <v>9.9999909625238165E-2</v>
      </c>
      <c r="BK448" s="2162">
        <f t="shared" si="636"/>
        <v>9.9999909912515061E-2</v>
      </c>
      <c r="BL448" s="2115">
        <f t="shared" si="636"/>
        <v>9.9999910459285718E-2</v>
      </c>
      <c r="BM448" s="2115">
        <f t="shared" si="636"/>
        <v>9.9999909491845507E-2</v>
      </c>
      <c r="BN448" s="2115">
        <f t="shared" si="636"/>
        <v>9.9999911182216863E-2</v>
      </c>
      <c r="BO448" s="2115">
        <f t="shared" si="636"/>
        <v>9.9999909145392973E-2</v>
      </c>
      <c r="BP448" s="2115">
        <f t="shared" si="636"/>
        <v>9.9999910294250094E-2</v>
      </c>
      <c r="BQ448" s="2115">
        <f t="shared" si="636"/>
        <v>9.9999911457819279E-2</v>
      </c>
      <c r="BR448" s="2115">
        <f t="shared" si="636"/>
        <v>9.9999910009035103E-2</v>
      </c>
      <c r="BS448" s="2115">
        <f t="shared" si="636"/>
        <v>9.999991233463619E-2</v>
      </c>
      <c r="BT448" s="2115">
        <f>BT447/BT442</f>
        <v>0.58931809965882731</v>
      </c>
      <c r="BU448" s="2115">
        <f t="shared" si="636"/>
        <v>9.9999855850069153E-2</v>
      </c>
      <c r="BV448" s="2115">
        <f t="shared" si="636"/>
        <v>9.9999855850069153E-2</v>
      </c>
      <c r="BW448" s="2115">
        <f t="shared" si="636"/>
        <v>0.10855934763136153</v>
      </c>
      <c r="BX448" s="2115" t="e">
        <f t="shared" si="636"/>
        <v>#DIV/0!</v>
      </c>
      <c r="BY448" s="2115" t="e">
        <f t="shared" si="636"/>
        <v>#DIV/0!</v>
      </c>
      <c r="BZ448" s="1070">
        <f t="shared" ref="BZ448" si="637">BZ447/BZ442</f>
        <v>0.99999999999999978</v>
      </c>
      <c r="CA448" s="1069">
        <f ca="1">IF(CA446&lt;&gt;0,CA446/CA442,"0,00%")</f>
        <v>0.10073947050640007</v>
      </c>
      <c r="CB448" s="1073"/>
      <c r="CC448" s="436"/>
      <c r="CD448" s="730"/>
      <c r="CE448" s="731"/>
      <c r="CF448" s="731"/>
      <c r="CG448" s="436"/>
      <c r="CH448" s="732"/>
      <c r="CI448" s="436"/>
      <c r="CJ448" s="436"/>
      <c r="CK448" s="436"/>
      <c r="CL448" s="329">
        <f t="shared" ca="1" si="551"/>
        <v>3.5186276281121878E-2</v>
      </c>
      <c r="CM448" s="330">
        <f t="shared" ca="1" si="552"/>
        <v>0.10064924396591299</v>
      </c>
      <c r="CN448" s="331">
        <f t="shared" ca="1" si="517"/>
        <v>1.1878171664765018</v>
      </c>
      <c r="CO448" s="86"/>
      <c r="CP448" s="86">
        <f t="shared" ca="1" si="579"/>
        <v>-9.2571059729917859E-4</v>
      </c>
      <c r="CQ448" s="86"/>
      <c r="CR448" s="86"/>
      <c r="CS448" s="86"/>
      <c r="CT448" s="86"/>
      <c r="CU448" s="86"/>
      <c r="CV448" s="86"/>
      <c r="CW448" s="86"/>
      <c r="CX448" s="86"/>
      <c r="CY448" s="86"/>
      <c r="CZ448" s="86"/>
      <c r="DA448" s="86"/>
      <c r="DB448" s="1658"/>
      <c r="DC448" s="1658"/>
      <c r="DD448" s="1658"/>
      <c r="DF448" s="1658"/>
    </row>
    <row r="449" spans="1:301" s="23" customFormat="1" ht="25.25" customHeight="1" collapsed="1" thickBot="1">
      <c r="A449" s="2686" t="s">
        <v>24</v>
      </c>
      <c r="B449" s="2619"/>
      <c r="C449" s="124"/>
      <c r="D449" s="182"/>
      <c r="E449" s="1074"/>
      <c r="F449" s="1075"/>
      <c r="G449" s="1076"/>
      <c r="H449" s="1075"/>
      <c r="I449" s="1077"/>
      <c r="J449" s="1078"/>
      <c r="K449" s="1075"/>
      <c r="L449" s="1075"/>
      <c r="M449" s="1079"/>
      <c r="N449" s="1079"/>
      <c r="O449" s="818"/>
      <c r="P449" s="819"/>
      <c r="Q449" s="819"/>
      <c r="R449" s="819"/>
      <c r="S449" s="819"/>
      <c r="T449" s="819"/>
      <c r="U449" s="820"/>
      <c r="V449" s="820"/>
      <c r="W449" s="819"/>
      <c r="X449" s="823"/>
      <c r="Y449" s="819"/>
      <c r="Z449" s="820"/>
      <c r="AA449" s="820"/>
      <c r="AB449" s="821"/>
      <c r="AC449" s="1080"/>
      <c r="AD449" s="1490"/>
      <c r="AE449" s="1080"/>
      <c r="AF449" s="1081"/>
      <c r="AG449" s="1082"/>
      <c r="AH449" s="1083"/>
      <c r="AI449" s="1084"/>
      <c r="AJ449" s="1085"/>
      <c r="AK449" s="1086"/>
      <c r="AL449" s="1086"/>
      <c r="AM449" s="2297">
        <f t="shared" ref="AM449" si="638">AM442</f>
        <v>6920447.8799999999</v>
      </c>
      <c r="AN449" s="2297">
        <f t="shared" ref="AN449:AY449" si="639">AN442</f>
        <v>1515449.79</v>
      </c>
      <c r="AO449" s="1087">
        <f t="shared" si="639"/>
        <v>6879742.5099999998</v>
      </c>
      <c r="AP449" s="1087">
        <f t="shared" si="639"/>
        <v>7973655.7693393249</v>
      </c>
      <c r="AQ449" s="1087">
        <f t="shared" si="639"/>
        <v>9014778.3605936412</v>
      </c>
      <c r="AR449" s="1087">
        <f t="shared" si="639"/>
        <v>11045768.884570701</v>
      </c>
      <c r="AS449" s="1087">
        <f>AS442</f>
        <v>12721509.436447</v>
      </c>
      <c r="AT449" s="1087">
        <f t="shared" si="639"/>
        <v>13272814.815786518</v>
      </c>
      <c r="AU449" s="1087">
        <f t="shared" si="639"/>
        <v>14214739.332212336</v>
      </c>
      <c r="AV449" s="1087">
        <f t="shared" si="639"/>
        <v>20358294.009828776</v>
      </c>
      <c r="AW449" s="1087">
        <f>AW442</f>
        <v>24479598.886568822</v>
      </c>
      <c r="AX449" s="1087">
        <f t="shared" si="639"/>
        <v>20336873.601222657</v>
      </c>
      <c r="AY449" s="2245">
        <f t="shared" si="639"/>
        <v>23303932.789331518</v>
      </c>
      <c r="AZ449" s="2297">
        <f t="shared" ref="AZ449:BV449" si="640">AZ442</f>
        <v>31621378.893215604</v>
      </c>
      <c r="BA449" s="1087">
        <f t="shared" si="640"/>
        <v>36299968.038208492</v>
      </c>
      <c r="BB449" s="1087">
        <f t="shared" si="640"/>
        <v>43150591.373216078</v>
      </c>
      <c r="BC449" s="1087">
        <f t="shared" si="640"/>
        <v>38015934.142534398</v>
      </c>
      <c r="BD449" s="1087">
        <f t="shared" si="640"/>
        <v>39442600.132413551</v>
      </c>
      <c r="BE449" s="1087">
        <f t="shared" si="640"/>
        <v>33553854.108535118</v>
      </c>
      <c r="BF449" s="1087">
        <f t="shared" si="640"/>
        <v>29354212.086820386</v>
      </c>
      <c r="BG449" s="1087">
        <f t="shared" si="640"/>
        <v>22595697.129462793</v>
      </c>
      <c r="BH449" s="1087">
        <f t="shared" si="640"/>
        <v>28202477.585155066</v>
      </c>
      <c r="BI449" s="1087">
        <f t="shared" si="640"/>
        <v>15025175.202266851</v>
      </c>
      <c r="BJ449" s="1087">
        <f t="shared" si="640"/>
        <v>12436412.039377762</v>
      </c>
      <c r="BK449" s="2163">
        <f t="shared" si="640"/>
        <v>21606326.4645961</v>
      </c>
      <c r="BL449" s="2116">
        <f t="shared" si="640"/>
        <v>7387553.8148684539</v>
      </c>
      <c r="BM449" s="2116">
        <f t="shared" si="640"/>
        <v>4416723.2974947458</v>
      </c>
      <c r="BN449" s="2116">
        <f t="shared" si="640"/>
        <v>4042302.4902834594</v>
      </c>
      <c r="BO449" s="2116">
        <f t="shared" si="640"/>
        <v>1298125.2794066214</v>
      </c>
      <c r="BP449" s="2116">
        <f t="shared" si="640"/>
        <v>4405676.6521452796</v>
      </c>
      <c r="BQ449" s="2116">
        <f t="shared" si="640"/>
        <v>1702983.7078589122</v>
      </c>
      <c r="BR449" s="2116">
        <f t="shared" si="640"/>
        <v>24951020.75366433</v>
      </c>
      <c r="BS449" s="2116">
        <f t="shared" si="640"/>
        <v>477155.7183002964</v>
      </c>
      <c r="BT449" s="2116">
        <f t="shared" si="640"/>
        <v>614483.63830950565</v>
      </c>
      <c r="BU449" s="2116">
        <f t="shared" si="640"/>
        <v>54574.778669505715</v>
      </c>
      <c r="BV449" s="2116">
        <f t="shared" si="640"/>
        <v>54574.778669505715</v>
      </c>
      <c r="BW449" s="1087">
        <f>BW442</f>
        <v>54338508.370843053</v>
      </c>
      <c r="BX449" s="1087">
        <f t="shared" ref="BX449:BZ449" si="641">BX442</f>
        <v>0</v>
      </c>
      <c r="BY449" s="1087">
        <f t="shared" si="641"/>
        <v>0</v>
      </c>
      <c r="BZ449" s="1087">
        <f t="shared" si="641"/>
        <v>83.460000000000008</v>
      </c>
      <c r="CA449" s="1085" t="s">
        <v>49</v>
      </c>
      <c r="CB449" s="1088" t="s">
        <v>22</v>
      </c>
      <c r="CC449" s="1089"/>
      <c r="CD449" s="1090"/>
      <c r="CE449" s="1091"/>
      <c r="CF449" s="1091"/>
      <c r="CG449" s="1089"/>
      <c r="CH449" s="1092"/>
      <c r="CI449" s="1089"/>
      <c r="CJ449" s="1089"/>
      <c r="CK449" s="1089"/>
      <c r="CL449" s="329" t="e">
        <f t="shared" si="551"/>
        <v>#VALUE!</v>
      </c>
      <c r="CM449" s="330" t="e">
        <f t="shared" si="552"/>
        <v>#VALUE!</v>
      </c>
      <c r="CN449" s="331" t="e">
        <f t="shared" si="517"/>
        <v>#VALUE!</v>
      </c>
      <c r="CO449" s="86"/>
      <c r="CP449" s="86">
        <f t="shared" si="579"/>
        <v>0</v>
      </c>
      <c r="CQ449" s="86"/>
      <c r="CR449" s="86"/>
      <c r="CS449" s="86"/>
      <c r="CT449" s="86"/>
      <c r="CU449" s="86"/>
      <c r="CV449" s="86"/>
      <c r="CW449" s="86"/>
      <c r="CX449" s="86"/>
      <c r="CY449" s="86"/>
      <c r="CZ449" s="86"/>
      <c r="DA449" s="86"/>
      <c r="DF449" s="1658"/>
    </row>
    <row r="450" spans="1:301" ht="25.25" customHeight="1">
      <c r="A450" s="2687" t="s">
        <v>42</v>
      </c>
      <c r="B450" s="1133"/>
      <c r="C450" s="1506" t="s">
        <v>447</v>
      </c>
      <c r="D450" s="183"/>
      <c r="E450" s="1094"/>
      <c r="F450" s="1095"/>
      <c r="G450" s="1096"/>
      <c r="H450" s="1097"/>
      <c r="I450" s="2527">
        <f>I442*4%</f>
        <v>25255440</v>
      </c>
      <c r="J450" s="1842"/>
      <c r="K450" s="1843"/>
      <c r="L450" s="1844"/>
      <c r="M450" s="1098">
        <f>O442*0.0185</f>
        <v>11601091</v>
      </c>
      <c r="N450" s="1845">
        <v>1</v>
      </c>
      <c r="O450" s="554">
        <f>M450*N450</f>
        <v>11601091</v>
      </c>
      <c r="P450" s="849"/>
      <c r="Q450" s="849"/>
      <c r="R450" s="849"/>
      <c r="S450" s="847"/>
      <c r="T450" s="849"/>
      <c r="U450" s="850"/>
      <c r="V450" s="850"/>
      <c r="W450" s="847">
        <f>O450+S450</f>
        <v>11601091</v>
      </c>
      <c r="X450" s="1846"/>
      <c r="Y450" s="849"/>
      <c r="Z450" s="850">
        <f t="shared" ref="Z450:Z462" si="642">IF(AA450=0,AB450,AB450/AA450)</f>
        <v>11601090.989326023</v>
      </c>
      <c r="AA450" s="850"/>
      <c r="AB450" s="560">
        <f>SUM(AM450:BZ450)</f>
        <v>11601090.989326023</v>
      </c>
      <c r="AC450" s="1099"/>
      <c r="AD450" s="1491"/>
      <c r="AE450" s="1099"/>
      <c r="AF450" s="1100"/>
      <c r="AG450" s="1101">
        <v>1</v>
      </c>
      <c r="AH450" s="2092">
        <f>+AF450*AG450</f>
        <v>0</v>
      </c>
      <c r="AI450" s="579">
        <f>SUMIF($AM$10:$AY$10,$AI$9,AM450:BZ450)</f>
        <v>283339.33261500002</v>
      </c>
      <c r="AJ450" s="1102">
        <f t="shared" ref="AJ450:AJ462" si="643">IF($AB450&lt;&gt;0,AI450/$AB450,"")</f>
        <v>2.4423507485261169E-2</v>
      </c>
      <c r="AK450" s="1103"/>
      <c r="AL450" s="1103"/>
      <c r="AM450" s="2740">
        <v>128028.29</v>
      </c>
      <c r="AN450" s="2298">
        <v>28035.802615000004</v>
      </c>
      <c r="AO450" s="1100">
        <v>127275.24</v>
      </c>
      <c r="AP450" s="1100">
        <f t="shared" ref="AP450:BZ450" si="644">AP449*1.85%</f>
        <v>147512.63173277752</v>
      </c>
      <c r="AQ450" s="1100">
        <f t="shared" si="644"/>
        <v>166773.39967098238</v>
      </c>
      <c r="AR450" s="1100">
        <f t="shared" si="644"/>
        <v>204346.724364558</v>
      </c>
      <c r="AS450" s="1100">
        <f t="shared" si="644"/>
        <v>235347.92457426953</v>
      </c>
      <c r="AT450" s="1100">
        <f t="shared" si="644"/>
        <v>245547.07409205061</v>
      </c>
      <c r="AU450" s="1100">
        <f t="shared" si="644"/>
        <v>262972.67764592828</v>
      </c>
      <c r="AV450" s="1100">
        <f t="shared" si="644"/>
        <v>376628.43918183242</v>
      </c>
      <c r="AW450" s="1100">
        <f t="shared" si="644"/>
        <v>452872.57940152328</v>
      </c>
      <c r="AX450" s="1100">
        <f t="shared" si="644"/>
        <v>376232.1616226192</v>
      </c>
      <c r="AY450" s="2246">
        <f t="shared" si="644"/>
        <v>431122.75660263316</v>
      </c>
      <c r="AZ450" s="2298">
        <f t="shared" si="644"/>
        <v>584995.50952448871</v>
      </c>
      <c r="BA450" s="1100">
        <f t="shared" si="644"/>
        <v>671549.40870685724</v>
      </c>
      <c r="BB450" s="1100">
        <f t="shared" si="644"/>
        <v>798285.94040449755</v>
      </c>
      <c r="BC450" s="1100">
        <f t="shared" si="644"/>
        <v>703294.78163688642</v>
      </c>
      <c r="BD450" s="1100">
        <f t="shared" si="644"/>
        <v>729688.10244965076</v>
      </c>
      <c r="BE450" s="1100">
        <f t="shared" si="644"/>
        <v>620746.3010078998</v>
      </c>
      <c r="BF450" s="1100">
        <f t="shared" si="644"/>
        <v>543052.92360617721</v>
      </c>
      <c r="BG450" s="1100">
        <f t="shared" si="644"/>
        <v>418020.39689506171</v>
      </c>
      <c r="BH450" s="1100">
        <f t="shared" si="644"/>
        <v>521745.8353253688</v>
      </c>
      <c r="BI450" s="1100">
        <f t="shared" si="644"/>
        <v>277965.7412419368</v>
      </c>
      <c r="BJ450" s="1100">
        <f t="shared" si="644"/>
        <v>230073.62272848864</v>
      </c>
      <c r="BK450" s="2164">
        <f t="shared" si="644"/>
        <v>399717.03959502792</v>
      </c>
      <c r="BL450" s="1100">
        <f t="shared" si="644"/>
        <v>136669.74557506642</v>
      </c>
      <c r="BM450" s="1100">
        <f t="shared" si="644"/>
        <v>81709.381003652816</v>
      </c>
      <c r="BN450" s="1100">
        <f t="shared" si="644"/>
        <v>74782.596070244006</v>
      </c>
      <c r="BO450" s="1100">
        <f t="shared" si="644"/>
        <v>24015.317669022497</v>
      </c>
      <c r="BP450" s="1100">
        <f t="shared" si="644"/>
        <v>81505.018064687683</v>
      </c>
      <c r="BQ450" s="1100">
        <f t="shared" si="644"/>
        <v>31505.19859538988</v>
      </c>
      <c r="BR450" s="1100">
        <f t="shared" si="644"/>
        <v>461593.88394279015</v>
      </c>
      <c r="BS450" s="1100">
        <f t="shared" si="644"/>
        <v>8827.3807885554852</v>
      </c>
      <c r="BT450" s="1100">
        <f t="shared" si="644"/>
        <v>11367.947308725856</v>
      </c>
      <c r="BU450" s="1100">
        <f t="shared" si="644"/>
        <v>1009.6334053858559</v>
      </c>
      <c r="BV450" s="1100">
        <f t="shared" si="644"/>
        <v>1009.6334053858559</v>
      </c>
      <c r="BW450" s="1100">
        <f t="shared" si="644"/>
        <v>1005262.4048605966</v>
      </c>
      <c r="BX450" s="1100">
        <f t="shared" si="644"/>
        <v>0</v>
      </c>
      <c r="BY450" s="1100">
        <f t="shared" si="644"/>
        <v>0</v>
      </c>
      <c r="BZ450" s="1100">
        <f t="shared" si="644"/>
        <v>1.5440100000000003</v>
      </c>
      <c r="CA450" s="2436">
        <f ca="1">SUMIF($AM$10:$CA$10,$CA$9,AM450:BZ450)</f>
        <v>11317751.656711023</v>
      </c>
      <c r="CB450" s="1102">
        <f t="shared" ref="CB450:CB463" ca="1" si="645">IF($AB450&lt;&gt;0,CA450/$AB450,"")</f>
        <v>0.97557649251473888</v>
      </c>
      <c r="CC450" s="514"/>
      <c r="CD450" s="1104"/>
      <c r="CE450" s="1105"/>
      <c r="CF450" s="1105"/>
      <c r="CG450" s="514"/>
      <c r="CH450" s="1106"/>
      <c r="CI450" s="514"/>
      <c r="CJ450" s="514"/>
      <c r="CK450" s="514"/>
      <c r="CL450" s="329">
        <f t="shared" ca="1" si="551"/>
        <v>283339.3432889767</v>
      </c>
      <c r="CM450" s="330">
        <f t="shared" ca="1" si="552"/>
        <v>0</v>
      </c>
      <c r="CN450" s="331">
        <f t="shared" ca="1" si="517"/>
        <v>-8546423.5778218489</v>
      </c>
      <c r="CO450" s="86"/>
      <c r="CP450" s="86">
        <f t="shared" si="579"/>
        <v>13654349</v>
      </c>
      <c r="CQ450" s="86"/>
      <c r="CR450" s="86"/>
      <c r="CS450" s="86"/>
      <c r="CT450" s="86"/>
      <c r="CU450" s="86"/>
      <c r="CV450" s="86"/>
      <c r="CW450" s="86"/>
      <c r="CX450" s="86"/>
      <c r="CY450" s="86"/>
      <c r="CZ450" s="86"/>
      <c r="DA450" s="86"/>
      <c r="DB450" s="32"/>
      <c r="DC450" s="32"/>
      <c r="DD450" s="32"/>
      <c r="DF450" s="1658"/>
      <c r="DG450" s="35"/>
      <c r="DH450" s="35"/>
    </row>
    <row r="451" spans="1:301" ht="25.25" customHeight="1">
      <c r="A451" s="2687" t="s">
        <v>43</v>
      </c>
      <c r="B451" s="1133"/>
      <c r="C451" s="1507" t="s">
        <v>216</v>
      </c>
      <c r="D451" s="184"/>
      <c r="E451" s="1107"/>
      <c r="F451" s="1108"/>
      <c r="G451" s="1109"/>
      <c r="H451" s="1110"/>
      <c r="I451" s="2527">
        <f>I442*1.5%</f>
        <v>9470790</v>
      </c>
      <c r="J451" s="863"/>
      <c r="K451" s="1847"/>
      <c r="L451" s="1848"/>
      <c r="M451" s="1098">
        <f>O442*0.015</f>
        <v>9406290</v>
      </c>
      <c r="N451" s="1849">
        <v>1</v>
      </c>
      <c r="O451" s="1112">
        <f>M451*N451</f>
        <v>9406290</v>
      </c>
      <c r="P451" s="871"/>
      <c r="Q451" s="871"/>
      <c r="R451" s="871"/>
      <c r="S451" s="868"/>
      <c r="T451" s="871"/>
      <c r="U451" s="872"/>
      <c r="V451" s="872"/>
      <c r="W451" s="868">
        <f>O451+S451</f>
        <v>9406290</v>
      </c>
      <c r="X451" s="1850"/>
      <c r="Y451" s="871"/>
      <c r="Z451" s="872">
        <f t="shared" si="642"/>
        <v>9406289.9891832564</v>
      </c>
      <c r="AA451" s="872"/>
      <c r="AB451" s="870">
        <f>SUM(AM451:BZ451)</f>
        <v>9406289.9891832564</v>
      </c>
      <c r="AC451" s="1113"/>
      <c r="AD451" s="1492"/>
      <c r="AE451" s="1113"/>
      <c r="AF451" s="1114"/>
      <c r="AG451" s="1115">
        <v>1</v>
      </c>
      <c r="AH451" s="2092">
        <f>+AF451*AG451</f>
        <v>0</v>
      </c>
      <c r="AI451" s="579">
        <f t="shared" ref="AI451:AI457" si="646">SUMIF($AM$10:$AY$10,$AI$9,AM451:BZ451)</f>
        <v>229734.59185</v>
      </c>
      <c r="AJ451" s="1116">
        <f t="shared" si="643"/>
        <v>2.4423507261011813E-2</v>
      </c>
      <c r="AK451" s="1117"/>
      <c r="AL451" s="1117"/>
      <c r="AM451" s="2741">
        <f>103806.72</f>
        <v>103806.72</v>
      </c>
      <c r="AN451" s="2299">
        <v>22731.73185</v>
      </c>
      <c r="AO451" s="1114">
        <v>103196.14</v>
      </c>
      <c r="AP451" s="1114">
        <f t="shared" ref="AP451:BB451" si="647">AP449*1.5%</f>
        <v>119604.83654008986</v>
      </c>
      <c r="AQ451" s="1114">
        <f t="shared" si="647"/>
        <v>135221.67540890462</v>
      </c>
      <c r="AR451" s="1114">
        <f t="shared" si="647"/>
        <v>165686.53326856051</v>
      </c>
      <c r="AS451" s="1114">
        <f t="shared" si="647"/>
        <v>190822.64154670498</v>
      </c>
      <c r="AT451" s="1114">
        <f t="shared" si="647"/>
        <v>199092.22223679777</v>
      </c>
      <c r="AU451" s="1114">
        <f t="shared" si="647"/>
        <v>213221.08998318503</v>
      </c>
      <c r="AV451" s="1114">
        <f t="shared" si="647"/>
        <v>305374.41014743166</v>
      </c>
      <c r="AW451" s="1114">
        <f t="shared" si="647"/>
        <v>367193.98329853232</v>
      </c>
      <c r="AX451" s="1114">
        <f t="shared" si="647"/>
        <v>305053.10401833983</v>
      </c>
      <c r="AY451" s="1118">
        <f t="shared" si="647"/>
        <v>349558.99183997273</v>
      </c>
      <c r="AZ451" s="2299">
        <f t="shared" si="647"/>
        <v>474320.68339823402</v>
      </c>
      <c r="BA451" s="1114">
        <f t="shared" si="647"/>
        <v>544499.52057312732</v>
      </c>
      <c r="BB451" s="1114">
        <f t="shared" si="647"/>
        <v>647258.8705982411</v>
      </c>
      <c r="BC451" s="1114">
        <f t="shared" ref="BC451:BZ451" si="648">BC449*1.5%</f>
        <v>570239.01213801594</v>
      </c>
      <c r="BD451" s="1114">
        <f t="shared" si="648"/>
        <v>591639.00198620325</v>
      </c>
      <c r="BE451" s="1114">
        <f t="shared" si="648"/>
        <v>503307.81162802677</v>
      </c>
      <c r="BF451" s="1100">
        <f t="shared" si="648"/>
        <v>440313.18130230578</v>
      </c>
      <c r="BG451" s="1100">
        <f t="shared" si="648"/>
        <v>338935.45694194187</v>
      </c>
      <c r="BH451" s="1100">
        <f t="shared" si="648"/>
        <v>423037.163777326</v>
      </c>
      <c r="BI451" s="1100">
        <f t="shared" si="648"/>
        <v>225377.62803400276</v>
      </c>
      <c r="BJ451" s="1100">
        <f t="shared" si="648"/>
        <v>186546.18059066642</v>
      </c>
      <c r="BK451" s="2165">
        <f t="shared" si="648"/>
        <v>324094.8969689415</v>
      </c>
      <c r="BL451" s="1114">
        <f t="shared" si="648"/>
        <v>110813.3072230268</v>
      </c>
      <c r="BM451" s="1114">
        <f t="shared" si="648"/>
        <v>66250.849462421189</v>
      </c>
      <c r="BN451" s="1100">
        <f t="shared" si="648"/>
        <v>60634.537354251886</v>
      </c>
      <c r="BO451" s="1100">
        <f t="shared" si="648"/>
        <v>19471.87919109932</v>
      </c>
      <c r="BP451" s="1100">
        <f t="shared" si="648"/>
        <v>66085.149782179185</v>
      </c>
      <c r="BQ451" s="1100">
        <f t="shared" si="648"/>
        <v>25544.755617883682</v>
      </c>
      <c r="BR451" s="1100">
        <f t="shared" si="648"/>
        <v>374265.31130496494</v>
      </c>
      <c r="BS451" s="1100">
        <f t="shared" si="648"/>
        <v>7157.3357745044459</v>
      </c>
      <c r="BT451" s="1100">
        <f t="shared" si="648"/>
        <v>9217.254574642584</v>
      </c>
      <c r="BU451" s="1100">
        <f t="shared" si="648"/>
        <v>818.62168004258569</v>
      </c>
      <c r="BV451" s="1100">
        <f t="shared" si="648"/>
        <v>818.62168004258569</v>
      </c>
      <c r="BW451" s="1114">
        <f t="shared" si="648"/>
        <v>815077.62556264573</v>
      </c>
      <c r="BX451" s="1114">
        <f t="shared" si="648"/>
        <v>0</v>
      </c>
      <c r="BY451" s="1114">
        <f>BY449*1.5%</f>
        <v>0</v>
      </c>
      <c r="BZ451" s="1114">
        <f t="shared" si="648"/>
        <v>1.2519</v>
      </c>
      <c r="CA451" s="2436">
        <f ca="1">SUMIF($AM$10:$CA$10,$CA$9,AM451:BZ451)</f>
        <v>9176555.3973332606</v>
      </c>
      <c r="CB451" s="1116">
        <f t="shared" ca="1" si="645"/>
        <v>0.97557649273898861</v>
      </c>
      <c r="CC451" s="514"/>
      <c r="CD451" s="1104"/>
      <c r="CE451" s="1105"/>
      <c r="CF451" s="1105"/>
      <c r="CG451" s="514"/>
      <c r="CH451" s="1106"/>
      <c r="CI451" s="514"/>
      <c r="CJ451" s="514"/>
      <c r="CK451" s="514"/>
      <c r="CL451" s="329">
        <f t="shared" ca="1" si="551"/>
        <v>229734.60266673937</v>
      </c>
      <c r="CM451" s="330">
        <f t="shared" ca="1" si="552"/>
        <v>0</v>
      </c>
      <c r="CN451" s="331">
        <f t="shared" ca="1" si="517"/>
        <v>-6929532.6290447423</v>
      </c>
      <c r="CO451" s="86"/>
      <c r="CP451" s="86">
        <f t="shared" si="579"/>
        <v>64500</v>
      </c>
      <c r="CQ451" s="86"/>
      <c r="CR451" s="86"/>
      <c r="CS451" s="86"/>
      <c r="CT451" s="86"/>
      <c r="CU451" s="86"/>
      <c r="CV451" s="86"/>
      <c r="CW451" s="86"/>
      <c r="CX451" s="86"/>
      <c r="CY451" s="86"/>
      <c r="CZ451" s="86"/>
      <c r="DA451" s="86"/>
      <c r="DB451" s="32"/>
      <c r="DC451" s="32"/>
      <c r="DD451" s="32"/>
      <c r="DF451" s="1658"/>
      <c r="DG451" s="35"/>
      <c r="DH451" s="35"/>
    </row>
    <row r="452" spans="1:301" ht="25.25" customHeight="1">
      <c r="A452" s="2687" t="s">
        <v>44</v>
      </c>
      <c r="B452" s="1093"/>
      <c r="C452" s="1508" t="s">
        <v>1422</v>
      </c>
      <c r="D452" s="185"/>
      <c r="E452" s="1119"/>
      <c r="F452" s="1120"/>
      <c r="G452" s="1121"/>
      <c r="H452" s="1122"/>
      <c r="I452" s="2527">
        <f>I442*1.4%</f>
        <v>8839404</v>
      </c>
      <c r="J452" s="863"/>
      <c r="K452" s="1847"/>
      <c r="L452" s="1848"/>
      <c r="M452" s="1098">
        <f>O442*0.014</f>
        <v>8779204</v>
      </c>
      <c r="N452" s="1849">
        <v>1</v>
      </c>
      <c r="O452" s="1112">
        <f>M452*N452</f>
        <v>8779204</v>
      </c>
      <c r="P452" s="871"/>
      <c r="Q452" s="871"/>
      <c r="R452" s="871"/>
      <c r="S452" s="868"/>
      <c r="T452" s="871"/>
      <c r="U452" s="872"/>
      <c r="V452" s="872"/>
      <c r="W452" s="868">
        <f>O452+S452</f>
        <v>8779204</v>
      </c>
      <c r="X452" s="1850"/>
      <c r="Y452" s="871"/>
      <c r="Z452" s="872">
        <f t="shared" si="642"/>
        <v>8682317.7175110374</v>
      </c>
      <c r="AA452" s="872"/>
      <c r="AB452" s="870">
        <f>SUM(AM452:BZ452)</f>
        <v>8682317.7175110374</v>
      </c>
      <c r="AC452" s="1113"/>
      <c r="AD452" s="1492"/>
      <c r="AE452" s="1113"/>
      <c r="AF452" s="1114"/>
      <c r="AG452" s="1115">
        <v>1</v>
      </c>
      <c r="AH452" s="2092">
        <f>+AF452*AG452</f>
        <v>0</v>
      </c>
      <c r="AI452" s="579">
        <f t="shared" si="646"/>
        <v>117532.68</v>
      </c>
      <c r="AJ452" s="1116">
        <f t="shared" si="643"/>
        <v>1.3537016707296116E-2</v>
      </c>
      <c r="AK452" s="1117"/>
      <c r="AL452" s="1117"/>
      <c r="AM452" s="2299"/>
      <c r="AN452" s="2299"/>
      <c r="AO452" s="1114">
        <v>117532.68</v>
      </c>
      <c r="AP452" s="1114">
        <f>1.4%*AP449</f>
        <v>111631.18077075054</v>
      </c>
      <c r="AQ452" s="1114">
        <f t="shared" ref="AQ452:BX452" si="649">1.4%*AQ449</f>
        <v>126206.89704831096</v>
      </c>
      <c r="AR452" s="1114">
        <f t="shared" si="649"/>
        <v>154640.76438398979</v>
      </c>
      <c r="AS452" s="1114">
        <f t="shared" si="649"/>
        <v>178101.13211025798</v>
      </c>
      <c r="AT452" s="1114">
        <f t="shared" si="649"/>
        <v>185819.40742101124</v>
      </c>
      <c r="AU452" s="1114">
        <f t="shared" si="649"/>
        <v>199006.35065097269</v>
      </c>
      <c r="AV452" s="1114">
        <f t="shared" si="649"/>
        <v>285016.11613760283</v>
      </c>
      <c r="AW452" s="1114">
        <f t="shared" si="649"/>
        <v>342714.38441196346</v>
      </c>
      <c r="AX452" s="1114">
        <f t="shared" si="649"/>
        <v>284716.23041711719</v>
      </c>
      <c r="AY452" s="1118">
        <f t="shared" si="649"/>
        <v>326255.0590506412</v>
      </c>
      <c r="AZ452" s="2299">
        <f t="shared" si="649"/>
        <v>442699.3045050184</v>
      </c>
      <c r="BA452" s="1114">
        <f t="shared" si="649"/>
        <v>508199.55253491882</v>
      </c>
      <c r="BB452" s="1114">
        <f t="shared" si="649"/>
        <v>604108.27922502498</v>
      </c>
      <c r="BC452" s="1114">
        <f t="shared" si="649"/>
        <v>532223.07799548155</v>
      </c>
      <c r="BD452" s="1114">
        <f t="shared" si="649"/>
        <v>552196.40185378969</v>
      </c>
      <c r="BE452" s="1114">
        <f t="shared" si="649"/>
        <v>469753.95751949161</v>
      </c>
      <c r="BF452" s="1114">
        <f t="shared" si="649"/>
        <v>410958.96921548538</v>
      </c>
      <c r="BG452" s="1114">
        <f t="shared" si="649"/>
        <v>316339.75981247908</v>
      </c>
      <c r="BH452" s="1114">
        <f t="shared" si="649"/>
        <v>394834.68619217089</v>
      </c>
      <c r="BI452" s="1114">
        <f t="shared" si="649"/>
        <v>210352.45283173589</v>
      </c>
      <c r="BJ452" s="1100">
        <f t="shared" si="649"/>
        <v>174109.76855128864</v>
      </c>
      <c r="BK452" s="2165">
        <f t="shared" si="649"/>
        <v>302488.57050434535</v>
      </c>
      <c r="BL452" s="1114">
        <f t="shared" si="649"/>
        <v>103425.75340815834</v>
      </c>
      <c r="BM452" s="1114">
        <f t="shared" si="649"/>
        <v>61834.126164926434</v>
      </c>
      <c r="BN452" s="1114">
        <f t="shared" si="649"/>
        <v>56592.234863968428</v>
      </c>
      <c r="BO452" s="1114">
        <f t="shared" si="649"/>
        <v>18173.753911692696</v>
      </c>
      <c r="BP452" s="1114">
        <f t="shared" si="649"/>
        <v>61679.473130033904</v>
      </c>
      <c r="BQ452" s="1114">
        <f t="shared" si="649"/>
        <v>23841.771910024767</v>
      </c>
      <c r="BR452" s="1114">
        <f t="shared" si="649"/>
        <v>349314.29055130057</v>
      </c>
      <c r="BS452" s="1114">
        <f t="shared" si="649"/>
        <v>6680.180056204149</v>
      </c>
      <c r="BT452" s="1114">
        <f t="shared" si="649"/>
        <v>8602.7709363330778</v>
      </c>
      <c r="BU452" s="1114">
        <f t="shared" si="649"/>
        <v>764.04690137307989</v>
      </c>
      <c r="BV452" s="1114">
        <f t="shared" si="649"/>
        <v>764.04690137307989</v>
      </c>
      <c r="BW452" s="1114">
        <f t="shared" si="649"/>
        <v>760739.11719180271</v>
      </c>
      <c r="BX452" s="1114">
        <f t="shared" si="649"/>
        <v>0</v>
      </c>
      <c r="BY452" s="1114">
        <f>BY449*1.4%</f>
        <v>0</v>
      </c>
      <c r="BZ452" s="1114">
        <f>BZ449*1.4%</f>
        <v>1.1684399999999999</v>
      </c>
      <c r="CA452" s="2436">
        <f ca="1">SUMIF($AN$10:$CA$10,$CA$9,AN452:BZ452)</f>
        <v>8564785.0375110358</v>
      </c>
      <c r="CB452" s="1116">
        <f t="shared" ca="1" si="645"/>
        <v>0.98646298329270365</v>
      </c>
      <c r="CC452" s="514"/>
      <c r="CD452" s="1104"/>
      <c r="CE452" s="1105"/>
      <c r="CF452" s="1105"/>
      <c r="CG452" s="514"/>
      <c r="CH452" s="1106"/>
      <c r="CI452" s="514"/>
      <c r="CJ452" s="514"/>
      <c r="CK452" s="514"/>
      <c r="CL452" s="329">
        <f t="shared" ca="1" si="551"/>
        <v>214418.9624889642</v>
      </c>
      <c r="CM452" s="330">
        <f t="shared" ca="1" si="552"/>
        <v>0</v>
      </c>
      <c r="CN452" s="331">
        <f t="shared" ca="1" si="517"/>
        <v>-6370677.5151084177</v>
      </c>
      <c r="CO452" s="86"/>
      <c r="CP452" s="86">
        <f t="shared" si="579"/>
        <v>60200</v>
      </c>
      <c r="CQ452" s="86"/>
      <c r="CR452" s="86"/>
      <c r="CS452" s="86"/>
      <c r="CT452" s="86"/>
      <c r="CU452" s="86"/>
      <c r="CV452" s="86"/>
      <c r="CW452" s="86"/>
      <c r="CX452" s="86"/>
      <c r="CY452" s="86"/>
      <c r="CZ452" s="86"/>
      <c r="DA452" s="86"/>
      <c r="DB452" s="32"/>
      <c r="DC452" s="32"/>
      <c r="DD452" s="32"/>
      <c r="DF452" s="1658"/>
      <c r="DG452" s="35"/>
      <c r="DH452" s="35"/>
    </row>
    <row r="453" spans="1:301" ht="25.25" customHeight="1">
      <c r="A453" s="2687" t="s">
        <v>45</v>
      </c>
      <c r="B453" s="1093"/>
      <c r="C453" s="125" t="s">
        <v>1423</v>
      </c>
      <c r="D453" s="185"/>
      <c r="E453" s="1119"/>
      <c r="F453" s="1120"/>
      <c r="G453" s="1121"/>
      <c r="H453" s="1122"/>
      <c r="I453" s="2527">
        <f>I442*0.24%</f>
        <v>1515326.4</v>
      </c>
      <c r="J453" s="863"/>
      <c r="K453" s="1847"/>
      <c r="L453" s="1848"/>
      <c r="M453" s="1098">
        <f>O442*0.0024</f>
        <v>1505006.4</v>
      </c>
      <c r="N453" s="1849">
        <v>1</v>
      </c>
      <c r="O453" s="1112">
        <f>M453*N453</f>
        <v>1505006.4</v>
      </c>
      <c r="P453" s="871"/>
      <c r="Q453" s="871"/>
      <c r="R453" s="871"/>
      <c r="S453" s="868"/>
      <c r="T453" s="871"/>
      <c r="U453" s="872"/>
      <c r="V453" s="872"/>
      <c r="W453" s="868">
        <f>O453+S453</f>
        <v>1505006.4</v>
      </c>
      <c r="X453" s="1850"/>
      <c r="Y453" s="871"/>
      <c r="Z453" s="872">
        <f t="shared" si="642"/>
        <v>1488397.3235733213</v>
      </c>
      <c r="AA453" s="872"/>
      <c r="AB453" s="870">
        <f t="shared" ref="AB453:AB462" si="650">SUM(AN453:BZ453)</f>
        <v>1488397.3235733213</v>
      </c>
      <c r="AC453" s="1113"/>
      <c r="AD453" s="1492"/>
      <c r="AE453" s="1113"/>
      <c r="AF453" s="1114"/>
      <c r="AG453" s="1115">
        <v>1</v>
      </c>
      <c r="AH453" s="2092">
        <f t="shared" ref="AH453:AH457" si="651">+AF453*AG453</f>
        <v>0</v>
      </c>
      <c r="AI453" s="579">
        <f t="shared" si="646"/>
        <v>20148.46</v>
      </c>
      <c r="AJ453" s="1116">
        <f t="shared" si="643"/>
        <v>1.3537017086021015E-2</v>
      </c>
      <c r="AK453" s="1117"/>
      <c r="AL453" s="1117"/>
      <c r="AM453" s="2299"/>
      <c r="AN453" s="2299"/>
      <c r="AO453" s="1114">
        <v>20148.46</v>
      </c>
      <c r="AP453" s="1114">
        <f>0.24%*AP449</f>
        <v>19136.773846414377</v>
      </c>
      <c r="AQ453" s="1114">
        <f t="shared" ref="AQ453:BX453" si="652">0.24%*AQ449</f>
        <v>21635.468065424739</v>
      </c>
      <c r="AR453" s="1114">
        <f t="shared" si="652"/>
        <v>26509.845322969679</v>
      </c>
      <c r="AS453" s="1114">
        <f t="shared" si="652"/>
        <v>30531.622647472799</v>
      </c>
      <c r="AT453" s="1114">
        <f t="shared" si="652"/>
        <v>31854.755557887642</v>
      </c>
      <c r="AU453" s="1114">
        <f t="shared" si="652"/>
        <v>34115.374397309606</v>
      </c>
      <c r="AV453" s="1114">
        <f t="shared" si="652"/>
        <v>48859.90562358906</v>
      </c>
      <c r="AW453" s="1114">
        <f t="shared" si="652"/>
        <v>58751.037327765167</v>
      </c>
      <c r="AX453" s="1114">
        <f t="shared" si="652"/>
        <v>48808.496642934369</v>
      </c>
      <c r="AY453" s="1118">
        <f t="shared" si="652"/>
        <v>55929.438694395642</v>
      </c>
      <c r="AZ453" s="2299">
        <f t="shared" si="652"/>
        <v>75891.309343717439</v>
      </c>
      <c r="BA453" s="1114">
        <f t="shared" si="652"/>
        <v>87119.923291700368</v>
      </c>
      <c r="BB453" s="1114">
        <f t="shared" si="652"/>
        <v>103561.41929571857</v>
      </c>
      <c r="BC453" s="1114">
        <f t="shared" si="652"/>
        <v>91238.241942082546</v>
      </c>
      <c r="BD453" s="1114">
        <f t="shared" si="652"/>
        <v>94662.240317792515</v>
      </c>
      <c r="BE453" s="1114">
        <f t="shared" si="652"/>
        <v>80529.249860484284</v>
      </c>
      <c r="BF453" s="1114">
        <f t="shared" si="652"/>
        <v>70450.10900836892</v>
      </c>
      <c r="BG453" s="1114">
        <f t="shared" si="652"/>
        <v>54229.673110710697</v>
      </c>
      <c r="BH453" s="1114">
        <f t="shared" si="652"/>
        <v>67685.946204372158</v>
      </c>
      <c r="BI453" s="1114">
        <f t="shared" si="652"/>
        <v>36060.420485440438</v>
      </c>
      <c r="BJ453" s="1114">
        <f t="shared" si="652"/>
        <v>29847.388894506625</v>
      </c>
      <c r="BK453" s="2166">
        <f t="shared" si="652"/>
        <v>51855.183515030636</v>
      </c>
      <c r="BL453" s="1114">
        <f t="shared" si="652"/>
        <v>17730.129155684288</v>
      </c>
      <c r="BM453" s="1114">
        <f t="shared" si="652"/>
        <v>10600.135913987389</v>
      </c>
      <c r="BN453" s="1114">
        <f t="shared" si="652"/>
        <v>9701.525976680301</v>
      </c>
      <c r="BO453" s="1114">
        <f t="shared" si="652"/>
        <v>3115.500670575891</v>
      </c>
      <c r="BP453" s="1114">
        <f t="shared" si="652"/>
        <v>10573.62396514867</v>
      </c>
      <c r="BQ453" s="1114">
        <f t="shared" si="652"/>
        <v>4087.1608988613889</v>
      </c>
      <c r="BR453" s="1114">
        <f t="shared" si="652"/>
        <v>59882.449808794387</v>
      </c>
      <c r="BS453" s="1114">
        <f t="shared" si="652"/>
        <v>1145.1737239207112</v>
      </c>
      <c r="BT453" s="1114">
        <f t="shared" si="652"/>
        <v>1474.7607319428134</v>
      </c>
      <c r="BU453" s="1114">
        <f t="shared" si="652"/>
        <v>130.97946880681371</v>
      </c>
      <c r="BV453" s="1114">
        <f t="shared" si="652"/>
        <v>130.97946880681371</v>
      </c>
      <c r="BW453" s="1123">
        <f t="shared" si="652"/>
        <v>130412.42009002331</v>
      </c>
      <c r="BX453" s="2478">
        <f t="shared" si="652"/>
        <v>0</v>
      </c>
      <c r="BY453" s="1114">
        <f>BY449*0.24%</f>
        <v>0</v>
      </c>
      <c r="BZ453" s="1114">
        <f>BZ449*0.24%</f>
        <v>0.20030400000000001</v>
      </c>
      <c r="CA453" s="2436">
        <f t="shared" ref="CA453:CA454" ca="1" si="653">SUMIF($AN$10:$CA$10,$CA$9,AN453:BZ453)</f>
        <v>1468248.8635733209</v>
      </c>
      <c r="CB453" s="1116">
        <f t="shared" ref="CB453:CB454" ca="1" si="654">IF($AB453&lt;&gt;0,CA453/$AB453,"")</f>
        <v>0.98646298291397871</v>
      </c>
      <c r="CC453" s="514"/>
      <c r="CD453" s="1104"/>
      <c r="CE453" s="1105"/>
      <c r="CF453" s="1105"/>
      <c r="CG453" s="514"/>
      <c r="CH453" s="1106"/>
      <c r="CI453" s="514"/>
      <c r="CJ453" s="514"/>
      <c r="CK453" s="514"/>
      <c r="CL453" s="329">
        <f t="shared" ca="1" si="551"/>
        <v>36757.536426678998</v>
      </c>
      <c r="CM453" s="330">
        <f t="shared" ca="1" si="552"/>
        <v>0</v>
      </c>
      <c r="CN453" s="331">
        <f t="shared" ca="1" si="517"/>
        <v>-1092116.1454471578</v>
      </c>
      <c r="CO453" s="86"/>
      <c r="CP453" s="86"/>
      <c r="CQ453" s="86"/>
      <c r="CR453" s="86"/>
      <c r="CS453" s="86"/>
      <c r="CT453" s="86"/>
      <c r="CU453" s="86"/>
      <c r="CV453" s="86"/>
      <c r="CW453" s="86"/>
      <c r="CX453" s="86"/>
      <c r="CY453" s="86"/>
      <c r="CZ453" s="86"/>
      <c r="DA453" s="86"/>
      <c r="DB453" s="32"/>
      <c r="DC453" s="32"/>
      <c r="DD453" s="32"/>
      <c r="DF453" s="1658"/>
      <c r="DG453" s="35"/>
      <c r="DH453" s="35"/>
    </row>
    <row r="454" spans="1:301" ht="25.25" customHeight="1" outlineLevel="1">
      <c r="A454" s="2687" t="s">
        <v>46</v>
      </c>
      <c r="B454" s="1093"/>
      <c r="C454" s="126"/>
      <c r="D454" s="186"/>
      <c r="E454" s="1107"/>
      <c r="F454" s="1108"/>
      <c r="G454" s="1109"/>
      <c r="H454" s="1110"/>
      <c r="I454" s="2527"/>
      <c r="J454" s="863"/>
      <c r="K454" s="1847"/>
      <c r="L454" s="1848"/>
      <c r="M454" s="1851"/>
      <c r="N454" s="1849"/>
      <c r="O454" s="1112"/>
      <c r="P454" s="871"/>
      <c r="Q454" s="871"/>
      <c r="R454" s="871"/>
      <c r="S454" s="868"/>
      <c r="T454" s="871"/>
      <c r="U454" s="872"/>
      <c r="V454" s="872"/>
      <c r="W454" s="868"/>
      <c r="X454" s="1850"/>
      <c r="Y454" s="871"/>
      <c r="Z454" s="872">
        <f t="shared" si="642"/>
        <v>0</v>
      </c>
      <c r="AA454" s="872"/>
      <c r="AB454" s="870">
        <f t="shared" si="650"/>
        <v>0</v>
      </c>
      <c r="AC454" s="1113"/>
      <c r="AD454" s="1492"/>
      <c r="AE454" s="1113"/>
      <c r="AF454" s="1125"/>
      <c r="AG454" s="1115">
        <v>1</v>
      </c>
      <c r="AH454" s="2092">
        <f t="shared" si="651"/>
        <v>0</v>
      </c>
      <c r="AI454" s="579">
        <f t="shared" si="646"/>
        <v>0</v>
      </c>
      <c r="AJ454" s="1116" t="str">
        <f t="shared" si="643"/>
        <v/>
      </c>
      <c r="AK454" s="1117"/>
      <c r="AL454" s="1117"/>
      <c r="AM454" s="2299"/>
      <c r="AN454" s="2299"/>
      <c r="AO454" s="1128"/>
      <c r="AP454" s="1129"/>
      <c r="AQ454" s="1128"/>
      <c r="AR454" s="1130"/>
      <c r="AS454" s="1130"/>
      <c r="AT454" s="1130"/>
      <c r="AU454" s="1130"/>
      <c r="AV454" s="1130"/>
      <c r="AW454" s="1114"/>
      <c r="AX454" s="1114"/>
      <c r="AY454" s="1118"/>
      <c r="AZ454" s="2356"/>
      <c r="BA454" s="1130"/>
      <c r="BB454" s="1114"/>
      <c r="BC454" s="1132"/>
      <c r="BD454" s="1130"/>
      <c r="BE454" s="1114"/>
      <c r="BF454" s="1114"/>
      <c r="BG454" s="1114"/>
      <c r="BH454" s="1114"/>
      <c r="BI454" s="1114"/>
      <c r="BJ454" s="1114"/>
      <c r="BK454" s="2167"/>
      <c r="BL454" s="1130"/>
      <c r="BM454" s="1114"/>
      <c r="BN454" s="1114"/>
      <c r="BO454" s="1114"/>
      <c r="BP454" s="1114"/>
      <c r="BQ454" s="1114"/>
      <c r="BR454" s="1114"/>
      <c r="BS454" s="1114"/>
      <c r="BT454" s="1114"/>
      <c r="BU454" s="1114"/>
      <c r="BV454" s="1114"/>
      <c r="BW454" s="1132"/>
      <c r="BX454" s="2479"/>
      <c r="BY454" s="2562"/>
      <c r="BZ454" s="2562"/>
      <c r="CA454" s="2436">
        <f t="shared" ca="1" si="653"/>
        <v>0</v>
      </c>
      <c r="CB454" s="1116" t="str">
        <f t="shared" si="654"/>
        <v/>
      </c>
      <c r="CC454" s="514"/>
      <c r="CD454" s="1104"/>
      <c r="CE454" s="1105"/>
      <c r="CF454" s="1105"/>
      <c r="CG454" s="514"/>
      <c r="CH454" s="1106"/>
      <c r="CI454" s="514"/>
      <c r="CJ454" s="514"/>
      <c r="CK454" s="514"/>
      <c r="CL454" s="329">
        <f t="shared" ca="1" si="551"/>
        <v>0</v>
      </c>
      <c r="CM454" s="330">
        <f t="shared" ca="1" si="552"/>
        <v>0</v>
      </c>
      <c r="CN454" s="331">
        <f t="shared" ca="1" si="517"/>
        <v>0</v>
      </c>
      <c r="CO454" s="86"/>
      <c r="CP454" s="86" t="e">
        <f>#REF!-O454</f>
        <v>#REF!</v>
      </c>
      <c r="CQ454" s="86"/>
      <c r="CR454" s="86"/>
      <c r="CS454" s="86"/>
      <c r="CT454" s="86"/>
      <c r="CU454" s="86"/>
      <c r="CV454" s="86"/>
      <c r="CW454" s="86"/>
      <c r="CX454" s="86"/>
      <c r="CY454" s="86"/>
      <c r="CZ454" s="86"/>
      <c r="DA454" s="86"/>
      <c r="DB454" s="32"/>
      <c r="DC454" s="32"/>
      <c r="DD454" s="32"/>
      <c r="DF454" s="1658"/>
      <c r="DG454" s="35"/>
      <c r="DH454" s="35"/>
    </row>
    <row r="455" spans="1:301" ht="25.25" customHeight="1" outlineLevel="1">
      <c r="A455" s="2688" t="s">
        <v>47</v>
      </c>
      <c r="B455" s="1133"/>
      <c r="C455" s="127"/>
      <c r="D455" s="187"/>
      <c r="E455" s="1119"/>
      <c r="F455" s="1120"/>
      <c r="G455" s="1121"/>
      <c r="H455" s="1122"/>
      <c r="I455" s="1124"/>
      <c r="J455" s="863"/>
      <c r="K455" s="1847"/>
      <c r="L455" s="1848"/>
      <c r="M455" s="1851"/>
      <c r="N455" s="1849"/>
      <c r="O455" s="1112"/>
      <c r="P455" s="871"/>
      <c r="Q455" s="871"/>
      <c r="R455" s="871"/>
      <c r="S455" s="868"/>
      <c r="T455" s="871"/>
      <c r="U455" s="872"/>
      <c r="V455" s="872"/>
      <c r="W455" s="868"/>
      <c r="X455" s="1850"/>
      <c r="Y455" s="871"/>
      <c r="Z455" s="872">
        <f t="shared" si="642"/>
        <v>0</v>
      </c>
      <c r="AA455" s="872"/>
      <c r="AB455" s="870">
        <f t="shared" si="650"/>
        <v>0</v>
      </c>
      <c r="AC455" s="1113"/>
      <c r="AD455" s="1492"/>
      <c r="AE455" s="1113"/>
      <c r="AF455" s="1125"/>
      <c r="AG455" s="1115">
        <v>1</v>
      </c>
      <c r="AH455" s="2092">
        <f t="shared" si="651"/>
        <v>0</v>
      </c>
      <c r="AI455" s="579">
        <f t="shared" si="646"/>
        <v>0</v>
      </c>
      <c r="AJ455" s="1116" t="str">
        <f t="shared" si="643"/>
        <v/>
      </c>
      <c r="AK455" s="1117"/>
      <c r="AL455" s="1117"/>
      <c r="AM455" s="2299"/>
      <c r="AN455" s="2299"/>
      <c r="AO455" s="1134"/>
      <c r="AP455" s="1135"/>
      <c r="AQ455" s="1134"/>
      <c r="AR455" s="1130"/>
      <c r="AS455" s="1130"/>
      <c r="AT455" s="1130"/>
      <c r="AU455" s="1130"/>
      <c r="AV455" s="1130"/>
      <c r="AW455" s="1127"/>
      <c r="AX455" s="1127"/>
      <c r="AY455" s="1131"/>
      <c r="AZ455" s="2356"/>
      <c r="BA455" s="1130"/>
      <c r="BB455" s="1127"/>
      <c r="BC455" s="1132"/>
      <c r="BD455" s="1130"/>
      <c r="BE455" s="1127"/>
      <c r="BF455" s="1130"/>
      <c r="BG455" s="1114"/>
      <c r="BH455" s="1130"/>
      <c r="BI455" s="1114"/>
      <c r="BJ455" s="1114"/>
      <c r="BK455" s="2167"/>
      <c r="BL455" s="1130"/>
      <c r="BM455" s="1127"/>
      <c r="BN455" s="1130"/>
      <c r="BO455" s="1114"/>
      <c r="BP455" s="1130"/>
      <c r="BQ455" s="1130"/>
      <c r="BR455" s="1130"/>
      <c r="BS455" s="1130"/>
      <c r="BT455" s="1130"/>
      <c r="BU455" s="1130"/>
      <c r="BV455" s="1130"/>
      <c r="BW455" s="1132"/>
      <c r="BX455" s="2479"/>
      <c r="BY455" s="2562"/>
      <c r="BZ455" s="2562"/>
      <c r="CA455" s="2452">
        <f t="shared" ref="CA455:CA462" si="655">SUMIF($AN$10:$AY$10,$CA$9,AN455:AY455)</f>
        <v>0</v>
      </c>
      <c r="CB455" s="1116" t="str">
        <f t="shared" si="645"/>
        <v/>
      </c>
      <c r="CC455" s="514"/>
      <c r="CD455" s="1104"/>
      <c r="CE455" s="1105"/>
      <c r="CF455" s="1105"/>
      <c r="CG455" s="514"/>
      <c r="CH455" s="1106"/>
      <c r="CI455" s="514"/>
      <c r="CJ455" s="514"/>
      <c r="CK455" s="514"/>
      <c r="CL455" s="329">
        <f t="shared" si="551"/>
        <v>0</v>
      </c>
      <c r="CM455" s="330">
        <f t="shared" si="552"/>
        <v>0</v>
      </c>
      <c r="CN455" s="331">
        <f t="shared" si="517"/>
        <v>0</v>
      </c>
      <c r="CO455" s="86"/>
      <c r="CP455" s="86">
        <f t="shared" ref="CP455:CP477" si="656">I455-O455</f>
        <v>0</v>
      </c>
      <c r="CQ455" s="86"/>
      <c r="CR455" s="86"/>
      <c r="CS455" s="86"/>
      <c r="CT455" s="86"/>
      <c r="CU455" s="86"/>
      <c r="CV455" s="86"/>
      <c r="CW455" s="86"/>
      <c r="CX455" s="86"/>
      <c r="CY455" s="86"/>
      <c r="CZ455" s="86"/>
      <c r="DA455" s="86"/>
      <c r="DB455" s="32"/>
      <c r="DC455" s="32"/>
      <c r="DD455" s="32"/>
      <c r="DF455" s="1658"/>
      <c r="DG455" s="35"/>
      <c r="DH455" s="35"/>
    </row>
    <row r="456" spans="1:301" ht="25.25" customHeight="1" outlineLevel="1">
      <c r="A456" s="2687" t="s">
        <v>48</v>
      </c>
      <c r="B456" s="1093"/>
      <c r="C456" s="117"/>
      <c r="D456" s="188"/>
      <c r="E456" s="1119"/>
      <c r="F456" s="1120"/>
      <c r="G456" s="1121"/>
      <c r="H456" s="1122"/>
      <c r="I456" s="1124"/>
      <c r="J456" s="863"/>
      <c r="K456" s="1847"/>
      <c r="L456" s="1848"/>
      <c r="M456" s="1851"/>
      <c r="N456" s="1849"/>
      <c r="O456" s="1112"/>
      <c r="P456" s="871"/>
      <c r="Q456" s="871"/>
      <c r="R456" s="871"/>
      <c r="S456" s="868"/>
      <c r="T456" s="871"/>
      <c r="U456" s="872"/>
      <c r="V456" s="872"/>
      <c r="W456" s="868"/>
      <c r="X456" s="1850"/>
      <c r="Y456" s="871"/>
      <c r="Z456" s="872">
        <f t="shared" si="642"/>
        <v>0</v>
      </c>
      <c r="AA456" s="872"/>
      <c r="AB456" s="870">
        <f t="shared" si="650"/>
        <v>0</v>
      </c>
      <c r="AC456" s="1113"/>
      <c r="AD456" s="1492"/>
      <c r="AE456" s="1113"/>
      <c r="AF456" s="1125"/>
      <c r="AG456" s="1115">
        <v>1</v>
      </c>
      <c r="AH456" s="2092">
        <f t="shared" si="651"/>
        <v>0</v>
      </c>
      <c r="AI456" s="579">
        <f t="shared" si="646"/>
        <v>0</v>
      </c>
      <c r="AJ456" s="1116" t="str">
        <f t="shared" si="643"/>
        <v/>
      </c>
      <c r="AK456" s="1117"/>
      <c r="AL456" s="1117"/>
      <c r="AM456" s="2300"/>
      <c r="AN456" s="2300"/>
      <c r="AO456" s="1128"/>
      <c r="AP456" s="1129"/>
      <c r="AQ456" s="1134"/>
      <c r="AR456" s="1130"/>
      <c r="AS456" s="1130"/>
      <c r="AT456" s="1130"/>
      <c r="AU456" s="1130"/>
      <c r="AV456" s="1130"/>
      <c r="AW456" s="1130"/>
      <c r="AX456" s="1130"/>
      <c r="AY456" s="1136"/>
      <c r="AZ456" s="2357"/>
      <c r="BA456" s="1130"/>
      <c r="BB456" s="1130"/>
      <c r="BC456" s="1137"/>
      <c r="BD456" s="1130"/>
      <c r="BE456" s="1130"/>
      <c r="BF456" s="1130"/>
      <c r="BG456" s="1127"/>
      <c r="BH456" s="1130"/>
      <c r="BI456" s="1127"/>
      <c r="BJ456" s="1114"/>
      <c r="BK456" s="2168"/>
      <c r="BL456" s="1130"/>
      <c r="BM456" s="1130"/>
      <c r="BN456" s="1130"/>
      <c r="BO456" s="1127"/>
      <c r="BP456" s="1130"/>
      <c r="BQ456" s="1130"/>
      <c r="BR456" s="1130"/>
      <c r="BS456" s="1130"/>
      <c r="BT456" s="1130"/>
      <c r="BU456" s="1130"/>
      <c r="BV456" s="1130"/>
      <c r="BW456" s="1137"/>
      <c r="BX456" s="2394"/>
      <c r="BY456" s="2452"/>
      <c r="BZ456" s="2452"/>
      <c r="CA456" s="2452">
        <f t="shared" si="655"/>
        <v>0</v>
      </c>
      <c r="CB456" s="1116" t="str">
        <f t="shared" si="645"/>
        <v/>
      </c>
      <c r="CC456" s="514"/>
      <c r="CD456" s="1104"/>
      <c r="CE456" s="1105"/>
      <c r="CF456" s="1105"/>
      <c r="CG456" s="514"/>
      <c r="CH456" s="1106"/>
      <c r="CI456" s="514"/>
      <c r="CJ456" s="514"/>
      <c r="CK456" s="514"/>
      <c r="CL456" s="329">
        <f t="shared" si="551"/>
        <v>0</v>
      </c>
      <c r="CM456" s="330">
        <f t="shared" si="552"/>
        <v>0</v>
      </c>
      <c r="CN456" s="331">
        <f t="shared" ref="CN456:CN478" si="657">SUM(AN456:AY456)-CA456-AI456</f>
        <v>0</v>
      </c>
      <c r="CO456" s="86"/>
      <c r="CP456" s="86">
        <f t="shared" si="656"/>
        <v>0</v>
      </c>
      <c r="CQ456" s="86"/>
      <c r="CR456" s="86"/>
      <c r="CS456" s="86"/>
      <c r="CT456" s="86"/>
      <c r="CU456" s="86"/>
      <c r="CV456" s="86"/>
      <c r="CW456" s="86"/>
      <c r="CX456" s="86"/>
      <c r="CY456" s="86"/>
      <c r="CZ456" s="86"/>
      <c r="DA456" s="86"/>
      <c r="DB456" s="32"/>
      <c r="DC456" s="32"/>
      <c r="DD456" s="32"/>
      <c r="DF456" s="1658"/>
      <c r="DG456" s="35"/>
      <c r="DH456" s="35"/>
    </row>
    <row r="457" spans="1:301" ht="25.25" customHeight="1" outlineLevel="1">
      <c r="A457" s="2688" t="s">
        <v>50</v>
      </c>
      <c r="B457" s="1133"/>
      <c r="C457" s="126"/>
      <c r="D457" s="186"/>
      <c r="E457" s="1107"/>
      <c r="F457" s="1108"/>
      <c r="G457" s="1109"/>
      <c r="H457" s="1110"/>
      <c r="I457" s="1124"/>
      <c r="J457" s="863"/>
      <c r="K457" s="1847"/>
      <c r="L457" s="1848"/>
      <c r="M457" s="1851"/>
      <c r="N457" s="1849"/>
      <c r="O457" s="1112"/>
      <c r="P457" s="871"/>
      <c r="Q457" s="871"/>
      <c r="R457" s="871"/>
      <c r="S457" s="868"/>
      <c r="T457" s="871"/>
      <c r="U457" s="872"/>
      <c r="V457" s="872"/>
      <c r="W457" s="868"/>
      <c r="X457" s="1850"/>
      <c r="Y457" s="871"/>
      <c r="Z457" s="872">
        <f t="shared" si="642"/>
        <v>0</v>
      </c>
      <c r="AA457" s="872"/>
      <c r="AB457" s="870">
        <f t="shared" si="650"/>
        <v>0</v>
      </c>
      <c r="AC457" s="1113"/>
      <c r="AD457" s="1492"/>
      <c r="AE457" s="1113"/>
      <c r="AF457" s="1125"/>
      <c r="AG457" s="1115">
        <v>1</v>
      </c>
      <c r="AH457" s="2092">
        <f t="shared" si="651"/>
        <v>0</v>
      </c>
      <c r="AI457" s="579">
        <f t="shared" si="646"/>
        <v>0</v>
      </c>
      <c r="AJ457" s="1116" t="str">
        <f t="shared" si="643"/>
        <v/>
      </c>
      <c r="AK457" s="1117"/>
      <c r="AL457" s="1117"/>
      <c r="AM457" s="2300"/>
      <c r="AN457" s="2300"/>
      <c r="AO457" s="1128"/>
      <c r="AP457" s="1129"/>
      <c r="AQ457" s="1134"/>
      <c r="AR457" s="1130"/>
      <c r="AS457" s="1130"/>
      <c r="AT457" s="1130"/>
      <c r="AU457" s="1130"/>
      <c r="AV457" s="1130"/>
      <c r="AW457" s="1130"/>
      <c r="AX457" s="1130"/>
      <c r="AY457" s="1136"/>
      <c r="AZ457" s="2357"/>
      <c r="BA457" s="1130"/>
      <c r="BB457" s="1130"/>
      <c r="BC457" s="1137"/>
      <c r="BD457" s="1130"/>
      <c r="BE457" s="1130"/>
      <c r="BF457" s="1130"/>
      <c r="BG457" s="1130"/>
      <c r="BH457" s="1130"/>
      <c r="BI457" s="1130"/>
      <c r="BJ457" s="1127"/>
      <c r="BK457" s="2168"/>
      <c r="BL457" s="1130"/>
      <c r="BM457" s="1130"/>
      <c r="BN457" s="1130"/>
      <c r="BO457" s="1130"/>
      <c r="BP457" s="1130"/>
      <c r="BQ457" s="1130"/>
      <c r="BR457" s="1130"/>
      <c r="BS457" s="1130"/>
      <c r="BT457" s="1130"/>
      <c r="BU457" s="1130"/>
      <c r="BV457" s="1130"/>
      <c r="BW457" s="1137"/>
      <c r="BX457" s="2394"/>
      <c r="BY457" s="2452"/>
      <c r="BZ457" s="2452"/>
      <c r="CA457" s="2452">
        <f t="shared" si="655"/>
        <v>0</v>
      </c>
      <c r="CB457" s="1116" t="str">
        <f t="shared" si="645"/>
        <v/>
      </c>
      <c r="CC457" s="514"/>
      <c r="CD457" s="1104"/>
      <c r="CE457" s="1105"/>
      <c r="CF457" s="1105"/>
      <c r="CG457" s="514"/>
      <c r="CH457" s="1106"/>
      <c r="CI457" s="514"/>
      <c r="CJ457" s="514"/>
      <c r="CK457" s="514"/>
      <c r="CL457" s="329">
        <f t="shared" si="551"/>
        <v>0</v>
      </c>
      <c r="CM457" s="330">
        <f t="shared" si="552"/>
        <v>0</v>
      </c>
      <c r="CN457" s="331">
        <f t="shared" si="657"/>
        <v>0</v>
      </c>
      <c r="CO457" s="86"/>
      <c r="CP457" s="86">
        <f t="shared" si="656"/>
        <v>0</v>
      </c>
      <c r="CQ457" s="86"/>
      <c r="CR457" s="86"/>
      <c r="CS457" s="86"/>
      <c r="CT457" s="86"/>
      <c r="CU457" s="86"/>
      <c r="CV457" s="86"/>
      <c r="CW457" s="86"/>
      <c r="CX457" s="86"/>
      <c r="CY457" s="86"/>
      <c r="CZ457" s="86"/>
      <c r="DA457" s="86"/>
      <c r="DB457" s="32"/>
      <c r="DC457" s="32"/>
      <c r="DD457" s="32"/>
      <c r="DF457" s="1658"/>
      <c r="DG457" s="35"/>
      <c r="DH457" s="35"/>
    </row>
    <row r="458" spans="1:301" ht="25.25" customHeight="1" outlineLevel="1">
      <c r="A458" s="2688" t="s">
        <v>51</v>
      </c>
      <c r="B458" s="1133"/>
      <c r="C458" s="117"/>
      <c r="D458" s="188"/>
      <c r="E458" s="1119"/>
      <c r="F458" s="1120"/>
      <c r="G458" s="1121"/>
      <c r="H458" s="1122"/>
      <c r="I458" s="1124"/>
      <c r="J458" s="863"/>
      <c r="K458" s="1847"/>
      <c r="L458" s="1848"/>
      <c r="M458" s="1851"/>
      <c r="N458" s="1849" t="s">
        <v>89</v>
      </c>
      <c r="O458" s="1112"/>
      <c r="P458" s="871"/>
      <c r="Q458" s="871"/>
      <c r="R458" s="871"/>
      <c r="S458" s="868"/>
      <c r="T458" s="871"/>
      <c r="U458" s="872"/>
      <c r="V458" s="872"/>
      <c r="W458" s="868"/>
      <c r="X458" s="1850"/>
      <c r="Y458" s="871"/>
      <c r="Z458" s="872">
        <f t="shared" si="642"/>
        <v>0</v>
      </c>
      <c r="AA458" s="872"/>
      <c r="AB458" s="870">
        <f t="shared" si="650"/>
        <v>0</v>
      </c>
      <c r="AC458" s="1113"/>
      <c r="AD458" s="1492"/>
      <c r="AE458" s="1113"/>
      <c r="AF458" s="1125"/>
      <c r="AG458" s="1115"/>
      <c r="AH458" s="1126"/>
      <c r="AI458" s="855">
        <f t="shared" ref="AI458:AI462" si="658">SUMIF($AN$10:$AY$10,$AI$9,AN458:AY458)</f>
        <v>0</v>
      </c>
      <c r="AJ458" s="1116" t="str">
        <f t="shared" si="643"/>
        <v/>
      </c>
      <c r="AK458" s="1117"/>
      <c r="AL458" s="1117"/>
      <c r="AM458" s="2299"/>
      <c r="AN458" s="2299"/>
      <c r="AO458" s="1134"/>
      <c r="AP458" s="1135"/>
      <c r="AQ458" s="1134"/>
      <c r="AR458" s="1130"/>
      <c r="AS458" s="1130"/>
      <c r="AT458" s="1130"/>
      <c r="AU458" s="1130"/>
      <c r="AV458" s="1130"/>
      <c r="AW458" s="1127"/>
      <c r="AX458" s="1127"/>
      <c r="AY458" s="1131"/>
      <c r="AZ458" s="2356"/>
      <c r="BA458" s="1130"/>
      <c r="BB458" s="1127"/>
      <c r="BC458" s="1132"/>
      <c r="BD458" s="1130"/>
      <c r="BE458" s="1127"/>
      <c r="BF458" s="1130"/>
      <c r="BG458" s="1130"/>
      <c r="BH458" s="1130"/>
      <c r="BI458" s="1130"/>
      <c r="BJ458" s="1130"/>
      <c r="BK458" s="2167"/>
      <c r="BL458" s="1130"/>
      <c r="BM458" s="1127"/>
      <c r="BN458" s="1130"/>
      <c r="BO458" s="1130"/>
      <c r="BP458" s="1130"/>
      <c r="BQ458" s="1130"/>
      <c r="BR458" s="1130"/>
      <c r="BS458" s="1130"/>
      <c r="BT458" s="1130"/>
      <c r="BU458" s="1130"/>
      <c r="BV458" s="1130"/>
      <c r="BW458" s="1132"/>
      <c r="BX458" s="2479"/>
      <c r="BY458" s="2562"/>
      <c r="BZ458" s="2562"/>
      <c r="CA458" s="2452">
        <f t="shared" si="655"/>
        <v>0</v>
      </c>
      <c r="CB458" s="1116" t="str">
        <f t="shared" si="645"/>
        <v/>
      </c>
      <c r="CC458" s="514"/>
      <c r="CD458" s="1104"/>
      <c r="CE458" s="1105"/>
      <c r="CF458" s="1105"/>
      <c r="CG458" s="514"/>
      <c r="CH458" s="1106"/>
      <c r="CI458" s="514"/>
      <c r="CJ458" s="514"/>
      <c r="CK458" s="514"/>
      <c r="CL458" s="329">
        <f t="shared" si="551"/>
        <v>0</v>
      </c>
      <c r="CM458" s="330">
        <f t="shared" si="552"/>
        <v>0</v>
      </c>
      <c r="CN458" s="331">
        <f t="shared" si="657"/>
        <v>0</v>
      </c>
      <c r="CO458" s="86"/>
      <c r="CP458" s="86">
        <f t="shared" si="656"/>
        <v>0</v>
      </c>
      <c r="CQ458" s="86"/>
      <c r="CR458" s="86"/>
      <c r="CS458" s="86"/>
      <c r="CT458" s="86"/>
      <c r="CU458" s="86"/>
      <c r="CV458" s="86"/>
      <c r="CW458" s="86"/>
      <c r="CX458" s="86"/>
      <c r="CY458" s="86"/>
      <c r="CZ458" s="86"/>
      <c r="DA458" s="86"/>
      <c r="DB458" s="32"/>
      <c r="DC458" s="32"/>
      <c r="DD458" s="32"/>
      <c r="DF458" s="1658"/>
      <c r="DG458" s="35"/>
      <c r="DH458" s="35"/>
    </row>
    <row r="459" spans="1:301" ht="25.25" customHeight="1" outlineLevel="1">
      <c r="A459" s="2688" t="s">
        <v>52</v>
      </c>
      <c r="B459" s="1133"/>
      <c r="C459" s="117"/>
      <c r="D459" s="188"/>
      <c r="E459" s="1119"/>
      <c r="F459" s="1120"/>
      <c r="G459" s="1121"/>
      <c r="H459" s="1122"/>
      <c r="I459" s="1124"/>
      <c r="J459" s="863"/>
      <c r="K459" s="1847"/>
      <c r="L459" s="1848"/>
      <c r="M459" s="1851"/>
      <c r="N459" s="1849"/>
      <c r="O459" s="1112"/>
      <c r="P459" s="871"/>
      <c r="Q459" s="871"/>
      <c r="R459" s="871"/>
      <c r="S459" s="868"/>
      <c r="T459" s="871"/>
      <c r="U459" s="872"/>
      <c r="V459" s="872"/>
      <c r="W459" s="868"/>
      <c r="X459" s="1850"/>
      <c r="Y459" s="871"/>
      <c r="Z459" s="872">
        <f t="shared" si="642"/>
        <v>0</v>
      </c>
      <c r="AA459" s="872"/>
      <c r="AB459" s="870">
        <f t="shared" si="650"/>
        <v>0</v>
      </c>
      <c r="AC459" s="2759"/>
      <c r="AD459" s="1492"/>
      <c r="AE459" s="1113"/>
      <c r="AF459" s="1125"/>
      <c r="AG459" s="1115"/>
      <c r="AH459" s="1126"/>
      <c r="AI459" s="855">
        <f t="shared" si="658"/>
        <v>0</v>
      </c>
      <c r="AJ459" s="1116" t="str">
        <f t="shared" si="643"/>
        <v/>
      </c>
      <c r="AK459" s="1117"/>
      <c r="AL459" s="1117"/>
      <c r="AM459" s="2299"/>
      <c r="AN459" s="2299"/>
      <c r="AO459" s="1134"/>
      <c r="AP459" s="1135"/>
      <c r="AQ459" s="1134"/>
      <c r="AR459" s="1130"/>
      <c r="AS459" s="1130"/>
      <c r="AT459" s="1130"/>
      <c r="AU459" s="1130"/>
      <c r="AV459" s="1130"/>
      <c r="AW459" s="1127"/>
      <c r="AX459" s="1127"/>
      <c r="AY459" s="1131"/>
      <c r="AZ459" s="2356"/>
      <c r="BA459" s="1130"/>
      <c r="BB459" s="1127"/>
      <c r="BC459" s="1132"/>
      <c r="BD459" s="1130"/>
      <c r="BE459" s="1127"/>
      <c r="BF459" s="1130"/>
      <c r="BG459" s="1127"/>
      <c r="BH459" s="1130"/>
      <c r="BI459" s="1127"/>
      <c r="BJ459" s="1130"/>
      <c r="BK459" s="2167"/>
      <c r="BL459" s="1130"/>
      <c r="BM459" s="1127"/>
      <c r="BN459" s="1130"/>
      <c r="BO459" s="1127"/>
      <c r="BP459" s="1130"/>
      <c r="BQ459" s="1130"/>
      <c r="BR459" s="1130"/>
      <c r="BS459" s="1130"/>
      <c r="BT459" s="1130"/>
      <c r="BU459" s="1130"/>
      <c r="BV459" s="1130"/>
      <c r="BW459" s="1132"/>
      <c r="BX459" s="2479"/>
      <c r="BY459" s="2562"/>
      <c r="BZ459" s="2562"/>
      <c r="CA459" s="2452">
        <f t="shared" si="655"/>
        <v>0</v>
      </c>
      <c r="CB459" s="1116" t="str">
        <f t="shared" si="645"/>
        <v/>
      </c>
      <c r="CC459" s="514"/>
      <c r="CD459" s="1104"/>
      <c r="CE459" s="1105"/>
      <c r="CF459" s="1105"/>
      <c r="CG459" s="514"/>
      <c r="CH459" s="1106"/>
      <c r="CI459" s="514"/>
      <c r="CJ459" s="514"/>
      <c r="CK459" s="514"/>
      <c r="CL459" s="329">
        <f t="shared" si="551"/>
        <v>0</v>
      </c>
      <c r="CM459" s="330">
        <f t="shared" si="552"/>
        <v>0</v>
      </c>
      <c r="CN459" s="331">
        <f t="shared" si="657"/>
        <v>0</v>
      </c>
      <c r="CO459" s="86"/>
      <c r="CP459" s="86">
        <f t="shared" si="656"/>
        <v>0</v>
      </c>
      <c r="CQ459" s="86"/>
      <c r="CR459" s="86"/>
      <c r="CS459" s="86"/>
      <c r="CT459" s="86"/>
      <c r="CU459" s="86"/>
      <c r="CV459" s="86"/>
      <c r="CW459" s="86"/>
      <c r="CX459" s="86"/>
      <c r="CY459" s="86"/>
      <c r="CZ459" s="86"/>
      <c r="DA459" s="86"/>
      <c r="DB459" s="32"/>
      <c r="DC459" s="32"/>
      <c r="DD459" s="32"/>
      <c r="DF459" s="1658"/>
      <c r="DG459" s="35"/>
      <c r="DH459" s="35"/>
    </row>
    <row r="460" spans="1:301" ht="25.25" customHeight="1" outlineLevel="1">
      <c r="A460" s="2688" t="s">
        <v>53</v>
      </c>
      <c r="B460" s="1133"/>
      <c r="C460" s="117"/>
      <c r="D460" s="188"/>
      <c r="E460" s="1119"/>
      <c r="F460" s="1120"/>
      <c r="G460" s="1121"/>
      <c r="H460" s="1122"/>
      <c r="I460" s="1124"/>
      <c r="J460" s="863"/>
      <c r="K460" s="1847"/>
      <c r="L460" s="1848"/>
      <c r="M460" s="1851"/>
      <c r="N460" s="1849"/>
      <c r="O460" s="1112"/>
      <c r="P460" s="871"/>
      <c r="Q460" s="871"/>
      <c r="R460" s="871"/>
      <c r="S460" s="868"/>
      <c r="T460" s="871"/>
      <c r="U460" s="872"/>
      <c r="V460" s="872"/>
      <c r="W460" s="868"/>
      <c r="X460" s="1850"/>
      <c r="Y460" s="871"/>
      <c r="Z460" s="872">
        <f t="shared" si="642"/>
        <v>0</v>
      </c>
      <c r="AA460" s="872"/>
      <c r="AB460" s="870">
        <f t="shared" si="650"/>
        <v>0</v>
      </c>
      <c r="AC460" s="1113"/>
      <c r="AD460" s="1492"/>
      <c r="AE460" s="1113"/>
      <c r="AF460" s="1125"/>
      <c r="AG460" s="1115"/>
      <c r="AH460" s="1126"/>
      <c r="AI460" s="855">
        <f t="shared" si="658"/>
        <v>0</v>
      </c>
      <c r="AJ460" s="1116" t="str">
        <f t="shared" si="643"/>
        <v/>
      </c>
      <c r="AK460" s="1117"/>
      <c r="AL460" s="1117"/>
      <c r="AM460" s="2299"/>
      <c r="AN460" s="2299"/>
      <c r="AO460" s="1134"/>
      <c r="AP460" s="1135"/>
      <c r="AQ460" s="1134"/>
      <c r="AR460" s="1130"/>
      <c r="AS460" s="1130"/>
      <c r="AT460" s="1130"/>
      <c r="AU460" s="1130"/>
      <c r="AV460" s="1130"/>
      <c r="AW460" s="1127"/>
      <c r="AX460" s="1127"/>
      <c r="AY460" s="1131"/>
      <c r="AZ460" s="2356"/>
      <c r="BA460" s="1130"/>
      <c r="BB460" s="1127"/>
      <c r="BC460" s="1132"/>
      <c r="BD460" s="1130"/>
      <c r="BE460" s="1127"/>
      <c r="BF460" s="1130"/>
      <c r="BG460" s="1127"/>
      <c r="BH460" s="1130"/>
      <c r="BI460" s="1127"/>
      <c r="BJ460" s="1127"/>
      <c r="BK460" s="2167"/>
      <c r="BL460" s="1130"/>
      <c r="BM460" s="1127"/>
      <c r="BN460" s="1130"/>
      <c r="BO460" s="1127"/>
      <c r="BP460" s="1130"/>
      <c r="BQ460" s="1130"/>
      <c r="BR460" s="1130"/>
      <c r="BS460" s="1130"/>
      <c r="BT460" s="1130"/>
      <c r="BU460" s="1130"/>
      <c r="BV460" s="1130"/>
      <c r="BW460" s="1132"/>
      <c r="BX460" s="2479"/>
      <c r="BY460" s="2562"/>
      <c r="BZ460" s="2562"/>
      <c r="CA460" s="2452">
        <f t="shared" si="655"/>
        <v>0</v>
      </c>
      <c r="CB460" s="1116" t="str">
        <f t="shared" si="645"/>
        <v/>
      </c>
      <c r="CC460" s="514"/>
      <c r="CD460" s="1104"/>
      <c r="CE460" s="1105"/>
      <c r="CF460" s="1105"/>
      <c r="CG460" s="514"/>
      <c r="CH460" s="1106"/>
      <c r="CI460" s="514"/>
      <c r="CJ460" s="514"/>
      <c r="CK460" s="514"/>
      <c r="CL460" s="329">
        <f t="shared" si="551"/>
        <v>0</v>
      </c>
      <c r="CM460" s="330">
        <f t="shared" si="552"/>
        <v>0</v>
      </c>
      <c r="CN460" s="331">
        <f t="shared" si="657"/>
        <v>0</v>
      </c>
      <c r="CO460" s="86"/>
      <c r="CP460" s="86">
        <f t="shared" si="656"/>
        <v>0</v>
      </c>
      <c r="CQ460" s="86"/>
      <c r="CR460" s="86"/>
      <c r="CS460" s="86"/>
      <c r="CT460" s="86"/>
      <c r="CU460" s="86"/>
      <c r="CV460" s="86"/>
      <c r="CW460" s="86"/>
      <c r="CX460" s="86"/>
      <c r="CY460" s="86"/>
      <c r="CZ460" s="86"/>
      <c r="DA460" s="86"/>
      <c r="DB460" s="32"/>
      <c r="DC460" s="32"/>
      <c r="DD460" s="32"/>
      <c r="DF460" s="1658"/>
      <c r="DG460" s="35"/>
      <c r="DH460" s="35"/>
    </row>
    <row r="461" spans="1:301" ht="25.25" customHeight="1" outlineLevel="1">
      <c r="A461" s="2688" t="s">
        <v>54</v>
      </c>
      <c r="B461" s="1133"/>
      <c r="C461" s="117"/>
      <c r="D461" s="188"/>
      <c r="E461" s="1119"/>
      <c r="F461" s="1120"/>
      <c r="G461" s="1121"/>
      <c r="H461" s="1122"/>
      <c r="I461" s="1124"/>
      <c r="J461" s="863"/>
      <c r="K461" s="1847"/>
      <c r="L461" s="1848"/>
      <c r="M461" s="1851"/>
      <c r="N461" s="1849"/>
      <c r="O461" s="1112"/>
      <c r="P461" s="871"/>
      <c r="Q461" s="871"/>
      <c r="R461" s="871"/>
      <c r="S461" s="868"/>
      <c r="T461" s="871"/>
      <c r="U461" s="872"/>
      <c r="V461" s="872"/>
      <c r="W461" s="868"/>
      <c r="X461" s="1850"/>
      <c r="Y461" s="871"/>
      <c r="Z461" s="872">
        <f t="shared" si="642"/>
        <v>0</v>
      </c>
      <c r="AA461" s="872"/>
      <c r="AB461" s="870">
        <f t="shared" si="650"/>
        <v>0</v>
      </c>
      <c r="AC461" s="1113"/>
      <c r="AD461" s="1492"/>
      <c r="AE461" s="1113"/>
      <c r="AF461" s="1125"/>
      <c r="AG461" s="1138"/>
      <c r="AH461" s="1126"/>
      <c r="AI461" s="855">
        <f t="shared" si="658"/>
        <v>0</v>
      </c>
      <c r="AJ461" s="1116" t="str">
        <f t="shared" si="643"/>
        <v/>
      </c>
      <c r="AK461" s="1117"/>
      <c r="AL461" s="1117"/>
      <c r="AM461" s="2299"/>
      <c r="AN461" s="2299"/>
      <c r="AO461" s="1134"/>
      <c r="AP461" s="1135"/>
      <c r="AQ461" s="1134"/>
      <c r="AR461" s="1130"/>
      <c r="AS461" s="1130"/>
      <c r="AT461" s="1130"/>
      <c r="AU461" s="1130"/>
      <c r="AV461" s="1130"/>
      <c r="AW461" s="1127"/>
      <c r="AX461" s="1127"/>
      <c r="AY461" s="1131"/>
      <c r="AZ461" s="2356"/>
      <c r="BA461" s="1130"/>
      <c r="BB461" s="1127"/>
      <c r="BC461" s="1132"/>
      <c r="BD461" s="1130"/>
      <c r="BE461" s="1127"/>
      <c r="BF461" s="1130"/>
      <c r="BG461" s="1127"/>
      <c r="BH461" s="1130"/>
      <c r="BI461" s="1127"/>
      <c r="BJ461" s="1127"/>
      <c r="BK461" s="2167"/>
      <c r="BL461" s="1130"/>
      <c r="BM461" s="1127"/>
      <c r="BN461" s="1130"/>
      <c r="BO461" s="1127"/>
      <c r="BP461" s="1130"/>
      <c r="BQ461" s="1130"/>
      <c r="BR461" s="1130"/>
      <c r="BS461" s="1130"/>
      <c r="BT461" s="1130"/>
      <c r="BU461" s="1130"/>
      <c r="BV461" s="1130"/>
      <c r="BW461" s="1132"/>
      <c r="BX461" s="2479"/>
      <c r="BY461" s="2562"/>
      <c r="BZ461" s="2562"/>
      <c r="CA461" s="2452">
        <f t="shared" si="655"/>
        <v>0</v>
      </c>
      <c r="CB461" s="1116" t="str">
        <f t="shared" si="645"/>
        <v/>
      </c>
      <c r="CC461" s="514"/>
      <c r="CD461" s="1104"/>
      <c r="CE461" s="1105"/>
      <c r="CF461" s="1105"/>
      <c r="CG461" s="514"/>
      <c r="CH461" s="1106"/>
      <c r="CI461" s="514"/>
      <c r="CJ461" s="514"/>
      <c r="CK461" s="514"/>
      <c r="CL461" s="329">
        <f t="shared" si="551"/>
        <v>0</v>
      </c>
      <c r="CM461" s="330">
        <f t="shared" si="552"/>
        <v>0</v>
      </c>
      <c r="CN461" s="331">
        <f t="shared" si="657"/>
        <v>0</v>
      </c>
      <c r="CO461" s="330">
        <f t="shared" ref="CO461" si="659">CC461+AK461-AD461</f>
        <v>0</v>
      </c>
      <c r="CP461" s="330">
        <f t="shared" ref="CP461" si="660">CD461+AL461-AE461</f>
        <v>0</v>
      </c>
      <c r="CQ461" s="330">
        <f t="shared" ref="CQ461" si="661">CE461+AM461-AF461</f>
        <v>0</v>
      </c>
      <c r="CR461" s="330">
        <f t="shared" ref="CR461" si="662">CF461+AN461-AG461</f>
        <v>0</v>
      </c>
      <c r="CS461" s="330"/>
      <c r="CT461" s="330"/>
      <c r="CU461" s="330"/>
      <c r="CV461" s="330"/>
      <c r="CW461" s="330"/>
      <c r="CX461" s="330"/>
      <c r="CY461" s="330"/>
      <c r="CZ461" s="86"/>
      <c r="DA461" s="86"/>
      <c r="DB461" s="32"/>
      <c r="DC461" s="32"/>
      <c r="DD461" s="32"/>
      <c r="DF461" s="1658"/>
      <c r="DG461" s="35"/>
      <c r="DH461" s="35"/>
    </row>
    <row r="462" spans="1:301" ht="29.25" customHeight="1" outlineLevel="1" thickBot="1">
      <c r="A462" s="2688" t="s">
        <v>55</v>
      </c>
      <c r="B462" s="1133"/>
      <c r="C462" s="128" t="s">
        <v>82</v>
      </c>
      <c r="D462" s="189"/>
      <c r="E462" s="1119"/>
      <c r="F462" s="1120"/>
      <c r="G462" s="1121"/>
      <c r="H462" s="1122"/>
      <c r="I462" s="1124"/>
      <c r="J462" s="863"/>
      <c r="K462" s="1852"/>
      <c r="L462" s="1853"/>
      <c r="M462" s="1851"/>
      <c r="N462" s="1849"/>
      <c r="O462" s="886"/>
      <c r="P462" s="887"/>
      <c r="Q462" s="887"/>
      <c r="R462" s="887"/>
      <c r="S462" s="888"/>
      <c r="T462" s="887"/>
      <c r="U462" s="889"/>
      <c r="V462" s="889"/>
      <c r="W462" s="888"/>
      <c r="X462" s="1854"/>
      <c r="Y462" s="887"/>
      <c r="Z462" s="889">
        <f t="shared" si="642"/>
        <v>0</v>
      </c>
      <c r="AA462" s="889"/>
      <c r="AB462" s="870">
        <f t="shared" si="650"/>
        <v>0</v>
      </c>
      <c r="AC462" s="1113"/>
      <c r="AD462" s="1492"/>
      <c r="AE462" s="1113"/>
      <c r="AF462" s="1125"/>
      <c r="AG462" s="1138"/>
      <c r="AH462" s="2093"/>
      <c r="AI462" s="1139">
        <f t="shared" si="658"/>
        <v>0</v>
      </c>
      <c r="AJ462" s="1140" t="str">
        <f t="shared" si="643"/>
        <v/>
      </c>
      <c r="AK462" s="1141"/>
      <c r="AL462" s="1141"/>
      <c r="AM462" s="2301"/>
      <c r="AN462" s="2301"/>
      <c r="AO462" s="1143"/>
      <c r="AP462" s="1144"/>
      <c r="AQ462" s="1145"/>
      <c r="AR462" s="1146"/>
      <c r="AS462" s="1146"/>
      <c r="AT462" s="1146"/>
      <c r="AU462" s="1146"/>
      <c r="AV462" s="1146"/>
      <c r="AW462" s="1142"/>
      <c r="AX462" s="1142"/>
      <c r="AY462" s="1147"/>
      <c r="AZ462" s="2358"/>
      <c r="BA462" s="1146"/>
      <c r="BB462" s="1142"/>
      <c r="BC462" s="1148"/>
      <c r="BD462" s="1146"/>
      <c r="BE462" s="1142"/>
      <c r="BF462" s="1130"/>
      <c r="BG462" s="1127"/>
      <c r="BH462" s="1130"/>
      <c r="BI462" s="1127"/>
      <c r="BJ462" s="1127"/>
      <c r="BK462" s="2169"/>
      <c r="BL462" s="1146"/>
      <c r="BM462" s="1142"/>
      <c r="BN462" s="1130"/>
      <c r="BO462" s="1127"/>
      <c r="BP462" s="1130"/>
      <c r="BQ462" s="1130"/>
      <c r="BR462" s="1130"/>
      <c r="BS462" s="1130"/>
      <c r="BT462" s="1130"/>
      <c r="BU462" s="1130"/>
      <c r="BV462" s="1130"/>
      <c r="BW462" s="1148"/>
      <c r="BX462" s="2480"/>
      <c r="BY462" s="2563"/>
      <c r="BZ462" s="2563"/>
      <c r="CA462" s="2452">
        <f t="shared" si="655"/>
        <v>0</v>
      </c>
      <c r="CB462" s="1140" t="str">
        <f t="shared" si="645"/>
        <v/>
      </c>
      <c r="CC462" s="514"/>
      <c r="CD462" s="1104"/>
      <c r="CE462" s="1105"/>
      <c r="CF462" s="1105"/>
      <c r="CG462" s="514"/>
      <c r="CH462" s="1106"/>
      <c r="CI462" s="514"/>
      <c r="CJ462" s="514"/>
      <c r="CK462" s="514"/>
      <c r="CL462" s="329">
        <f t="shared" si="551"/>
        <v>0</v>
      </c>
      <c r="CM462" s="330">
        <f t="shared" si="552"/>
        <v>0</v>
      </c>
      <c r="CN462" s="331">
        <f t="shared" si="657"/>
        <v>0</v>
      </c>
      <c r="CO462" s="86"/>
      <c r="CP462" s="86">
        <f t="shared" si="656"/>
        <v>0</v>
      </c>
      <c r="CQ462" s="86"/>
      <c r="CR462" s="86"/>
      <c r="CS462" s="86"/>
      <c r="CT462" s="86"/>
      <c r="CU462" s="86"/>
      <c r="CV462" s="86"/>
      <c r="CW462" s="86"/>
      <c r="CX462" s="86"/>
      <c r="CY462" s="86"/>
      <c r="CZ462" s="86"/>
      <c r="DA462" s="86"/>
      <c r="DB462" s="32"/>
      <c r="DC462" s="32"/>
      <c r="DD462" s="32"/>
      <c r="DF462" s="1658"/>
      <c r="DG462" s="35"/>
      <c r="DH462" s="35"/>
    </row>
    <row r="463" spans="1:301" s="79" customFormat="1" ht="26.45" customHeight="1" thickBot="1">
      <c r="A463" s="2689">
        <v>11</v>
      </c>
      <c r="B463" s="1149"/>
      <c r="C463" s="129" t="s">
        <v>73</v>
      </c>
      <c r="D463" s="190"/>
      <c r="E463" s="157"/>
      <c r="F463" s="1150"/>
      <c r="G463" s="1151"/>
      <c r="H463" s="1150"/>
      <c r="I463" s="1152">
        <f>SUM(I450:I462)</f>
        <v>45080960.399999999</v>
      </c>
      <c r="J463" s="1855"/>
      <c r="K463" s="1856"/>
      <c r="L463" s="1857"/>
      <c r="M463" s="1152">
        <f>SUM(M450:M462)</f>
        <v>31291591.399999999</v>
      </c>
      <c r="N463" s="1858"/>
      <c r="O463" s="532">
        <f>SUM(O450:O462)</f>
        <v>31291591.399999999</v>
      </c>
      <c r="P463" s="1153"/>
      <c r="Q463" s="1153"/>
      <c r="R463" s="1153"/>
      <c r="S463" s="1154">
        <f>SUM(S450:S462)</f>
        <v>0</v>
      </c>
      <c r="T463" s="1153"/>
      <c r="U463" s="1153"/>
      <c r="V463" s="1153"/>
      <c r="W463" s="1154">
        <f>SUM(W450:W462)</f>
        <v>31291591.399999999</v>
      </c>
      <c r="X463" s="1859"/>
      <c r="Y463" s="2930"/>
      <c r="Z463" s="2930"/>
      <c r="AA463" s="2930"/>
      <c r="AB463" s="1155">
        <f>SUM(AB450:AB462)</f>
        <v>31178096.019593634</v>
      </c>
      <c r="AC463" s="717"/>
      <c r="AD463" s="1478"/>
      <c r="AE463" s="1156"/>
      <c r="AF463" s="1157"/>
      <c r="AG463" s="1158"/>
      <c r="AH463" s="1159">
        <f>SUM(AH450:AH462)</f>
        <v>0</v>
      </c>
      <c r="AI463" s="1160">
        <f>SUM(AI450:AI453)</f>
        <v>650755.06446500006</v>
      </c>
      <c r="AJ463" s="1161">
        <f>IF($AB463&lt;&gt;0,AI463/$AB463,"")</f>
        <v>2.0872187450318904E-2</v>
      </c>
      <c r="AK463" s="1162"/>
      <c r="AL463" s="1162"/>
      <c r="AM463" s="2282">
        <f>SUM(AM450:AM462)</f>
        <v>231835.01</v>
      </c>
      <c r="AN463" s="2282">
        <f>SUM(AN450:AN462)</f>
        <v>50767.534465000004</v>
      </c>
      <c r="AO463" s="1163">
        <f t="shared" ref="AO463:AY463" si="663">SUM(AO450:AO462)</f>
        <v>368152.52</v>
      </c>
      <c r="AP463" s="1163">
        <f t="shared" si="663"/>
        <v>397885.42289003229</v>
      </c>
      <c r="AQ463" s="1163">
        <f t="shared" si="663"/>
        <v>449837.44019362272</v>
      </c>
      <c r="AR463" s="1163">
        <f t="shared" si="663"/>
        <v>551183.867340078</v>
      </c>
      <c r="AS463" s="1163">
        <f t="shared" si="663"/>
        <v>634803.32087870524</v>
      </c>
      <c r="AT463" s="1163">
        <f t="shared" si="663"/>
        <v>662313.45930774719</v>
      </c>
      <c r="AU463" s="1163">
        <f t="shared" si="663"/>
        <v>709315.49267739558</v>
      </c>
      <c r="AV463" s="1163">
        <f t="shared" si="663"/>
        <v>1015878.871090456</v>
      </c>
      <c r="AW463" s="1163">
        <f t="shared" si="663"/>
        <v>1221531.9844397842</v>
      </c>
      <c r="AX463" s="1163">
        <f t="shared" si="663"/>
        <v>1014809.9927010105</v>
      </c>
      <c r="AY463" s="2247">
        <f t="shared" si="663"/>
        <v>1162866.2461876427</v>
      </c>
      <c r="AZ463" s="2359">
        <f t="shared" ref="AZ463:BT463" si="664">SUM(AZ450:AZ462)</f>
        <v>1577906.8067714586</v>
      </c>
      <c r="BA463" s="1163">
        <f t="shared" si="664"/>
        <v>1811368.4051066036</v>
      </c>
      <c r="BB463" s="1163">
        <f t="shared" si="664"/>
        <v>2153214.5095234821</v>
      </c>
      <c r="BC463" s="1163">
        <f t="shared" si="664"/>
        <v>1896995.1137124663</v>
      </c>
      <c r="BD463" s="1163">
        <f t="shared" si="664"/>
        <v>1968185.7466074363</v>
      </c>
      <c r="BE463" s="1163">
        <f t="shared" si="664"/>
        <v>1674337.3200159026</v>
      </c>
      <c r="BF463" s="1163">
        <f t="shared" si="664"/>
        <v>1464775.1831323374</v>
      </c>
      <c r="BG463" s="1163">
        <f t="shared" si="664"/>
        <v>1127525.2867601933</v>
      </c>
      <c r="BH463" s="1163">
        <f t="shared" si="664"/>
        <v>1407303.6314992378</v>
      </c>
      <c r="BI463" s="1163">
        <f t="shared" si="664"/>
        <v>749756.24259311589</v>
      </c>
      <c r="BJ463" s="1163">
        <f t="shared" si="664"/>
        <v>620576.96076495026</v>
      </c>
      <c r="BK463" s="2170">
        <f t="shared" si="664"/>
        <v>1078155.6905833452</v>
      </c>
      <c r="BL463" s="2117">
        <f t="shared" si="664"/>
        <v>368638.93536193587</v>
      </c>
      <c r="BM463" s="2117">
        <f t="shared" si="664"/>
        <v>220394.49254498785</v>
      </c>
      <c r="BN463" s="2117">
        <f>SUM(BN450:BN462)</f>
        <v>201710.89426514463</v>
      </c>
      <c r="BO463" s="2117">
        <f t="shared" si="664"/>
        <v>64776.451442390411</v>
      </c>
      <c r="BP463" s="2117">
        <f t="shared" si="664"/>
        <v>219843.26494204946</v>
      </c>
      <c r="BQ463" s="2412">
        <f t="shared" si="664"/>
        <v>84978.887022159717</v>
      </c>
      <c r="BR463" s="1163">
        <f t="shared" si="664"/>
        <v>1245055.9356078501</v>
      </c>
      <c r="BS463" s="1163">
        <f t="shared" si="664"/>
        <v>23810.070343184791</v>
      </c>
      <c r="BT463" s="1163">
        <f t="shared" si="664"/>
        <v>30662.733551644335</v>
      </c>
      <c r="BU463" s="1163">
        <f t="shared" ref="BU463:BZ463" si="665">SUM(BU450:BU462)</f>
        <v>2723.2814556083354</v>
      </c>
      <c r="BV463" s="1163">
        <f t="shared" ref="BV463:BX463" si="666">SUM(BV450:BV462)</f>
        <v>2723.2814556083354</v>
      </c>
      <c r="BW463" s="1163">
        <f t="shared" si="666"/>
        <v>2711491.5677050687</v>
      </c>
      <c r="BX463" s="1163">
        <f t="shared" si="666"/>
        <v>0</v>
      </c>
      <c r="BY463" s="1163">
        <f t="shared" ref="BY463" si="667">SUM(BY450:BY462)</f>
        <v>0</v>
      </c>
      <c r="BZ463" s="1163">
        <f t="shared" si="665"/>
        <v>4.1646539999999996</v>
      </c>
      <c r="CA463" s="2453">
        <f ca="1">SUM(CA450:CA453)</f>
        <v>30527340.95512864</v>
      </c>
      <c r="CB463" s="1164">
        <f t="shared" ca="1" si="645"/>
        <v>0.97912781254968129</v>
      </c>
      <c r="CC463" s="1165"/>
      <c r="CD463" s="1166"/>
      <c r="CE463" s="1167"/>
      <c r="CF463" s="1167"/>
      <c r="CG463" s="1165"/>
      <c r="CH463" s="1168"/>
      <c r="CI463" s="1165"/>
      <c r="CJ463" s="1165"/>
      <c r="CK463" s="1165"/>
      <c r="CL463" s="329">
        <f t="shared" ca="1" si="551"/>
        <v>764250.44487135857</v>
      </c>
      <c r="CM463" s="330">
        <f t="shared" ca="1" si="552"/>
        <v>0</v>
      </c>
      <c r="CN463" s="331">
        <f t="shared" ca="1" si="657"/>
        <v>-22938749.867422167</v>
      </c>
      <c r="CO463" s="86"/>
      <c r="CP463" s="86">
        <f t="shared" si="656"/>
        <v>13789369</v>
      </c>
      <c r="CQ463" s="86"/>
      <c r="CR463" s="86"/>
      <c r="CS463" s="86"/>
      <c r="CT463" s="86"/>
      <c r="CU463" s="86"/>
      <c r="CV463" s="86"/>
      <c r="CW463" s="86"/>
      <c r="CX463" s="86"/>
      <c r="CY463" s="86"/>
      <c r="CZ463" s="86"/>
      <c r="DA463" s="86"/>
      <c r="DB463" s="1669">
        <f ca="1">CA463+AI463</f>
        <v>31178096.019593641</v>
      </c>
      <c r="DC463" s="1669"/>
      <c r="DD463" s="1669"/>
      <c r="DF463" s="1658"/>
    </row>
    <row r="464" spans="1:301" s="84" customFormat="1" ht="24" customHeight="1" thickBot="1">
      <c r="A464" s="2690"/>
      <c r="B464" s="1169"/>
      <c r="C464" s="130" t="s">
        <v>83</v>
      </c>
      <c r="D464" s="130" t="s">
        <v>83</v>
      </c>
      <c r="E464" s="158"/>
      <c r="F464" s="1170"/>
      <c r="G464" s="1171"/>
      <c r="H464" s="1170"/>
      <c r="I464" s="1172"/>
      <c r="J464" s="1860"/>
      <c r="K464" s="1861"/>
      <c r="L464" s="1862"/>
      <c r="M464" s="1863"/>
      <c r="N464" s="1863"/>
      <c r="O464" s="1173"/>
      <c r="P464" s="1174"/>
      <c r="Q464" s="1174"/>
      <c r="R464" s="1174"/>
      <c r="S464" s="1174"/>
      <c r="T464" s="1174"/>
      <c r="U464" s="1174"/>
      <c r="V464" s="1174"/>
      <c r="W464" s="1174"/>
      <c r="X464" s="1864"/>
      <c r="Y464" s="1175"/>
      <c r="Z464" s="1175"/>
      <c r="AA464" s="1175"/>
      <c r="AB464" s="1176">
        <f>SUM(AM464:BZ464)</f>
        <v>-0.82999984547495842</v>
      </c>
      <c r="AC464" s="1421"/>
      <c r="AD464" s="1493"/>
      <c r="AE464" s="1177"/>
      <c r="AF464" s="1178"/>
      <c r="AG464" s="1179"/>
      <c r="AH464" s="1180"/>
      <c r="AI464" s="1181">
        <f>SUMIF($AM$10:$BZ$10,$AI$9,AM464:BZ464)</f>
        <v>647387.34000000008</v>
      </c>
      <c r="AJ464" s="1182">
        <f>IF($AB464&lt;&gt;0,AI464/$AB464,"")</f>
        <v>-779984.89220144332</v>
      </c>
      <c r="AK464" s="1183"/>
      <c r="AL464" s="1183"/>
      <c r="AM464" s="1184">
        <v>0</v>
      </c>
      <c r="AN464" s="1184">
        <v>355704.27</v>
      </c>
      <c r="AO464" s="1184">
        <v>291683.07</v>
      </c>
      <c r="AP464" s="1184">
        <f>-ROUND(((SUM($AN$442:$BZ$442))-(SUM($AN$433:$BZ$442))*$AB$467)-SUM($AN$428:$BZ$428,$AN$463:$BZ$463),)-SUM($AM$465:AO465)</f>
        <v>30454613.710000001</v>
      </c>
      <c r="AQ464" s="1184">
        <f>-ROUND(((SUM($AN$442:$BZ$442))-(SUM($AN$433:$BZ$442))*$AB$467)-SUM($AN$428:$BZ$428,$AN$463:$BZ$463),)-SUM($AM$465:AP465)</f>
        <v>-399479.43999999762</v>
      </c>
      <c r="AR464" s="1184">
        <f>-ROUND(((SUM($AN$442:$BZ$442))-(SUM($AN$433:$BZ$442))*$AB$467)-SUM($AN$428:$BZ$428,$AN$463:$BZ$463),)-SUM($AM$465:AQ465)</f>
        <v>-451639.57999999821</v>
      </c>
      <c r="AS464" s="1184">
        <f>-ROUND(((SUM($AN$442:$BZ$442))-(SUM($AN$433:$BZ$442))*$AB$467)-SUM($AN$428:$BZ$428,$AN$463:$BZ$463),)-SUM($AM$465:AR465)</f>
        <v>-553392.01999999955</v>
      </c>
      <c r="AT464" s="1184">
        <f>-ROUND(((SUM($AN$442:$BZ$442))-(SUM($AN$433:$BZ$442))*$AB$467)-SUM($AN$428:$BZ$428,$AN$463:$BZ$463),)-SUM($AM$465:AS465)</f>
        <v>-637346.48000000045</v>
      </c>
      <c r="AU464" s="1184">
        <f>-ROUND(((SUM($AN$442:$BZ$442))-(SUM($AN$433:$BZ$442))*$AB$467)-SUM($AN$428:$BZ$428,$AN$463:$BZ$463),)-SUM($AM$465:AT465)</f>
        <v>-664966.83000000194</v>
      </c>
      <c r="AV464" s="1184">
        <f>-ROUND(((SUM($AN$442:$BZ$442))-(SUM($AN$433:$BZ$442))*$AB$467)-SUM($AN$428:$BZ$428,$AN$463:$BZ$463),)-SUM($AM$465:AU465)</f>
        <v>-712157.16000000015</v>
      </c>
      <c r="AW464" s="1184">
        <f>-ROUND(((SUM($AN$442:$BZ$442))-(SUM($AN$433:$BZ$442))*$AB$467)-SUM($AN$428:$BZ$428,$AN$463:$BZ$463),)-SUM($AM$465:AV465)</f>
        <v>-1019948.6999999993</v>
      </c>
      <c r="AX464" s="1184">
        <f>-ROUND(((SUM($AN$442:$BZ$442))-(SUM($AN$433:$BZ$442))*$AB$467)-SUM($AN$428:$BZ$428,$AN$463:$BZ$463),)-SUM($AM$465:AW465)</f>
        <v>-1226425.7100000009</v>
      </c>
      <c r="AY464" s="1184">
        <f>-ROUND(((SUM($AN$442:$BZ$442))-(SUM($AN$433:$BZ$442))*$AB$467)-SUM($AN$428:$BZ$428,$AN$463:$BZ$463),)-SUM($AM$465:AX465)</f>
        <v>-1018875.5399999991</v>
      </c>
      <c r="AZ464" s="1184">
        <f>-ROUND(((SUM($AN$442:$BZ$442))-(SUM($AN$433:$BZ$442))*$AB$467)-SUM($AN$428:$BZ$428,$AN$463:$BZ$463),)-SUM($AM$465:AY465)</f>
        <v>-1167524.9299999997</v>
      </c>
      <c r="BA464" s="1184">
        <f>-ROUND(((SUM($AN$442:$BZ$442))-(SUM($AN$433:$BZ$442))*$AB$467)-SUM($AN$428:$BZ$428,$AN$463:$BZ$463),)-SUM($AM$465:AZ465)</f>
        <v>-1584228.2299999967</v>
      </c>
      <c r="BB464" s="1184">
        <f>-ROUND(((SUM($AN$442:$BZ$442))-(SUM($AN$433:$BZ$442))*$AB$467)-SUM($AN$428:$BZ$428,$AN$463:$BZ$463),)-SUM($AM$465:BA465)</f>
        <v>-1818625.1299999952</v>
      </c>
      <c r="BC464" s="1184">
        <f>-ROUND(((SUM($AN$442:$BZ$442))-(SUM($AN$433:$BZ$442))*$AB$467)-SUM($AN$428:$BZ$428,$AN$463:$BZ$463),)-SUM($AM$465:BB465)</f>
        <v>-2161840.7399999946</v>
      </c>
      <c r="BD464" s="1184">
        <f>-ROUND(((SUM($AN$442:$BZ$442))-(SUM($AN$433:$BZ$442))*$AB$467)-SUM($AN$428:$BZ$428,$AN$463:$BZ$463),)-SUM($AM$465:BC465)</f>
        <v>-1904594.8799999952</v>
      </c>
      <c r="BE464" s="1184">
        <f>-ROUND(((SUM($AN$442:$BZ$442))-(SUM($AN$433:$BZ$442))*$AB$467)-SUM($AN$428:$BZ$428,$AN$463:$BZ$463),)-SUM($AM$465:BD465)</f>
        <v>-1976070.7099999934</v>
      </c>
      <c r="BF464" s="1184">
        <f>-ROUND(((SUM($AN$442:$BZ$442))-(SUM($AN$433:$BZ$442))*$AB$467)-SUM($AN$428:$BZ$428,$AN$463:$BZ$463),)-SUM($AM$465:BE465)</f>
        <v>-1681045.0699999928</v>
      </c>
      <c r="BG464" s="1184">
        <f>-ROUND(((SUM($AN$442:$BZ$442))-(SUM($AN$433:$BZ$442))*$AB$467)-SUM($AN$428:$BZ$428,$AN$463:$BZ$463),)-SUM($AM$465:BF465)</f>
        <v>-1470643.3899999931</v>
      </c>
      <c r="BH464" s="1184">
        <f>-ROUND(((SUM($AN$442:$BZ$442))-(SUM($AN$433:$BZ$442))*$AB$467)-SUM($AN$428:$BZ$428,$AN$463:$BZ$463),)-SUM($AM$465:BG465)</f>
        <v>-1132042.3899999931</v>
      </c>
      <c r="BI464" s="1184">
        <f>-ROUND(((SUM($AN$442:$BZ$442))-(SUM($AN$433:$BZ$442))*$AB$467)-SUM($AN$428:$BZ$428,$AN$463:$BZ$463),)-SUM($AM$465:BH465)</f>
        <v>-1412941.5899999924</v>
      </c>
      <c r="BJ464" s="1184">
        <f>-ROUND(((SUM($AN$442:$BZ$442))-(SUM($AN$433:$BZ$442))*$AB$467)-SUM($AN$428:$BZ$428,$AN$463:$BZ$463),)-SUM($AM$465:BI465)</f>
        <v>-752759.92999999225</v>
      </c>
      <c r="BK464" s="1184">
        <f>-ROUND(((SUM($AN$442:$BZ$442))-(SUM($AN$433:$BZ$442))*$AB$467)-SUM($AN$428:$BZ$428,$AN$463:$BZ$463),)-SUM($AM$465:BJ465)</f>
        <v>-623063.11999999359</v>
      </c>
      <c r="BL464" s="1184">
        <f>-ROUND(((SUM($AN$442:$BZ$442))-(SUM($AN$433:$BZ$442))*$AB$467)-SUM($AN$428:$BZ$428,$AN$463:$BZ$463),)-SUM($AM$465:BK465)</f>
        <v>-1082475.0099999942</v>
      </c>
      <c r="BM464" s="1184">
        <f>-ROUND(((SUM($AN$442:$BZ$442))-(SUM($AN$433:$BZ$442))*$AB$467)-SUM($AN$428:$BZ$428,$AN$463:$BZ$463),)-SUM($AM$465:BL465)</f>
        <v>-370115.77999999374</v>
      </c>
      <c r="BN464" s="1184">
        <f>-ROUND(((SUM($AN$442:$BZ$442))-(SUM($AN$433:$BZ$442))*$AB$467)-SUM($AN$428:$BZ$428,$AN$463:$BZ$463),)-SUM($AM$465:BM465)</f>
        <v>-221277.43999999389</v>
      </c>
      <c r="BO464" s="1184">
        <f>-ROUND(((SUM($AN$442:$BZ$442))-(SUM($AN$433:$BZ$442))*$AB$467)-SUM($AN$428:$BZ$428,$AN$463:$BZ$463),)-SUM($AM$465:BN465)</f>
        <v>-202518.99999999255</v>
      </c>
      <c r="BP464" s="1184">
        <f>-ROUND(((SUM($AN$442:$BZ$442))-(SUM($AN$433:$BZ$442))*$AB$467)-SUM($AN$428:$BZ$428,$AN$463:$BZ$463),)-SUM($AM$465:BO465)</f>
        <v>-65035.959999993443</v>
      </c>
      <c r="BQ464" s="1184">
        <f>-ROUND(((SUM($AN$442:$BZ$442))-(SUM($AN$433:$BZ$442))*$AB$467)-SUM($AN$428:$BZ$428,$AN$463:$BZ$463),)-SUM($AM$465:BP465)</f>
        <v>-220724.00999999419</v>
      </c>
      <c r="BR464" s="1184">
        <f>-ROUND(((SUM($AN$442:$BZ$442))-(SUM($AN$433:$BZ$442))*$AB$467)-SUM($AN$428:$BZ$428,$AN$463:$BZ$463),)-SUM($AM$465:BQ465)</f>
        <v>-85319.329999994487</v>
      </c>
      <c r="BS464" s="1184">
        <f>-ROUND(((SUM($AN$442:$BZ$442))-(SUM($AN$433:$BZ$442))*$AB$467)-SUM($AN$428:$BZ$428,$AN$463:$BZ$463),)-SUM($AM$465:BR465)</f>
        <v>-1250043.8899999931</v>
      </c>
      <c r="BT464" s="1184">
        <f>-ROUND(((SUM($AN$442:$BZ$442))-(SUM($AN$433:$BZ$442))*$AB$467)-SUM($AN$428:$BZ$428,$AN$463:$BZ$463),)-SUM($AM$465:BS465)</f>
        <v>-23905.459999993443</v>
      </c>
      <c r="BU464" s="1184">
        <f>-ROUND(((SUM($AN$442:$BZ$442))-(SUM($AN$433:$BZ$442))*$AB$467)-SUM($AN$428:$BZ$428,$AN$463:$BZ$463),)-SUM($AM$465:BT465)</f>
        <v>-331463.59999999404</v>
      </c>
      <c r="BV464" s="1184">
        <f>-ROUND(((SUM($AN$442:$BZ$442))-(SUM($AN$433:$BZ$442))*$AB$467)-SUM($AN$428:$BZ$428,$AN$463:$BZ$463),)-SUM($AM$465:BU465)</f>
        <v>-2734.1899999938905</v>
      </c>
      <c r="BW464" s="1184">
        <f>-ROUND(((SUM($AN$442:$BZ$442))-(SUM($AN$433:$BZ$442))*$AB$467)-SUM($AN$428:$BZ$428,$AN$463:$BZ$463),)-SUM($AM$465:BV465)</f>
        <v>-2734.1899999938905</v>
      </c>
      <c r="BX464" s="1184">
        <f>-ROUND(((SUM($AN$442:$BZ$442))-(SUM($AN$433:$BZ$442))*$AB$467)-SUM($AN$428:$BZ$428,$AN$463:$BZ$463),)-SUM($AM$465:BW465)</f>
        <v>-3187461.4499999955</v>
      </c>
      <c r="BY464" s="1184">
        <f>-ROUND(((SUM($AN$442:$BZ$442))-(SUM($AN$433:$BZ$442))*$AB$467)-SUM($AN$428:$BZ$428,$AN$463:$BZ$463),)-SUM($AM$465:BX465)</f>
        <v>313419.00000000373</v>
      </c>
      <c r="BZ464" s="1184">
        <f>-ROUND(((SUM($AN$442:$BZ$442))-(SUM($AN$433:$BZ$442))*$AB$467)-SUM($AN$428:$BZ$428,$AN$463:$BZ$463),)-SUM($AM$465:BY465)</f>
        <v>0</v>
      </c>
      <c r="CA464" s="2453">
        <f>SUMIF($AM$10:$BZ$10,$CA$9,AM464:BZ464)</f>
        <v>-647388.16999984533</v>
      </c>
      <c r="CB464" s="2642">
        <f>IF($AB464&lt;&gt;0,CA464/$AB464,"")</f>
        <v>779985.89220144309</v>
      </c>
      <c r="CC464" s="1185"/>
      <c r="CD464" s="1186"/>
      <c r="CE464" s="1187"/>
      <c r="CF464" s="1187"/>
      <c r="CG464" s="1185"/>
      <c r="CH464" s="1188"/>
      <c r="CI464" s="1185"/>
      <c r="CJ464" s="1185"/>
      <c r="CK464" s="1185"/>
      <c r="CL464" s="329">
        <f t="shared" ref="CL464:CL481" si="668">O464-CA464</f>
        <v>647388.16999984533</v>
      </c>
      <c r="CM464" s="330">
        <f t="shared" si="552"/>
        <v>2.3283064365386963E-10</v>
      </c>
      <c r="CN464" s="331">
        <f t="shared" si="657"/>
        <v>24417770.419999849</v>
      </c>
      <c r="CO464" s="86"/>
      <c r="CP464" s="86">
        <f t="shared" si="656"/>
        <v>0</v>
      </c>
      <c r="CQ464" s="86"/>
      <c r="CR464" s="86"/>
      <c r="CS464" s="86"/>
      <c r="CT464" s="86"/>
      <c r="CU464" s="86"/>
      <c r="CV464" s="86"/>
      <c r="CW464" s="86"/>
      <c r="CX464" s="86"/>
      <c r="CY464" s="86"/>
      <c r="CZ464" s="86"/>
      <c r="DA464" s="86"/>
      <c r="DB464" s="1669"/>
      <c r="DC464" s="1669"/>
      <c r="DD464" s="1669"/>
      <c r="DE464" s="79"/>
      <c r="DF464" s="1658"/>
      <c r="DG464" s="79"/>
      <c r="DH464" s="79"/>
      <c r="DI464" s="79"/>
      <c r="DJ464" s="79"/>
      <c r="DK464" s="79"/>
      <c r="DL464" s="79"/>
      <c r="DM464" s="79"/>
      <c r="DN464" s="79"/>
      <c r="DO464" s="79"/>
      <c r="DP464" s="79"/>
      <c r="DQ464" s="79"/>
      <c r="DR464" s="79"/>
      <c r="DS464" s="79"/>
      <c r="DT464" s="79"/>
      <c r="DU464" s="79"/>
      <c r="DV464" s="79"/>
      <c r="DW464" s="79"/>
      <c r="DX464" s="79"/>
      <c r="DY464" s="79"/>
      <c r="DZ464" s="79"/>
      <c r="EA464" s="79"/>
      <c r="EB464" s="79"/>
      <c r="EC464" s="79"/>
      <c r="ED464" s="79"/>
      <c r="EE464" s="79"/>
      <c r="EF464" s="79"/>
      <c r="EG464" s="79"/>
      <c r="EH464" s="79"/>
      <c r="EI464" s="79"/>
      <c r="EJ464" s="79"/>
      <c r="EK464" s="79"/>
      <c r="EL464" s="79"/>
      <c r="EM464" s="79"/>
      <c r="EN464" s="79"/>
      <c r="EO464" s="79"/>
      <c r="EP464" s="79"/>
      <c r="EQ464" s="79"/>
      <c r="ER464" s="79"/>
      <c r="ES464" s="79"/>
      <c r="ET464" s="79"/>
      <c r="EU464" s="79"/>
      <c r="EV464" s="79"/>
      <c r="EW464" s="79"/>
      <c r="EX464" s="79"/>
      <c r="EY464" s="79"/>
      <c r="EZ464" s="79"/>
      <c r="FA464" s="79"/>
      <c r="FB464" s="79"/>
      <c r="FC464" s="79"/>
      <c r="FD464" s="79"/>
      <c r="FE464" s="79"/>
      <c r="FF464" s="79"/>
      <c r="FG464" s="79"/>
      <c r="FH464" s="79"/>
      <c r="FI464" s="79"/>
      <c r="FJ464" s="79"/>
      <c r="FK464" s="79"/>
      <c r="FL464" s="79"/>
      <c r="FM464" s="79"/>
      <c r="FN464" s="79"/>
      <c r="FO464" s="79"/>
      <c r="FP464" s="79"/>
      <c r="FQ464" s="79"/>
      <c r="FR464" s="79"/>
      <c r="FS464" s="79"/>
      <c r="FT464" s="79"/>
      <c r="FU464" s="79"/>
      <c r="FV464" s="79"/>
      <c r="FW464" s="79"/>
      <c r="FX464" s="79"/>
      <c r="FY464" s="79"/>
      <c r="FZ464" s="79"/>
      <c r="GA464" s="79"/>
      <c r="GB464" s="79"/>
      <c r="GC464" s="79"/>
      <c r="GD464" s="79"/>
      <c r="GE464" s="79"/>
      <c r="GF464" s="79"/>
      <c r="GG464" s="79"/>
      <c r="GH464" s="79"/>
      <c r="GI464" s="79"/>
      <c r="GJ464" s="79"/>
      <c r="GK464" s="79"/>
      <c r="GL464" s="79"/>
      <c r="GM464" s="79"/>
      <c r="GN464" s="79"/>
      <c r="GO464" s="79"/>
      <c r="GP464" s="79"/>
      <c r="GQ464" s="79"/>
      <c r="GR464" s="79"/>
      <c r="GS464" s="79"/>
      <c r="GT464" s="79"/>
      <c r="GU464" s="79"/>
      <c r="GV464" s="79"/>
      <c r="GW464" s="79"/>
      <c r="GX464" s="79"/>
      <c r="GY464" s="79"/>
      <c r="GZ464" s="79"/>
      <c r="HA464" s="79"/>
      <c r="HB464" s="79"/>
      <c r="HC464" s="79"/>
      <c r="HD464" s="79"/>
      <c r="HE464" s="79"/>
      <c r="HF464" s="79"/>
      <c r="HG464" s="79"/>
      <c r="HH464" s="79"/>
      <c r="HI464" s="79"/>
      <c r="HJ464" s="79"/>
      <c r="HK464" s="79"/>
      <c r="HL464" s="79"/>
      <c r="HM464" s="79"/>
      <c r="HN464" s="79"/>
      <c r="HO464" s="79"/>
      <c r="HP464" s="79"/>
      <c r="HQ464" s="79"/>
      <c r="HR464" s="79"/>
      <c r="HS464" s="79"/>
      <c r="HT464" s="79"/>
      <c r="HU464" s="79"/>
      <c r="HV464" s="79"/>
      <c r="HW464" s="79"/>
      <c r="HX464" s="79"/>
      <c r="HY464" s="79"/>
      <c r="HZ464" s="79"/>
      <c r="IA464" s="79"/>
      <c r="IB464" s="79"/>
      <c r="IC464" s="79"/>
      <c r="ID464" s="79"/>
      <c r="IE464" s="79"/>
      <c r="IF464" s="79"/>
      <c r="IG464" s="79"/>
      <c r="IH464" s="79"/>
      <c r="II464" s="79"/>
      <c r="IJ464" s="79"/>
      <c r="IK464" s="79"/>
      <c r="IL464" s="79"/>
      <c r="IM464" s="79"/>
      <c r="IN464" s="79"/>
      <c r="IO464" s="79"/>
      <c r="IP464" s="79"/>
      <c r="IQ464" s="79"/>
      <c r="IR464" s="79"/>
      <c r="IS464" s="79"/>
      <c r="IT464" s="79"/>
      <c r="IU464" s="79"/>
      <c r="IV464" s="79"/>
      <c r="IW464" s="79"/>
      <c r="IX464" s="79"/>
      <c r="IY464" s="79"/>
      <c r="IZ464" s="79"/>
      <c r="JA464" s="79"/>
      <c r="JB464" s="79"/>
      <c r="JC464" s="79"/>
      <c r="JD464" s="79"/>
      <c r="JE464" s="79"/>
      <c r="JF464" s="79"/>
      <c r="JG464" s="79"/>
      <c r="JH464" s="79"/>
      <c r="JI464" s="79"/>
      <c r="JJ464" s="79"/>
      <c r="JK464" s="79"/>
      <c r="JL464" s="79"/>
      <c r="JM464" s="79"/>
      <c r="JN464" s="79"/>
      <c r="JO464" s="79"/>
      <c r="JP464" s="79"/>
      <c r="JQ464" s="79"/>
      <c r="JR464" s="79"/>
      <c r="JS464" s="79"/>
      <c r="JT464" s="79"/>
      <c r="JU464" s="79"/>
      <c r="JV464" s="79"/>
      <c r="JW464" s="79"/>
      <c r="JX464" s="79"/>
      <c r="JY464" s="79"/>
      <c r="JZ464" s="79"/>
      <c r="KA464" s="79"/>
      <c r="KB464" s="79"/>
      <c r="KC464" s="79"/>
      <c r="KD464" s="79"/>
      <c r="KE464" s="79"/>
      <c r="KF464" s="79"/>
      <c r="KG464" s="79"/>
      <c r="KH464" s="79"/>
      <c r="KI464" s="79"/>
      <c r="KJ464" s="79"/>
      <c r="KK464" s="79"/>
      <c r="KL464" s="79"/>
      <c r="KM464" s="79"/>
      <c r="KN464" s="79"/>
      <c r="KO464" s="79"/>
    </row>
    <row r="465" spans="1:112" s="33" customFormat="1" ht="25.25" customHeight="1" thickBot="1">
      <c r="A465" s="2673">
        <v>12</v>
      </c>
      <c r="B465" s="701"/>
      <c r="C465" s="103" t="s">
        <v>80</v>
      </c>
      <c r="D465" s="172"/>
      <c r="E465" s="1189"/>
      <c r="F465" s="1190"/>
      <c r="G465" s="1191"/>
      <c r="H465" s="1190"/>
      <c r="I465" s="705">
        <f>I446-I463</f>
        <v>40156172.449999996</v>
      </c>
      <c r="J465" s="706"/>
      <c r="K465" s="1865"/>
      <c r="L465" s="708"/>
      <c r="M465" s="709"/>
      <c r="N465" s="709"/>
      <c r="O465" s="1192">
        <f ca="1">O446-O463</f>
        <v>53945541.449999996</v>
      </c>
      <c r="P465" s="713"/>
      <c r="Q465" s="713"/>
      <c r="R465" s="713"/>
      <c r="S465" s="1193">
        <f>S446-S463</f>
        <v>0</v>
      </c>
      <c r="T465" s="1194"/>
      <c r="U465" s="1866"/>
      <c r="V465" s="1866"/>
      <c r="W465" s="1193">
        <f>W446-W463</f>
        <v>53945541.450000025</v>
      </c>
      <c r="X465" s="1867"/>
      <c r="Y465" s="1194"/>
      <c r="Z465" s="1866"/>
      <c r="AA465" s="1866"/>
      <c r="AB465" s="1195">
        <f>AB446-AB463</f>
        <v>31992799.120406367</v>
      </c>
      <c r="AC465" s="717"/>
      <c r="AD465" s="1478"/>
      <c r="AE465" s="1156"/>
      <c r="AF465" s="1157"/>
      <c r="AG465" s="1158"/>
      <c r="AH465" s="1196">
        <f>AH446-AH463</f>
        <v>0</v>
      </c>
      <c r="AI465" s="722">
        <f>AI446-AI463+AI464</f>
        <v>1538105.285535</v>
      </c>
      <c r="AJ465" s="1197">
        <f>IF($AB465&lt;&gt;0,AI465/$AB465,"")</f>
        <v>4.8076608731429542E-2</v>
      </c>
      <c r="AK465" s="1198"/>
      <c r="AL465" s="1198"/>
      <c r="AM465" s="2282">
        <f>ROUND((AM446-AM463+AM464),2)</f>
        <v>460209.78</v>
      </c>
      <c r="AN465" s="2282">
        <f t="shared" ref="AN465:AQ465" si="669">ROUND((AN446-AN463+AN464),2)</f>
        <v>821415.51</v>
      </c>
      <c r="AO465" s="2282">
        <f t="shared" si="669"/>
        <v>256480</v>
      </c>
      <c r="AP465" s="2282">
        <f t="shared" si="669"/>
        <v>30854093.149999999</v>
      </c>
      <c r="AQ465" s="2282">
        <f t="shared" si="669"/>
        <v>52160.14</v>
      </c>
      <c r="AR465" s="726">
        <f t="shared" ref="AR465:AY465" si="670">ROUND((AR446-AR463+AR464),2)</f>
        <v>101752.44</v>
      </c>
      <c r="AS465" s="726">
        <f t="shared" si="670"/>
        <v>83954.46</v>
      </c>
      <c r="AT465" s="726">
        <f t="shared" si="670"/>
        <v>27620.35</v>
      </c>
      <c r="AU465" s="726">
        <f t="shared" si="670"/>
        <v>47190.33</v>
      </c>
      <c r="AV465" s="726">
        <f t="shared" si="670"/>
        <v>307791.53999999998</v>
      </c>
      <c r="AW465" s="726">
        <f t="shared" si="670"/>
        <v>206477.01</v>
      </c>
      <c r="AX465" s="726">
        <f t="shared" si="670"/>
        <v>-207550.17</v>
      </c>
      <c r="AY465" s="2248">
        <f t="shared" si="670"/>
        <v>148649.39000000001</v>
      </c>
      <c r="AZ465" s="2282">
        <f t="shared" ref="AZ465:BT465" si="671">ROUND((AZ446-AZ463+AZ464),2)</f>
        <v>416703.3</v>
      </c>
      <c r="BA465" s="726">
        <f t="shared" si="671"/>
        <v>234396.9</v>
      </c>
      <c r="BB465" s="726">
        <f t="shared" si="671"/>
        <v>343215.61</v>
      </c>
      <c r="BC465" s="726">
        <f t="shared" si="671"/>
        <v>-257245.86</v>
      </c>
      <c r="BD465" s="726">
        <f t="shared" si="671"/>
        <v>71475.83</v>
      </c>
      <c r="BE465" s="726">
        <f t="shared" si="671"/>
        <v>-295025.64</v>
      </c>
      <c r="BF465" s="726">
        <f t="shared" si="671"/>
        <v>-210401.68</v>
      </c>
      <c r="BG465" s="726">
        <f t="shared" si="671"/>
        <v>-338601</v>
      </c>
      <c r="BH465" s="726">
        <f t="shared" si="671"/>
        <v>280899.20000000001</v>
      </c>
      <c r="BI465" s="726">
        <f t="shared" si="671"/>
        <v>-660181.66</v>
      </c>
      <c r="BJ465" s="726">
        <f t="shared" si="671"/>
        <v>-129696.81</v>
      </c>
      <c r="BK465" s="2171">
        <f t="shared" si="671"/>
        <v>459411.89</v>
      </c>
      <c r="BL465" s="725">
        <f t="shared" si="671"/>
        <v>-712359.23</v>
      </c>
      <c r="BM465" s="725">
        <f t="shared" si="671"/>
        <v>-148838.34</v>
      </c>
      <c r="BN465" s="725">
        <f t="shared" si="671"/>
        <v>-18758.439999999999</v>
      </c>
      <c r="BO465" s="725">
        <f t="shared" si="671"/>
        <v>-137483.04</v>
      </c>
      <c r="BP465" s="725">
        <f>ROUND((BP446-BP463+BP464),2)</f>
        <v>155688.04999999999</v>
      </c>
      <c r="BQ465" s="2242">
        <f t="shared" si="671"/>
        <v>-135404.68</v>
      </c>
      <c r="BR465" s="726">
        <f t="shared" si="671"/>
        <v>1164724.56</v>
      </c>
      <c r="BS465" s="726">
        <f t="shared" si="671"/>
        <v>-1226138.43</v>
      </c>
      <c r="BT465" s="726">
        <f t="shared" si="671"/>
        <v>307558.14</v>
      </c>
      <c r="BU465" s="726">
        <f t="shared" ref="BU465:BZ465" si="672">ROUND((BU446-BU463+BU464),2)</f>
        <v>-328729.40999999997</v>
      </c>
      <c r="BV465" s="726">
        <f t="shared" si="672"/>
        <v>0</v>
      </c>
      <c r="BW465" s="726">
        <f t="shared" si="672"/>
        <v>3184727.26</v>
      </c>
      <c r="BX465" s="726">
        <f t="shared" si="672"/>
        <v>-3500880.45</v>
      </c>
      <c r="BY465" s="726">
        <f t="shared" si="672"/>
        <v>313419</v>
      </c>
      <c r="BZ465" s="726">
        <f t="shared" si="672"/>
        <v>79.3</v>
      </c>
      <c r="CA465" s="2454">
        <f>SUMIF($AM$10:$BZ$10,$CA$9,AM465:BZ465)</f>
        <v>30454693.009999998</v>
      </c>
      <c r="CB465" s="729">
        <f>IF($AB465&lt;&gt;0,CA465/$AB465,"")</f>
        <v>0.95192336548553824</v>
      </c>
      <c r="CC465" s="436"/>
      <c r="CD465" s="730"/>
      <c r="CE465" s="731"/>
      <c r="CF465" s="731"/>
      <c r="CG465" s="436"/>
      <c r="CH465" s="732"/>
      <c r="CI465" s="436"/>
      <c r="CJ465" s="436"/>
      <c r="CK465" s="436"/>
      <c r="CL465" s="329">
        <f t="shared" ca="1" si="668"/>
        <v>23490848.439999998</v>
      </c>
      <c r="CM465" s="330">
        <f t="shared" ref="CM465:CM475" si="673">CA465+AI465-AB465</f>
        <v>-0.82487136870622635</v>
      </c>
      <c r="CN465" s="331">
        <f t="shared" si="657"/>
        <v>707235.85446500429</v>
      </c>
      <c r="CO465" s="86"/>
      <c r="CP465" s="86">
        <f t="shared" ca="1" si="656"/>
        <v>-13789369</v>
      </c>
      <c r="CQ465" s="86"/>
      <c r="CR465" s="86"/>
      <c r="CS465" s="86"/>
      <c r="CT465" s="86"/>
      <c r="CU465" s="86"/>
      <c r="CV465" s="86"/>
      <c r="CW465" s="86"/>
      <c r="CX465" s="86"/>
      <c r="CY465" s="86"/>
      <c r="CZ465" s="86"/>
      <c r="DA465" s="86"/>
      <c r="DB465" s="1658">
        <f>CA465+AI465</f>
        <v>31992798.295534998</v>
      </c>
      <c r="DC465" s="1658"/>
      <c r="DD465" s="1658"/>
      <c r="DF465" s="1658"/>
    </row>
    <row r="466" spans="1:112" s="33" customFormat="1" ht="25.25" customHeight="1" thickBot="1">
      <c r="A466" s="2674">
        <v>13</v>
      </c>
      <c r="B466" s="733"/>
      <c r="C466" s="131" t="s">
        <v>100</v>
      </c>
      <c r="D466" s="191"/>
      <c r="E466" s="144"/>
      <c r="F466" s="1199"/>
      <c r="G466" s="1029"/>
      <c r="H466" s="1199"/>
      <c r="I466" s="1960">
        <f>IF(I465&lt;&gt;0,I465/I440,"0,00%")</f>
        <v>6.3600036190222767E-2</v>
      </c>
      <c r="J466" s="1961"/>
      <c r="K466" s="1962"/>
      <c r="L466" s="1963"/>
      <c r="M466" s="1964"/>
      <c r="N466" s="1964"/>
      <c r="O466" s="1960">
        <f ca="1">IF(O465&lt;&gt;0,O465/O440,"0,00%")</f>
        <v>8.6025746787521964E-2</v>
      </c>
      <c r="P466" s="1965"/>
      <c r="Q466" s="1965"/>
      <c r="R466" s="1965"/>
      <c r="S466" s="1966" t="str">
        <f>IF(S465&lt;&gt;0,S465/S442,"0,00%")</f>
        <v>0,00%</v>
      </c>
      <c r="T466" s="1967"/>
      <c r="U466" s="1966"/>
      <c r="V466" s="1966"/>
      <c r="W466" s="1966">
        <f>IF(W465&lt;&gt;0,W465/W442,"0,00%")</f>
        <v>8.6025746787522006E-2</v>
      </c>
      <c r="X466" s="1968"/>
      <c r="Y466" s="1967"/>
      <c r="Z466" s="1966"/>
      <c r="AA466" s="1966"/>
      <c r="AB466" s="1969">
        <f>IF(AB465&lt;&gt;0,AB465/AB442,"0,00%")</f>
        <v>5.1018200247504114E-2</v>
      </c>
      <c r="AC466" s="1422"/>
      <c r="AD466" s="1479"/>
      <c r="AE466" s="1200"/>
      <c r="AF466" s="1053"/>
      <c r="AG466" s="915"/>
      <c r="AH466" s="1038" t="str">
        <f>IF(AH465&lt;&gt;0,AH465/AH440,"0,00%")</f>
        <v>0,00%</v>
      </c>
      <c r="AI466" s="1201">
        <f>IF(AI465&lt;&gt;0,AI465/AI442,"0,00%")</f>
        <v>0.1004270972325102</v>
      </c>
      <c r="AJ466" s="1202"/>
      <c r="AK466" s="1040"/>
      <c r="AL466" s="1040"/>
      <c r="AM466" s="2302">
        <f t="shared" ref="AM466:AY466" si="674">IF(AM465&lt;&gt;0,AM465/AM442,"0,00%")</f>
        <v>6.6499999419112749E-2</v>
      </c>
      <c r="AN466" s="2302">
        <f t="shared" si="674"/>
        <v>0.54202753230115264</v>
      </c>
      <c r="AO466" s="2302">
        <f t="shared" si="674"/>
        <v>3.7280465021357317E-2</v>
      </c>
      <c r="AP466" s="2302">
        <f t="shared" si="674"/>
        <v>3.8695040320954917</v>
      </c>
      <c r="AQ466" s="1204">
        <f t="shared" si="674"/>
        <v>5.7860701520969123E-3</v>
      </c>
      <c r="AR466" s="1203">
        <f t="shared" si="674"/>
        <v>9.2118929033661971E-3</v>
      </c>
      <c r="AS466" s="1203">
        <f t="shared" si="674"/>
        <v>6.5994102680513129E-3</v>
      </c>
      <c r="AT466" s="1203">
        <f t="shared" si="674"/>
        <v>2.0809715484878689E-3</v>
      </c>
      <c r="AU466" s="1203">
        <f t="shared" si="674"/>
        <v>3.3198167688563199E-3</v>
      </c>
      <c r="AV466" s="1203">
        <f t="shared" si="674"/>
        <v>1.5118729489386555E-2</v>
      </c>
      <c r="AW466" s="1203">
        <f t="shared" si="674"/>
        <v>8.4346565871750209E-3</v>
      </c>
      <c r="AX466" s="1203">
        <f t="shared" si="674"/>
        <v>-1.020560849566976E-2</v>
      </c>
      <c r="AY466" s="2249">
        <f t="shared" si="674"/>
        <v>6.3787254856850313E-3</v>
      </c>
      <c r="AZ466" s="2302">
        <f t="shared" ref="AZ466:BZ466" si="675">IF(AZ465&lt;&gt;0,AZ465/AZ442,"0,00%")</f>
        <v>1.317789782055975E-2</v>
      </c>
      <c r="BA466" s="1203">
        <f t="shared" si="675"/>
        <v>6.457220561551992E-3</v>
      </c>
      <c r="BB466" s="1203">
        <f t="shared" si="675"/>
        <v>7.9539028105426318E-3</v>
      </c>
      <c r="BC466" s="1203">
        <f t="shared" si="675"/>
        <v>-6.7667904472766497E-3</v>
      </c>
      <c r="BD466" s="1203">
        <f t="shared" si="675"/>
        <v>1.8121480267539931E-3</v>
      </c>
      <c r="BE466" s="1203">
        <f t="shared" si="675"/>
        <v>-8.792600666549185E-3</v>
      </c>
      <c r="BF466" s="1203">
        <f t="shared" si="675"/>
        <v>-7.1676827631311996E-3</v>
      </c>
      <c r="BG466" s="1203">
        <f t="shared" si="675"/>
        <v>-1.498519820211673E-2</v>
      </c>
      <c r="BH466" s="1203">
        <f t="shared" si="675"/>
        <v>9.9600894691556068E-3</v>
      </c>
      <c r="BI466" s="1203">
        <f t="shared" si="675"/>
        <v>-4.3938366848487613E-2</v>
      </c>
      <c r="BJ466" s="1203">
        <f t="shared" si="675"/>
        <v>-1.0428796471951664E-2</v>
      </c>
      <c r="BK466" s="2172">
        <f t="shared" si="675"/>
        <v>2.1262841267940088E-2</v>
      </c>
      <c r="BL466" s="1204">
        <f t="shared" si="675"/>
        <v>-9.6426942916649952E-2</v>
      </c>
      <c r="BM466" s="1204">
        <f t="shared" si="675"/>
        <v>-3.3698814703747478E-2</v>
      </c>
      <c r="BN466" s="1204">
        <f t="shared" si="675"/>
        <v>-4.6405334694991111E-3</v>
      </c>
      <c r="BO466" s="1204">
        <f t="shared" si="675"/>
        <v>-0.10590891509550149</v>
      </c>
      <c r="BP466" s="1204">
        <f t="shared" si="675"/>
        <v>3.5338056396896488E-2</v>
      </c>
      <c r="BQ466" s="1205">
        <f t="shared" si="675"/>
        <v>-7.9510261533998136E-2</v>
      </c>
      <c r="BR466" s="1203">
        <f t="shared" si="675"/>
        <v>4.6680437305513744E-2</v>
      </c>
      <c r="BS466" s="1203">
        <f t="shared" si="675"/>
        <v>-2.5696819360516052</v>
      </c>
      <c r="BT466" s="1203">
        <f t="shared" si="675"/>
        <v>0.50051477504936892</v>
      </c>
      <c r="BU466" s="1203">
        <f t="shared" si="675"/>
        <v>-6.0234675799735546</v>
      </c>
      <c r="BV466" s="1203" t="str">
        <f t="shared" si="675"/>
        <v>0,00%</v>
      </c>
      <c r="BW466" s="1203">
        <f t="shared" si="675"/>
        <v>5.8609029866356438E-2</v>
      </c>
      <c r="BX466" s="1203" t="e">
        <f t="shared" si="675"/>
        <v>#DIV/0!</v>
      </c>
      <c r="BY466" s="1203" t="e">
        <f>IF(BY465&lt;&gt;0,BY465/BY442,"0,00%")</f>
        <v>#DIV/0!</v>
      </c>
      <c r="BZ466" s="1203">
        <f t="shared" si="675"/>
        <v>0.95015576323987527</v>
      </c>
      <c r="CA466" s="2455">
        <f ca="1">IF(CA465&lt;&gt;0,CA465/CA442,"0,00%")</f>
        <v>4.9781249648724817E-2</v>
      </c>
      <c r="CB466" s="1202"/>
      <c r="CC466" s="436"/>
      <c r="CD466" s="730"/>
      <c r="CE466" s="731"/>
      <c r="CF466" s="731"/>
      <c r="CG466" s="436"/>
      <c r="CH466" s="732"/>
      <c r="CI466" s="436"/>
      <c r="CJ466" s="436"/>
      <c r="CK466" s="436"/>
      <c r="CL466" s="329">
        <f t="shared" ca="1" si="668"/>
        <v>3.6244497138797148E-2</v>
      </c>
      <c r="CM466" s="330">
        <f t="shared" ca="1" si="673"/>
        <v>9.9190146633730908E-2</v>
      </c>
      <c r="CN466" s="331">
        <f t="shared" ca="1" si="657"/>
        <v>4.3453283472442017</v>
      </c>
      <c r="CO466" s="86"/>
      <c r="CP466" s="86">
        <f t="shared" ca="1" si="656"/>
        <v>-2.2425710597299198E-2</v>
      </c>
      <c r="CQ466" s="86"/>
      <c r="CR466" s="86"/>
      <c r="CS466" s="86"/>
      <c r="CT466" s="86"/>
      <c r="CU466" s="86"/>
      <c r="CV466" s="86"/>
      <c r="CW466" s="86"/>
      <c r="CX466" s="86"/>
      <c r="CY466" s="86"/>
      <c r="CZ466" s="86"/>
      <c r="DA466" s="86"/>
      <c r="DB466" s="1658"/>
      <c r="DC466" s="1658"/>
      <c r="DD466" s="1658"/>
      <c r="DF466" s="1658"/>
    </row>
    <row r="467" spans="1:112" s="33" customFormat="1" ht="25.25" customHeight="1" thickBot="1">
      <c r="A467" s="1208"/>
      <c r="B467" s="1206"/>
      <c r="C467" s="121"/>
      <c r="D467" s="121"/>
      <c r="E467" s="1207"/>
      <c r="F467" s="1208"/>
      <c r="G467" s="1209"/>
      <c r="H467" s="1208"/>
      <c r="I467" s="1210"/>
      <c r="J467" s="1868"/>
      <c r="K467" s="1869"/>
      <c r="L467" s="1870"/>
      <c r="M467" s="1871"/>
      <c r="N467" s="1871"/>
      <c r="O467" s="1872"/>
      <c r="P467" s="1873"/>
      <c r="Q467" s="1873"/>
      <c r="R467" s="1873"/>
      <c r="S467" s="1841"/>
      <c r="T467" s="679"/>
      <c r="U467" s="1841"/>
      <c r="V467" s="1841"/>
      <c r="W467" s="1841"/>
      <c r="X467" s="1874"/>
      <c r="Y467" s="679"/>
      <c r="Z467" s="1841"/>
      <c r="AA467" s="1841"/>
      <c r="AB467" s="2717">
        <v>3.4144274362355564E-2</v>
      </c>
      <c r="AC467" s="1423"/>
      <c r="AD467" s="1489"/>
      <c r="AE467" s="1211"/>
      <c r="AF467" s="1067"/>
      <c r="AG467" s="1067"/>
      <c r="AH467" s="1212"/>
      <c r="AI467" s="1213"/>
      <c r="AJ467" s="1214"/>
      <c r="AK467" s="1214"/>
      <c r="AL467" s="1214"/>
      <c r="AM467" s="2303"/>
      <c r="AN467" s="2303"/>
      <c r="AO467" s="1215"/>
      <c r="AP467" s="1216"/>
      <c r="AQ467" s="1215"/>
      <c r="AR467" s="1215"/>
      <c r="AS467" s="1215"/>
      <c r="AT467" s="1217"/>
      <c r="AU467" s="1217"/>
      <c r="AV467" s="1217"/>
      <c r="AW467" s="1217"/>
      <c r="AX467" s="1217"/>
      <c r="AY467" s="1217"/>
      <c r="AZ467" s="2360"/>
      <c r="BA467" s="1217"/>
      <c r="BB467" s="1217"/>
      <c r="BC467" s="1217"/>
      <c r="BD467" s="1217"/>
      <c r="BE467" s="1217"/>
      <c r="BF467" s="1217"/>
      <c r="BG467" s="1217"/>
      <c r="BH467" s="1217"/>
      <c r="BI467" s="1217"/>
      <c r="BJ467" s="1217"/>
      <c r="BK467" s="2173"/>
      <c r="BL467" s="1217"/>
      <c r="BM467" s="1217"/>
      <c r="BN467" s="1217"/>
      <c r="BO467" s="1217"/>
      <c r="BP467" s="1217"/>
      <c r="BQ467" s="1217"/>
      <c r="BR467" s="1217"/>
      <c r="BS467" s="1217"/>
      <c r="BT467" s="1217"/>
      <c r="BU467" s="1215"/>
      <c r="BV467" s="1215"/>
      <c r="BW467" s="1215"/>
      <c r="BX467" s="1215"/>
      <c r="BY467" s="1215"/>
      <c r="BZ467" s="1215"/>
      <c r="CA467" s="1213"/>
      <c r="CB467" s="1214"/>
      <c r="CC467" s="436"/>
      <c r="CD467" s="730"/>
      <c r="CE467" s="731"/>
      <c r="CF467" s="731"/>
      <c r="CG467" s="436"/>
      <c r="CH467" s="732"/>
      <c r="CI467" s="436"/>
      <c r="CJ467" s="436"/>
      <c r="CK467" s="436"/>
      <c r="CL467" s="329">
        <f t="shared" si="668"/>
        <v>0</v>
      </c>
      <c r="CM467" s="330">
        <f t="shared" si="673"/>
        <v>-3.4144274362355564E-2</v>
      </c>
      <c r="CN467" s="331">
        <f t="shared" si="657"/>
        <v>0</v>
      </c>
      <c r="CO467" s="86"/>
      <c r="CP467" s="86">
        <f t="shared" si="656"/>
        <v>0</v>
      </c>
      <c r="CQ467" s="86"/>
      <c r="CR467" s="86"/>
      <c r="CS467" s="86"/>
      <c r="CT467" s="86"/>
      <c r="CU467" s="86"/>
      <c r="CV467" s="86"/>
      <c r="CW467" s="86"/>
      <c r="CX467" s="86"/>
      <c r="CY467" s="86"/>
      <c r="CZ467" s="86"/>
      <c r="DA467" s="86"/>
      <c r="DB467" s="1658"/>
      <c r="DC467" s="1658"/>
      <c r="DD467" s="1658"/>
      <c r="DF467" s="1658"/>
    </row>
    <row r="468" spans="1:112" s="33" customFormat="1" ht="25.25" customHeight="1" thickBot="1">
      <c r="A468" s="2673">
        <v>14</v>
      </c>
      <c r="B468" s="701"/>
      <c r="C468" s="103" t="s">
        <v>101</v>
      </c>
      <c r="D468" s="172"/>
      <c r="E468" s="1189"/>
      <c r="F468" s="1190"/>
      <c r="G468" s="1191"/>
      <c r="H468" s="1190"/>
      <c r="I468" s="705">
        <f>I465</f>
        <v>40156172.449999996</v>
      </c>
      <c r="J468" s="706"/>
      <c r="K468" s="707"/>
      <c r="L468" s="708"/>
      <c r="M468" s="709"/>
      <c r="N468" s="709"/>
      <c r="O468" s="1192">
        <f ca="1">O465+O427</f>
        <v>53945541.449999996</v>
      </c>
      <c r="P468" s="713"/>
      <c r="Q468" s="713"/>
      <c r="R468" s="713"/>
      <c r="S468" s="712">
        <f>S465+S427</f>
        <v>0</v>
      </c>
      <c r="T468" s="713"/>
      <c r="U468" s="714"/>
      <c r="V468" s="714"/>
      <c r="W468" s="712">
        <f>W465+W427</f>
        <v>53945541.450000025</v>
      </c>
      <c r="X468" s="712">
        <f t="shared" ref="X468:AG468" si="676">X465+X427</f>
        <v>0</v>
      </c>
      <c r="Y468" s="712">
        <f t="shared" si="676"/>
        <v>0</v>
      </c>
      <c r="Z468" s="712">
        <f t="shared" si="676"/>
        <v>0</v>
      </c>
      <c r="AA468" s="712">
        <f t="shared" si="676"/>
        <v>0</v>
      </c>
      <c r="AB468" s="715">
        <f>AB465+AB427</f>
        <v>54091334.270406365</v>
      </c>
      <c r="AC468" s="1424">
        <f t="shared" si="676"/>
        <v>0</v>
      </c>
      <c r="AD468" s="1494">
        <f t="shared" si="676"/>
        <v>0</v>
      </c>
      <c r="AE468" s="1218">
        <f t="shared" si="676"/>
        <v>0</v>
      </c>
      <c r="AF468" s="1219">
        <f t="shared" si="676"/>
        <v>0</v>
      </c>
      <c r="AG468" s="1219">
        <f t="shared" si="676"/>
        <v>0</v>
      </c>
      <c r="AH468" s="1196">
        <f>AH465-AH427</f>
        <v>0</v>
      </c>
      <c r="AI468" s="722">
        <f>AI465</f>
        <v>1538105.285535</v>
      </c>
      <c r="AJ468" s="1197">
        <f>IF($AB468&lt;&gt;0,AI468/$AB468,"")</f>
        <v>2.8435336385786013E-2</v>
      </c>
      <c r="AK468" s="1198"/>
      <c r="AL468" s="1198"/>
      <c r="AM468" s="2282">
        <f>AM465</f>
        <v>460209.78</v>
      </c>
      <c r="AN468" s="2282">
        <f>AN465</f>
        <v>821415.51</v>
      </c>
      <c r="AO468" s="726">
        <f t="shared" ref="AO468:AY468" si="677">AO465</f>
        <v>256480</v>
      </c>
      <c r="AP468" s="726">
        <f t="shared" si="677"/>
        <v>30854093.149999999</v>
      </c>
      <c r="AQ468" s="726">
        <f t="shared" si="677"/>
        <v>52160.14</v>
      </c>
      <c r="AR468" s="726">
        <f t="shared" si="677"/>
        <v>101752.44</v>
      </c>
      <c r="AS468" s="726">
        <f t="shared" si="677"/>
        <v>83954.46</v>
      </c>
      <c r="AT468" s="726">
        <f t="shared" si="677"/>
        <v>27620.35</v>
      </c>
      <c r="AU468" s="726">
        <f t="shared" si="677"/>
        <v>47190.33</v>
      </c>
      <c r="AV468" s="726">
        <f t="shared" si="677"/>
        <v>307791.53999999998</v>
      </c>
      <c r="AW468" s="726">
        <f t="shared" si="677"/>
        <v>206477.01</v>
      </c>
      <c r="AX468" s="726">
        <f t="shared" si="677"/>
        <v>-207550.17</v>
      </c>
      <c r="AY468" s="2248">
        <f t="shared" si="677"/>
        <v>148649.39000000001</v>
      </c>
      <c r="AZ468" s="2282">
        <f t="shared" ref="AZ468:BT468" si="678">AZ465</f>
        <v>416703.3</v>
      </c>
      <c r="BA468" s="726">
        <f t="shared" si="678"/>
        <v>234396.9</v>
      </c>
      <c r="BB468" s="726">
        <f t="shared" si="678"/>
        <v>343215.61</v>
      </c>
      <c r="BC468" s="726">
        <f t="shared" si="678"/>
        <v>-257245.86</v>
      </c>
      <c r="BD468" s="726">
        <f t="shared" si="678"/>
        <v>71475.83</v>
      </c>
      <c r="BE468" s="726">
        <f t="shared" si="678"/>
        <v>-295025.64</v>
      </c>
      <c r="BF468" s="726">
        <f t="shared" si="678"/>
        <v>-210401.68</v>
      </c>
      <c r="BG468" s="726">
        <f t="shared" si="678"/>
        <v>-338601</v>
      </c>
      <c r="BH468" s="726">
        <f t="shared" si="678"/>
        <v>280899.20000000001</v>
      </c>
      <c r="BI468" s="726">
        <f t="shared" si="678"/>
        <v>-660181.66</v>
      </c>
      <c r="BJ468" s="726">
        <f t="shared" si="678"/>
        <v>-129696.81</v>
      </c>
      <c r="BK468" s="2171">
        <f t="shared" si="678"/>
        <v>459411.89</v>
      </c>
      <c r="BL468" s="725">
        <f t="shared" si="678"/>
        <v>-712359.23</v>
      </c>
      <c r="BM468" s="725">
        <f t="shared" si="678"/>
        <v>-148838.34</v>
      </c>
      <c r="BN468" s="725">
        <f t="shared" si="678"/>
        <v>-18758.439999999999</v>
      </c>
      <c r="BO468" s="725">
        <f t="shared" si="678"/>
        <v>-137483.04</v>
      </c>
      <c r="BP468" s="725">
        <f t="shared" si="678"/>
        <v>155688.04999999999</v>
      </c>
      <c r="BQ468" s="2242">
        <f t="shared" si="678"/>
        <v>-135404.68</v>
      </c>
      <c r="BR468" s="726">
        <f t="shared" si="678"/>
        <v>1164724.56</v>
      </c>
      <c r="BS468" s="726">
        <f t="shared" si="678"/>
        <v>-1226138.43</v>
      </c>
      <c r="BT468" s="726">
        <f t="shared" si="678"/>
        <v>307558.14</v>
      </c>
      <c r="BU468" s="726">
        <f>BU465</f>
        <v>-328729.40999999997</v>
      </c>
      <c r="BV468" s="726">
        <f t="shared" ref="BV468:BX468" si="679">BV465</f>
        <v>0</v>
      </c>
      <c r="BW468" s="726">
        <f t="shared" si="679"/>
        <v>3184727.26</v>
      </c>
      <c r="BX468" s="726">
        <f t="shared" si="679"/>
        <v>-3500880.45</v>
      </c>
      <c r="BY468" s="726">
        <f>BY465</f>
        <v>313419</v>
      </c>
      <c r="BZ468" s="726">
        <f>BZ465</f>
        <v>79.3</v>
      </c>
      <c r="CA468" s="2454">
        <f>SUMIF($AM$10:$BZ$10,$CA$9,AM468:BZ468)</f>
        <v>30454693.009999998</v>
      </c>
      <c r="CB468" s="729">
        <f>IF($AB468&lt;&gt;0,CA468/$AB468,"")</f>
        <v>0.56302351237547321</v>
      </c>
      <c r="CC468" s="436"/>
      <c r="CD468" s="730"/>
      <c r="CE468" s="731"/>
      <c r="CF468" s="731"/>
      <c r="CG468" s="436"/>
      <c r="CH468" s="732"/>
      <c r="CI468" s="436"/>
      <c r="CJ468" s="436"/>
      <c r="CK468" s="436"/>
      <c r="CL468" s="329">
        <f t="shared" ca="1" si="668"/>
        <v>23490848.439999998</v>
      </c>
      <c r="CM468" s="330">
        <f t="shared" si="673"/>
        <v>-22098535.974871367</v>
      </c>
      <c r="CN468" s="331">
        <f t="shared" si="657"/>
        <v>707235.85446500429</v>
      </c>
      <c r="CO468" s="86"/>
      <c r="CP468" s="86">
        <f t="shared" ca="1" si="656"/>
        <v>-13789369</v>
      </c>
      <c r="CQ468" s="86"/>
      <c r="CR468" s="86"/>
      <c r="CS468" s="86"/>
      <c r="CT468" s="86"/>
      <c r="CU468" s="86"/>
      <c r="CV468" s="86"/>
      <c r="CW468" s="86"/>
      <c r="CX468" s="86"/>
      <c r="CY468" s="86"/>
      <c r="CZ468" s="86"/>
      <c r="DA468" s="86"/>
      <c r="DB468" s="1658">
        <f>CA468+AI468</f>
        <v>31992798.295534998</v>
      </c>
      <c r="DC468" s="1658"/>
      <c r="DD468" s="1658"/>
      <c r="DF468" s="1658"/>
    </row>
    <row r="469" spans="1:112" s="33" customFormat="1" ht="25.25" customHeight="1" thickBot="1">
      <c r="A469" s="2691">
        <v>15</v>
      </c>
      <c r="B469" s="1220"/>
      <c r="C469" s="132" t="s">
        <v>81</v>
      </c>
      <c r="D469" s="192"/>
      <c r="E469" s="1221"/>
      <c r="F469" s="1222"/>
      <c r="G469" s="1223"/>
      <c r="H469" s="1222"/>
      <c r="I469" s="1970">
        <f>I466</f>
        <v>6.3600036190222767E-2</v>
      </c>
      <c r="J469" s="1971"/>
      <c r="K469" s="1972"/>
      <c r="L469" s="1973"/>
      <c r="M469" s="1974"/>
      <c r="N469" s="1974"/>
      <c r="O469" s="1975">
        <f ca="1">IF(O468&lt;&gt;0,O468/O440,"0,00%")</f>
        <v>8.6025746787521964E-2</v>
      </c>
      <c r="P469" s="1976"/>
      <c r="Q469" s="1976"/>
      <c r="R469" s="1976"/>
      <c r="S469" s="1977" t="str">
        <f>IF(S468&lt;&gt;0,S468/S442,"0,00%")</f>
        <v>0,00%</v>
      </c>
      <c r="T469" s="1976"/>
      <c r="U469" s="1977"/>
      <c r="V469" s="1977"/>
      <c r="W469" s="1977">
        <f>IF(W468&lt;&gt;0,W468/W442,"0,00%")</f>
        <v>8.6025746787522006E-2</v>
      </c>
      <c r="X469" s="1978"/>
      <c r="Y469" s="1976"/>
      <c r="Z469" s="1977"/>
      <c r="AA469" s="1977"/>
      <c r="AB469" s="1979">
        <f>IF(AB468&lt;&gt;0,AB468/AB442,"0,00%")</f>
        <v>8.6258239333052183E-2</v>
      </c>
      <c r="AC469" s="1425"/>
      <c r="AD469" s="1495"/>
      <c r="AE469" s="1224"/>
      <c r="AF469" s="1225"/>
      <c r="AG469" s="1226"/>
      <c r="AH469" s="1227"/>
      <c r="AI469" s="1228">
        <f>IF(AI468&lt;&gt;0,AI468/AI442,"0,00%")</f>
        <v>0.1004270972325102</v>
      </c>
      <c r="AJ469" s="1229"/>
      <c r="AK469" s="1230"/>
      <c r="AL469" s="1230"/>
      <c r="AM469" s="2304">
        <f t="shared" ref="AM469:AP469" si="680">IF(AM468&lt;&gt;0,AM468/AM442,"0,00%")</f>
        <v>6.6499999419112749E-2</v>
      </c>
      <c r="AN469" s="2304">
        <f t="shared" si="680"/>
        <v>0.54202753230115264</v>
      </c>
      <c r="AO469" s="1232">
        <f t="shared" si="680"/>
        <v>3.7280465021357317E-2</v>
      </c>
      <c r="AP469" s="1233">
        <f t="shared" si="680"/>
        <v>3.8695040320954917</v>
      </c>
      <c r="AQ469" s="1234">
        <f t="shared" ref="AQ469:AY469" si="681">IF(AQ468&lt;&gt;0,AQ468/AQ442,"0,00%")</f>
        <v>5.7860701520969123E-3</v>
      </c>
      <c r="AR469" s="1231">
        <f t="shared" si="681"/>
        <v>9.2118929033661971E-3</v>
      </c>
      <c r="AS469" s="1231">
        <f t="shared" si="681"/>
        <v>6.5994102680513129E-3</v>
      </c>
      <c r="AT469" s="1231">
        <f t="shared" si="681"/>
        <v>2.0809715484878689E-3</v>
      </c>
      <c r="AU469" s="1231">
        <f t="shared" si="681"/>
        <v>3.3198167688563199E-3</v>
      </c>
      <c r="AV469" s="1231">
        <f>IF(AV468&lt;&gt;0,AV468/AV442,"0,00%")</f>
        <v>1.5118729489386555E-2</v>
      </c>
      <c r="AW469" s="1231">
        <f t="shared" si="681"/>
        <v>8.4346565871750209E-3</v>
      </c>
      <c r="AX469" s="1231">
        <f t="shared" si="681"/>
        <v>-1.020560849566976E-2</v>
      </c>
      <c r="AY469" s="2250">
        <f t="shared" si="681"/>
        <v>6.3787254856850313E-3</v>
      </c>
      <c r="AZ469" s="2304">
        <f t="shared" ref="AZ469:BW469" si="682">IF(AZ468&lt;&gt;0,AZ468/AZ442,"0,00%")</f>
        <v>1.317789782055975E-2</v>
      </c>
      <c r="BA469" s="1234">
        <f t="shared" si="682"/>
        <v>6.457220561551992E-3</v>
      </c>
      <c r="BB469" s="1234">
        <f t="shared" si="682"/>
        <v>7.9539028105426318E-3</v>
      </c>
      <c r="BC469" s="1234">
        <f t="shared" si="682"/>
        <v>-6.7667904472766497E-3</v>
      </c>
      <c r="BD469" s="1234">
        <f t="shared" si="682"/>
        <v>1.8121480267539931E-3</v>
      </c>
      <c r="BE469" s="1234">
        <f t="shared" si="682"/>
        <v>-8.792600666549185E-3</v>
      </c>
      <c r="BF469" s="1234">
        <f t="shared" si="682"/>
        <v>-7.1676827631311996E-3</v>
      </c>
      <c r="BG469" s="1234">
        <f t="shared" si="682"/>
        <v>-1.498519820211673E-2</v>
      </c>
      <c r="BH469" s="1231">
        <f t="shared" si="682"/>
        <v>9.9600894691556068E-3</v>
      </c>
      <c r="BI469" s="1231">
        <f t="shared" si="682"/>
        <v>-4.3938366848487613E-2</v>
      </c>
      <c r="BJ469" s="1231">
        <f t="shared" si="682"/>
        <v>-1.0428796471951664E-2</v>
      </c>
      <c r="BK469" s="2174">
        <f t="shared" si="682"/>
        <v>2.1262841267940088E-2</v>
      </c>
      <c r="BL469" s="1232">
        <f t="shared" si="682"/>
        <v>-9.6426942916649952E-2</v>
      </c>
      <c r="BM469" s="1232">
        <f t="shared" si="682"/>
        <v>-3.3698814703747478E-2</v>
      </c>
      <c r="BN469" s="1232">
        <f t="shared" si="682"/>
        <v>-4.6405334694991111E-3</v>
      </c>
      <c r="BO469" s="1232">
        <f t="shared" si="682"/>
        <v>-0.10590891509550149</v>
      </c>
      <c r="BP469" s="1232">
        <f t="shared" si="682"/>
        <v>3.5338056396896488E-2</v>
      </c>
      <c r="BQ469" s="1235">
        <f t="shared" si="682"/>
        <v>-7.9510261533998136E-2</v>
      </c>
      <c r="BR469" s="1231">
        <f t="shared" si="682"/>
        <v>4.6680437305513744E-2</v>
      </c>
      <c r="BS469" s="1231">
        <f t="shared" si="682"/>
        <v>-2.5696819360516052</v>
      </c>
      <c r="BT469" s="1231">
        <f t="shared" si="682"/>
        <v>0.50051477504936892</v>
      </c>
      <c r="BU469" s="1231">
        <f t="shared" si="682"/>
        <v>-6.0234675799735546</v>
      </c>
      <c r="BV469" s="1231" t="str">
        <f t="shared" si="682"/>
        <v>0,00%</v>
      </c>
      <c r="BW469" s="1231">
        <f t="shared" si="682"/>
        <v>5.8609029866356438E-2</v>
      </c>
      <c r="BX469" s="1231" t="e">
        <f t="shared" ref="BX469:BY469" si="683">IF(BX468&lt;&gt;0,BX468/BX442,"0,00%")</f>
        <v>#DIV/0!</v>
      </c>
      <c r="BY469" s="1231" t="e">
        <f t="shared" si="683"/>
        <v>#DIV/0!</v>
      </c>
      <c r="BZ469" s="1231">
        <f>IF(BZ468&lt;&gt;0,BZ468/BZ442,"0,00%")</f>
        <v>0.95015576323987527</v>
      </c>
      <c r="CA469" s="2456">
        <f ca="1">IF(CA468&lt;&gt;0,CA468/CA442,"0,00%")</f>
        <v>4.9781249648724817E-2</v>
      </c>
      <c r="CB469" s="1229"/>
      <c r="CC469" s="436"/>
      <c r="CD469" s="730"/>
      <c r="CE469" s="731"/>
      <c r="CF469" s="731"/>
      <c r="CG469" s="436"/>
      <c r="CH469" s="732"/>
      <c r="CI469" s="436"/>
      <c r="CJ469" s="436"/>
      <c r="CK469" s="436"/>
      <c r="CL469" s="329">
        <f t="shared" ca="1" si="668"/>
        <v>3.6244497138797148E-2</v>
      </c>
      <c r="CM469" s="330">
        <f t="shared" ca="1" si="673"/>
        <v>6.3950107548182838E-2</v>
      </c>
      <c r="CN469" s="331">
        <f t="shared" ca="1" si="657"/>
        <v>4.3453283472442017</v>
      </c>
      <c r="CO469" s="86"/>
      <c r="CP469" s="86">
        <f t="shared" ca="1" si="656"/>
        <v>-2.2425710597299198E-2</v>
      </c>
      <c r="CQ469" s="86"/>
      <c r="CR469" s="86"/>
      <c r="CS469" s="86"/>
      <c r="CT469" s="86"/>
      <c r="CU469" s="86"/>
      <c r="CV469" s="86"/>
      <c r="CW469" s="86"/>
      <c r="CX469" s="86"/>
      <c r="CY469" s="86"/>
      <c r="CZ469" s="86"/>
      <c r="DA469" s="86"/>
      <c r="DB469" s="1658"/>
      <c r="DC469" s="1658"/>
      <c r="DD469" s="1658"/>
      <c r="DF469" s="1658"/>
    </row>
    <row r="470" spans="1:112" ht="25.25" customHeight="1" thickBot="1">
      <c r="A470" s="2692"/>
      <c r="B470" s="1236"/>
      <c r="C470" s="133"/>
      <c r="D470" s="133"/>
      <c r="E470" s="1237"/>
      <c r="F470" s="1238"/>
      <c r="G470" s="1238"/>
      <c r="H470" s="1238"/>
      <c r="I470" s="1239"/>
      <c r="J470" s="1875"/>
      <c r="K470" s="1875"/>
      <c r="L470" s="546"/>
      <c r="M470" s="1875"/>
      <c r="N470" s="1875"/>
      <c r="O470" s="1240"/>
      <c r="P470" s="1241"/>
      <c r="Q470" s="1241"/>
      <c r="R470" s="1241"/>
      <c r="S470" s="1241"/>
      <c r="T470" s="1241"/>
      <c r="U470" s="1241"/>
      <c r="V470" s="1241"/>
      <c r="W470" s="1241"/>
      <c r="X470" s="1876"/>
      <c r="Y470" s="1241"/>
      <c r="Z470" s="1241"/>
      <c r="AA470" s="1241"/>
      <c r="AB470" s="1877"/>
      <c r="AC470" s="974"/>
      <c r="AD470" s="1486"/>
      <c r="AE470" s="1242"/>
      <c r="AF470" s="995"/>
      <c r="AG470" s="995"/>
      <c r="AH470" s="1243"/>
      <c r="AI470" s="1243"/>
      <c r="AJ470" s="1243"/>
      <c r="AK470" s="1243"/>
      <c r="AL470" s="1243"/>
      <c r="AM470" s="2305"/>
      <c r="AN470" s="2305"/>
      <c r="AO470" s="1244"/>
      <c r="AP470" s="1245"/>
      <c r="AQ470" s="1244"/>
      <c r="AR470" s="1244"/>
      <c r="AS470" s="1244"/>
      <c r="AT470" s="1244"/>
      <c r="AU470" s="1244"/>
      <c r="AV470" s="1244"/>
      <c r="AW470" s="1244"/>
      <c r="AX470" s="1244"/>
      <c r="AY470" s="1244"/>
      <c r="AZ470" s="2361"/>
      <c r="BA470" s="1244"/>
      <c r="BB470" s="1244"/>
      <c r="BC470" s="1244"/>
      <c r="BD470" s="1244"/>
      <c r="BE470" s="1244"/>
      <c r="BF470" s="1244"/>
      <c r="BG470" s="1244"/>
      <c r="BH470" s="1244"/>
      <c r="BI470" s="1244"/>
      <c r="BJ470" s="1244"/>
      <c r="BK470" s="2175"/>
      <c r="BL470" s="1244"/>
      <c r="BM470" s="1244"/>
      <c r="BN470" s="1244"/>
      <c r="BO470" s="1244"/>
      <c r="BP470" s="1244"/>
      <c r="BQ470" s="1244"/>
      <c r="BR470" s="1244"/>
      <c r="BS470" s="1244"/>
      <c r="BT470" s="1244"/>
      <c r="BU470" s="1244"/>
      <c r="BV470" s="1244"/>
      <c r="BW470" s="1244"/>
      <c r="BX470" s="2422"/>
      <c r="BY470" s="1244"/>
      <c r="BZ470" s="1244"/>
      <c r="CA470" s="1243"/>
      <c r="CB470" s="1243"/>
      <c r="CC470" s="514"/>
      <c r="CD470" s="1104"/>
      <c r="CE470" s="1105"/>
      <c r="CF470" s="1105"/>
      <c r="CG470" s="514"/>
      <c r="CH470" s="1106"/>
      <c r="CI470" s="514"/>
      <c r="CJ470" s="514"/>
      <c r="CK470" s="514"/>
      <c r="CL470" s="329">
        <f t="shared" si="668"/>
        <v>0</v>
      </c>
      <c r="CM470" s="330">
        <f t="shared" si="673"/>
        <v>0</v>
      </c>
      <c r="CN470" s="331">
        <f t="shared" si="657"/>
        <v>0</v>
      </c>
      <c r="CO470" s="86"/>
      <c r="CP470" s="86">
        <f t="shared" si="656"/>
        <v>0</v>
      </c>
      <c r="CQ470" s="86"/>
      <c r="CR470" s="86"/>
      <c r="CS470" s="86"/>
      <c r="CT470" s="86"/>
      <c r="CU470" s="86"/>
      <c r="CV470" s="86"/>
      <c r="CW470" s="86"/>
      <c r="CX470" s="86"/>
      <c r="CY470" s="86"/>
      <c r="CZ470" s="86"/>
      <c r="DA470" s="86"/>
      <c r="DB470" s="1658"/>
      <c r="DC470" s="32"/>
      <c r="DD470" s="32"/>
      <c r="DF470" s="1658"/>
      <c r="DG470" s="35"/>
      <c r="DH470" s="35"/>
    </row>
    <row r="471" spans="1:112" s="24" customFormat="1" ht="25.25" customHeight="1" outlineLevel="2" thickBot="1">
      <c r="A471" s="2693" t="s">
        <v>24</v>
      </c>
      <c r="B471" s="1246"/>
      <c r="C471" s="134" t="s">
        <v>66</v>
      </c>
      <c r="D471" s="193"/>
      <c r="E471" s="1247"/>
      <c r="F471" s="1248"/>
      <c r="G471" s="1249"/>
      <c r="H471" s="1250"/>
      <c r="I471" s="1251"/>
      <c r="J471" s="1878"/>
      <c r="K471" s="1879"/>
      <c r="L471" s="1879"/>
      <c r="M471" s="1880"/>
      <c r="N471" s="1881"/>
      <c r="O471" s="818"/>
      <c r="P471" s="819"/>
      <c r="Q471" s="819"/>
      <c r="R471" s="819"/>
      <c r="S471" s="819"/>
      <c r="T471" s="819"/>
      <c r="U471" s="820"/>
      <c r="V471" s="820"/>
      <c r="W471" s="819"/>
      <c r="X471" s="823"/>
      <c r="Y471" s="823"/>
      <c r="Z471" s="824"/>
      <c r="AA471" s="824"/>
      <c r="AB471" s="821"/>
      <c r="AC471" s="1426"/>
      <c r="AD471" s="1496"/>
      <c r="AE471" s="1252"/>
      <c r="AF471" s="1253"/>
      <c r="AG471" s="1253"/>
      <c r="AH471" s="1254"/>
      <c r="AI471" s="1255"/>
      <c r="AJ471" s="1256"/>
      <c r="AK471" s="1257"/>
      <c r="AL471" s="1257"/>
      <c r="AM471" s="2306"/>
      <c r="AN471" s="2306"/>
      <c r="AO471" s="1259"/>
      <c r="AP471" s="1260"/>
      <c r="AQ471" s="1261"/>
      <c r="AR471" s="1258"/>
      <c r="AS471" s="1258"/>
      <c r="AT471" s="1258"/>
      <c r="AU471" s="1258"/>
      <c r="AV471" s="1258"/>
      <c r="AW471" s="1258"/>
      <c r="AX471" s="1258"/>
      <c r="AY471" s="2251"/>
      <c r="AZ471" s="2362"/>
      <c r="BA471" s="1262"/>
      <c r="BB471" s="1262"/>
      <c r="BC471" s="1262"/>
      <c r="BD471" s="1262"/>
      <c r="BE471" s="1262"/>
      <c r="BF471" s="1262"/>
      <c r="BG471" s="1262"/>
      <c r="BH471" s="1258"/>
      <c r="BI471" s="1259"/>
      <c r="BJ471" s="1259"/>
      <c r="BK471" s="2176"/>
      <c r="BL471" s="1259"/>
      <c r="BM471" s="1259"/>
      <c r="BN471" s="1259"/>
      <c r="BO471" s="1259"/>
      <c r="BP471" s="1259"/>
      <c r="BQ471" s="1262"/>
      <c r="BR471" s="1259"/>
      <c r="BS471" s="1259"/>
      <c r="BT471" s="1259"/>
      <c r="BU471" s="1259"/>
      <c r="BV471" s="1259"/>
      <c r="BW471" s="1259"/>
      <c r="BX471" s="2481"/>
      <c r="BY471" s="2564"/>
      <c r="BZ471" s="2564"/>
      <c r="CA471" s="2457"/>
      <c r="CB471" s="1263"/>
      <c r="CC471" s="1264"/>
      <c r="CD471" s="1104"/>
      <c r="CE471" s="1105"/>
      <c r="CF471" s="1105"/>
      <c r="CG471" s="514"/>
      <c r="CH471" s="1106"/>
      <c r="CI471" s="514"/>
      <c r="CJ471" s="514"/>
      <c r="CK471" s="514"/>
      <c r="CL471" s="329">
        <f t="shared" si="668"/>
        <v>0</v>
      </c>
      <c r="CM471" s="330">
        <f t="shared" si="673"/>
        <v>0</v>
      </c>
      <c r="CN471" s="331">
        <f t="shared" si="657"/>
        <v>0</v>
      </c>
      <c r="CO471" s="86"/>
      <c r="CP471" s="86">
        <f t="shared" si="656"/>
        <v>0</v>
      </c>
      <c r="CQ471" s="86"/>
      <c r="CR471" s="86"/>
      <c r="CS471" s="86"/>
      <c r="CT471" s="86"/>
      <c r="CU471" s="86"/>
      <c r="CV471" s="86"/>
      <c r="CW471" s="86"/>
      <c r="CX471" s="86"/>
      <c r="CY471" s="86"/>
      <c r="CZ471" s="86"/>
      <c r="DA471" s="86"/>
      <c r="DB471" s="1658"/>
      <c r="DC471" s="23"/>
      <c r="DD471" s="23"/>
      <c r="DF471" s="1658"/>
    </row>
    <row r="472" spans="1:112" s="78" customFormat="1" ht="25.25" customHeight="1" outlineLevel="2">
      <c r="A472" s="2694" t="s">
        <v>42</v>
      </c>
      <c r="B472" s="1265"/>
      <c r="C472" s="128"/>
      <c r="D472" s="194"/>
      <c r="E472" s="1266"/>
      <c r="F472" s="1267"/>
      <c r="G472" s="1268"/>
      <c r="H472" s="1269"/>
      <c r="I472" s="1270"/>
      <c r="J472" s="1882"/>
      <c r="K472" s="1883"/>
      <c r="L472" s="1884"/>
      <c r="M472" s="1271"/>
      <c r="N472" s="1272"/>
      <c r="O472" s="1273">
        <f>N472*M472</f>
        <v>0</v>
      </c>
      <c r="P472" s="1274"/>
      <c r="Q472" s="1274"/>
      <c r="R472" s="1274"/>
      <c r="S472" s="1275">
        <f>R472*Q472</f>
        <v>0</v>
      </c>
      <c r="T472" s="1885"/>
      <c r="U472" s="1276">
        <f t="shared" ref="U472:W475" si="684">M472+Q472</f>
        <v>0</v>
      </c>
      <c r="V472" s="1276">
        <f t="shared" si="684"/>
        <v>0</v>
      </c>
      <c r="W472" s="1275">
        <f t="shared" si="684"/>
        <v>0</v>
      </c>
      <c r="X472" s="1886"/>
      <c r="Y472" s="1887"/>
      <c r="Z472" s="1888"/>
      <c r="AA472" s="1888"/>
      <c r="AB472" s="1277">
        <f>+W472</f>
        <v>0</v>
      </c>
      <c r="AC472" s="1427"/>
      <c r="AD472" s="1497"/>
      <c r="AE472" s="1278"/>
      <c r="AF472" s="1279"/>
      <c r="AG472" s="1280"/>
      <c r="AH472" s="1281">
        <f>+AF472*AG472</f>
        <v>0</v>
      </c>
      <c r="AI472" s="1282">
        <f>SUMIF($AM$10:$AY$10,$AI$9,AM472:AY472)</f>
        <v>0</v>
      </c>
      <c r="AJ472" s="1283" t="str">
        <f t="shared" ref="AJ472:AJ477" si="685">IF($AB472&lt;&gt;0,AI472/$AB472,"")</f>
        <v/>
      </c>
      <c r="AK472" s="1284"/>
      <c r="AL472" s="1284"/>
      <c r="AM472" s="2299"/>
      <c r="AN472" s="2299"/>
      <c r="AO472" s="1145"/>
      <c r="AP472" s="1286"/>
      <c r="AQ472" s="1287"/>
      <c r="AR472" s="1146"/>
      <c r="AS472" s="1146"/>
      <c r="AT472" s="1146"/>
      <c r="AU472" s="1146"/>
      <c r="AV472" s="1146"/>
      <c r="AW472" s="1285"/>
      <c r="AX472" s="1285"/>
      <c r="AY472" s="2330"/>
      <c r="AZ472" s="2363"/>
      <c r="BA472" s="1288"/>
      <c r="BB472" s="1288"/>
      <c r="BC472" s="1288"/>
      <c r="BD472" s="1288"/>
      <c r="BE472" s="1288"/>
      <c r="BF472" s="1288"/>
      <c r="BG472" s="1288"/>
      <c r="BH472" s="1285"/>
      <c r="BI472" s="1289"/>
      <c r="BJ472" s="1289"/>
      <c r="BK472" s="2177"/>
      <c r="BL472" s="1289"/>
      <c r="BM472" s="1289"/>
      <c r="BN472" s="1289"/>
      <c r="BO472" s="1289"/>
      <c r="BP472" s="1289"/>
      <c r="BQ472" s="2492"/>
      <c r="BR472" s="1289"/>
      <c r="BS472" s="1289"/>
      <c r="BT472" s="1289"/>
      <c r="BU472" s="1289"/>
      <c r="BV472" s="1289"/>
      <c r="BW472" s="1289"/>
      <c r="BX472" s="2482"/>
      <c r="BY472" s="2565"/>
      <c r="BZ472" s="2565"/>
      <c r="CA472" s="2458">
        <f>SUMIF($AN$10:$AY$10,$CA$9,AN472:BT472)</f>
        <v>0</v>
      </c>
      <c r="CB472" s="1290" t="str">
        <f t="shared" ref="CB472:CB477" si="686">IF($AB472&lt;&gt;0,CA472/$AB472,"")</f>
        <v/>
      </c>
      <c r="CC472" s="1291"/>
      <c r="CD472" s="1292"/>
      <c r="CE472" s="1293"/>
      <c r="CF472" s="1293"/>
      <c r="CG472" s="1294"/>
      <c r="CH472" s="1295"/>
      <c r="CI472" s="1294"/>
      <c r="CJ472" s="1294"/>
      <c r="CK472" s="1294"/>
      <c r="CL472" s="329">
        <f t="shared" si="668"/>
        <v>0</v>
      </c>
      <c r="CM472" s="330">
        <f t="shared" si="673"/>
        <v>0</v>
      </c>
      <c r="CN472" s="331">
        <f t="shared" si="657"/>
        <v>0</v>
      </c>
      <c r="CO472" s="86"/>
      <c r="CP472" s="86">
        <f t="shared" si="656"/>
        <v>0</v>
      </c>
      <c r="CQ472" s="86"/>
      <c r="CR472" s="86"/>
      <c r="CS472" s="86"/>
      <c r="CT472" s="86"/>
      <c r="CU472" s="86"/>
      <c r="CV472" s="86"/>
      <c r="CW472" s="86"/>
      <c r="CX472" s="86"/>
      <c r="CY472" s="86"/>
      <c r="CZ472" s="86"/>
      <c r="DA472" s="86"/>
      <c r="DB472" s="1658"/>
      <c r="DC472" s="80"/>
      <c r="DD472" s="80"/>
      <c r="DF472" s="1658"/>
    </row>
    <row r="473" spans="1:112" ht="25.25" customHeight="1" outlineLevel="2">
      <c r="A473" s="2678" t="s">
        <v>43</v>
      </c>
      <c r="B473" s="843"/>
      <c r="C473" s="117"/>
      <c r="D473" s="175"/>
      <c r="E473" s="1296"/>
      <c r="F473" s="1297"/>
      <c r="G473" s="1298"/>
      <c r="H473" s="1111"/>
      <c r="I473" s="864"/>
      <c r="J473" s="863"/>
      <c r="K473" s="865"/>
      <c r="L473" s="877"/>
      <c r="M473" s="878"/>
      <c r="N473" s="496"/>
      <c r="O473" s="1112">
        <f>N473*M473</f>
        <v>0</v>
      </c>
      <c r="P473" s="867"/>
      <c r="Q473" s="867"/>
      <c r="R473" s="867"/>
      <c r="S473" s="868">
        <f>R473*Q473</f>
        <v>0</v>
      </c>
      <c r="T473" s="869"/>
      <c r="U473" s="848">
        <f t="shared" si="684"/>
        <v>0</v>
      </c>
      <c r="V473" s="848">
        <f t="shared" si="684"/>
        <v>0</v>
      </c>
      <c r="W473" s="868">
        <f t="shared" si="684"/>
        <v>0</v>
      </c>
      <c r="X473" s="1889"/>
      <c r="Y473" s="871"/>
      <c r="Z473" s="872"/>
      <c r="AA473" s="872"/>
      <c r="AB473" s="870">
        <f>W473</f>
        <v>0</v>
      </c>
      <c r="AC473" s="1427"/>
      <c r="AD473" s="1497"/>
      <c r="AE473" s="1278"/>
      <c r="AF473" s="1279"/>
      <c r="AG473" s="1280"/>
      <c r="AH473" s="1126">
        <f>+AF473*AG473</f>
        <v>0</v>
      </c>
      <c r="AI473" s="1282">
        <f t="shared" ref="AI473:AI475" si="687">SUMIF($AM$10:$AY$10,$AI$9,AM473:AY473)</f>
        <v>0</v>
      </c>
      <c r="AJ473" s="1299" t="str">
        <f t="shared" si="685"/>
        <v/>
      </c>
      <c r="AK473" s="1300"/>
      <c r="AL473" s="1300"/>
      <c r="AM473" s="2299"/>
      <c r="AN473" s="2299"/>
      <c r="AO473" s="1134"/>
      <c r="AP473" s="1286"/>
      <c r="AQ473" s="1301"/>
      <c r="AR473" s="1130"/>
      <c r="AS473" s="1130"/>
      <c r="AT473" s="1130"/>
      <c r="AU473" s="1130"/>
      <c r="AV473" s="1130"/>
      <c r="AW473" s="1127"/>
      <c r="AX473" s="1127"/>
      <c r="AY473" s="1131"/>
      <c r="AZ473" s="2356"/>
      <c r="BA473" s="1132"/>
      <c r="BB473" s="1132"/>
      <c r="BC473" s="1132"/>
      <c r="BD473" s="1132"/>
      <c r="BE473" s="1132"/>
      <c r="BF473" s="1132"/>
      <c r="BG473" s="1132"/>
      <c r="BH473" s="1127"/>
      <c r="BI473" s="1302"/>
      <c r="BJ473" s="1302"/>
      <c r="BK473" s="2178"/>
      <c r="BL473" s="1302"/>
      <c r="BM473" s="1302"/>
      <c r="BN473" s="1302"/>
      <c r="BO473" s="1302"/>
      <c r="BP473" s="1302"/>
      <c r="BQ473" s="2493"/>
      <c r="BR473" s="1302"/>
      <c r="BS473" s="1302"/>
      <c r="BT473" s="1302"/>
      <c r="BU473" s="1302"/>
      <c r="BV473" s="1302"/>
      <c r="BW473" s="1302"/>
      <c r="BX473" s="2475"/>
      <c r="BY473" s="2373"/>
      <c r="BZ473" s="2373"/>
      <c r="CA473" s="2459">
        <f>SUMIF($AN$10:$AY$10,$CA$9,AN473:BT473)</f>
        <v>0</v>
      </c>
      <c r="CB473" s="580" t="str">
        <f t="shared" si="686"/>
        <v/>
      </c>
      <c r="CC473" s="1303"/>
      <c r="CD473" s="1104"/>
      <c r="CE473" s="1105"/>
      <c r="CF473" s="1105"/>
      <c r="CG473" s="514"/>
      <c r="CH473" s="1106"/>
      <c r="CI473" s="514"/>
      <c r="CJ473" s="514"/>
      <c r="CK473" s="514"/>
      <c r="CL473" s="329">
        <f t="shared" si="668"/>
        <v>0</v>
      </c>
      <c r="CM473" s="330">
        <f t="shared" si="673"/>
        <v>0</v>
      </c>
      <c r="CN473" s="331">
        <f t="shared" si="657"/>
        <v>0</v>
      </c>
      <c r="CO473" s="86"/>
      <c r="CP473" s="86">
        <f t="shared" si="656"/>
        <v>0</v>
      </c>
      <c r="CQ473" s="86"/>
      <c r="CR473" s="86"/>
      <c r="CS473" s="86"/>
      <c r="CT473" s="86"/>
      <c r="CU473" s="86"/>
      <c r="CV473" s="86"/>
      <c r="CW473" s="86"/>
      <c r="CX473" s="86"/>
      <c r="CY473" s="86"/>
      <c r="CZ473" s="86"/>
      <c r="DA473" s="86"/>
      <c r="DB473" s="1658"/>
      <c r="DC473" s="32"/>
      <c r="DD473" s="32"/>
      <c r="DF473" s="1658"/>
      <c r="DG473" s="35"/>
      <c r="DH473" s="35"/>
    </row>
    <row r="474" spans="1:112" ht="25.25" customHeight="1" outlineLevel="2">
      <c r="A474" s="2678" t="s">
        <v>44</v>
      </c>
      <c r="B474" s="843"/>
      <c r="C474" s="117"/>
      <c r="D474" s="175"/>
      <c r="E474" s="1296"/>
      <c r="F474" s="1297"/>
      <c r="G474" s="1298"/>
      <c r="H474" s="1111"/>
      <c r="I474" s="864"/>
      <c r="J474" s="863"/>
      <c r="K474" s="865"/>
      <c r="L474" s="877"/>
      <c r="M474" s="878"/>
      <c r="N474" s="496"/>
      <c r="O474" s="1112">
        <f>N474*M474</f>
        <v>0</v>
      </c>
      <c r="P474" s="867"/>
      <c r="Q474" s="867"/>
      <c r="R474" s="867"/>
      <c r="S474" s="868">
        <f>R474*Q474</f>
        <v>0</v>
      </c>
      <c r="T474" s="869"/>
      <c r="U474" s="848">
        <f t="shared" si="684"/>
        <v>0</v>
      </c>
      <c r="V474" s="848">
        <f t="shared" si="684"/>
        <v>0</v>
      </c>
      <c r="W474" s="868">
        <f t="shared" si="684"/>
        <v>0</v>
      </c>
      <c r="X474" s="1889"/>
      <c r="Y474" s="871"/>
      <c r="Z474" s="872"/>
      <c r="AA474" s="872"/>
      <c r="AB474" s="870">
        <f>W474</f>
        <v>0</v>
      </c>
      <c r="AC474" s="1427"/>
      <c r="AD474" s="1497"/>
      <c r="AE474" s="1278"/>
      <c r="AF474" s="1279"/>
      <c r="AG474" s="1280"/>
      <c r="AH474" s="1126">
        <f>+AF474*AG474</f>
        <v>0</v>
      </c>
      <c r="AI474" s="1282">
        <f t="shared" si="687"/>
        <v>0</v>
      </c>
      <c r="AJ474" s="1299" t="str">
        <f t="shared" si="685"/>
        <v/>
      </c>
      <c r="AK474" s="1300"/>
      <c r="AL474" s="1300"/>
      <c r="AM474" s="2299"/>
      <c r="AN474" s="2299"/>
      <c r="AO474" s="1134"/>
      <c r="AP474" s="1286"/>
      <c r="AQ474" s="1301"/>
      <c r="AR474" s="1130"/>
      <c r="AS474" s="1130"/>
      <c r="AT474" s="1130"/>
      <c r="AU474" s="1130"/>
      <c r="AV474" s="1130"/>
      <c r="AW474" s="1127"/>
      <c r="AX474" s="1127"/>
      <c r="AY474" s="1131"/>
      <c r="AZ474" s="2356"/>
      <c r="BA474" s="1132"/>
      <c r="BB474" s="1132"/>
      <c r="BC474" s="1132"/>
      <c r="BD474" s="1132"/>
      <c r="BE474" s="1132"/>
      <c r="BF474" s="1132"/>
      <c r="BG474" s="1132"/>
      <c r="BH474" s="1127"/>
      <c r="BI474" s="1302"/>
      <c r="BJ474" s="1302"/>
      <c r="BK474" s="2178"/>
      <c r="BL474" s="1302"/>
      <c r="BM474" s="1302"/>
      <c r="BN474" s="1302"/>
      <c r="BO474" s="1302"/>
      <c r="BP474" s="1302"/>
      <c r="BQ474" s="2493"/>
      <c r="BR474" s="1302"/>
      <c r="BS474" s="1302"/>
      <c r="BT474" s="1302"/>
      <c r="BU474" s="1302"/>
      <c r="BV474" s="1302"/>
      <c r="BW474" s="1302"/>
      <c r="BX474" s="2475"/>
      <c r="BY474" s="2373"/>
      <c r="BZ474" s="2373"/>
      <c r="CA474" s="2459">
        <f>SUMIF($AN$10:$AY$10,$CA$9,AN474:BT474)</f>
        <v>0</v>
      </c>
      <c r="CB474" s="580" t="str">
        <f t="shared" si="686"/>
        <v/>
      </c>
      <c r="CC474" s="1303"/>
      <c r="CD474" s="1104"/>
      <c r="CE474" s="1105"/>
      <c r="CF474" s="1105"/>
      <c r="CG474" s="514"/>
      <c r="CH474" s="1106"/>
      <c r="CI474" s="514"/>
      <c r="CJ474" s="514"/>
      <c r="CK474" s="514"/>
      <c r="CL474" s="329">
        <f t="shared" si="668"/>
        <v>0</v>
      </c>
      <c r="CM474" s="330">
        <f t="shared" si="673"/>
        <v>0</v>
      </c>
      <c r="CN474" s="331">
        <f t="shared" si="657"/>
        <v>0</v>
      </c>
      <c r="CO474" s="86"/>
      <c r="CP474" s="86">
        <f t="shared" si="656"/>
        <v>0</v>
      </c>
      <c r="CQ474" s="86"/>
      <c r="CR474" s="86"/>
      <c r="CS474" s="86"/>
      <c r="CT474" s="86"/>
      <c r="CU474" s="86"/>
      <c r="CV474" s="86"/>
      <c r="CW474" s="86"/>
      <c r="CX474" s="86"/>
      <c r="CY474" s="86"/>
      <c r="CZ474" s="86"/>
      <c r="DA474" s="86"/>
      <c r="DB474" s="1658"/>
      <c r="DC474" s="32"/>
      <c r="DD474" s="32"/>
      <c r="DF474" s="1658"/>
      <c r="DG474" s="35"/>
      <c r="DH474" s="35"/>
    </row>
    <row r="475" spans="1:112" ht="25.25" customHeight="1" outlineLevel="2" thickBot="1">
      <c r="A475" s="2695" t="s">
        <v>45</v>
      </c>
      <c r="B475" s="1304"/>
      <c r="C475" s="135"/>
      <c r="D475" s="195"/>
      <c r="E475" s="1305"/>
      <c r="F475" s="1306"/>
      <c r="G475" s="1307"/>
      <c r="H475" s="1308"/>
      <c r="I475" s="1309"/>
      <c r="J475" s="1890"/>
      <c r="K475" s="1891"/>
      <c r="L475" s="1892"/>
      <c r="M475" s="1310"/>
      <c r="N475" s="1311"/>
      <c r="O475" s="886">
        <f>N475*M475</f>
        <v>0</v>
      </c>
      <c r="P475" s="1312"/>
      <c r="Q475" s="1312"/>
      <c r="R475" s="1312"/>
      <c r="S475" s="888">
        <f>R475*Q475</f>
        <v>0</v>
      </c>
      <c r="T475" s="1893"/>
      <c r="U475" s="1313">
        <f t="shared" si="684"/>
        <v>0</v>
      </c>
      <c r="V475" s="1313">
        <f t="shared" si="684"/>
        <v>0</v>
      </c>
      <c r="W475" s="888">
        <f t="shared" si="684"/>
        <v>0</v>
      </c>
      <c r="X475" s="892"/>
      <c r="Y475" s="887"/>
      <c r="Z475" s="889"/>
      <c r="AA475" s="889"/>
      <c r="AB475" s="890">
        <f>W475</f>
        <v>0</v>
      </c>
      <c r="AC475" s="1427"/>
      <c r="AD475" s="1497"/>
      <c r="AE475" s="1278"/>
      <c r="AF475" s="1279"/>
      <c r="AG475" s="1280"/>
      <c r="AH475" s="1126">
        <f>+AF475*AG475</f>
        <v>0</v>
      </c>
      <c r="AI475" s="1282">
        <f t="shared" si="687"/>
        <v>0</v>
      </c>
      <c r="AJ475" s="1299" t="str">
        <f>IF($AB475&lt;&gt;0,AI475/$AB475,"")</f>
        <v/>
      </c>
      <c r="AK475" s="1300"/>
      <c r="AL475" s="1300"/>
      <c r="AM475" s="2299"/>
      <c r="AN475" s="2299"/>
      <c r="AO475" s="1134"/>
      <c r="AP475" s="1286"/>
      <c r="AQ475" s="1301"/>
      <c r="AR475" s="1130"/>
      <c r="AS475" s="1130"/>
      <c r="AT475" s="1130"/>
      <c r="AU475" s="1130"/>
      <c r="AV475" s="1130"/>
      <c r="AW475" s="1127"/>
      <c r="AX475" s="1127"/>
      <c r="AY475" s="1131"/>
      <c r="AZ475" s="2356"/>
      <c r="BA475" s="1132"/>
      <c r="BB475" s="1132"/>
      <c r="BC475" s="1132"/>
      <c r="BD475" s="1132"/>
      <c r="BE475" s="1132"/>
      <c r="BF475" s="1132"/>
      <c r="BG475" s="1132"/>
      <c r="BH475" s="1127"/>
      <c r="BI475" s="1302"/>
      <c r="BJ475" s="1302"/>
      <c r="BK475" s="2178"/>
      <c r="BL475" s="1302"/>
      <c r="BM475" s="1302"/>
      <c r="BN475" s="1302"/>
      <c r="BO475" s="1302"/>
      <c r="BP475" s="1302"/>
      <c r="BQ475" s="2493"/>
      <c r="BR475" s="1302"/>
      <c r="BS475" s="1302"/>
      <c r="BT475" s="1302"/>
      <c r="BU475" s="1302"/>
      <c r="BV475" s="1302"/>
      <c r="BW475" s="1302"/>
      <c r="BX475" s="2475"/>
      <c r="BY475" s="2373"/>
      <c r="BZ475" s="2373"/>
      <c r="CA475" s="2459">
        <f>SUMIF($AN$10:$AY$10,$CA$9,AN475:BT475)</f>
        <v>0</v>
      </c>
      <c r="CB475" s="580" t="str">
        <f>IF($AB475&lt;&gt;0,CA475/$AB475,"")</f>
        <v/>
      </c>
      <c r="CC475" s="1314"/>
      <c r="CD475" s="1104"/>
      <c r="CE475" s="1105"/>
      <c r="CF475" s="1105"/>
      <c r="CG475" s="514"/>
      <c r="CH475" s="1106"/>
      <c r="CI475" s="514"/>
      <c r="CJ475" s="514"/>
      <c r="CK475" s="514"/>
      <c r="CL475" s="329">
        <f t="shared" si="668"/>
        <v>0</v>
      </c>
      <c r="CM475" s="330">
        <f t="shared" si="673"/>
        <v>0</v>
      </c>
      <c r="CN475" s="331">
        <f t="shared" si="657"/>
        <v>0</v>
      </c>
      <c r="CO475" s="86"/>
      <c r="CP475" s="86">
        <f t="shared" si="656"/>
        <v>0</v>
      </c>
      <c r="CQ475" s="86"/>
      <c r="CR475" s="86"/>
      <c r="CS475" s="86"/>
      <c r="CT475" s="86"/>
      <c r="CU475" s="86"/>
      <c r="CV475" s="86"/>
      <c r="CW475" s="86"/>
      <c r="CX475" s="86"/>
      <c r="CY475" s="86"/>
      <c r="CZ475" s="86"/>
      <c r="DA475" s="86"/>
      <c r="DB475" s="1658"/>
      <c r="DC475" s="32"/>
      <c r="DD475" s="32"/>
      <c r="DF475" s="1658"/>
      <c r="DG475" s="35"/>
      <c r="DH475" s="35"/>
    </row>
    <row r="476" spans="1:112" s="33" customFormat="1" ht="25.25" customHeight="1" thickBot="1">
      <c r="A476" s="2673">
        <v>16</v>
      </c>
      <c r="B476" s="701"/>
      <c r="C476" s="103" t="s">
        <v>67</v>
      </c>
      <c r="D476" s="172"/>
      <c r="E476" s="1189"/>
      <c r="F476" s="1190"/>
      <c r="G476" s="1191"/>
      <c r="H476" s="1190"/>
      <c r="I476" s="705"/>
      <c r="J476" s="706"/>
      <c r="K476" s="1865"/>
      <c r="L476" s="708"/>
      <c r="M476" s="709"/>
      <c r="N476" s="709"/>
      <c r="O476" s="1192"/>
      <c r="P476" s="713"/>
      <c r="Q476" s="713"/>
      <c r="R476" s="713"/>
      <c r="S476" s="712"/>
      <c r="T476" s="713"/>
      <c r="U476" s="714"/>
      <c r="V476" s="714"/>
      <c r="W476" s="712">
        <f>O476+S476</f>
        <v>0</v>
      </c>
      <c r="X476" s="1894"/>
      <c r="Y476" s="713"/>
      <c r="Z476" s="714"/>
      <c r="AA476" s="714"/>
      <c r="AB476" s="715"/>
      <c r="AC476" s="717"/>
      <c r="AD476" s="1478"/>
      <c r="AE476" s="1156"/>
      <c r="AF476" s="1157"/>
      <c r="AG476" s="1158"/>
      <c r="AH476" s="1196">
        <f>SUM(AH472:AH475)</f>
        <v>0</v>
      </c>
      <c r="AI476" s="722">
        <f>SUM(AI472:AI475)</f>
        <v>0</v>
      </c>
      <c r="AJ476" s="1197" t="str">
        <f t="shared" si="685"/>
        <v/>
      </c>
      <c r="AK476" s="1198"/>
      <c r="AL476" s="1198"/>
      <c r="AM476" s="2282">
        <f t="shared" ref="AM476" si="688">SUM(AM472:AM475)</f>
        <v>0</v>
      </c>
      <c r="AN476" s="2282">
        <f t="shared" ref="AN476:AP476" si="689">SUM(AN472:AN475)</f>
        <v>0</v>
      </c>
      <c r="AO476" s="725">
        <f t="shared" si="689"/>
        <v>0</v>
      </c>
      <c r="AP476" s="1315">
        <f t="shared" si="689"/>
        <v>0</v>
      </c>
      <c r="AQ476" s="1316">
        <f t="shared" ref="AQ476:AY476" si="690">SUM(AQ472:AQ475)</f>
        <v>0</v>
      </c>
      <c r="AR476" s="726">
        <f t="shared" si="690"/>
        <v>0</v>
      </c>
      <c r="AS476" s="726">
        <f t="shared" si="690"/>
        <v>0</v>
      </c>
      <c r="AT476" s="726">
        <f t="shared" si="690"/>
        <v>0</v>
      </c>
      <c r="AU476" s="726">
        <f t="shared" si="690"/>
        <v>0</v>
      </c>
      <c r="AV476" s="726">
        <f t="shared" si="690"/>
        <v>0</v>
      </c>
      <c r="AW476" s="726">
        <f t="shared" si="690"/>
        <v>0</v>
      </c>
      <c r="AX476" s="726">
        <f t="shared" si="690"/>
        <v>0</v>
      </c>
      <c r="AY476" s="2248">
        <f t="shared" si="690"/>
        <v>0</v>
      </c>
      <c r="AZ476" s="2282">
        <f t="shared" ref="AZ476:BW476" si="691">SUM(AZ472:AZ475)</f>
        <v>0</v>
      </c>
      <c r="BA476" s="1316">
        <f t="shared" si="691"/>
        <v>0</v>
      </c>
      <c r="BB476" s="1316">
        <f t="shared" si="691"/>
        <v>0</v>
      </c>
      <c r="BC476" s="1316">
        <f t="shared" si="691"/>
        <v>0</v>
      </c>
      <c r="BD476" s="1316">
        <f t="shared" si="691"/>
        <v>0</v>
      </c>
      <c r="BE476" s="1316">
        <f t="shared" si="691"/>
        <v>0</v>
      </c>
      <c r="BF476" s="1316">
        <f t="shared" si="691"/>
        <v>0</v>
      </c>
      <c r="BG476" s="1316">
        <f t="shared" si="691"/>
        <v>0</v>
      </c>
      <c r="BH476" s="726">
        <f t="shared" si="691"/>
        <v>0</v>
      </c>
      <c r="BI476" s="726">
        <f t="shared" si="691"/>
        <v>0</v>
      </c>
      <c r="BJ476" s="726">
        <f t="shared" si="691"/>
        <v>0</v>
      </c>
      <c r="BK476" s="2171">
        <f t="shared" si="691"/>
        <v>0</v>
      </c>
      <c r="BL476" s="725">
        <f t="shared" si="691"/>
        <v>0</v>
      </c>
      <c r="BM476" s="725">
        <f t="shared" si="691"/>
        <v>0</v>
      </c>
      <c r="BN476" s="725">
        <f t="shared" si="691"/>
        <v>0</v>
      </c>
      <c r="BO476" s="725">
        <f t="shared" si="691"/>
        <v>0</v>
      </c>
      <c r="BP476" s="725">
        <f t="shared" si="691"/>
        <v>0</v>
      </c>
      <c r="BQ476" s="2242">
        <f t="shared" si="691"/>
        <v>0</v>
      </c>
      <c r="BR476" s="726">
        <f t="shared" si="691"/>
        <v>0</v>
      </c>
      <c r="BS476" s="726">
        <f t="shared" si="691"/>
        <v>0</v>
      </c>
      <c r="BT476" s="726">
        <f t="shared" si="691"/>
        <v>0</v>
      </c>
      <c r="BU476" s="726">
        <f t="shared" si="691"/>
        <v>0</v>
      </c>
      <c r="BV476" s="726">
        <f t="shared" si="691"/>
        <v>0</v>
      </c>
      <c r="BW476" s="726">
        <f t="shared" si="691"/>
        <v>0</v>
      </c>
      <c r="BX476" s="726">
        <f t="shared" ref="BX476:BZ476" si="692">SUM(BX472:BX475)</f>
        <v>0</v>
      </c>
      <c r="BY476" s="726">
        <f t="shared" si="692"/>
        <v>0</v>
      </c>
      <c r="BZ476" s="726">
        <f t="shared" si="692"/>
        <v>0</v>
      </c>
      <c r="CA476" s="2454">
        <f>SUM(CA472:CA475)</f>
        <v>0</v>
      </c>
      <c r="CB476" s="729" t="str">
        <f t="shared" si="686"/>
        <v/>
      </c>
      <c r="CC476" s="436"/>
      <c r="CD476" s="730"/>
      <c r="CE476" s="731"/>
      <c r="CF476" s="731"/>
      <c r="CG476" s="436"/>
      <c r="CH476" s="732"/>
      <c r="CI476" s="436"/>
      <c r="CJ476" s="436"/>
      <c r="CK476" s="436"/>
      <c r="CL476" s="329">
        <f t="shared" si="668"/>
        <v>0</v>
      </c>
      <c r="CM476" s="330">
        <f t="shared" ref="CM476:CM481" si="693">CA476+AI476-AB476</f>
        <v>0</v>
      </c>
      <c r="CN476" s="331">
        <f t="shared" si="657"/>
        <v>0</v>
      </c>
      <c r="CO476" s="86"/>
      <c r="CP476" s="86">
        <f t="shared" si="656"/>
        <v>0</v>
      </c>
      <c r="CQ476" s="86"/>
      <c r="CR476" s="86"/>
      <c r="CS476" s="86"/>
      <c r="CT476" s="86"/>
      <c r="CU476" s="86"/>
      <c r="CV476" s="86"/>
      <c r="CW476" s="86"/>
      <c r="CX476" s="86"/>
      <c r="CY476" s="86"/>
      <c r="CZ476" s="86"/>
      <c r="DA476" s="86"/>
      <c r="DB476" s="1658"/>
      <c r="DC476" s="1658"/>
      <c r="DD476" s="1658"/>
      <c r="DF476" s="1658"/>
    </row>
    <row r="477" spans="1:112" s="33" customFormat="1" ht="25.25" customHeight="1" thickBot="1">
      <c r="A477" s="2674">
        <v>17</v>
      </c>
      <c r="B477" s="733"/>
      <c r="C477" s="104" t="s">
        <v>118</v>
      </c>
      <c r="D477" s="179"/>
      <c r="E477" s="144"/>
      <c r="F477" s="1028"/>
      <c r="G477" s="1029"/>
      <c r="H477" s="1028"/>
      <c r="I477" s="1030">
        <f>I476+I442</f>
        <v>631386000</v>
      </c>
      <c r="J477" s="1829"/>
      <c r="K477" s="1830"/>
      <c r="L477" s="1831"/>
      <c r="M477" s="1832"/>
      <c r="N477" s="1832"/>
      <c r="O477" s="1317">
        <f>O442+O476</f>
        <v>627086000</v>
      </c>
      <c r="P477" s="1318"/>
      <c r="Q477" s="1318"/>
      <c r="R477" s="1318"/>
      <c r="S477" s="1319">
        <f>S442+S476</f>
        <v>0</v>
      </c>
      <c r="T477" s="1318"/>
      <c r="U477" s="1895"/>
      <c r="V477" s="1895"/>
      <c r="W477" s="1319">
        <f>W442+W476</f>
        <v>627086000</v>
      </c>
      <c r="X477" s="1896"/>
      <c r="Y477" s="1318"/>
      <c r="Z477" s="1895"/>
      <c r="AA477" s="1895"/>
      <c r="AB477" s="1320">
        <f>AB442+AB476</f>
        <v>627086000</v>
      </c>
      <c r="AC477" s="914"/>
      <c r="AD477" s="1479"/>
      <c r="AE477" s="1321"/>
      <c r="AF477" s="1053"/>
      <c r="AG477" s="915"/>
      <c r="AH477" s="1038">
        <f>AH442+AH476</f>
        <v>0</v>
      </c>
      <c r="AI477" s="918">
        <f>AI442+AI476</f>
        <v>15315640.18</v>
      </c>
      <c r="AJ477" s="1039">
        <f t="shared" si="685"/>
        <v>2.4423508386409519E-2</v>
      </c>
      <c r="AK477" s="1040"/>
      <c r="AL477" s="1040"/>
      <c r="AM477" s="2307">
        <f>AM442+AM476</f>
        <v>6920447.8799999999</v>
      </c>
      <c r="AN477" s="2307">
        <f t="shared" ref="AN477:AP477" si="694">AN442+AN476</f>
        <v>1515449.79</v>
      </c>
      <c r="AO477" s="1323">
        <f>AO442+AO476</f>
        <v>6879742.5099999998</v>
      </c>
      <c r="AP477" s="1323">
        <f t="shared" si="694"/>
        <v>7973655.7693393249</v>
      </c>
      <c r="AQ477" s="1324">
        <f t="shared" ref="AQ477:AY477" si="695">AQ442+AQ476</f>
        <v>9014778.3605936412</v>
      </c>
      <c r="AR477" s="1322">
        <f t="shared" si="695"/>
        <v>11045768.884570701</v>
      </c>
      <c r="AS477" s="1322">
        <f t="shared" si="695"/>
        <v>12721509.436447</v>
      </c>
      <c r="AT477" s="1322">
        <f t="shared" si="695"/>
        <v>13272814.815786518</v>
      </c>
      <c r="AU477" s="1322">
        <f t="shared" si="695"/>
        <v>14214739.332212336</v>
      </c>
      <c r="AV477" s="1322">
        <f t="shared" si="695"/>
        <v>20358294.009828776</v>
      </c>
      <c r="AW477" s="1322">
        <f t="shared" si="695"/>
        <v>24479598.886568822</v>
      </c>
      <c r="AX477" s="1322">
        <f t="shared" si="695"/>
        <v>20336873.601222657</v>
      </c>
      <c r="AY477" s="2252">
        <f t="shared" si="695"/>
        <v>23303932.789331518</v>
      </c>
      <c r="AZ477" s="2307">
        <f t="shared" ref="AZ477:BW477" si="696">AZ442+AZ476</f>
        <v>31621378.893215604</v>
      </c>
      <c r="BA477" s="1324">
        <f t="shared" si="696"/>
        <v>36299968.038208492</v>
      </c>
      <c r="BB477" s="1324">
        <f t="shared" si="696"/>
        <v>43150591.373216078</v>
      </c>
      <c r="BC477" s="1324">
        <f t="shared" si="696"/>
        <v>38015934.142534398</v>
      </c>
      <c r="BD477" s="1324">
        <f t="shared" si="696"/>
        <v>39442600.132413551</v>
      </c>
      <c r="BE477" s="1324">
        <f t="shared" si="696"/>
        <v>33553854.108535118</v>
      </c>
      <c r="BF477" s="1324">
        <f t="shared" si="696"/>
        <v>29354212.086820386</v>
      </c>
      <c r="BG477" s="1324">
        <f t="shared" si="696"/>
        <v>22595697.129462793</v>
      </c>
      <c r="BH477" s="1322">
        <f t="shared" si="696"/>
        <v>28202477.585155066</v>
      </c>
      <c r="BI477" s="1322">
        <f t="shared" si="696"/>
        <v>15025175.202266851</v>
      </c>
      <c r="BJ477" s="1322">
        <f t="shared" si="696"/>
        <v>12436412.039377762</v>
      </c>
      <c r="BK477" s="2179">
        <f t="shared" si="696"/>
        <v>21606326.4645961</v>
      </c>
      <c r="BL477" s="1323">
        <f t="shared" si="696"/>
        <v>7387553.8148684539</v>
      </c>
      <c r="BM477" s="1323">
        <f t="shared" si="696"/>
        <v>4416723.2974947458</v>
      </c>
      <c r="BN477" s="1323">
        <f t="shared" si="696"/>
        <v>4042302.4902834594</v>
      </c>
      <c r="BO477" s="1323">
        <f t="shared" si="696"/>
        <v>1298125.2794066214</v>
      </c>
      <c r="BP477" s="1323">
        <f t="shared" si="696"/>
        <v>4405676.6521452796</v>
      </c>
      <c r="BQ477" s="2413">
        <f t="shared" si="696"/>
        <v>1702983.7078589122</v>
      </c>
      <c r="BR477" s="1322">
        <f t="shared" si="696"/>
        <v>24951020.75366433</v>
      </c>
      <c r="BS477" s="1322">
        <f t="shared" si="696"/>
        <v>477155.7183002964</v>
      </c>
      <c r="BT477" s="1322">
        <f t="shared" si="696"/>
        <v>614483.63830950565</v>
      </c>
      <c r="BU477" s="1322">
        <f t="shared" si="696"/>
        <v>54574.778669505715</v>
      </c>
      <c r="BV477" s="1322">
        <f t="shared" si="696"/>
        <v>54574.778669505715</v>
      </c>
      <c r="BW477" s="1322">
        <f t="shared" si="696"/>
        <v>54338508.370843053</v>
      </c>
      <c r="BX477" s="1322">
        <f t="shared" ref="BX477:BZ477" si="697">BX442+BX476</f>
        <v>0</v>
      </c>
      <c r="BY477" s="1322">
        <f t="shared" si="697"/>
        <v>0</v>
      </c>
      <c r="BZ477" s="1322">
        <f t="shared" si="697"/>
        <v>83.460000000000008</v>
      </c>
      <c r="CA477" s="2460">
        <f ca="1">CA442+CA476</f>
        <v>611770359.82221711</v>
      </c>
      <c r="CB477" s="1044">
        <f t="shared" ca="1" si="686"/>
        <v>0.97557649161712601</v>
      </c>
      <c r="CC477" s="436"/>
      <c r="CD477" s="730"/>
      <c r="CE477" s="731"/>
      <c r="CF477" s="731"/>
      <c r="CG477" s="436"/>
      <c r="CH477" s="732"/>
      <c r="CI477" s="436"/>
      <c r="CJ477" s="436"/>
      <c r="CK477" s="436"/>
      <c r="CL477" s="329">
        <f t="shared" ca="1" si="668"/>
        <v>15315640.177782893</v>
      </c>
      <c r="CM477" s="330">
        <f t="shared" ca="1" si="693"/>
        <v>2.2170543670654297E-3</v>
      </c>
      <c r="CN477" s="331">
        <f t="shared" ca="1" si="657"/>
        <v>-461968841.81631583</v>
      </c>
      <c r="CO477" s="86"/>
      <c r="CP477" s="86">
        <f t="shared" si="656"/>
        <v>4300000</v>
      </c>
      <c r="CQ477" s="86"/>
      <c r="CR477" s="86"/>
      <c r="CS477" s="86"/>
      <c r="CT477" s="86"/>
      <c r="CU477" s="86"/>
      <c r="CV477" s="86"/>
      <c r="CW477" s="86"/>
      <c r="CX477" s="86"/>
      <c r="CY477" s="86"/>
      <c r="CZ477" s="86"/>
      <c r="DA477" s="86"/>
      <c r="DB477" s="1658">
        <f ca="1">CA477+AI477</f>
        <v>627086000.00221705</v>
      </c>
      <c r="DC477" s="1658"/>
      <c r="DD477" s="1658"/>
      <c r="DF477" s="1658"/>
    </row>
    <row r="478" spans="1:112" ht="25.25" customHeight="1">
      <c r="A478" s="2696"/>
      <c r="B478" s="544"/>
      <c r="C478" s="136"/>
      <c r="D478" s="136"/>
      <c r="E478" s="1237"/>
      <c r="F478" s="1325"/>
      <c r="G478" s="1325"/>
      <c r="H478" s="1325"/>
      <c r="I478" s="1326"/>
      <c r="J478" s="1105"/>
      <c r="K478" s="1105"/>
      <c r="L478" s="546"/>
      <c r="M478" s="1105"/>
      <c r="N478" s="1105"/>
      <c r="O478" s="1897"/>
      <c r="P478" s="1897"/>
      <c r="Q478" s="1897"/>
      <c r="R478" s="1897"/>
      <c r="S478" s="1898"/>
      <c r="T478" s="1898">
        <f>T444-T428</f>
        <v>0</v>
      </c>
      <c r="U478" s="1898">
        <f>U444-U428</f>
        <v>0</v>
      </c>
      <c r="V478" s="1898">
        <f>V444-V428</f>
        <v>0</v>
      </c>
      <c r="W478" s="1898"/>
      <c r="X478" s="1899"/>
      <c r="Y478" s="1899"/>
      <c r="Z478" s="1899"/>
      <c r="AA478" s="1899"/>
      <c r="AB478" s="1899"/>
      <c r="AC478" s="1428"/>
      <c r="AD478" s="1498"/>
      <c r="AE478" s="1327"/>
      <c r="AF478" s="1327"/>
      <c r="AG478" s="1327"/>
      <c r="AH478" s="1327"/>
      <c r="AI478" s="514"/>
      <c r="AJ478" s="514"/>
      <c r="AK478" s="514"/>
      <c r="AL478" s="514"/>
      <c r="AM478" s="514"/>
      <c r="AN478" s="514"/>
      <c r="AO478" s="514"/>
      <c r="AP478" s="1294"/>
      <c r="AQ478" s="514"/>
      <c r="AR478" s="514"/>
      <c r="AS478" s="514"/>
      <c r="AT478" s="514"/>
      <c r="AU478" s="514"/>
      <c r="AV478" s="514"/>
      <c r="AW478" s="514"/>
      <c r="AX478" s="514"/>
      <c r="AY478" s="514" t="s">
        <v>85</v>
      </c>
      <c r="AZ478" s="514"/>
      <c r="BA478" s="514"/>
      <c r="BB478" s="514"/>
      <c r="BC478" s="514"/>
      <c r="BD478" s="514"/>
      <c r="BE478" s="514"/>
      <c r="BF478" s="514"/>
      <c r="BG478" s="514"/>
      <c r="BH478" s="514"/>
      <c r="BI478" s="514"/>
      <c r="BJ478" s="514"/>
      <c r="BK478" s="514"/>
      <c r="BL478" s="514"/>
      <c r="BM478" s="514"/>
      <c r="BN478" s="514"/>
      <c r="BO478" s="514"/>
      <c r="BP478" s="514"/>
      <c r="BQ478" s="514"/>
      <c r="BR478" s="514"/>
      <c r="BS478" s="514"/>
      <c r="BT478" s="514"/>
      <c r="BU478" s="514"/>
      <c r="BV478" s="514"/>
      <c r="BW478" s="514"/>
      <c r="BX478" s="514"/>
      <c r="BY478" s="514"/>
      <c r="BZ478" s="514"/>
      <c r="CA478" s="514"/>
      <c r="CB478" s="514"/>
      <c r="CC478" s="514"/>
      <c r="CD478" s="514"/>
      <c r="CE478" s="514"/>
      <c r="CF478" s="514"/>
      <c r="CG478" s="514"/>
      <c r="CH478" s="514"/>
      <c r="CI478" s="1328"/>
      <c r="CJ478" s="544"/>
      <c r="CK478" s="514"/>
      <c r="CL478" s="329">
        <f t="shared" si="668"/>
        <v>0</v>
      </c>
      <c r="CM478" s="330">
        <f t="shared" si="693"/>
        <v>0</v>
      </c>
      <c r="CN478" s="331">
        <f t="shared" si="657"/>
        <v>0</v>
      </c>
      <c r="CO478" s="514"/>
      <c r="CP478" s="514"/>
      <c r="CQ478" s="514"/>
      <c r="CR478" s="330"/>
      <c r="CS478" s="331"/>
      <c r="CT478" s="86"/>
      <c r="CU478" s="86"/>
      <c r="CV478" s="86"/>
      <c r="CW478" s="86"/>
      <c r="CX478" s="86"/>
      <c r="CY478" s="86"/>
      <c r="CZ478" s="86"/>
      <c r="DA478" s="86"/>
      <c r="DB478" s="86"/>
      <c r="DC478" s="86"/>
      <c r="DD478" s="86"/>
      <c r="DE478" s="86"/>
      <c r="DF478" s="86"/>
      <c r="DG478" s="1658"/>
    </row>
    <row r="479" spans="1:112" ht="25.25" customHeight="1">
      <c r="A479" s="2697"/>
      <c r="B479" s="36"/>
      <c r="C479" s="136"/>
      <c r="D479" s="136"/>
      <c r="G479" s="43"/>
      <c r="I479" s="59"/>
      <c r="K479" s="46"/>
      <c r="L479" s="1900"/>
      <c r="M479" s="46"/>
      <c r="N479" s="46"/>
      <c r="P479" s="74"/>
      <c r="Q479" s="74"/>
      <c r="R479" s="74"/>
      <c r="S479" s="72"/>
      <c r="T479" s="72"/>
      <c r="U479" s="72"/>
      <c r="V479" s="72"/>
      <c r="W479" s="72"/>
      <c r="Y479" s="74"/>
      <c r="Z479" s="74"/>
      <c r="AA479" s="74"/>
      <c r="AB479" s="74">
        <f>I477-AB477</f>
        <v>4300000</v>
      </c>
      <c r="AC479" s="1448">
        <f>W477-AB477</f>
        <v>0</v>
      </c>
      <c r="AP479" s="78"/>
      <c r="AS479" s="39"/>
      <c r="AW479" s="35"/>
      <c r="BR479" s="35"/>
      <c r="CA479" s="32">
        <f ca="1">CA477+CL477</f>
        <v>627086000</v>
      </c>
      <c r="CK479" s="35"/>
      <c r="CL479" s="329">
        <f t="shared" ca="1" si="668"/>
        <v>-627086000</v>
      </c>
      <c r="CM479" s="330">
        <f t="shared" ca="1" si="693"/>
        <v>622786000</v>
      </c>
      <c r="CR479" s="85"/>
      <c r="CS479" s="86"/>
      <c r="CT479" s="86"/>
      <c r="CU479" s="86"/>
      <c r="CV479" s="86"/>
      <c r="CW479" s="86"/>
      <c r="CX479" s="86"/>
      <c r="CY479" s="86"/>
      <c r="CZ479" s="86"/>
      <c r="DA479" s="86"/>
      <c r="DB479" s="86"/>
      <c r="DC479" s="86"/>
      <c r="DD479" s="86"/>
      <c r="DE479" s="86"/>
      <c r="DF479" s="86"/>
    </row>
    <row r="480" spans="1:112" ht="25.25" customHeight="1">
      <c r="A480" s="2697"/>
      <c r="B480" s="36"/>
      <c r="C480" s="232" t="s">
        <v>1314</v>
      </c>
      <c r="D480" s="196" t="s">
        <v>192</v>
      </c>
      <c r="G480" s="43"/>
      <c r="I480" s="59"/>
      <c r="K480" s="46"/>
      <c r="L480" s="1900"/>
      <c r="M480" s="46"/>
      <c r="N480" s="46"/>
      <c r="P480" s="74"/>
      <c r="Q480" s="74"/>
      <c r="R480" s="74"/>
      <c r="S480" s="74"/>
      <c r="T480" s="74"/>
      <c r="U480" s="74"/>
      <c r="V480" s="74"/>
      <c r="W480" s="2947" t="s">
        <v>217</v>
      </c>
      <c r="X480" s="2947"/>
      <c r="Y480" s="2947"/>
      <c r="Z480" s="2947"/>
      <c r="AA480" s="2947"/>
      <c r="AB480" s="2947"/>
      <c r="AP480" s="78"/>
      <c r="AS480" s="39"/>
      <c r="AW480" s="35"/>
      <c r="BR480" s="35"/>
      <c r="CK480" s="35"/>
      <c r="CL480" s="329">
        <f t="shared" si="668"/>
        <v>0</v>
      </c>
      <c r="CM480" s="330">
        <f t="shared" si="693"/>
        <v>0</v>
      </c>
      <c r="CR480" s="85"/>
      <c r="CS480" s="86"/>
      <c r="CT480" s="86"/>
      <c r="CU480" s="86"/>
      <c r="CV480" s="86"/>
      <c r="CW480" s="86"/>
      <c r="CX480" s="86"/>
      <c r="CY480" s="86"/>
      <c r="CZ480" s="86"/>
      <c r="DA480" s="86"/>
      <c r="DB480" s="86"/>
      <c r="DC480" s="86"/>
      <c r="DD480" s="86"/>
      <c r="DE480" s="86"/>
      <c r="DF480" s="86"/>
    </row>
    <row r="481" spans="1:110" ht="25.25" customHeight="1">
      <c r="A481" s="2697"/>
      <c r="B481" s="36"/>
      <c r="C481" s="137" t="s">
        <v>56</v>
      </c>
      <c r="D481" s="137" t="s">
        <v>85</v>
      </c>
      <c r="G481" s="43"/>
      <c r="I481" s="59"/>
      <c r="K481" s="46"/>
      <c r="L481" s="1900"/>
      <c r="M481" s="46"/>
      <c r="N481" s="46"/>
      <c r="O481" s="51"/>
      <c r="P481" s="74"/>
      <c r="Q481" s="74"/>
      <c r="R481" s="74"/>
      <c r="S481" s="74"/>
      <c r="T481" s="74"/>
      <c r="U481" s="74"/>
      <c r="V481" s="74"/>
      <c r="W481" s="2948" t="s">
        <v>78</v>
      </c>
      <c r="X481" s="2948"/>
      <c r="Y481" s="2948"/>
      <c r="Z481" s="2948"/>
      <c r="AA481" s="2948"/>
      <c r="AB481" s="2948"/>
      <c r="AN481" s="32"/>
      <c r="AO481" s="32"/>
      <c r="AP481" s="32"/>
      <c r="AQ481" s="32"/>
      <c r="AR481" s="32"/>
      <c r="AS481" s="32"/>
      <c r="AT481" s="32"/>
      <c r="AU481" s="32"/>
      <c r="AV481" s="32"/>
      <c r="AW481" s="32"/>
      <c r="AX481" s="32"/>
      <c r="AY481" s="32"/>
      <c r="AZ481" s="32"/>
      <c r="BR481" s="35"/>
      <c r="CA481" s="35">
        <v>627086000</v>
      </c>
      <c r="CE481" s="32"/>
      <c r="CK481" s="35"/>
      <c r="CL481" s="329">
        <f t="shared" si="668"/>
        <v>-627086000</v>
      </c>
      <c r="CM481" s="330">
        <f t="shared" si="693"/>
        <v>627086000</v>
      </c>
      <c r="CR481" s="35"/>
    </row>
    <row r="482" spans="1:110" ht="25.25" customHeight="1">
      <c r="A482" s="2944"/>
      <c r="B482" s="2944"/>
      <c r="C482" s="2944"/>
      <c r="D482" s="2944"/>
      <c r="E482" s="2944"/>
      <c r="F482" s="2944"/>
      <c r="G482" s="2944"/>
      <c r="H482" s="2944"/>
      <c r="I482" s="2944"/>
      <c r="J482" s="2944"/>
      <c r="K482" s="2944"/>
      <c r="L482" s="2944"/>
      <c r="M482" s="2944"/>
      <c r="N482" s="2944"/>
      <c r="O482" s="2944"/>
      <c r="P482" s="2944"/>
      <c r="Q482" s="2944"/>
      <c r="R482" s="2944"/>
      <c r="S482" s="2944"/>
      <c r="T482" s="2944"/>
      <c r="U482" s="2944"/>
      <c r="V482" s="2944"/>
      <c r="W482" s="2944"/>
      <c r="Y482" s="74"/>
      <c r="Z482" s="74"/>
      <c r="AA482" s="74"/>
      <c r="AB482" s="74"/>
      <c r="AN482" s="32"/>
      <c r="AO482" s="32"/>
      <c r="AP482" s="32"/>
      <c r="AQ482" s="32"/>
      <c r="AR482" s="32"/>
      <c r="AS482" s="32"/>
      <c r="AT482" s="32"/>
      <c r="AU482" s="32"/>
      <c r="AV482" s="32"/>
      <c r="AW482" s="32"/>
      <c r="AX482" s="32"/>
      <c r="AY482" s="32"/>
      <c r="AZ482" s="32"/>
      <c r="BR482" s="35"/>
      <c r="CE482" s="32"/>
      <c r="CK482" s="35"/>
      <c r="CM482" s="35"/>
      <c r="CR482" s="35"/>
    </row>
    <row r="483" spans="1:110" ht="25.25" customHeight="1">
      <c r="A483" s="2697"/>
      <c r="B483" s="36"/>
      <c r="C483" s="136"/>
      <c r="D483" s="136"/>
      <c r="G483" s="43"/>
      <c r="I483" s="59"/>
      <c r="K483" s="46"/>
      <c r="L483" s="1900"/>
      <c r="M483" s="46"/>
      <c r="N483" s="46"/>
      <c r="O483" s="51"/>
      <c r="P483" s="74"/>
      <c r="Q483" s="74"/>
      <c r="R483" s="74"/>
      <c r="S483" s="74"/>
      <c r="T483" s="74"/>
      <c r="U483" s="74"/>
      <c r="V483" s="74"/>
      <c r="W483" s="74"/>
      <c r="Y483" s="74"/>
      <c r="Z483" s="74"/>
      <c r="AA483" s="74"/>
      <c r="AB483" s="74"/>
      <c r="AR483" s="35"/>
      <c r="AW483" s="35"/>
      <c r="BR483" s="35"/>
      <c r="CI483" s="6"/>
      <c r="CK483" s="35"/>
      <c r="CM483" s="35"/>
      <c r="CR483" s="35"/>
    </row>
    <row r="484" spans="1:110" ht="25.25" customHeight="1">
      <c r="A484" s="2697"/>
      <c r="B484" s="36"/>
      <c r="C484" s="1616"/>
      <c r="D484" s="1616"/>
      <c r="G484" s="43"/>
      <c r="I484" s="59"/>
      <c r="K484" s="46"/>
      <c r="L484" s="1900"/>
      <c r="M484" s="46"/>
      <c r="N484" s="46"/>
      <c r="O484" s="51"/>
      <c r="P484" s="74"/>
      <c r="Q484" s="74"/>
      <c r="R484" s="74"/>
      <c r="S484" s="74"/>
      <c r="T484" s="74"/>
      <c r="U484" s="74"/>
      <c r="V484" s="74"/>
      <c r="W484" s="74"/>
      <c r="Y484" s="74"/>
      <c r="Z484" s="74"/>
      <c r="AA484" s="74"/>
      <c r="AB484" s="74"/>
      <c r="AR484" s="35"/>
      <c r="AW484" s="35"/>
      <c r="BR484" s="35"/>
      <c r="CI484" s="6"/>
      <c r="CK484" s="35"/>
      <c r="CM484" s="35"/>
      <c r="CR484" s="35"/>
    </row>
    <row r="485" spans="1:110" ht="25.25" customHeight="1">
      <c r="A485" s="2698"/>
      <c r="B485" s="49"/>
      <c r="C485" s="1617"/>
      <c r="D485" s="1618"/>
      <c r="E485" s="82"/>
      <c r="F485" s="1615"/>
      <c r="G485" s="233"/>
      <c r="H485" s="1615"/>
      <c r="I485" s="60"/>
      <c r="J485" s="51"/>
      <c r="K485" s="233"/>
      <c r="L485" s="1901"/>
      <c r="M485" s="233"/>
      <c r="N485" s="233"/>
      <c r="O485" s="51"/>
      <c r="P485" s="51"/>
      <c r="Q485" s="51"/>
      <c r="R485" s="51"/>
      <c r="S485" s="51"/>
      <c r="T485" s="51"/>
      <c r="U485" s="51"/>
      <c r="V485" s="51"/>
      <c r="W485" s="51"/>
      <c r="X485" s="51"/>
      <c r="Y485" s="51"/>
      <c r="Z485" s="51"/>
      <c r="AA485" s="51"/>
      <c r="AB485" s="74"/>
      <c r="AC485" s="1447"/>
      <c r="AD485" s="1450"/>
      <c r="AE485" s="12"/>
      <c r="AF485" s="12"/>
      <c r="AG485" s="12"/>
      <c r="AL485" s="1583"/>
      <c r="AM485" s="1583"/>
      <c r="AN485" s="244"/>
      <c r="AO485" s="244"/>
      <c r="AP485" s="244"/>
      <c r="AQ485" s="244"/>
      <c r="AR485" s="244"/>
      <c r="AS485" s="244"/>
      <c r="AT485" s="244"/>
      <c r="AU485" s="244"/>
      <c r="AV485" s="244"/>
      <c r="AW485" s="244"/>
      <c r="AX485" s="244"/>
      <c r="AY485" s="244"/>
      <c r="AZ485" s="244"/>
      <c r="BA485" s="244"/>
      <c r="BB485" s="244"/>
      <c r="BC485" s="244"/>
      <c r="BD485" s="244"/>
      <c r="BE485" s="244"/>
      <c r="BF485" s="244"/>
      <c r="BG485" s="244"/>
      <c r="BH485" s="244"/>
      <c r="BI485" s="244"/>
      <c r="BJ485" s="244"/>
      <c r="BK485" s="244"/>
      <c r="BL485" s="244"/>
      <c r="BM485" s="244"/>
      <c r="BN485" s="244"/>
      <c r="BO485" s="244"/>
      <c r="BP485" s="244"/>
      <c r="BQ485" s="2395"/>
      <c r="BR485" s="244"/>
      <c r="BS485" s="244"/>
      <c r="BT485" s="244"/>
      <c r="BU485" s="244"/>
      <c r="BV485" s="244"/>
      <c r="BW485" s="244"/>
      <c r="BX485" s="244"/>
      <c r="BY485" s="244"/>
      <c r="BZ485" s="244"/>
      <c r="CA485" s="244"/>
      <c r="CB485" s="244"/>
      <c r="CC485" s="244"/>
      <c r="CD485" s="244"/>
      <c r="CE485" s="73"/>
      <c r="CK485" s="35"/>
      <c r="CM485" s="35"/>
      <c r="CR485" s="35"/>
    </row>
    <row r="486" spans="1:110" ht="25.25" customHeight="1">
      <c r="A486" s="2699"/>
      <c r="B486" s="50"/>
      <c r="C486" s="1619"/>
      <c r="D486" s="1618"/>
      <c r="E486" s="82"/>
      <c r="F486" s="1615"/>
      <c r="G486" s="49"/>
      <c r="H486" s="1615"/>
      <c r="I486" s="60"/>
      <c r="J486" s="51"/>
      <c r="K486" s="233"/>
      <c r="L486" s="1901"/>
      <c r="M486" s="233"/>
      <c r="N486" s="233"/>
      <c r="O486" s="51"/>
      <c r="P486" s="51"/>
      <c r="Q486" s="51"/>
      <c r="R486" s="51"/>
      <c r="S486" s="51"/>
      <c r="T486" s="51"/>
      <c r="U486" s="51"/>
      <c r="V486" s="51"/>
      <c r="W486" s="51"/>
      <c r="X486" s="51"/>
      <c r="Y486" s="51"/>
      <c r="Z486" s="51"/>
      <c r="AA486" s="51"/>
      <c r="AB486" s="74"/>
      <c r="AD486" s="1450"/>
      <c r="AE486" s="12"/>
      <c r="AF486" s="12"/>
      <c r="AG486" s="12"/>
      <c r="AL486" s="1583"/>
      <c r="AM486" s="1583"/>
      <c r="AN486" s="245"/>
      <c r="AO486" s="245"/>
      <c r="AP486" s="245"/>
      <c r="AQ486" s="245"/>
      <c r="AR486" s="245"/>
      <c r="AS486" s="245"/>
      <c r="AT486" s="245"/>
      <c r="AU486" s="245"/>
      <c r="AV486" s="245"/>
      <c r="AW486" s="245"/>
      <c r="AX486" s="245"/>
      <c r="AY486" s="245"/>
      <c r="AZ486" s="245"/>
      <c r="BA486" s="245"/>
      <c r="BB486" s="245"/>
      <c r="BC486" s="245"/>
      <c r="BD486" s="245"/>
      <c r="BE486" s="245"/>
      <c r="BF486" s="245"/>
      <c r="BG486" s="245"/>
      <c r="BH486" s="245"/>
      <c r="BI486" s="245"/>
      <c r="BJ486" s="245"/>
      <c r="BK486" s="245"/>
      <c r="BL486" s="245"/>
      <c r="BM486" s="245"/>
      <c r="BN486" s="245"/>
      <c r="BO486" s="245"/>
      <c r="BP486" s="245"/>
      <c r="BQ486" s="2396"/>
      <c r="BR486" s="245"/>
      <c r="BS486" s="245"/>
      <c r="BT486" s="245"/>
      <c r="BU486" s="245"/>
      <c r="BV486" s="245"/>
      <c r="BW486" s="245"/>
      <c r="BX486" s="245"/>
      <c r="BY486" s="245"/>
      <c r="BZ486" s="245"/>
      <c r="CA486" s="245"/>
      <c r="CB486" s="245"/>
      <c r="CC486" s="245"/>
      <c r="CD486" s="245"/>
      <c r="CK486" s="35"/>
      <c r="CM486" s="35"/>
      <c r="CR486" s="35"/>
    </row>
    <row r="487" spans="1:110" ht="25.25" customHeight="1">
      <c r="A487" s="2698"/>
      <c r="B487" s="49"/>
      <c r="C487" s="1620"/>
      <c r="D487" s="1618"/>
      <c r="E487" s="82"/>
      <c r="F487" s="1615"/>
      <c r="G487" s="49"/>
      <c r="H487" s="1615"/>
      <c r="I487" s="60"/>
      <c r="J487" s="51"/>
      <c r="K487" s="233"/>
      <c r="L487" s="1901"/>
      <c r="M487" s="233"/>
      <c r="N487" s="233"/>
      <c r="O487" s="51"/>
      <c r="P487" s="51"/>
      <c r="Q487" s="51"/>
      <c r="R487" s="51"/>
      <c r="S487" s="51"/>
      <c r="T487" s="51"/>
      <c r="U487" s="51"/>
      <c r="V487" s="51"/>
      <c r="W487" s="51"/>
      <c r="X487" s="51"/>
      <c r="Y487" s="51"/>
      <c r="Z487" s="51"/>
      <c r="AA487" s="51"/>
      <c r="AB487" s="51"/>
      <c r="AD487" s="1450"/>
      <c r="AE487" s="12"/>
      <c r="AF487" s="12"/>
      <c r="AG487" s="12"/>
      <c r="AP487" s="78"/>
      <c r="AS487" s="39"/>
      <c r="AW487" s="35"/>
      <c r="BR487" s="35"/>
      <c r="CK487" s="35"/>
      <c r="CM487" s="35"/>
      <c r="CR487" s="35"/>
    </row>
    <row r="488" spans="1:110" ht="25.25" customHeight="1">
      <c r="A488" s="2699"/>
      <c r="B488" s="50"/>
      <c r="C488" s="1621"/>
      <c r="D488" s="1618"/>
      <c r="E488" s="82"/>
      <c r="F488" s="1615"/>
      <c r="G488" s="49"/>
      <c r="H488" s="1615"/>
      <c r="I488" s="60"/>
      <c r="J488" s="51"/>
      <c r="K488" s="233"/>
      <c r="L488" s="1901"/>
      <c r="M488" s="233"/>
      <c r="N488" s="233"/>
      <c r="O488" s="51"/>
      <c r="P488" s="51"/>
      <c r="Q488" s="51"/>
      <c r="R488" s="51"/>
      <c r="S488" s="51"/>
      <c r="T488" s="51"/>
      <c r="U488" s="51"/>
      <c r="V488" s="51"/>
      <c r="W488" s="51"/>
      <c r="X488" s="51"/>
      <c r="Y488" s="51"/>
      <c r="Z488" s="51"/>
      <c r="AA488" s="51"/>
      <c r="AB488" s="51"/>
      <c r="AC488" s="1447"/>
      <c r="AD488" s="1450"/>
      <c r="AE488" s="12"/>
      <c r="AF488" s="12"/>
      <c r="AG488" s="12"/>
      <c r="AP488" s="78"/>
      <c r="AS488" s="39"/>
      <c r="AW488" s="35"/>
      <c r="BR488" s="35"/>
      <c r="CK488" s="35"/>
      <c r="CM488" s="35"/>
      <c r="CR488" s="35"/>
    </row>
    <row r="489" spans="1:110" ht="25.25" customHeight="1">
      <c r="A489" s="2699"/>
      <c r="B489" s="50"/>
      <c r="C489" s="1622"/>
      <c r="D489" s="1618"/>
      <c r="E489" s="82"/>
      <c r="F489" s="1615"/>
      <c r="G489" s="49"/>
      <c r="H489" s="1615"/>
      <c r="I489" s="60"/>
      <c r="J489" s="51"/>
      <c r="K489" s="233"/>
      <c r="L489" s="1901"/>
      <c r="M489" s="233"/>
      <c r="N489" s="233"/>
      <c r="O489" s="51"/>
      <c r="P489" s="51"/>
      <c r="Q489" s="51"/>
      <c r="R489" s="51"/>
      <c r="S489" s="51"/>
      <c r="T489" s="51"/>
      <c r="U489" s="51"/>
      <c r="V489" s="51"/>
      <c r="W489" s="51"/>
      <c r="X489" s="51"/>
      <c r="Y489" s="51"/>
      <c r="Z489" s="51"/>
      <c r="AA489" s="51"/>
      <c r="AB489" s="74"/>
      <c r="AD489" s="1450"/>
      <c r="AE489" s="12"/>
      <c r="AF489" s="12"/>
      <c r="AG489" s="12"/>
      <c r="AP489" s="78"/>
      <c r="AW489" s="35"/>
      <c r="BR489" s="35"/>
      <c r="CK489" s="35"/>
      <c r="CM489" s="35"/>
      <c r="CR489" s="35"/>
    </row>
    <row r="490" spans="1:110" ht="25.25" customHeight="1">
      <c r="A490" s="2699"/>
      <c r="B490" s="50"/>
      <c r="C490" s="1623"/>
      <c r="D490" s="1618"/>
      <c r="E490" s="82"/>
      <c r="F490" s="1615"/>
      <c r="G490" s="49"/>
      <c r="H490" s="1615"/>
      <c r="I490" s="60"/>
      <c r="J490" s="51"/>
      <c r="K490" s="233"/>
      <c r="L490" s="1901"/>
      <c r="M490" s="233"/>
      <c r="N490" s="233"/>
      <c r="O490" s="51"/>
      <c r="P490" s="51"/>
      <c r="Q490" s="51"/>
      <c r="R490" s="51"/>
      <c r="S490" s="51"/>
      <c r="T490" s="51"/>
      <c r="U490" s="51"/>
      <c r="V490" s="51"/>
      <c r="W490" s="51"/>
      <c r="X490" s="51"/>
      <c r="Y490" s="51"/>
      <c r="Z490" s="51"/>
      <c r="AA490" s="51"/>
      <c r="AB490" s="74"/>
      <c r="AC490" s="1448"/>
      <c r="AD490" s="1450"/>
      <c r="AE490" s="12"/>
      <c r="AF490" s="12"/>
      <c r="AG490" s="12"/>
      <c r="AP490" s="78"/>
      <c r="AW490" s="35"/>
      <c r="BR490" s="35"/>
      <c r="CK490" s="35"/>
      <c r="CM490" s="35"/>
      <c r="CR490" s="35"/>
    </row>
    <row r="491" spans="1:110" ht="25.25" customHeight="1">
      <c r="A491" s="2698"/>
      <c r="B491" s="49"/>
      <c r="C491" s="1617"/>
      <c r="D491" s="1618"/>
      <c r="E491" s="160"/>
      <c r="F491" s="82"/>
      <c r="G491" s="49"/>
      <c r="H491" s="82"/>
      <c r="I491" s="233"/>
      <c r="J491" s="1902"/>
      <c r="K491" s="233"/>
      <c r="L491" s="1902"/>
      <c r="M491" s="233"/>
      <c r="N491" s="1902"/>
      <c r="O491" s="233"/>
      <c r="P491" s="1902"/>
      <c r="Q491" s="233"/>
      <c r="R491" s="1902"/>
      <c r="S491" s="233"/>
      <c r="T491" s="1902"/>
      <c r="U491" s="233"/>
      <c r="V491" s="1902"/>
      <c r="W491" s="233"/>
      <c r="X491" s="1902"/>
      <c r="Y491" s="233"/>
      <c r="Z491" s="1902"/>
      <c r="AA491" s="233"/>
      <c r="AB491" s="1902"/>
      <c r="AC491" s="1447"/>
      <c r="AD491" s="1500"/>
      <c r="AE491" s="49"/>
      <c r="AF491" s="82"/>
      <c r="AG491" s="49"/>
      <c r="AH491" s="82"/>
      <c r="AI491" s="49"/>
      <c r="AJ491" s="82"/>
      <c r="AK491" s="82"/>
      <c r="AL491" s="49"/>
      <c r="AM491" s="49"/>
      <c r="AN491" s="1512"/>
      <c r="AO491" s="82"/>
      <c r="AP491" s="49"/>
      <c r="AQ491" s="82"/>
      <c r="AR491" s="49"/>
      <c r="AS491" s="82"/>
      <c r="AT491" s="49"/>
      <c r="AU491" s="82"/>
      <c r="AV491" s="49"/>
      <c r="AW491" s="82"/>
      <c r="AX491" s="49"/>
      <c r="AY491" s="82"/>
      <c r="AZ491" s="49"/>
      <c r="BA491" s="49"/>
      <c r="BB491" s="49"/>
      <c r="BC491" s="49"/>
      <c r="BD491" s="49"/>
      <c r="BE491" s="49"/>
      <c r="BF491" s="49"/>
      <c r="BG491" s="49"/>
      <c r="BH491" s="49"/>
      <c r="BI491" s="49"/>
      <c r="BJ491" s="49"/>
      <c r="BK491" s="49"/>
      <c r="BL491" s="49"/>
      <c r="BM491" s="49"/>
      <c r="BN491" s="49"/>
      <c r="BO491" s="49"/>
      <c r="BP491" s="49"/>
      <c r="BQ491" s="49"/>
      <c r="BR491" s="49"/>
      <c r="BS491" s="49"/>
      <c r="BT491" s="49"/>
      <c r="BU491" s="49"/>
      <c r="BV491" s="49"/>
      <c r="BW491" s="49"/>
      <c r="BX491" s="49"/>
      <c r="BY491" s="49"/>
      <c r="BZ491" s="49"/>
      <c r="CA491" s="49"/>
      <c r="CB491" s="49"/>
      <c r="CC491" s="49"/>
      <c r="CD491" s="49"/>
      <c r="CE491" s="49"/>
      <c r="CF491" s="82"/>
      <c r="CG491" s="49"/>
      <c r="CH491" s="82"/>
      <c r="CI491" s="49"/>
      <c r="CJ491" s="82"/>
      <c r="CK491" s="49"/>
      <c r="CL491" s="82"/>
      <c r="CM491" s="49"/>
      <c r="CN491" s="82"/>
      <c r="CO491" s="49"/>
      <c r="CP491" s="82"/>
      <c r="CQ491" s="49"/>
      <c r="CR491" s="82"/>
      <c r="CS491" s="49"/>
      <c r="CT491" s="49"/>
      <c r="CU491" s="49"/>
      <c r="CV491" s="49"/>
      <c r="CW491" s="49"/>
      <c r="CX491" s="49"/>
      <c r="CY491" s="49"/>
      <c r="CZ491" s="49"/>
      <c r="DA491" s="49"/>
      <c r="DB491" s="49"/>
      <c r="DC491" s="49"/>
      <c r="DD491" s="49"/>
      <c r="DE491" s="49"/>
      <c r="DF491" s="49"/>
    </row>
    <row r="492" spans="1:110" ht="25.25" customHeight="1">
      <c r="A492" s="2699"/>
      <c r="B492" s="50"/>
      <c r="C492" s="1623"/>
      <c r="D492" s="1618"/>
      <c r="E492" s="82"/>
      <c r="F492" s="1615"/>
      <c r="G492" s="49"/>
      <c r="H492" s="1615"/>
      <c r="I492" s="60"/>
      <c r="J492" s="51"/>
      <c r="K492" s="233"/>
      <c r="L492" s="1901"/>
      <c r="M492" s="233"/>
      <c r="N492" s="233"/>
      <c r="O492" s="51"/>
      <c r="P492" s="51"/>
      <c r="Q492" s="51"/>
      <c r="R492" s="51"/>
      <c r="S492" s="51"/>
      <c r="T492" s="51"/>
      <c r="U492" s="51"/>
      <c r="V492" s="51"/>
      <c r="W492" s="51"/>
      <c r="X492" s="51"/>
      <c r="Y492" s="51"/>
      <c r="Z492" s="51"/>
      <c r="AA492" s="51"/>
      <c r="AB492" s="74"/>
      <c r="AC492" s="1448"/>
      <c r="AD492" s="1450"/>
      <c r="AE492" s="12"/>
      <c r="AF492" s="12"/>
      <c r="AG492" s="12"/>
      <c r="AP492" s="78"/>
      <c r="AW492" s="35"/>
      <c r="BR492" s="35"/>
      <c r="CK492" s="35"/>
      <c r="CM492" s="35"/>
      <c r="CR492" s="35"/>
    </row>
    <row r="493" spans="1:110" ht="25.25" customHeight="1">
      <c r="A493" s="2698"/>
      <c r="B493" s="49"/>
      <c r="C493" s="1623"/>
      <c r="D493" s="1618"/>
      <c r="E493" s="82"/>
      <c r="F493" s="1615"/>
      <c r="G493" s="49"/>
      <c r="H493" s="1624"/>
      <c r="I493" s="60"/>
      <c r="J493" s="51"/>
      <c r="K493" s="233"/>
      <c r="L493" s="1901"/>
      <c r="M493" s="233"/>
      <c r="N493" s="233"/>
      <c r="O493" s="51"/>
      <c r="P493" s="51"/>
      <c r="Q493" s="51"/>
      <c r="R493" s="51"/>
      <c r="S493" s="51"/>
      <c r="T493" s="51"/>
      <c r="U493" s="51"/>
      <c r="V493" s="51"/>
      <c r="W493" s="51"/>
      <c r="X493" s="51"/>
      <c r="Y493" s="51"/>
      <c r="Z493" s="51"/>
      <c r="AA493" s="51"/>
      <c r="AB493" s="74"/>
      <c r="AC493" s="1448"/>
      <c r="AD493" s="1450"/>
      <c r="AE493" s="12"/>
      <c r="AF493" s="12"/>
      <c r="AG493" s="12"/>
      <c r="AP493" s="78"/>
      <c r="AW493" s="35"/>
      <c r="BR493" s="35"/>
      <c r="CK493" s="35"/>
      <c r="CM493" s="35"/>
      <c r="CR493" s="35"/>
    </row>
    <row r="494" spans="1:110" ht="25.25" customHeight="1">
      <c r="A494" s="2699"/>
      <c r="B494" s="50"/>
      <c r="C494" s="1623"/>
      <c r="D494" s="1623"/>
      <c r="E494" s="82"/>
      <c r="F494" s="1615"/>
      <c r="G494" s="49"/>
      <c r="H494" s="1615"/>
      <c r="I494" s="60"/>
      <c r="J494" s="51"/>
      <c r="K494" s="233"/>
      <c r="L494" s="1901"/>
      <c r="M494" s="233"/>
      <c r="N494" s="233"/>
      <c r="O494" s="51"/>
      <c r="P494" s="51"/>
      <c r="Q494" s="51"/>
      <c r="R494" s="51"/>
      <c r="S494" s="51"/>
      <c r="T494" s="51"/>
      <c r="U494" s="51"/>
      <c r="V494" s="51"/>
      <c r="W494" s="51"/>
      <c r="X494" s="51"/>
      <c r="Y494" s="51"/>
      <c r="Z494" s="51"/>
      <c r="AA494" s="51"/>
      <c r="AB494" s="74"/>
      <c r="AC494" s="1448"/>
      <c r="AD494" s="1450"/>
      <c r="AE494" s="12"/>
      <c r="AF494" s="12"/>
      <c r="AG494" s="12"/>
      <c r="AP494" s="78"/>
      <c r="AW494" s="35"/>
      <c r="BR494" s="35"/>
    </row>
    <row r="495" spans="1:110" ht="25.25" customHeight="1">
      <c r="X495" s="1904"/>
      <c r="Y495" s="1904"/>
      <c r="Z495" s="1904"/>
      <c r="AA495" s="1904"/>
      <c r="AB495" s="74"/>
      <c r="AC495" s="1449"/>
      <c r="AD495" s="1449"/>
      <c r="AE495" s="52"/>
      <c r="AF495" s="52"/>
      <c r="AG495" s="52"/>
      <c r="AH495" s="74"/>
      <c r="AN495" s="246"/>
      <c r="AO495" s="234"/>
      <c r="AP495" s="234"/>
      <c r="AQ495" s="234"/>
      <c r="AR495" s="234"/>
      <c r="AS495" s="234"/>
      <c r="AT495" s="234"/>
      <c r="AU495" s="1642"/>
      <c r="AV495" s="234"/>
      <c r="AW495" s="234"/>
      <c r="AX495" s="234"/>
      <c r="AY495" s="234"/>
      <c r="AZ495" s="234"/>
      <c r="BR495" s="35"/>
    </row>
    <row r="496" spans="1:110" ht="25.25" customHeight="1">
      <c r="A496" s="2700"/>
      <c r="B496" s="142"/>
      <c r="C496" s="105"/>
      <c r="D496" s="105"/>
      <c r="E496" s="160"/>
      <c r="F496" s="49"/>
      <c r="G496" s="50"/>
      <c r="H496" s="49"/>
      <c r="I496" s="60"/>
      <c r="J496" s="233"/>
      <c r="K496" s="1905"/>
      <c r="L496" s="1906"/>
      <c r="M496" s="51"/>
      <c r="N496" s="51"/>
      <c r="O496" s="51"/>
      <c r="P496" s="51"/>
      <c r="Q496" s="51"/>
      <c r="R496" s="51"/>
      <c r="S496" s="51"/>
      <c r="T496" s="51"/>
      <c r="U496" s="51"/>
      <c r="V496" s="51"/>
      <c r="W496" s="51"/>
      <c r="X496" s="233"/>
      <c r="Y496" s="51"/>
      <c r="Z496" s="51"/>
      <c r="AA496" s="51"/>
      <c r="AB496" s="74"/>
      <c r="AD496" s="1450"/>
      <c r="AE496" s="12"/>
      <c r="AF496" s="12"/>
      <c r="AG496" s="12"/>
      <c r="AH496" s="74"/>
      <c r="AR496" s="35"/>
      <c r="AW496" s="35"/>
      <c r="BR496" s="35"/>
    </row>
    <row r="497" spans="1:110" ht="25.25" customHeight="1">
      <c r="A497" s="2945"/>
      <c r="B497" s="2945"/>
      <c r="C497" s="2946"/>
      <c r="D497" s="2946"/>
      <c r="E497" s="2946"/>
      <c r="F497" s="2946"/>
      <c r="G497" s="2946"/>
      <c r="H497" s="2946"/>
      <c r="I497" s="2946"/>
      <c r="J497" s="2946"/>
      <c r="K497" s="2946"/>
      <c r="L497" s="2946"/>
      <c r="M497" s="2946"/>
      <c r="N497" s="2946"/>
      <c r="O497" s="2946"/>
      <c r="P497" s="2946"/>
      <c r="Q497" s="2946"/>
      <c r="R497" s="2946"/>
      <c r="S497" s="2946"/>
      <c r="T497" s="2946"/>
      <c r="U497" s="2946"/>
      <c r="V497" s="2946"/>
      <c r="W497" s="2946"/>
      <c r="X497" s="1907"/>
      <c r="Y497" s="1907"/>
      <c r="Z497" s="1907"/>
      <c r="AA497" s="1907"/>
      <c r="AB497" s="74"/>
      <c r="AC497" s="1430"/>
      <c r="AD497" s="1501"/>
      <c r="AE497" s="74"/>
      <c r="AF497" s="74"/>
      <c r="AG497" s="74"/>
      <c r="AH497" s="74"/>
      <c r="AI497" s="32"/>
      <c r="AN497" s="2949"/>
      <c r="AO497" s="2949"/>
      <c r="AP497" s="2949"/>
      <c r="AQ497" s="2949"/>
      <c r="AR497" s="2949"/>
      <c r="AS497" s="2949"/>
      <c r="AT497" s="2949"/>
      <c r="AU497" s="2949"/>
      <c r="AV497" s="2949"/>
      <c r="AW497" s="2949"/>
      <c r="AX497" s="2949"/>
      <c r="AY497" s="2949"/>
      <c r="AZ497" s="235"/>
      <c r="BR497" s="35"/>
    </row>
    <row r="498" spans="1:110" ht="25.25" customHeight="1">
      <c r="A498" s="2697"/>
      <c r="B498" s="36"/>
      <c r="C498" s="136"/>
      <c r="D498" s="136"/>
      <c r="G498" s="43"/>
      <c r="I498" s="47"/>
      <c r="K498" s="46"/>
      <c r="L498" s="1900"/>
      <c r="M498" s="46"/>
      <c r="N498" s="46"/>
      <c r="O498" s="46"/>
      <c r="P498" s="46"/>
      <c r="Q498" s="46"/>
      <c r="R498" s="46"/>
      <c r="S498" s="46"/>
      <c r="T498" s="46"/>
      <c r="U498" s="46"/>
      <c r="V498" s="46"/>
      <c r="W498" s="46"/>
      <c r="Y498" s="46"/>
      <c r="Z498" s="46"/>
      <c r="AA498" s="46"/>
      <c r="AB498" s="46"/>
      <c r="AC498" s="1431"/>
      <c r="AD498" s="1502"/>
      <c r="AE498" s="75"/>
      <c r="AF498" s="75"/>
      <c r="AG498" s="75"/>
      <c r="AH498" s="75"/>
      <c r="AI498" s="31"/>
      <c r="AJ498" s="31"/>
      <c r="AK498" s="31"/>
      <c r="AL498" s="31"/>
      <c r="AM498" s="31"/>
      <c r="AN498" s="2952"/>
      <c r="AO498" s="2952"/>
      <c r="AP498" s="2952"/>
      <c r="AQ498" s="2949"/>
      <c r="AR498" s="2952"/>
      <c r="AS498" s="2952"/>
      <c r="AT498" s="2952"/>
      <c r="AU498" s="2952"/>
      <c r="AV498" s="2952"/>
      <c r="AW498" s="2952"/>
      <c r="AX498" s="2952"/>
      <c r="AY498" s="2952"/>
      <c r="AZ498" s="41"/>
      <c r="BA498" s="31"/>
      <c r="BB498" s="31"/>
      <c r="BC498" s="31"/>
      <c r="BD498" s="31"/>
      <c r="BE498" s="31"/>
      <c r="BF498" s="31"/>
      <c r="BG498" s="31"/>
      <c r="BH498" s="31"/>
      <c r="BI498" s="31"/>
      <c r="BJ498" s="31"/>
      <c r="BK498" s="31"/>
      <c r="BL498" s="31"/>
      <c r="BM498" s="31"/>
      <c r="BN498" s="31"/>
      <c r="BO498" s="31"/>
      <c r="BP498" s="31"/>
      <c r="BQ498" s="31"/>
      <c r="BR498" s="31"/>
      <c r="BS498" s="31"/>
      <c r="BT498" s="31"/>
      <c r="BU498" s="31"/>
      <c r="BV498" s="31"/>
      <c r="BW498" s="31"/>
      <c r="BX498" s="31"/>
      <c r="BY498" s="31"/>
      <c r="BZ498" s="31"/>
      <c r="CA498" s="31"/>
      <c r="CB498" s="31"/>
      <c r="CC498" s="31"/>
      <c r="CD498" s="31"/>
      <c r="CE498" s="31"/>
      <c r="CF498" s="31"/>
      <c r="CG498" s="31"/>
      <c r="CH498" s="31"/>
      <c r="CI498" s="45"/>
      <c r="CJ498" s="43"/>
      <c r="CK498" s="43"/>
      <c r="CL498" s="31"/>
      <c r="CM498" s="53"/>
      <c r="CN498" s="31"/>
      <c r="CO498" s="31"/>
      <c r="CP498" s="31"/>
      <c r="CQ498" s="31"/>
      <c r="CR498" s="28"/>
      <c r="CS498" s="31"/>
      <c r="CT498" s="31"/>
      <c r="CU498" s="31"/>
      <c r="CV498" s="31"/>
      <c r="CW498" s="31"/>
      <c r="CX498" s="31"/>
      <c r="CY498" s="31"/>
      <c r="CZ498" s="31"/>
      <c r="DA498" s="31"/>
      <c r="DB498" s="31"/>
      <c r="DC498" s="31"/>
      <c r="DD498" s="31"/>
      <c r="DE498" s="31"/>
      <c r="DF498" s="31"/>
    </row>
    <row r="499" spans="1:110" ht="25.25" customHeight="1">
      <c r="A499" s="2697"/>
      <c r="B499" s="36"/>
      <c r="C499" s="136"/>
      <c r="D499" s="136"/>
      <c r="G499" s="43"/>
      <c r="I499" s="47"/>
      <c r="K499" s="46"/>
      <c r="L499" s="1900"/>
      <c r="M499" s="46"/>
      <c r="N499" s="46"/>
      <c r="O499" s="46"/>
      <c r="P499" s="46"/>
      <c r="Q499" s="46"/>
      <c r="R499" s="46"/>
      <c r="S499" s="46"/>
      <c r="T499" s="46"/>
      <c r="U499" s="46"/>
      <c r="V499" s="46"/>
      <c r="W499" s="46"/>
      <c r="Y499" s="46"/>
      <c r="Z499" s="46"/>
      <c r="AA499" s="46"/>
      <c r="AB499" s="46"/>
      <c r="AC499" s="1432"/>
      <c r="AD499" s="1503"/>
      <c r="AE499" s="31"/>
      <c r="AF499" s="31"/>
      <c r="AG499" s="31"/>
      <c r="AH499" s="31"/>
      <c r="AI499" s="31"/>
      <c r="AJ499" s="31"/>
      <c r="AK499" s="31"/>
      <c r="AL499" s="31"/>
      <c r="AM499" s="31"/>
      <c r="AP499" s="78"/>
      <c r="AQ499" s="32"/>
      <c r="AR499" s="2950"/>
      <c r="AW499" s="35"/>
      <c r="BA499" s="31"/>
      <c r="BB499" s="31"/>
      <c r="BC499" s="31"/>
      <c r="BD499" s="31"/>
      <c r="BE499" s="31"/>
      <c r="BF499" s="31"/>
      <c r="BG499" s="31"/>
      <c r="BH499" s="31"/>
      <c r="BI499" s="31"/>
      <c r="BJ499" s="31"/>
      <c r="BK499" s="31"/>
      <c r="BL499" s="31"/>
      <c r="BM499" s="31"/>
      <c r="BN499" s="31"/>
      <c r="BO499" s="31"/>
      <c r="BP499" s="31"/>
      <c r="BQ499" s="31"/>
      <c r="BR499" s="31"/>
      <c r="BS499" s="31"/>
      <c r="BT499" s="31"/>
      <c r="BU499" s="31"/>
      <c r="BV499" s="31"/>
      <c r="BW499" s="31"/>
      <c r="BX499" s="31"/>
      <c r="BY499" s="31"/>
      <c r="BZ499" s="31"/>
      <c r="CA499" s="31"/>
      <c r="CB499" s="31"/>
      <c r="CC499" s="31"/>
      <c r="CD499" s="31"/>
      <c r="CE499" s="31"/>
      <c r="CF499" s="31"/>
      <c r="CG499" s="31"/>
      <c r="CH499" s="31"/>
      <c r="CI499" s="45"/>
      <c r="CJ499" s="43"/>
      <c r="CK499" s="43"/>
      <c r="CL499" s="31"/>
      <c r="CM499" s="53"/>
      <c r="CN499" s="31"/>
      <c r="CO499" s="31"/>
      <c r="CP499" s="31"/>
      <c r="CQ499" s="31"/>
      <c r="CR499" s="28"/>
      <c r="CS499" s="31"/>
      <c r="CT499" s="31"/>
      <c r="CU499" s="31"/>
      <c r="CV499" s="31"/>
      <c r="CW499" s="31"/>
      <c r="CX499" s="31"/>
      <c r="CY499" s="31"/>
      <c r="CZ499" s="31"/>
      <c r="DA499" s="31"/>
      <c r="DB499" s="31"/>
      <c r="DC499" s="31"/>
      <c r="DD499" s="31"/>
      <c r="DE499" s="31"/>
      <c r="DF499" s="31"/>
    </row>
    <row r="500" spans="1:110" ht="25.25" customHeight="1">
      <c r="A500" s="2697"/>
      <c r="B500" s="36"/>
      <c r="C500" s="136"/>
      <c r="D500" s="136"/>
      <c r="G500" s="43"/>
      <c r="I500" s="59"/>
      <c r="K500" s="46"/>
      <c r="L500" s="1900"/>
      <c r="M500" s="46"/>
      <c r="N500" s="46"/>
      <c r="O500" s="74"/>
      <c r="P500" s="74"/>
      <c r="Q500" s="74"/>
      <c r="R500" s="74"/>
      <c r="S500" s="74"/>
      <c r="T500" s="74"/>
      <c r="U500" s="74"/>
      <c r="V500" s="74"/>
      <c r="W500" s="74"/>
      <c r="Y500" s="74"/>
      <c r="Z500" s="74"/>
      <c r="AA500" s="74"/>
      <c r="AB500" s="74"/>
      <c r="AP500" s="78"/>
      <c r="AQ500" s="1625"/>
      <c r="AR500" s="2951"/>
      <c r="AW500" s="35"/>
      <c r="BR500" s="35"/>
      <c r="CH500" s="35"/>
    </row>
    <row r="501" spans="1:110" ht="25.25" customHeight="1">
      <c r="A501" s="2697"/>
      <c r="B501" s="36"/>
      <c r="C501" s="137"/>
      <c r="D501" s="137"/>
      <c r="F501" s="48"/>
      <c r="G501" s="43"/>
      <c r="H501" s="48"/>
      <c r="I501" s="59"/>
      <c r="J501" s="1900"/>
      <c r="K501" s="46"/>
      <c r="L501" s="1900"/>
      <c r="M501" s="46"/>
      <c r="N501" s="46"/>
      <c r="O501" s="74"/>
      <c r="P501" s="74"/>
      <c r="Q501" s="74"/>
      <c r="R501" s="74"/>
      <c r="S501" s="74"/>
      <c r="T501" s="74"/>
      <c r="U501" s="74"/>
      <c r="V501" s="74"/>
      <c r="W501" s="74"/>
      <c r="X501" s="1900"/>
      <c r="Y501" s="74"/>
      <c r="Z501" s="74"/>
      <c r="AA501" s="74"/>
      <c r="AB501" s="74"/>
      <c r="AP501" s="78"/>
      <c r="AQ501" s="32"/>
      <c r="AR501" s="2951"/>
      <c r="AW501" s="35"/>
      <c r="BR501" s="35"/>
      <c r="CH501" s="35"/>
    </row>
    <row r="502" spans="1:110" ht="25.25" customHeight="1">
      <c r="A502" s="2697"/>
      <c r="B502" s="36"/>
      <c r="C502" s="137"/>
      <c r="D502" s="137"/>
      <c r="E502" s="161"/>
      <c r="F502" s="54"/>
      <c r="G502" s="43"/>
      <c r="H502" s="54"/>
      <c r="I502" s="59"/>
      <c r="J502" s="1908"/>
      <c r="K502" s="46"/>
      <c r="L502" s="1900"/>
      <c r="M502" s="46"/>
      <c r="N502" s="46"/>
      <c r="O502" s="74"/>
      <c r="P502" s="74"/>
      <c r="Q502" s="74"/>
      <c r="R502" s="74"/>
      <c r="S502" s="74"/>
      <c r="T502" s="74"/>
      <c r="U502" s="74"/>
      <c r="V502" s="74"/>
      <c r="W502" s="1908"/>
      <c r="X502" s="1908"/>
      <c r="Y502" s="1908"/>
      <c r="Z502" s="1908"/>
      <c r="AA502" s="1908"/>
      <c r="AB502" s="74"/>
      <c r="AC502" s="1433"/>
      <c r="AD502" s="1504"/>
      <c r="AE502" s="55"/>
      <c r="AF502" s="55"/>
      <c r="AG502" s="55"/>
      <c r="AP502" s="78"/>
      <c r="AQ502" s="32"/>
      <c r="AR502" s="2951"/>
      <c r="AW502" s="35"/>
      <c r="BR502" s="35"/>
      <c r="CH502" s="35"/>
    </row>
    <row r="503" spans="1:110" ht="25.25" customHeight="1">
      <c r="A503" s="2697"/>
      <c r="B503" s="36"/>
      <c r="C503" s="136"/>
      <c r="D503" s="136"/>
      <c r="G503" s="43"/>
      <c r="I503" s="59"/>
      <c r="K503" s="46"/>
      <c r="L503" s="1900"/>
      <c r="M503" s="46"/>
      <c r="N503" s="46"/>
      <c r="O503" s="74"/>
      <c r="P503" s="74"/>
      <c r="Q503" s="74"/>
      <c r="R503" s="74"/>
      <c r="S503" s="74"/>
      <c r="T503" s="74"/>
      <c r="U503" s="74"/>
      <c r="V503" s="74"/>
      <c r="W503" s="74"/>
      <c r="Y503" s="74"/>
      <c r="Z503" s="74"/>
      <c r="AA503" s="74"/>
      <c r="AB503" s="74"/>
      <c r="AP503" s="78"/>
      <c r="AW503" s="35"/>
      <c r="BR503" s="35"/>
      <c r="CH503" s="35"/>
    </row>
    <row r="504" spans="1:110" ht="25.25" customHeight="1">
      <c r="A504" s="2697"/>
      <c r="B504" s="36"/>
      <c r="C504" s="136"/>
      <c r="D504" s="136"/>
      <c r="G504" s="43"/>
      <c r="I504" s="59"/>
      <c r="K504" s="46"/>
      <c r="L504" s="1900"/>
      <c r="M504" s="46"/>
      <c r="N504" s="46"/>
      <c r="O504" s="74"/>
      <c r="P504" s="74"/>
      <c r="Q504" s="74"/>
      <c r="R504" s="74"/>
      <c r="S504" s="74"/>
      <c r="T504" s="74"/>
      <c r="U504" s="74"/>
      <c r="V504" s="74"/>
      <c r="W504" s="74"/>
      <c r="Y504" s="74"/>
      <c r="Z504" s="74"/>
      <c r="AA504" s="74"/>
      <c r="AB504" s="74"/>
      <c r="AN504" s="236"/>
      <c r="AO504" s="236"/>
      <c r="AP504" s="236"/>
      <c r="AQ504" s="236"/>
      <c r="AR504" s="236"/>
      <c r="AS504" s="236"/>
      <c r="AT504" s="236"/>
      <c r="AU504" s="1643"/>
      <c r="AV504" s="236"/>
      <c r="AW504" s="236"/>
      <c r="AX504" s="236"/>
      <c r="AY504" s="236"/>
      <c r="AZ504" s="236"/>
      <c r="BR504" s="35"/>
      <c r="CH504" s="35"/>
    </row>
    <row r="505" spans="1:110" ht="25.25" customHeight="1">
      <c r="A505" s="2697"/>
      <c r="B505" s="36"/>
      <c r="C505" s="136"/>
      <c r="D505" s="136"/>
      <c r="G505" s="43"/>
      <c r="I505" s="59"/>
      <c r="K505" s="46"/>
      <c r="L505" s="1900"/>
      <c r="M505" s="46"/>
      <c r="N505" s="46"/>
      <c r="O505" s="74"/>
      <c r="P505" s="74"/>
      <c r="Q505" s="74"/>
      <c r="R505" s="74"/>
      <c r="S505" s="74"/>
      <c r="T505" s="74"/>
      <c r="U505" s="74"/>
      <c r="V505" s="74"/>
      <c r="W505" s="74"/>
      <c r="Y505" s="74"/>
      <c r="Z505" s="74"/>
      <c r="AA505" s="74"/>
      <c r="AB505" s="74"/>
      <c r="AR505" s="35"/>
      <c r="AW505" s="35"/>
      <c r="BR505" s="35"/>
      <c r="CH505" s="35"/>
    </row>
    <row r="506" spans="1:110" ht="25.25" customHeight="1">
      <c r="A506" s="1432"/>
      <c r="B506" s="31"/>
      <c r="AN506" s="2949"/>
      <c r="AO506" s="2949"/>
      <c r="AP506" s="2949"/>
      <c r="AQ506" s="2949"/>
      <c r="AR506" s="2949"/>
      <c r="AS506" s="2949"/>
      <c r="AT506" s="2949"/>
      <c r="AU506" s="2949"/>
      <c r="AV506" s="2949"/>
      <c r="AW506" s="2949"/>
      <c r="AX506" s="2949"/>
      <c r="AY506" s="2949"/>
      <c r="AZ506" s="235"/>
      <c r="BR506" s="35"/>
      <c r="CH506" s="35"/>
    </row>
    <row r="507" spans="1:110" ht="25.25" customHeight="1">
      <c r="AN507" s="2952"/>
      <c r="AO507" s="2952"/>
      <c r="AP507" s="2952"/>
      <c r="AQ507" s="2949"/>
      <c r="AR507" s="2952"/>
      <c r="AS507" s="2952"/>
      <c r="AT507" s="2952"/>
      <c r="AU507" s="2952"/>
      <c r="AV507" s="2952"/>
      <c r="AW507" s="2952"/>
      <c r="AX507" s="2952"/>
      <c r="AY507" s="2952"/>
      <c r="AZ507" s="41"/>
      <c r="BR507" s="35"/>
      <c r="CH507" s="35"/>
    </row>
    <row r="508" spans="1:110" ht="25.25" customHeight="1">
      <c r="E508" s="162"/>
      <c r="F508" s="36"/>
      <c r="H508" s="36"/>
      <c r="J508" s="74"/>
      <c r="X508" s="74"/>
      <c r="AP508" s="78"/>
      <c r="AQ508" s="32"/>
      <c r="AR508" s="2950"/>
      <c r="AW508" s="35"/>
      <c r="BR508" s="35"/>
      <c r="CH508" s="35"/>
    </row>
    <row r="509" spans="1:110" ht="25.25" customHeight="1">
      <c r="AP509" s="78"/>
      <c r="AQ509" s="1625"/>
      <c r="AR509" s="2951"/>
      <c r="AW509" s="35"/>
      <c r="BR509" s="35"/>
      <c r="CH509" s="35"/>
    </row>
    <row r="510" spans="1:110" ht="25.25" customHeight="1">
      <c r="AP510" s="78"/>
      <c r="AQ510" s="32"/>
      <c r="AR510" s="2951"/>
      <c r="AW510" s="35"/>
      <c r="BR510" s="35"/>
      <c r="CH510" s="35"/>
      <c r="CK510" s="35"/>
      <c r="CM510" s="35"/>
      <c r="CR510" s="35"/>
    </row>
    <row r="511" spans="1:110" ht="25.25" customHeight="1">
      <c r="AP511" s="78"/>
      <c r="AQ511" s="32"/>
      <c r="AR511" s="2951"/>
      <c r="AW511" s="35"/>
      <c r="BR511" s="35"/>
      <c r="CH511" s="35"/>
      <c r="CK511" s="35"/>
      <c r="CM511" s="35"/>
      <c r="CR511" s="35"/>
    </row>
    <row r="512" spans="1:110" ht="25.25" customHeight="1">
      <c r="AP512" s="78"/>
      <c r="AW512" s="35"/>
      <c r="BR512" s="35"/>
      <c r="CH512" s="35"/>
      <c r="CK512" s="35"/>
      <c r="CM512" s="35"/>
      <c r="CR512" s="35"/>
    </row>
    <row r="513" spans="28:96" ht="25.25" customHeight="1">
      <c r="AP513" s="78"/>
      <c r="AW513" s="35"/>
      <c r="BR513" s="35"/>
      <c r="CH513" s="35"/>
      <c r="CK513" s="35"/>
      <c r="CM513" s="35"/>
      <c r="CR513" s="35"/>
    </row>
    <row r="514" spans="28:96" ht="25.25" customHeight="1">
      <c r="AP514" s="78"/>
      <c r="AW514" s="35"/>
      <c r="BR514" s="35"/>
      <c r="CH514" s="35"/>
      <c r="CK514" s="35"/>
      <c r="CM514" s="35"/>
      <c r="CR514" s="35"/>
    </row>
    <row r="515" spans="28:96" ht="25.25" customHeight="1">
      <c r="AP515" s="78"/>
      <c r="AW515" s="35"/>
      <c r="BR515" s="35"/>
      <c r="CH515" s="35"/>
      <c r="CK515" s="35"/>
      <c r="CM515" s="35"/>
      <c r="CR515" s="35"/>
    </row>
    <row r="516" spans="28:96" ht="25.25" customHeight="1">
      <c r="AP516" s="78"/>
      <c r="AW516" s="35"/>
      <c r="BR516" s="35"/>
      <c r="CH516" s="35"/>
      <c r="CK516" s="35"/>
      <c r="CM516" s="35"/>
      <c r="CR516" s="35"/>
    </row>
    <row r="517" spans="28:96" ht="25.25" customHeight="1">
      <c r="AP517" s="78"/>
      <c r="AW517" s="35"/>
      <c r="BR517" s="35"/>
      <c r="CH517" s="35"/>
      <c r="CK517" s="35"/>
      <c r="CM517" s="35"/>
      <c r="CR517" s="35"/>
    </row>
    <row r="518" spans="28:96" ht="25.25" customHeight="1">
      <c r="AB518" s="2641" t="s">
        <v>214</v>
      </c>
      <c r="AN518" s="228">
        <v>44835</v>
      </c>
      <c r="AO518" s="228">
        <v>44866</v>
      </c>
      <c r="AP518" s="228">
        <v>44896</v>
      </c>
      <c r="AQ518" s="228">
        <v>44927</v>
      </c>
      <c r="AR518" s="228">
        <v>44958</v>
      </c>
      <c r="AS518" s="228">
        <v>44986</v>
      </c>
      <c r="AT518" s="228">
        <v>45017</v>
      </c>
      <c r="AU518" s="228">
        <v>45047</v>
      </c>
      <c r="AV518" s="228">
        <v>45078</v>
      </c>
      <c r="AW518" s="228">
        <v>45108</v>
      </c>
      <c r="AX518" s="228">
        <v>45139</v>
      </c>
      <c r="AY518" s="228">
        <v>45170</v>
      </c>
      <c r="AZ518" s="228">
        <v>45627</v>
      </c>
      <c r="BA518" s="228">
        <v>45658</v>
      </c>
      <c r="BB518" s="228"/>
      <c r="BC518" s="228"/>
      <c r="BD518" s="228"/>
      <c r="BE518" s="228"/>
      <c r="BF518" s="228"/>
      <c r="BG518" s="228"/>
      <c r="BH518" s="228"/>
      <c r="BI518" s="228"/>
      <c r="BJ518" s="228"/>
      <c r="BK518" s="228"/>
      <c r="BL518" s="228"/>
      <c r="BM518" s="228"/>
      <c r="BN518" s="228"/>
      <c r="BO518" s="228"/>
      <c r="BP518" s="228"/>
      <c r="BQ518" s="228"/>
      <c r="BR518" s="228"/>
      <c r="BS518" s="228"/>
      <c r="BT518" s="228"/>
      <c r="BU518" s="228"/>
      <c r="BV518" s="228"/>
      <c r="BW518" s="228"/>
      <c r="BX518" s="228"/>
      <c r="BY518" s="228"/>
      <c r="BZ518" s="228"/>
      <c r="CA518" s="228"/>
      <c r="CB518" s="228"/>
      <c r="CC518" s="228"/>
      <c r="CD518" s="228"/>
      <c r="CH518" s="35"/>
      <c r="CK518" s="35"/>
      <c r="CM518" s="35"/>
      <c r="CR518" s="35"/>
    </row>
    <row r="519" spans="28:96" ht="25.25" customHeight="1">
      <c r="AB519" s="32" t="s">
        <v>212</v>
      </c>
      <c r="AN519" s="32" t="e">
        <f>#REF!+#REF!-#REF!-#REF!</f>
        <v>#REF!</v>
      </c>
      <c r="AO519" s="32">
        <f t="shared" ref="AO519:AY519" si="698">AN283+AN425-AN291-AN292</f>
        <v>588120.22033333336</v>
      </c>
      <c r="AP519" s="32">
        <f t="shared" si="698"/>
        <v>5416143.8599999994</v>
      </c>
      <c r="AQ519" s="32">
        <f t="shared" si="698"/>
        <v>6347790.9100344833</v>
      </c>
      <c r="AR519" s="32">
        <f t="shared" si="698"/>
        <v>7150801.3358644117</v>
      </c>
      <c r="AS519" s="32">
        <f t="shared" si="698"/>
        <v>8894692.9902329296</v>
      </c>
      <c r="AT519" s="32">
        <f t="shared" si="698"/>
        <v>10376859.637738265</v>
      </c>
      <c r="AU519" s="32">
        <f t="shared" si="698"/>
        <v>10847034.52876132</v>
      </c>
      <c r="AV519" s="32">
        <f t="shared" si="698"/>
        <v>11666766.67831777</v>
      </c>
      <c r="AW519" s="32">
        <f t="shared" si="698"/>
        <v>17087966.441092543</v>
      </c>
      <c r="AX519" s="32">
        <f t="shared" si="698"/>
        <v>20797141.201076061</v>
      </c>
      <c r="AY519" s="32">
        <f t="shared" si="698"/>
        <v>17066688.071419198</v>
      </c>
      <c r="AZ519" s="32"/>
      <c r="BR519" s="35"/>
      <c r="CH519" s="35"/>
      <c r="CK519" s="35"/>
      <c r="CM519" s="35"/>
      <c r="CR519" s="35"/>
    </row>
    <row r="520" spans="28:96" ht="25.25" customHeight="1">
      <c r="AB520" s="32" t="s">
        <v>213</v>
      </c>
      <c r="AN520" s="32" t="e">
        <f>(AN291+AN292)*#REF!</f>
        <v>#REF!</v>
      </c>
      <c r="AO520" s="32" t="e">
        <f>(AO291+AO292)*#REF!</f>
        <v>#REF!</v>
      </c>
      <c r="AP520" s="32" t="e">
        <f>(AP291+AP292)*#REF!</f>
        <v>#REF!</v>
      </c>
      <c r="AQ520" s="32" t="e">
        <f>(AQ291+AQ292)*#REF!</f>
        <v>#REF!</v>
      </c>
      <c r="AR520" s="32" t="e">
        <f>(AR291+AR292)*#REF!</f>
        <v>#REF!</v>
      </c>
      <c r="AS520" s="32" t="e">
        <f>(AS291+AS292)*#REF!</f>
        <v>#REF!</v>
      </c>
      <c r="AT520" s="32" t="e">
        <f>(AT291+AT292)*#REF!</f>
        <v>#REF!</v>
      </c>
      <c r="AU520" s="32" t="e">
        <f>(AU291+AU292)*#REF!</f>
        <v>#REF!</v>
      </c>
      <c r="AV520" s="32" t="e">
        <f>(AV291+AV292)*#REF!</f>
        <v>#REF!</v>
      </c>
      <c r="AW520" s="32" t="e">
        <f>(AW291+AW292)*#REF!</f>
        <v>#REF!</v>
      </c>
      <c r="AX520" s="32" t="e">
        <f>(AX291+AX292)*#REF!</f>
        <v>#REF!</v>
      </c>
      <c r="AY520" s="32" t="e">
        <f>(AY291+AY292)*#REF!</f>
        <v>#REF!</v>
      </c>
      <c r="AZ520" s="32" t="e">
        <f>(#REF!+#REF!)*#REF!</f>
        <v>#REF!</v>
      </c>
      <c r="BA520" s="32" t="e">
        <f>(#REF!+#REF!)*#REF!</f>
        <v>#REF!</v>
      </c>
      <c r="BB520" s="32"/>
      <c r="BC520" s="32"/>
      <c r="BD520" s="32"/>
      <c r="BE520" s="32"/>
      <c r="BF520" s="32"/>
      <c r="BG520" s="32"/>
      <c r="BH520" s="32"/>
      <c r="BI520" s="32"/>
      <c r="BJ520" s="32"/>
      <c r="BK520" s="32"/>
      <c r="BL520" s="32"/>
      <c r="BM520" s="32"/>
      <c r="BN520" s="32"/>
      <c r="BO520" s="32"/>
      <c r="BP520" s="32"/>
      <c r="BQ520" s="32"/>
      <c r="BR520" s="32"/>
      <c r="BS520" s="32"/>
      <c r="BT520" s="32"/>
      <c r="BU520" s="32"/>
      <c r="BV520" s="32"/>
      <c r="BW520" s="32"/>
      <c r="BX520" s="32"/>
      <c r="BY520" s="32"/>
      <c r="BZ520" s="32"/>
      <c r="CA520" s="32"/>
      <c r="CB520" s="32"/>
      <c r="CC520" s="32"/>
      <c r="CD520" s="32"/>
      <c r="CH520" s="35"/>
      <c r="CK520" s="35"/>
      <c r="CM520" s="35"/>
      <c r="CR520" s="35"/>
    </row>
    <row r="521" spans="28:96" ht="25.25" customHeight="1">
      <c r="AB521" s="80" t="s">
        <v>215</v>
      </c>
      <c r="AN521" s="32" t="e">
        <f t="shared" ref="AN521:AY521" si="699">SUM(AN519:AN520)</f>
        <v>#REF!</v>
      </c>
      <c r="AO521" s="32" t="e">
        <f t="shared" si="699"/>
        <v>#REF!</v>
      </c>
      <c r="AP521" s="32" t="e">
        <f t="shared" si="699"/>
        <v>#REF!</v>
      </c>
      <c r="AQ521" s="32" t="e">
        <f t="shared" si="699"/>
        <v>#REF!</v>
      </c>
      <c r="AR521" s="32" t="e">
        <f t="shared" si="699"/>
        <v>#REF!</v>
      </c>
      <c r="AS521" s="32" t="e">
        <f t="shared" si="699"/>
        <v>#REF!</v>
      </c>
      <c r="AT521" s="32" t="e">
        <f t="shared" si="699"/>
        <v>#REF!</v>
      </c>
      <c r="AU521" s="32" t="e">
        <f t="shared" si="699"/>
        <v>#REF!</v>
      </c>
      <c r="AV521" s="32" t="e">
        <f t="shared" si="699"/>
        <v>#REF!</v>
      </c>
      <c r="AW521" s="32" t="e">
        <f t="shared" si="699"/>
        <v>#REF!</v>
      </c>
      <c r="AX521" s="32" t="e">
        <f t="shared" si="699"/>
        <v>#REF!</v>
      </c>
      <c r="AY521" s="32" t="e">
        <f t="shared" si="699"/>
        <v>#REF!</v>
      </c>
      <c r="AZ521" s="32"/>
      <c r="BR521" s="35"/>
      <c r="CH521" s="35"/>
      <c r="CK521" s="35"/>
      <c r="CM521" s="35"/>
      <c r="CR521" s="35"/>
    </row>
    <row r="522" spans="28:96" ht="25.25" customHeight="1">
      <c r="AP522" s="78"/>
      <c r="AW522" s="35"/>
      <c r="BR522" s="35"/>
      <c r="CH522" s="35"/>
      <c r="CK522" s="35"/>
      <c r="CM522" s="35"/>
      <c r="CR522" s="35"/>
    </row>
    <row r="523" spans="28:96" ht="25.25" customHeight="1">
      <c r="AP523" s="78"/>
      <c r="AW523" s="35"/>
      <c r="BR523" s="35"/>
      <c r="CH523" s="35"/>
      <c r="CK523" s="35"/>
      <c r="CM523" s="35"/>
      <c r="CR523" s="35"/>
    </row>
    <row r="524" spans="28:96" ht="25.25" customHeight="1">
      <c r="AP524" s="78"/>
      <c r="AW524" s="35"/>
      <c r="BR524" s="35"/>
      <c r="CH524" s="35"/>
      <c r="CK524" s="35"/>
      <c r="CM524" s="35"/>
      <c r="CR524" s="35"/>
    </row>
    <row r="525" spans="28:96" ht="25.25" customHeight="1">
      <c r="AP525" s="78"/>
      <c r="AW525" s="35"/>
      <c r="BR525" s="35"/>
      <c r="CH525" s="35"/>
      <c r="CK525" s="35"/>
      <c r="CM525" s="35"/>
      <c r="CR525" s="35"/>
    </row>
    <row r="526" spans="28:96" ht="25.25" customHeight="1">
      <c r="AP526" s="78"/>
      <c r="AW526" s="35"/>
      <c r="BR526" s="35"/>
      <c r="CH526" s="35"/>
      <c r="CK526" s="35"/>
      <c r="CM526" s="35"/>
      <c r="CR526" s="35"/>
    </row>
    <row r="527" spans="28:96" ht="25.25" customHeight="1">
      <c r="AP527" s="78"/>
      <c r="AW527" s="35"/>
      <c r="BR527" s="35"/>
      <c r="CH527" s="35"/>
      <c r="CK527" s="35"/>
      <c r="CM527" s="35"/>
      <c r="CR527" s="35"/>
    </row>
    <row r="528" spans="28:96" ht="25.25" customHeight="1">
      <c r="AP528" s="78"/>
      <c r="AW528" s="35"/>
      <c r="BR528" s="35"/>
      <c r="CH528" s="35"/>
      <c r="CK528" s="35"/>
      <c r="CM528" s="35"/>
      <c r="CR528" s="35"/>
    </row>
    <row r="529" spans="42:96" ht="25.25" customHeight="1">
      <c r="AP529" s="78"/>
      <c r="AW529" s="35"/>
      <c r="BR529" s="35"/>
      <c r="CH529" s="35"/>
      <c r="CK529" s="35"/>
      <c r="CM529" s="35"/>
      <c r="CR529" s="35"/>
    </row>
    <row r="530" spans="42:96" ht="25.25" customHeight="1">
      <c r="AP530" s="78"/>
      <c r="AW530" s="35"/>
      <c r="BR530" s="35"/>
      <c r="CH530" s="35"/>
      <c r="CK530" s="35"/>
      <c r="CM530" s="35"/>
      <c r="CR530" s="35"/>
    </row>
    <row r="531" spans="42:96" ht="25.25" customHeight="1">
      <c r="AP531" s="78"/>
      <c r="AW531" s="35"/>
      <c r="BR531" s="35"/>
      <c r="CH531" s="35"/>
      <c r="CK531" s="35"/>
      <c r="CM531" s="35"/>
      <c r="CR531" s="35"/>
    </row>
    <row r="532" spans="42:96" ht="25.25" customHeight="1">
      <c r="AP532" s="78"/>
      <c r="AW532" s="35"/>
      <c r="BR532" s="35"/>
      <c r="CH532" s="35"/>
      <c r="CK532" s="35"/>
      <c r="CM532" s="35"/>
      <c r="CR532" s="35"/>
    </row>
    <row r="533" spans="42:96" ht="25.25" customHeight="1">
      <c r="AP533" s="78"/>
      <c r="AW533" s="35"/>
      <c r="BR533" s="35"/>
      <c r="CH533" s="35"/>
      <c r="CK533" s="35"/>
      <c r="CM533" s="35"/>
      <c r="CR533" s="35"/>
    </row>
    <row r="534" spans="42:96" ht="25.25" customHeight="1">
      <c r="AP534" s="78"/>
      <c r="AW534" s="35"/>
      <c r="BR534" s="35"/>
      <c r="CH534" s="35"/>
      <c r="CK534" s="35"/>
      <c r="CM534" s="35"/>
      <c r="CR534" s="35"/>
    </row>
    <row r="535" spans="42:96" ht="25.25" customHeight="1">
      <c r="AP535" s="78"/>
      <c r="AW535" s="35"/>
      <c r="BR535" s="35"/>
      <c r="CH535" s="35"/>
      <c r="CK535" s="35"/>
      <c r="CM535" s="35"/>
      <c r="CR535" s="35"/>
    </row>
    <row r="536" spans="42:96" ht="25.25" customHeight="1">
      <c r="AP536" s="78"/>
      <c r="AW536" s="35"/>
      <c r="BR536" s="35"/>
      <c r="CH536" s="35"/>
      <c r="CK536" s="35"/>
      <c r="CM536" s="35"/>
      <c r="CR536" s="35"/>
    </row>
    <row r="537" spans="42:96" ht="25.25" customHeight="1">
      <c r="AP537" s="78"/>
      <c r="AW537" s="35"/>
      <c r="BR537" s="35"/>
      <c r="CH537" s="35"/>
      <c r="CK537" s="35"/>
      <c r="CM537" s="35"/>
      <c r="CR537" s="35"/>
    </row>
    <row r="538" spans="42:96" ht="25.25" customHeight="1">
      <c r="AP538" s="78"/>
      <c r="AW538" s="35"/>
      <c r="BR538" s="35"/>
      <c r="CH538" s="35"/>
      <c r="CK538" s="35"/>
      <c r="CM538" s="35"/>
      <c r="CR538" s="35"/>
    </row>
    <row r="539" spans="42:96" ht="25.25" customHeight="1">
      <c r="AP539" s="78"/>
      <c r="AW539" s="35"/>
      <c r="BR539" s="35"/>
      <c r="CH539" s="35"/>
      <c r="CK539" s="35"/>
      <c r="CM539" s="35"/>
      <c r="CR539" s="35"/>
    </row>
    <row r="540" spans="42:96" ht="25.25" customHeight="1">
      <c r="AP540" s="78"/>
      <c r="AW540" s="35"/>
      <c r="BR540" s="35"/>
      <c r="CH540" s="35"/>
      <c r="CK540" s="35"/>
      <c r="CM540" s="35"/>
      <c r="CR540" s="35"/>
    </row>
    <row r="541" spans="42:96" ht="25.25" customHeight="1">
      <c r="AP541" s="78"/>
      <c r="AW541" s="35"/>
      <c r="BR541" s="35"/>
      <c r="CH541" s="35"/>
      <c r="CK541" s="35"/>
      <c r="CM541" s="35"/>
      <c r="CR541" s="35"/>
    </row>
    <row r="542" spans="42:96" ht="25.25" customHeight="1">
      <c r="AP542" s="78"/>
      <c r="AW542" s="35"/>
      <c r="BR542" s="35"/>
      <c r="CH542" s="35"/>
      <c r="CK542" s="35"/>
      <c r="CM542" s="35"/>
      <c r="CR542" s="35"/>
    </row>
    <row r="543" spans="42:96" ht="25.25" customHeight="1">
      <c r="AP543" s="78"/>
      <c r="AW543" s="35"/>
      <c r="BR543" s="35"/>
      <c r="CH543" s="35"/>
      <c r="CK543" s="35"/>
      <c r="CM543" s="35"/>
      <c r="CR543" s="35"/>
    </row>
    <row r="544" spans="42:96" ht="25.25" customHeight="1">
      <c r="AP544" s="78"/>
      <c r="AW544" s="35"/>
      <c r="BR544" s="35"/>
      <c r="CH544" s="35"/>
      <c r="CK544" s="35"/>
      <c r="CM544" s="35"/>
      <c r="CR544" s="35"/>
    </row>
    <row r="545" spans="42:96" ht="25.25" customHeight="1">
      <c r="AP545" s="78"/>
      <c r="AW545" s="35"/>
      <c r="BR545" s="35"/>
      <c r="CH545" s="35"/>
      <c r="CK545" s="35"/>
      <c r="CM545" s="35"/>
      <c r="CR545" s="35"/>
    </row>
    <row r="546" spans="42:96" ht="25.25" customHeight="1">
      <c r="AP546" s="78"/>
      <c r="AW546" s="35"/>
      <c r="BR546" s="35"/>
      <c r="CH546" s="35"/>
      <c r="CK546" s="35"/>
      <c r="CM546" s="35"/>
      <c r="CR546" s="35"/>
    </row>
    <row r="547" spans="42:96" ht="25.25" customHeight="1">
      <c r="AP547" s="78"/>
      <c r="AW547" s="35"/>
      <c r="BR547" s="35"/>
      <c r="CH547" s="35"/>
      <c r="CK547" s="35"/>
      <c r="CM547" s="35"/>
      <c r="CR547" s="35"/>
    </row>
    <row r="548" spans="42:96" ht="25.25" customHeight="1">
      <c r="AP548" s="78"/>
      <c r="AW548" s="35"/>
      <c r="BR548" s="35"/>
      <c r="CH548" s="35"/>
      <c r="CK548" s="35"/>
      <c r="CM548" s="35"/>
      <c r="CR548" s="35"/>
    </row>
    <row r="549" spans="42:96" ht="25.25" customHeight="1">
      <c r="AP549" s="78"/>
      <c r="AW549" s="35"/>
      <c r="BR549" s="35"/>
      <c r="CH549" s="35"/>
      <c r="CK549" s="35"/>
      <c r="CM549" s="35"/>
      <c r="CR549" s="35"/>
    </row>
    <row r="550" spans="42:96" ht="25.25" customHeight="1">
      <c r="AP550" s="78"/>
      <c r="AW550" s="35"/>
      <c r="BR550" s="35"/>
      <c r="CH550" s="35"/>
      <c r="CK550" s="35"/>
      <c r="CM550" s="35"/>
      <c r="CR550" s="35"/>
    </row>
    <row r="551" spans="42:96" ht="25.25" customHeight="1">
      <c r="AP551" s="78"/>
      <c r="AW551" s="35"/>
      <c r="BR551" s="35"/>
      <c r="CH551" s="35"/>
      <c r="CK551" s="35"/>
      <c r="CM551" s="35"/>
      <c r="CR551" s="35"/>
    </row>
    <row r="552" spans="42:96" ht="25.25" customHeight="1">
      <c r="AP552" s="78"/>
      <c r="AW552" s="35"/>
      <c r="BR552" s="35"/>
      <c r="CH552" s="35"/>
      <c r="CK552" s="35"/>
      <c r="CM552" s="35"/>
      <c r="CR552" s="35"/>
    </row>
    <row r="553" spans="42:96" ht="25.25" customHeight="1">
      <c r="AP553" s="78"/>
      <c r="AW553" s="35"/>
      <c r="BR553" s="35"/>
      <c r="CH553" s="35"/>
      <c r="CK553" s="35"/>
      <c r="CM553" s="35"/>
      <c r="CR553" s="35"/>
    </row>
    <row r="554" spans="42:96" ht="25.25" customHeight="1">
      <c r="AP554" s="78"/>
      <c r="AW554" s="35"/>
      <c r="BR554" s="35"/>
      <c r="CH554" s="35"/>
      <c r="CK554" s="35"/>
      <c r="CM554" s="35"/>
      <c r="CR554" s="35"/>
    </row>
    <row r="555" spans="42:96" ht="25.25" customHeight="1">
      <c r="AP555" s="78"/>
      <c r="AW555" s="35"/>
      <c r="BR555" s="35"/>
      <c r="CH555" s="35"/>
      <c r="CK555" s="35"/>
      <c r="CM555" s="35"/>
      <c r="CR555" s="35"/>
    </row>
    <row r="556" spans="42:96" ht="25.25" customHeight="1">
      <c r="AP556" s="78"/>
      <c r="AW556" s="35"/>
      <c r="BR556" s="35"/>
      <c r="CH556" s="35"/>
      <c r="CK556" s="35"/>
      <c r="CM556" s="35"/>
      <c r="CR556" s="35"/>
    </row>
    <row r="557" spans="42:96" ht="25.25" customHeight="1">
      <c r="AP557" s="78"/>
      <c r="AW557" s="35"/>
      <c r="BR557" s="35"/>
      <c r="CH557" s="35"/>
      <c r="CK557" s="35"/>
      <c r="CM557" s="35"/>
      <c r="CR557" s="35"/>
    </row>
    <row r="558" spans="42:96" ht="25.25" customHeight="1">
      <c r="AP558" s="78"/>
      <c r="AW558" s="35"/>
      <c r="BR558" s="35"/>
      <c r="CH558" s="35"/>
      <c r="CK558" s="35"/>
      <c r="CM558" s="35"/>
      <c r="CR558" s="35"/>
    </row>
    <row r="559" spans="42:96" ht="25.25" customHeight="1">
      <c r="AP559" s="78"/>
      <c r="AW559" s="35"/>
      <c r="BR559" s="35"/>
      <c r="CH559" s="35"/>
      <c r="CK559" s="35"/>
      <c r="CM559" s="35"/>
      <c r="CR559" s="35"/>
    </row>
    <row r="560" spans="42:96" ht="25.25" customHeight="1">
      <c r="AP560" s="78"/>
      <c r="AW560" s="35"/>
      <c r="BR560" s="35"/>
      <c r="CH560" s="35"/>
      <c r="CK560" s="35"/>
      <c r="CM560" s="35"/>
      <c r="CR560" s="35"/>
    </row>
    <row r="561" spans="42:96" ht="25.25" customHeight="1">
      <c r="AP561" s="78"/>
      <c r="AW561" s="35"/>
      <c r="BR561" s="35"/>
      <c r="CH561" s="35"/>
      <c r="CK561" s="35"/>
      <c r="CM561" s="35"/>
      <c r="CR561" s="35"/>
    </row>
    <row r="562" spans="42:96" ht="25.25" customHeight="1">
      <c r="AP562" s="78"/>
      <c r="AW562" s="35"/>
      <c r="BR562" s="35"/>
      <c r="CH562" s="35"/>
      <c r="CK562" s="35"/>
      <c r="CM562" s="35"/>
      <c r="CR562" s="35"/>
    </row>
    <row r="563" spans="42:96" ht="25.25" customHeight="1">
      <c r="AP563" s="78"/>
      <c r="AW563" s="35"/>
      <c r="BR563" s="35"/>
      <c r="CH563" s="35"/>
      <c r="CK563" s="35"/>
      <c r="CM563" s="35"/>
      <c r="CR563" s="35"/>
    </row>
    <row r="564" spans="42:96" ht="25.25" customHeight="1">
      <c r="AP564" s="78"/>
      <c r="AW564" s="35"/>
      <c r="BR564" s="35"/>
      <c r="CH564" s="35"/>
      <c r="CK564" s="35"/>
      <c r="CM564" s="35"/>
      <c r="CR564" s="35"/>
    </row>
    <row r="565" spans="42:96" ht="25.25" customHeight="1">
      <c r="AP565" s="78"/>
      <c r="AW565" s="35"/>
      <c r="BR565" s="35"/>
      <c r="CH565" s="35"/>
      <c r="CK565" s="35"/>
      <c r="CM565" s="35"/>
      <c r="CR565" s="35"/>
    </row>
    <row r="566" spans="42:96" ht="25.25" customHeight="1">
      <c r="AP566" s="78"/>
      <c r="AW566" s="35"/>
      <c r="BR566" s="35"/>
      <c r="CH566" s="35"/>
      <c r="CK566" s="35"/>
      <c r="CM566" s="35"/>
      <c r="CR566" s="35"/>
    </row>
    <row r="567" spans="42:96" ht="25.25" customHeight="1">
      <c r="AP567" s="78"/>
      <c r="AW567" s="35"/>
      <c r="BR567" s="35"/>
      <c r="CH567" s="35"/>
      <c r="CK567" s="35"/>
      <c r="CM567" s="35"/>
      <c r="CR567" s="35"/>
    </row>
    <row r="568" spans="42:96" ht="25.25" customHeight="1">
      <c r="AP568" s="78"/>
      <c r="AW568" s="35"/>
      <c r="BR568" s="35"/>
      <c r="CH568" s="35"/>
      <c r="CK568" s="35"/>
      <c r="CM568" s="35"/>
      <c r="CR568" s="35"/>
    </row>
    <row r="569" spans="42:96" ht="25.25" customHeight="1">
      <c r="AP569" s="78"/>
      <c r="AW569" s="35"/>
      <c r="BR569" s="35"/>
      <c r="CH569" s="35"/>
      <c r="CK569" s="35"/>
      <c r="CM569" s="35"/>
      <c r="CR569" s="35"/>
    </row>
    <row r="570" spans="42:96" ht="25.25" customHeight="1">
      <c r="AP570" s="78"/>
      <c r="AW570" s="35"/>
      <c r="BR570" s="35"/>
      <c r="CH570" s="35"/>
      <c r="CK570" s="35"/>
      <c r="CM570" s="35"/>
      <c r="CR570" s="35"/>
    </row>
    <row r="571" spans="42:96" ht="25.25" customHeight="1">
      <c r="AP571" s="78"/>
      <c r="AW571" s="35"/>
      <c r="BR571" s="35"/>
      <c r="CH571" s="35"/>
      <c r="CK571" s="35"/>
      <c r="CM571" s="35"/>
      <c r="CR571" s="35"/>
    </row>
    <row r="572" spans="42:96" ht="25.25" customHeight="1">
      <c r="AP572" s="78"/>
      <c r="AW572" s="35"/>
      <c r="BR572" s="35"/>
      <c r="CH572" s="35"/>
      <c r="CK572" s="35"/>
      <c r="CM572" s="35"/>
      <c r="CR572" s="35"/>
    </row>
    <row r="573" spans="42:96" ht="25.25" customHeight="1">
      <c r="AP573" s="78"/>
      <c r="AW573" s="35"/>
      <c r="BR573" s="35"/>
      <c r="CH573" s="35"/>
      <c r="CK573" s="35"/>
      <c r="CM573" s="35"/>
      <c r="CR573" s="35"/>
    </row>
    <row r="574" spans="42:96" ht="25.25" customHeight="1">
      <c r="AP574" s="78"/>
      <c r="AW574" s="35"/>
      <c r="BR574" s="35"/>
      <c r="CH574" s="35"/>
      <c r="CK574" s="35"/>
      <c r="CM574" s="35"/>
      <c r="CR574" s="35"/>
    </row>
    <row r="575" spans="42:96" ht="25.25" customHeight="1">
      <c r="AP575" s="78"/>
      <c r="AW575" s="35"/>
      <c r="BR575" s="35"/>
      <c r="CH575" s="35"/>
      <c r="CK575" s="35"/>
      <c r="CM575" s="35"/>
      <c r="CR575" s="35"/>
    </row>
    <row r="576" spans="42:96" ht="25.25" customHeight="1">
      <c r="AP576" s="78"/>
      <c r="AW576" s="35"/>
      <c r="BR576" s="35"/>
      <c r="CH576" s="35"/>
      <c r="CK576" s="35"/>
      <c r="CM576" s="35"/>
      <c r="CR576" s="35"/>
    </row>
    <row r="577" spans="42:96" ht="25.25" customHeight="1">
      <c r="AP577" s="78"/>
      <c r="AW577" s="35"/>
      <c r="BR577" s="35"/>
      <c r="CH577" s="35"/>
      <c r="CK577" s="35"/>
      <c r="CM577" s="35"/>
      <c r="CR577" s="35"/>
    </row>
    <row r="578" spans="42:96" ht="25.25" customHeight="1">
      <c r="AP578" s="78"/>
      <c r="AW578" s="35"/>
      <c r="BR578" s="35"/>
      <c r="CH578" s="35"/>
      <c r="CK578" s="35"/>
      <c r="CM578" s="35"/>
      <c r="CR578" s="35"/>
    </row>
    <row r="579" spans="42:96" ht="25.25" customHeight="1">
      <c r="AP579" s="78"/>
      <c r="AW579" s="35"/>
      <c r="BR579" s="35"/>
      <c r="CK579" s="35"/>
      <c r="CM579" s="35"/>
      <c r="CR579" s="35"/>
    </row>
    <row r="580" spans="42:96" ht="25.25" customHeight="1">
      <c r="AP580" s="78"/>
      <c r="AW580" s="35"/>
      <c r="BR580" s="35"/>
      <c r="CK580" s="35"/>
      <c r="CM580" s="35"/>
      <c r="CR580" s="35"/>
    </row>
    <row r="581" spans="42:96" ht="25.25" customHeight="1">
      <c r="AP581" s="78"/>
      <c r="AW581" s="35"/>
      <c r="BR581" s="35"/>
      <c r="CK581" s="35"/>
      <c r="CM581" s="35"/>
      <c r="CR581" s="35"/>
    </row>
    <row r="582" spans="42:96" ht="25.25" customHeight="1">
      <c r="AP582" s="78"/>
      <c r="AW582" s="35"/>
      <c r="BR582" s="35"/>
      <c r="CK582" s="35"/>
      <c r="CM582" s="35"/>
      <c r="CR582" s="35"/>
    </row>
    <row r="583" spans="42:96" ht="25.25" customHeight="1">
      <c r="AP583" s="78"/>
      <c r="AW583" s="35"/>
      <c r="BR583" s="35"/>
      <c r="CK583" s="35"/>
      <c r="CM583" s="35"/>
      <c r="CR583" s="35"/>
    </row>
    <row r="584" spans="42:96" ht="25.25" customHeight="1">
      <c r="AP584" s="78"/>
      <c r="AW584" s="35"/>
      <c r="BR584" s="35"/>
      <c r="CK584" s="35"/>
      <c r="CM584" s="35"/>
      <c r="CR584" s="35"/>
    </row>
    <row r="585" spans="42:96" ht="25.25" customHeight="1">
      <c r="AP585" s="78"/>
      <c r="AW585" s="35"/>
      <c r="BR585" s="35"/>
      <c r="CK585" s="35"/>
      <c r="CM585" s="35"/>
      <c r="CR585" s="35"/>
    </row>
    <row r="586" spans="42:96" ht="25.25" customHeight="1">
      <c r="AP586" s="78"/>
      <c r="AW586" s="35"/>
      <c r="BR586" s="35"/>
      <c r="CK586" s="35"/>
      <c r="CM586" s="35"/>
      <c r="CR586" s="35"/>
    </row>
    <row r="587" spans="42:96" ht="25.25" customHeight="1">
      <c r="AP587" s="78"/>
      <c r="AW587" s="35"/>
      <c r="BR587" s="35"/>
      <c r="CK587" s="35"/>
      <c r="CM587" s="35"/>
      <c r="CR587" s="35"/>
    </row>
    <row r="588" spans="42:96" ht="25.25" customHeight="1">
      <c r="AP588" s="78"/>
      <c r="AW588" s="35"/>
      <c r="BR588" s="35"/>
      <c r="CK588" s="35"/>
      <c r="CM588" s="35"/>
      <c r="CR588" s="35"/>
    </row>
    <row r="589" spans="42:96" ht="25.25" customHeight="1">
      <c r="AP589" s="78"/>
      <c r="AW589" s="35"/>
      <c r="BR589" s="35"/>
      <c r="CK589" s="35"/>
      <c r="CM589" s="35"/>
      <c r="CR589" s="35"/>
    </row>
    <row r="590" spans="42:96" ht="25.25" customHeight="1">
      <c r="AP590" s="78"/>
      <c r="AW590" s="35"/>
      <c r="BR590" s="35"/>
      <c r="CK590" s="35"/>
      <c r="CM590" s="35"/>
      <c r="CR590" s="35"/>
    </row>
    <row r="591" spans="42:96" ht="25.25" customHeight="1">
      <c r="AP591" s="78"/>
      <c r="AW591" s="35"/>
      <c r="BR591" s="35"/>
      <c r="CK591" s="35"/>
      <c r="CM591" s="35"/>
      <c r="CR591" s="35"/>
    </row>
    <row r="592" spans="42:96" ht="25.25" customHeight="1">
      <c r="AP592" s="78"/>
      <c r="AW592" s="35"/>
      <c r="BR592" s="35"/>
      <c r="CK592" s="35"/>
      <c r="CM592" s="35"/>
      <c r="CR592" s="35"/>
    </row>
    <row r="593" spans="42:96" ht="25.25" customHeight="1">
      <c r="AP593" s="78"/>
      <c r="AW593" s="35"/>
      <c r="BR593" s="35"/>
      <c r="CK593" s="35"/>
      <c r="CM593" s="35"/>
      <c r="CR593" s="35"/>
    </row>
    <row r="594" spans="42:96" ht="25.25" customHeight="1">
      <c r="AP594" s="78"/>
      <c r="AW594" s="35"/>
      <c r="BR594" s="35"/>
      <c r="CK594" s="35"/>
      <c r="CM594" s="35"/>
      <c r="CR594" s="35"/>
    </row>
    <row r="595" spans="42:96" ht="25.25" customHeight="1">
      <c r="AP595" s="78"/>
      <c r="AW595" s="35"/>
      <c r="BR595" s="35"/>
      <c r="CK595" s="35"/>
      <c r="CM595" s="35"/>
      <c r="CR595" s="35"/>
    </row>
    <row r="596" spans="42:96" ht="25.25" customHeight="1">
      <c r="AP596" s="78"/>
      <c r="AW596" s="35"/>
      <c r="BR596" s="35"/>
      <c r="CK596" s="35"/>
      <c r="CM596" s="35"/>
      <c r="CR596" s="35"/>
    </row>
    <row r="597" spans="42:96" ht="25.25" customHeight="1">
      <c r="AP597" s="78"/>
      <c r="AW597" s="35"/>
      <c r="BR597" s="35"/>
      <c r="CK597" s="35"/>
      <c r="CM597" s="35"/>
      <c r="CR597" s="35"/>
    </row>
    <row r="598" spans="42:96" ht="25.25" customHeight="1">
      <c r="AP598" s="78"/>
      <c r="AW598" s="35"/>
      <c r="BR598" s="35"/>
      <c r="CK598" s="35"/>
      <c r="CM598" s="35"/>
      <c r="CR598" s="35"/>
    </row>
    <row r="599" spans="42:96" ht="25.25" customHeight="1">
      <c r="AP599" s="78"/>
      <c r="AW599" s="35"/>
      <c r="BR599" s="35"/>
      <c r="CK599" s="35"/>
      <c r="CM599" s="35"/>
      <c r="CR599" s="35"/>
    </row>
    <row r="600" spans="42:96" ht="25.25" customHeight="1">
      <c r="AP600" s="78"/>
      <c r="AW600" s="35"/>
      <c r="BR600" s="35"/>
      <c r="CK600" s="35"/>
      <c r="CM600" s="35"/>
      <c r="CR600" s="35"/>
    </row>
    <row r="601" spans="42:96" ht="25.25" customHeight="1">
      <c r="AP601" s="78"/>
      <c r="AW601" s="35"/>
      <c r="BR601" s="35"/>
      <c r="CK601" s="35"/>
      <c r="CM601" s="35"/>
      <c r="CR601" s="35"/>
    </row>
    <row r="602" spans="42:96" ht="25.25" customHeight="1">
      <c r="AP602" s="78"/>
      <c r="AW602" s="35"/>
      <c r="BR602" s="35"/>
      <c r="CK602" s="35"/>
      <c r="CM602" s="35"/>
      <c r="CR602" s="35"/>
    </row>
    <row r="603" spans="42:96" ht="25.25" customHeight="1">
      <c r="AP603" s="78"/>
      <c r="AW603" s="35"/>
      <c r="BR603" s="35"/>
      <c r="CK603" s="35"/>
      <c r="CM603" s="35"/>
      <c r="CR603" s="35"/>
    </row>
    <row r="604" spans="42:96" ht="25.25" customHeight="1">
      <c r="AP604" s="78"/>
      <c r="AW604" s="35"/>
      <c r="BR604" s="35"/>
      <c r="CK604" s="35"/>
      <c r="CM604" s="35"/>
      <c r="CR604" s="35"/>
    </row>
    <row r="605" spans="42:96" ht="25.25" customHeight="1">
      <c r="AP605" s="78"/>
      <c r="AW605" s="35"/>
      <c r="BR605" s="35"/>
      <c r="CK605" s="35"/>
      <c r="CM605" s="35"/>
      <c r="CR605" s="35"/>
    </row>
    <row r="606" spans="42:96" ht="25.25" customHeight="1">
      <c r="AP606" s="78"/>
      <c r="AW606" s="35"/>
      <c r="BR606" s="35"/>
      <c r="CK606" s="35"/>
      <c r="CM606" s="35"/>
      <c r="CR606" s="35"/>
    </row>
    <row r="607" spans="42:96" ht="25.25" customHeight="1">
      <c r="AP607" s="78"/>
      <c r="AW607" s="35"/>
      <c r="BR607" s="35"/>
      <c r="CK607" s="35"/>
      <c r="CM607" s="35"/>
      <c r="CR607" s="35"/>
    </row>
    <row r="608" spans="42:96" ht="25.25" customHeight="1">
      <c r="AP608" s="78"/>
      <c r="AW608" s="35"/>
      <c r="BR608" s="35"/>
      <c r="CK608" s="35"/>
      <c r="CM608" s="35"/>
      <c r="CR608" s="35"/>
    </row>
    <row r="609" spans="42:96" ht="25.25" customHeight="1">
      <c r="AP609" s="78"/>
      <c r="AW609" s="35"/>
      <c r="BR609" s="35"/>
      <c r="CK609" s="35"/>
      <c r="CM609" s="35"/>
      <c r="CR609" s="35"/>
    </row>
    <row r="610" spans="42:96" ht="25.25" customHeight="1">
      <c r="AP610" s="78"/>
      <c r="AW610" s="35"/>
      <c r="BR610" s="35"/>
      <c r="CK610" s="35"/>
      <c r="CM610" s="35"/>
      <c r="CR610" s="35"/>
    </row>
    <row r="611" spans="42:96" ht="25.25" customHeight="1">
      <c r="AP611" s="78"/>
      <c r="AW611" s="35"/>
      <c r="BR611" s="35"/>
      <c r="CK611" s="35"/>
      <c r="CM611" s="35"/>
      <c r="CR611" s="35"/>
    </row>
    <row r="612" spans="42:96" ht="25.25" customHeight="1">
      <c r="AP612" s="78"/>
      <c r="AW612" s="35"/>
      <c r="BR612" s="35"/>
      <c r="CK612" s="35"/>
      <c r="CM612" s="35"/>
      <c r="CR612" s="35"/>
    </row>
    <row r="613" spans="42:96" ht="25.25" customHeight="1">
      <c r="AP613" s="78"/>
      <c r="AW613" s="35"/>
      <c r="BR613" s="35"/>
      <c r="CK613" s="35"/>
      <c r="CM613" s="35"/>
      <c r="CR613" s="35"/>
    </row>
    <row r="614" spans="42:96" ht="25.25" customHeight="1">
      <c r="AP614" s="78"/>
      <c r="AW614" s="35"/>
      <c r="BR614" s="35"/>
      <c r="CK614" s="35"/>
      <c r="CM614" s="35"/>
      <c r="CR614" s="35"/>
    </row>
    <row r="615" spans="42:96" ht="25.25" customHeight="1">
      <c r="AP615" s="78"/>
      <c r="AW615" s="35"/>
      <c r="BR615" s="35"/>
      <c r="CK615" s="35"/>
      <c r="CM615" s="35"/>
      <c r="CR615" s="35"/>
    </row>
    <row r="616" spans="42:96" ht="25.25" customHeight="1">
      <c r="AP616" s="78"/>
      <c r="AW616" s="35"/>
      <c r="BR616" s="35"/>
      <c r="CK616" s="35"/>
      <c r="CM616" s="35"/>
      <c r="CR616" s="35"/>
    </row>
    <row r="617" spans="42:96" ht="25.25" customHeight="1">
      <c r="AP617" s="78"/>
      <c r="AW617" s="35"/>
      <c r="BR617" s="35"/>
      <c r="CK617" s="35"/>
      <c r="CM617" s="35"/>
      <c r="CR617" s="35"/>
    </row>
    <row r="618" spans="42:96" ht="25.25" customHeight="1">
      <c r="AP618" s="78"/>
      <c r="AW618" s="35"/>
      <c r="BR618" s="35"/>
      <c r="CK618" s="35"/>
      <c r="CM618" s="35"/>
      <c r="CR618" s="35"/>
    </row>
    <row r="619" spans="42:96" ht="25.25" customHeight="1">
      <c r="AP619" s="78"/>
      <c r="AW619" s="35"/>
      <c r="BR619" s="35"/>
      <c r="CK619" s="35"/>
      <c r="CM619" s="35"/>
      <c r="CR619" s="35"/>
    </row>
    <row r="620" spans="42:96" ht="25.25" customHeight="1">
      <c r="AP620" s="78"/>
      <c r="AW620" s="35"/>
      <c r="BR620" s="35"/>
      <c r="CK620" s="35"/>
      <c r="CM620" s="35"/>
      <c r="CR620" s="35"/>
    </row>
    <row r="621" spans="42:96" ht="25.25" customHeight="1">
      <c r="AP621" s="78"/>
      <c r="AW621" s="35"/>
      <c r="BR621" s="35"/>
      <c r="CK621" s="35"/>
      <c r="CM621" s="35"/>
      <c r="CR621" s="35"/>
    </row>
    <row r="622" spans="42:96" ht="25.25" customHeight="1">
      <c r="AP622" s="78"/>
      <c r="AW622" s="35"/>
      <c r="BR622" s="35"/>
      <c r="CH622" s="35"/>
      <c r="CI622" s="35"/>
      <c r="CJ622" s="35"/>
      <c r="CK622" s="35"/>
      <c r="CM622" s="35"/>
      <c r="CR622" s="35"/>
    </row>
    <row r="623" spans="42:96" ht="25.25" customHeight="1">
      <c r="AP623" s="78"/>
      <c r="AW623" s="35"/>
      <c r="BR623" s="35"/>
      <c r="CH623" s="35"/>
      <c r="CI623" s="35"/>
      <c r="CJ623" s="35"/>
      <c r="CK623" s="35"/>
      <c r="CM623" s="35"/>
      <c r="CR623" s="35"/>
    </row>
    <row r="624" spans="42:96" ht="25.25" customHeight="1">
      <c r="AP624" s="78"/>
      <c r="AW624" s="35"/>
      <c r="BR624" s="35"/>
      <c r="CH624" s="35"/>
      <c r="CI624" s="35"/>
      <c r="CJ624" s="35"/>
      <c r="CK624" s="35"/>
      <c r="CM624" s="35"/>
      <c r="CR624" s="35"/>
    </row>
    <row r="625" spans="42:96" ht="25.25" customHeight="1">
      <c r="AP625" s="78"/>
      <c r="AW625" s="35"/>
      <c r="BR625" s="35"/>
      <c r="CH625" s="35"/>
      <c r="CI625" s="35"/>
      <c r="CJ625" s="35"/>
      <c r="CK625" s="35"/>
      <c r="CM625" s="35"/>
      <c r="CR625" s="35"/>
    </row>
    <row r="626" spans="42:96" ht="25.25" customHeight="1">
      <c r="AP626" s="78"/>
      <c r="AW626" s="35"/>
      <c r="BR626" s="35"/>
      <c r="CH626" s="35"/>
      <c r="CI626" s="35"/>
      <c r="CJ626" s="35"/>
      <c r="CK626" s="35"/>
      <c r="CM626" s="35"/>
      <c r="CR626" s="35"/>
    </row>
    <row r="627" spans="42:96" ht="25.25" customHeight="1">
      <c r="AP627" s="78"/>
      <c r="AW627" s="35"/>
      <c r="BR627" s="35"/>
      <c r="CH627" s="35"/>
      <c r="CI627" s="35"/>
      <c r="CJ627" s="35"/>
      <c r="CK627" s="35"/>
      <c r="CM627" s="35"/>
      <c r="CR627" s="35"/>
    </row>
    <row r="628" spans="42:96" ht="25.25" customHeight="1">
      <c r="AP628" s="78"/>
      <c r="AW628" s="35"/>
      <c r="BR628" s="35"/>
      <c r="CH628" s="35"/>
      <c r="CI628" s="35"/>
      <c r="CJ628" s="35"/>
      <c r="CK628" s="35"/>
      <c r="CM628" s="35"/>
      <c r="CR628" s="35"/>
    </row>
    <row r="629" spans="42:96" ht="25.25" customHeight="1">
      <c r="AP629" s="78"/>
      <c r="AW629" s="35"/>
      <c r="BR629" s="35"/>
      <c r="CH629" s="35"/>
      <c r="CI629" s="35"/>
      <c r="CJ629" s="35"/>
      <c r="CK629" s="35"/>
      <c r="CM629" s="35"/>
      <c r="CR629" s="35"/>
    </row>
    <row r="630" spans="42:96" ht="25.25" customHeight="1">
      <c r="AP630" s="78"/>
      <c r="AW630" s="35"/>
      <c r="BR630" s="35"/>
      <c r="CH630" s="35"/>
      <c r="CI630" s="35"/>
      <c r="CJ630" s="35"/>
      <c r="CK630" s="35"/>
      <c r="CM630" s="35"/>
      <c r="CR630" s="35"/>
    </row>
    <row r="631" spans="42:96" ht="25.25" customHeight="1">
      <c r="AP631" s="78"/>
      <c r="AW631" s="35"/>
      <c r="BR631" s="35"/>
      <c r="CH631" s="35"/>
      <c r="CI631" s="35"/>
      <c r="CJ631" s="35"/>
      <c r="CK631" s="35"/>
      <c r="CM631" s="35"/>
      <c r="CR631" s="35"/>
    </row>
    <row r="632" spans="42:96" ht="25.25" customHeight="1">
      <c r="AP632" s="78"/>
      <c r="AW632" s="35"/>
      <c r="BR632" s="35"/>
      <c r="CH632" s="35"/>
      <c r="CI632" s="35"/>
      <c r="CJ632" s="35"/>
      <c r="CK632" s="35"/>
      <c r="CM632" s="35"/>
      <c r="CR632" s="35"/>
    </row>
    <row r="633" spans="42:96" ht="25.25" customHeight="1">
      <c r="AP633" s="78"/>
      <c r="AW633" s="35"/>
      <c r="BR633" s="35"/>
      <c r="CH633" s="35"/>
      <c r="CI633" s="35"/>
      <c r="CJ633" s="35"/>
      <c r="CK633" s="35"/>
      <c r="CM633" s="35"/>
      <c r="CR633" s="35"/>
    </row>
    <row r="634" spans="42:96" ht="25.25" customHeight="1">
      <c r="AP634" s="78"/>
      <c r="AW634" s="35"/>
      <c r="BR634" s="35"/>
      <c r="CH634" s="35"/>
      <c r="CI634" s="35"/>
      <c r="CJ634" s="35"/>
      <c r="CK634" s="35"/>
      <c r="CM634" s="35"/>
      <c r="CR634" s="35"/>
    </row>
    <row r="635" spans="42:96" ht="25.25" customHeight="1">
      <c r="AP635" s="78"/>
      <c r="AW635" s="35"/>
      <c r="BR635" s="35"/>
      <c r="CH635" s="35"/>
      <c r="CI635" s="35"/>
      <c r="CJ635" s="35"/>
      <c r="CK635" s="35"/>
      <c r="CM635" s="35"/>
      <c r="CR635" s="35"/>
    </row>
    <row r="636" spans="42:96" ht="25.25" customHeight="1">
      <c r="AP636" s="78"/>
      <c r="AW636" s="35"/>
      <c r="BR636" s="35"/>
      <c r="CH636" s="35"/>
      <c r="CI636" s="35"/>
      <c r="CJ636" s="35"/>
      <c r="CK636" s="35"/>
      <c r="CM636" s="35"/>
      <c r="CR636" s="35"/>
    </row>
    <row r="637" spans="42:96" ht="25.25" customHeight="1">
      <c r="AP637" s="78"/>
      <c r="AW637" s="35"/>
      <c r="BR637" s="35"/>
      <c r="CH637" s="35"/>
      <c r="CI637" s="35"/>
      <c r="CJ637" s="35"/>
      <c r="CK637" s="35"/>
      <c r="CM637" s="35"/>
      <c r="CR637" s="35"/>
    </row>
    <row r="638" spans="42:96" ht="25.25" customHeight="1">
      <c r="AP638" s="78"/>
      <c r="AW638" s="35"/>
      <c r="BR638" s="35"/>
      <c r="CH638" s="35"/>
      <c r="CI638" s="35"/>
      <c r="CJ638" s="35"/>
      <c r="CK638" s="35"/>
      <c r="CM638" s="35"/>
      <c r="CR638" s="35"/>
    </row>
    <row r="639" spans="42:96" ht="25.25" customHeight="1">
      <c r="AP639" s="78"/>
      <c r="AW639" s="35"/>
      <c r="BR639" s="35"/>
      <c r="CH639" s="35"/>
      <c r="CI639" s="35"/>
      <c r="CJ639" s="35"/>
      <c r="CK639" s="35"/>
      <c r="CM639" s="35"/>
      <c r="CR639" s="35"/>
    </row>
    <row r="640" spans="42:96" ht="25.25" customHeight="1">
      <c r="AP640" s="78"/>
      <c r="AW640" s="35"/>
      <c r="BR640" s="35"/>
      <c r="CH640" s="35"/>
      <c r="CI640" s="35"/>
      <c r="CJ640" s="35"/>
      <c r="CK640" s="35"/>
      <c r="CM640" s="35"/>
      <c r="CR640" s="35"/>
    </row>
    <row r="641" spans="42:96" ht="25.25" customHeight="1">
      <c r="AP641" s="78"/>
      <c r="AW641" s="35"/>
      <c r="BR641" s="35"/>
      <c r="CH641" s="35"/>
      <c r="CI641" s="35"/>
      <c r="CJ641" s="35"/>
      <c r="CK641" s="35"/>
      <c r="CM641" s="35"/>
      <c r="CR641" s="35"/>
    </row>
    <row r="642" spans="42:96" ht="25.25" customHeight="1">
      <c r="AP642" s="78"/>
      <c r="AW642" s="35"/>
      <c r="BR642" s="35"/>
      <c r="CH642" s="35"/>
      <c r="CI642" s="35"/>
      <c r="CJ642" s="35"/>
      <c r="CK642" s="35"/>
      <c r="CM642" s="35"/>
      <c r="CR642" s="35"/>
    </row>
    <row r="643" spans="42:96" ht="25.25" customHeight="1">
      <c r="AP643" s="78"/>
      <c r="AW643" s="35"/>
      <c r="BR643" s="35"/>
      <c r="CH643" s="35"/>
      <c r="CI643" s="35"/>
      <c r="CJ643" s="35"/>
      <c r="CK643" s="35"/>
      <c r="CM643" s="35"/>
      <c r="CR643" s="35"/>
    </row>
    <row r="644" spans="42:96" ht="25.25" customHeight="1">
      <c r="AP644" s="78"/>
      <c r="AW644" s="35"/>
      <c r="BR644" s="35"/>
      <c r="CH644" s="35"/>
      <c r="CI644" s="35"/>
      <c r="CJ644" s="35"/>
      <c r="CK644" s="35"/>
      <c r="CM644" s="35"/>
      <c r="CR644" s="35"/>
    </row>
    <row r="645" spans="42:96" ht="25.25" customHeight="1">
      <c r="AP645" s="78"/>
      <c r="AW645" s="35"/>
      <c r="BR645" s="35"/>
      <c r="CH645" s="35"/>
      <c r="CI645" s="35"/>
      <c r="CJ645" s="35"/>
      <c r="CK645" s="35"/>
      <c r="CM645" s="35"/>
      <c r="CR645" s="35"/>
    </row>
    <row r="646" spans="42:96" ht="25.25" customHeight="1">
      <c r="AP646" s="78"/>
      <c r="AW646" s="35"/>
      <c r="BR646" s="35"/>
      <c r="CH646" s="35"/>
      <c r="CI646" s="35"/>
      <c r="CJ646" s="35"/>
      <c r="CK646" s="35"/>
      <c r="CM646" s="35"/>
      <c r="CR646" s="35"/>
    </row>
    <row r="647" spans="42:96" ht="25.25" customHeight="1">
      <c r="AP647" s="78"/>
      <c r="AW647" s="35"/>
      <c r="BR647" s="35"/>
      <c r="CH647" s="35"/>
      <c r="CI647" s="35"/>
      <c r="CJ647" s="35"/>
      <c r="CK647" s="35"/>
      <c r="CM647" s="35"/>
      <c r="CR647" s="35"/>
    </row>
    <row r="648" spans="42:96" ht="25.25" customHeight="1">
      <c r="AP648" s="78"/>
      <c r="AW648" s="35"/>
      <c r="BR648" s="35"/>
      <c r="CH648" s="35"/>
      <c r="CI648" s="35"/>
      <c r="CJ648" s="35"/>
      <c r="CK648" s="35"/>
      <c r="CM648" s="35"/>
      <c r="CR648" s="35"/>
    </row>
    <row r="649" spans="42:96" ht="25.25" customHeight="1">
      <c r="AP649" s="78"/>
      <c r="AW649" s="35"/>
      <c r="BR649" s="35"/>
      <c r="CH649" s="35"/>
      <c r="CI649" s="35"/>
      <c r="CJ649" s="35"/>
      <c r="CK649" s="35"/>
      <c r="CM649" s="35"/>
      <c r="CR649" s="35"/>
    </row>
    <row r="650" spans="42:96" ht="25.25" customHeight="1">
      <c r="AP650" s="78"/>
      <c r="AW650" s="35"/>
      <c r="BR650" s="35"/>
      <c r="CH650" s="35"/>
      <c r="CI650" s="35"/>
      <c r="CJ650" s="35"/>
      <c r="CK650" s="35"/>
      <c r="CM650" s="35"/>
      <c r="CR650" s="35"/>
    </row>
    <row r="651" spans="42:96" ht="25.25" customHeight="1">
      <c r="AP651" s="78"/>
      <c r="AW651" s="35"/>
      <c r="BR651" s="35"/>
      <c r="CH651" s="35"/>
      <c r="CI651" s="35"/>
      <c r="CJ651" s="35"/>
      <c r="CK651" s="35"/>
      <c r="CM651" s="35"/>
      <c r="CR651" s="35"/>
    </row>
    <row r="652" spans="42:96" ht="25.25" customHeight="1">
      <c r="AP652" s="78"/>
      <c r="AW652" s="35"/>
      <c r="BR652" s="35"/>
      <c r="CH652" s="35"/>
      <c r="CI652" s="35"/>
      <c r="CJ652" s="35"/>
      <c r="CK652" s="35"/>
      <c r="CM652" s="35"/>
      <c r="CR652" s="35"/>
    </row>
    <row r="653" spans="42:96" ht="25.25" customHeight="1">
      <c r="AP653" s="78"/>
      <c r="AW653" s="35"/>
      <c r="BR653" s="35"/>
      <c r="CH653" s="35"/>
      <c r="CI653" s="35"/>
      <c r="CJ653" s="35"/>
      <c r="CK653" s="35"/>
      <c r="CM653" s="35"/>
      <c r="CR653" s="35"/>
    </row>
    <row r="654" spans="42:96" ht="25.25" customHeight="1">
      <c r="AP654" s="78"/>
      <c r="AW654" s="35"/>
      <c r="BR654" s="35"/>
      <c r="CH654" s="35"/>
      <c r="CI654" s="35"/>
      <c r="CJ654" s="35"/>
      <c r="CK654" s="35"/>
      <c r="CM654" s="35"/>
      <c r="CR654" s="35"/>
    </row>
    <row r="655" spans="42:96" ht="25.25" customHeight="1">
      <c r="AP655" s="78"/>
      <c r="AW655" s="35"/>
      <c r="BR655" s="35"/>
      <c r="CH655" s="35"/>
      <c r="CI655" s="35"/>
      <c r="CJ655" s="35"/>
      <c r="CK655" s="35"/>
      <c r="CM655" s="35"/>
      <c r="CR655" s="35"/>
    </row>
    <row r="656" spans="42:96" ht="25.25" customHeight="1">
      <c r="AP656" s="78"/>
      <c r="AW656" s="35"/>
      <c r="BR656" s="35"/>
      <c r="CH656" s="35"/>
      <c r="CI656" s="35"/>
      <c r="CJ656" s="35"/>
      <c r="CK656" s="35"/>
      <c r="CM656" s="35"/>
      <c r="CR656" s="35"/>
    </row>
    <row r="657" spans="42:96" ht="25.25" customHeight="1">
      <c r="AP657" s="78"/>
      <c r="AW657" s="35"/>
      <c r="BR657" s="35"/>
      <c r="CH657" s="35"/>
      <c r="CI657" s="35"/>
      <c r="CJ657" s="35"/>
      <c r="CK657" s="35"/>
      <c r="CM657" s="35"/>
      <c r="CR657" s="35"/>
    </row>
    <row r="658" spans="42:96" ht="25.25" customHeight="1">
      <c r="AP658" s="78"/>
      <c r="AW658" s="35"/>
      <c r="BR658" s="35"/>
      <c r="CH658" s="35"/>
      <c r="CI658" s="35"/>
      <c r="CJ658" s="35"/>
      <c r="CK658" s="35"/>
      <c r="CM658" s="35"/>
      <c r="CR658" s="35"/>
    </row>
    <row r="659" spans="42:96" ht="25.25" customHeight="1">
      <c r="AP659" s="78"/>
      <c r="AW659" s="35"/>
      <c r="BR659" s="35"/>
      <c r="CH659" s="35"/>
      <c r="CI659" s="35"/>
      <c r="CJ659" s="35"/>
      <c r="CK659" s="35"/>
      <c r="CM659" s="35"/>
      <c r="CR659" s="35"/>
    </row>
    <row r="660" spans="42:96" ht="25.25" customHeight="1">
      <c r="AP660" s="78"/>
      <c r="AW660" s="35"/>
      <c r="BR660" s="35"/>
      <c r="CH660" s="35"/>
      <c r="CI660" s="35"/>
      <c r="CJ660" s="35"/>
      <c r="CK660" s="35"/>
      <c r="CM660" s="35"/>
      <c r="CR660" s="35"/>
    </row>
    <row r="661" spans="42:96" ht="25.25" customHeight="1">
      <c r="AP661" s="78"/>
      <c r="AW661" s="35"/>
      <c r="BR661" s="35"/>
      <c r="CH661" s="35"/>
      <c r="CI661" s="35"/>
      <c r="CJ661" s="35"/>
      <c r="CK661" s="35"/>
      <c r="CM661" s="35"/>
      <c r="CR661" s="35"/>
    </row>
    <row r="662" spans="42:96" ht="25.25" customHeight="1">
      <c r="AP662" s="78"/>
      <c r="AW662" s="35"/>
      <c r="BR662" s="35"/>
      <c r="CH662" s="35"/>
      <c r="CI662" s="35"/>
      <c r="CJ662" s="35"/>
      <c r="CK662" s="35"/>
      <c r="CM662" s="35"/>
      <c r="CR662" s="35"/>
    </row>
    <row r="663" spans="42:96" ht="25.25" customHeight="1">
      <c r="AP663" s="78"/>
      <c r="AW663" s="35"/>
      <c r="BR663" s="35"/>
      <c r="CH663" s="35"/>
      <c r="CI663" s="35"/>
      <c r="CJ663" s="35"/>
      <c r="CK663" s="35"/>
      <c r="CM663" s="35"/>
      <c r="CR663" s="35"/>
    </row>
    <row r="664" spans="42:96" ht="25.25" customHeight="1">
      <c r="AP664" s="78"/>
      <c r="AW664" s="35"/>
      <c r="BR664" s="35"/>
      <c r="CH664" s="35"/>
      <c r="CI664" s="35"/>
      <c r="CJ664" s="35"/>
      <c r="CK664" s="35"/>
      <c r="CM664" s="35"/>
      <c r="CR664" s="35"/>
    </row>
    <row r="665" spans="42:96" ht="25.25" customHeight="1">
      <c r="AP665" s="78"/>
      <c r="AW665" s="35"/>
      <c r="BR665" s="35"/>
      <c r="CH665" s="35"/>
      <c r="CI665" s="35"/>
      <c r="CJ665" s="35"/>
      <c r="CK665" s="35"/>
      <c r="CM665" s="35"/>
      <c r="CR665" s="35"/>
    </row>
    <row r="666" spans="42:96" ht="25.25" customHeight="1">
      <c r="AP666" s="78"/>
      <c r="AW666" s="35"/>
      <c r="BR666" s="35"/>
      <c r="CH666" s="35"/>
      <c r="CI666" s="35"/>
      <c r="CJ666" s="35"/>
      <c r="CK666" s="35"/>
      <c r="CM666" s="35"/>
      <c r="CR666" s="35"/>
    </row>
    <row r="667" spans="42:96" ht="25.25" customHeight="1">
      <c r="AP667" s="78"/>
      <c r="AW667" s="35"/>
      <c r="BR667" s="35"/>
      <c r="CH667" s="35"/>
      <c r="CI667" s="35"/>
      <c r="CJ667" s="35"/>
      <c r="CK667" s="35"/>
      <c r="CM667" s="35"/>
      <c r="CR667" s="35"/>
    </row>
    <row r="668" spans="42:96" ht="25.25" customHeight="1">
      <c r="AP668" s="78"/>
      <c r="AW668" s="35"/>
      <c r="BR668" s="35"/>
      <c r="CH668" s="35"/>
      <c r="CI668" s="35"/>
      <c r="CJ668" s="35"/>
      <c r="CK668" s="35"/>
      <c r="CM668" s="35"/>
      <c r="CR668" s="35"/>
    </row>
    <row r="669" spans="42:96" ht="25.25" customHeight="1">
      <c r="AP669" s="78"/>
      <c r="AW669" s="35"/>
      <c r="BR669" s="35"/>
      <c r="CH669" s="35"/>
      <c r="CI669" s="35"/>
      <c r="CJ669" s="35"/>
      <c r="CK669" s="35"/>
      <c r="CM669" s="35"/>
      <c r="CR669" s="35"/>
    </row>
    <row r="670" spans="42:96" ht="25.25" customHeight="1">
      <c r="AP670" s="78"/>
      <c r="AW670" s="35"/>
      <c r="BR670" s="35"/>
      <c r="CH670" s="35"/>
      <c r="CI670" s="35"/>
      <c r="CJ670" s="35"/>
      <c r="CK670" s="35"/>
      <c r="CM670" s="35"/>
      <c r="CR670" s="35"/>
    </row>
    <row r="671" spans="42:96" ht="25.25" customHeight="1">
      <c r="AP671" s="78"/>
      <c r="AW671" s="35"/>
      <c r="BR671" s="35"/>
      <c r="CH671" s="35"/>
      <c r="CI671" s="35"/>
      <c r="CJ671" s="35"/>
      <c r="CK671" s="35"/>
      <c r="CM671" s="35"/>
      <c r="CR671" s="35"/>
    </row>
    <row r="672" spans="42:96" ht="25.25" customHeight="1">
      <c r="AP672" s="78"/>
      <c r="AW672" s="35"/>
      <c r="BR672" s="35"/>
      <c r="CH672" s="35"/>
      <c r="CI672" s="35"/>
      <c r="CJ672" s="35"/>
      <c r="CK672" s="35"/>
      <c r="CM672" s="35"/>
      <c r="CR672" s="35"/>
    </row>
    <row r="673" spans="42:96" ht="25.25" customHeight="1">
      <c r="AP673" s="78"/>
      <c r="AW673" s="35"/>
      <c r="BR673" s="35"/>
      <c r="CH673" s="35"/>
      <c r="CI673" s="35"/>
      <c r="CJ673" s="35"/>
      <c r="CK673" s="35"/>
      <c r="CM673" s="35"/>
      <c r="CR673" s="35"/>
    </row>
    <row r="674" spans="42:96" ht="25.25" customHeight="1">
      <c r="AP674" s="78"/>
      <c r="AW674" s="35"/>
      <c r="BR674" s="35"/>
      <c r="CH674" s="35"/>
      <c r="CI674" s="35"/>
      <c r="CJ674" s="35"/>
      <c r="CK674" s="35"/>
      <c r="CM674" s="35"/>
      <c r="CR674" s="35"/>
    </row>
    <row r="675" spans="42:96" ht="25.25" customHeight="1">
      <c r="AP675" s="78"/>
      <c r="AW675" s="35"/>
      <c r="BR675" s="35"/>
      <c r="CH675" s="35"/>
      <c r="CI675" s="35"/>
      <c r="CJ675" s="35"/>
      <c r="CK675" s="35"/>
      <c r="CM675" s="35"/>
      <c r="CR675" s="35"/>
    </row>
    <row r="676" spans="42:96" ht="25.25" customHeight="1">
      <c r="AP676" s="78"/>
      <c r="AW676" s="35"/>
      <c r="BR676" s="35"/>
      <c r="CH676" s="35"/>
      <c r="CI676" s="35"/>
      <c r="CJ676" s="35"/>
      <c r="CK676" s="35"/>
      <c r="CM676" s="35"/>
      <c r="CR676" s="35"/>
    </row>
    <row r="677" spans="42:96" ht="25.25" customHeight="1">
      <c r="AP677" s="78"/>
      <c r="AW677" s="35"/>
      <c r="BR677" s="35"/>
      <c r="CH677" s="35"/>
      <c r="CI677" s="35"/>
      <c r="CJ677" s="35"/>
      <c r="CK677" s="35"/>
      <c r="CM677" s="35"/>
      <c r="CR677" s="35"/>
    </row>
    <row r="678" spans="42:96" ht="25.25" customHeight="1">
      <c r="AP678" s="78"/>
      <c r="AW678" s="35"/>
      <c r="BR678" s="35"/>
      <c r="CH678" s="35"/>
      <c r="CI678" s="35"/>
      <c r="CJ678" s="35"/>
      <c r="CK678" s="35"/>
      <c r="CM678" s="35"/>
      <c r="CR678" s="35"/>
    </row>
    <row r="679" spans="42:96" ht="25.25" customHeight="1">
      <c r="AP679" s="78"/>
      <c r="AW679" s="35"/>
      <c r="BR679" s="35"/>
      <c r="CH679" s="35"/>
      <c r="CI679" s="35"/>
      <c r="CJ679" s="35"/>
      <c r="CK679" s="35"/>
      <c r="CM679" s="35"/>
      <c r="CR679" s="35"/>
    </row>
    <row r="680" spans="42:96" ht="25.25" customHeight="1">
      <c r="AP680" s="78"/>
      <c r="AW680" s="35"/>
      <c r="BR680" s="35"/>
      <c r="CH680" s="35"/>
      <c r="CI680" s="35"/>
      <c r="CJ680" s="35"/>
      <c r="CK680" s="35"/>
      <c r="CM680" s="35"/>
      <c r="CR680" s="35"/>
    </row>
    <row r="681" spans="42:96" ht="25.25" customHeight="1">
      <c r="AP681" s="78"/>
      <c r="AW681" s="35"/>
      <c r="BR681" s="35"/>
      <c r="CH681" s="35"/>
      <c r="CI681" s="35"/>
      <c r="CJ681" s="35"/>
      <c r="CK681" s="35"/>
      <c r="CM681" s="35"/>
      <c r="CR681" s="35"/>
    </row>
    <row r="682" spans="42:96" ht="25.25" customHeight="1">
      <c r="AP682" s="78"/>
      <c r="AW682" s="35"/>
      <c r="BR682" s="35"/>
      <c r="CH682" s="35"/>
      <c r="CI682" s="35"/>
      <c r="CJ682" s="35"/>
      <c r="CK682" s="35"/>
      <c r="CM682" s="35"/>
      <c r="CR682" s="35"/>
    </row>
    <row r="683" spans="42:96" ht="25.25" customHeight="1">
      <c r="AP683" s="78"/>
      <c r="AW683" s="35"/>
      <c r="BR683" s="35"/>
      <c r="CH683" s="35"/>
      <c r="CI683" s="35"/>
      <c r="CJ683" s="35"/>
      <c r="CK683" s="35"/>
      <c r="CM683" s="35"/>
      <c r="CR683" s="35"/>
    </row>
    <row r="684" spans="42:96" ht="25.25" customHeight="1">
      <c r="AP684" s="78"/>
      <c r="AW684" s="35"/>
      <c r="BR684" s="35"/>
      <c r="CH684" s="35"/>
      <c r="CI684" s="35"/>
      <c r="CJ684" s="35"/>
      <c r="CK684" s="35"/>
      <c r="CM684" s="35"/>
      <c r="CR684" s="35"/>
    </row>
    <row r="685" spans="42:96" ht="25.25" customHeight="1">
      <c r="AW685" s="35"/>
      <c r="BR685" s="35"/>
      <c r="CH685" s="35"/>
      <c r="CI685" s="35"/>
      <c r="CJ685" s="35"/>
      <c r="CK685" s="35"/>
      <c r="CM685" s="35"/>
      <c r="CR685" s="35"/>
    </row>
    <row r="686" spans="42:96" ht="25.25" customHeight="1">
      <c r="AW686" s="35"/>
      <c r="BR686" s="35"/>
      <c r="CH686" s="35"/>
      <c r="CI686" s="35"/>
      <c r="CJ686" s="35"/>
      <c r="CK686" s="35"/>
      <c r="CM686" s="35"/>
      <c r="CR686" s="35"/>
    </row>
    <row r="687" spans="42:96" ht="25.25" customHeight="1">
      <c r="AW687" s="35"/>
      <c r="BR687" s="35"/>
      <c r="CH687" s="35"/>
      <c r="CI687" s="35"/>
      <c r="CJ687" s="35"/>
      <c r="CK687" s="35"/>
      <c r="CM687" s="35"/>
      <c r="CR687" s="35"/>
    </row>
    <row r="688" spans="42:96" ht="25.25" customHeight="1">
      <c r="AW688" s="35"/>
      <c r="BR688" s="35"/>
      <c r="CH688" s="35"/>
      <c r="CI688" s="35"/>
      <c r="CJ688" s="35"/>
      <c r="CK688" s="35"/>
      <c r="CM688" s="35"/>
      <c r="CR688" s="35"/>
    </row>
    <row r="689" spans="49:96" ht="25.25" customHeight="1">
      <c r="AW689" s="35"/>
      <c r="BR689" s="35"/>
      <c r="CH689" s="35"/>
      <c r="CI689" s="35"/>
      <c r="CJ689" s="35"/>
      <c r="CK689" s="35"/>
      <c r="CM689" s="35"/>
      <c r="CR689" s="35"/>
    </row>
    <row r="690" spans="49:96" ht="25.25" customHeight="1">
      <c r="AW690" s="35"/>
      <c r="BR690" s="35"/>
      <c r="CH690" s="35"/>
      <c r="CI690" s="35"/>
      <c r="CJ690" s="35"/>
      <c r="CK690" s="35"/>
      <c r="CM690" s="35"/>
      <c r="CR690" s="35"/>
    </row>
    <row r="691" spans="49:96" ht="25.25" customHeight="1">
      <c r="AW691" s="35"/>
      <c r="BR691" s="35"/>
      <c r="CH691" s="35"/>
      <c r="CI691" s="35"/>
      <c r="CJ691" s="35"/>
      <c r="CK691" s="35"/>
      <c r="CM691" s="35"/>
      <c r="CR691" s="35"/>
    </row>
    <row r="692" spans="49:96" ht="25.25" customHeight="1">
      <c r="AW692" s="35"/>
      <c r="BR692" s="35"/>
      <c r="CH692" s="35"/>
      <c r="CI692" s="35"/>
      <c r="CJ692" s="35"/>
      <c r="CK692" s="35"/>
      <c r="CM692" s="35"/>
      <c r="CR692" s="35"/>
    </row>
    <row r="693" spans="49:96" ht="25.25" customHeight="1">
      <c r="AW693" s="35"/>
      <c r="BR693" s="35"/>
      <c r="CH693" s="35"/>
      <c r="CI693" s="35"/>
      <c r="CJ693" s="35"/>
      <c r="CK693" s="35"/>
      <c r="CM693" s="35"/>
      <c r="CR693" s="35"/>
    </row>
    <row r="694" spans="49:96" ht="25.25" customHeight="1">
      <c r="AW694" s="35"/>
      <c r="BR694" s="35"/>
      <c r="CH694" s="35"/>
      <c r="CI694" s="35"/>
      <c r="CJ694" s="35"/>
      <c r="CK694" s="35"/>
      <c r="CM694" s="35"/>
      <c r="CR694" s="35"/>
    </row>
    <row r="695" spans="49:96" ht="25.25" customHeight="1">
      <c r="AW695" s="35"/>
      <c r="BR695" s="35"/>
      <c r="CH695" s="35"/>
      <c r="CI695" s="35"/>
      <c r="CJ695" s="35"/>
      <c r="CK695" s="35"/>
      <c r="CM695" s="35"/>
      <c r="CR695" s="35"/>
    </row>
    <row r="696" spans="49:96" ht="25.25" customHeight="1">
      <c r="AW696" s="35"/>
      <c r="BR696" s="35"/>
      <c r="CH696" s="35"/>
      <c r="CI696" s="35"/>
      <c r="CJ696" s="35"/>
      <c r="CK696" s="35"/>
      <c r="CM696" s="35"/>
      <c r="CR696" s="35"/>
    </row>
    <row r="697" spans="49:96" ht="25.25" customHeight="1">
      <c r="AW697" s="35"/>
      <c r="BR697" s="35"/>
      <c r="CH697" s="35"/>
      <c r="CI697" s="35"/>
      <c r="CJ697" s="35"/>
      <c r="CK697" s="35"/>
      <c r="CM697" s="35"/>
      <c r="CR697" s="35"/>
    </row>
    <row r="698" spans="49:96" ht="25.25" customHeight="1">
      <c r="AW698" s="35"/>
      <c r="BR698" s="35"/>
      <c r="CH698" s="35"/>
      <c r="CI698" s="35"/>
      <c r="CJ698" s="35"/>
      <c r="CK698" s="35"/>
      <c r="CM698" s="35"/>
      <c r="CR698" s="35"/>
    </row>
    <row r="699" spans="49:96" ht="25.25" customHeight="1">
      <c r="AW699" s="35"/>
      <c r="BR699" s="35"/>
      <c r="CH699" s="35"/>
      <c r="CI699" s="35"/>
      <c r="CJ699" s="35"/>
      <c r="CK699" s="35"/>
      <c r="CM699" s="35"/>
      <c r="CR699" s="35"/>
    </row>
    <row r="700" spans="49:96" ht="25.25" customHeight="1">
      <c r="AW700" s="35"/>
      <c r="BR700" s="35"/>
      <c r="CH700" s="35"/>
      <c r="CI700" s="35"/>
      <c r="CJ700" s="35"/>
      <c r="CK700" s="35"/>
      <c r="CM700" s="35"/>
      <c r="CR700" s="35"/>
    </row>
    <row r="701" spans="49:96" ht="25.25" customHeight="1">
      <c r="AW701" s="35"/>
      <c r="BR701" s="35"/>
      <c r="CH701" s="35"/>
      <c r="CI701" s="35"/>
      <c r="CJ701" s="35"/>
      <c r="CK701" s="35"/>
      <c r="CM701" s="35"/>
      <c r="CR701" s="35"/>
    </row>
    <row r="702" spans="49:96" ht="25.25" customHeight="1">
      <c r="AW702" s="35"/>
      <c r="BR702" s="35"/>
      <c r="CH702" s="35"/>
      <c r="CI702" s="35"/>
      <c r="CJ702" s="35"/>
      <c r="CK702" s="35"/>
      <c r="CM702" s="35"/>
      <c r="CR702" s="35"/>
    </row>
    <row r="703" spans="49:96" ht="25.25" customHeight="1">
      <c r="AW703" s="35"/>
      <c r="BR703" s="35"/>
      <c r="CH703" s="35"/>
      <c r="CI703" s="35"/>
      <c r="CJ703" s="35"/>
      <c r="CK703" s="35"/>
      <c r="CM703" s="35"/>
      <c r="CR703" s="35"/>
    </row>
    <row r="704" spans="49:96" ht="25.25" customHeight="1">
      <c r="AW704" s="35"/>
      <c r="BR704" s="35"/>
      <c r="CH704" s="35"/>
      <c r="CI704" s="35"/>
      <c r="CJ704" s="35"/>
      <c r="CK704" s="35"/>
      <c r="CM704" s="35"/>
      <c r="CR704" s="35"/>
    </row>
    <row r="705" spans="49:96" ht="25.25" customHeight="1">
      <c r="AW705" s="35"/>
      <c r="BR705" s="35"/>
      <c r="CH705" s="35"/>
      <c r="CI705" s="35"/>
      <c r="CJ705" s="35"/>
      <c r="CK705" s="35"/>
      <c r="CM705" s="35"/>
      <c r="CR705" s="35"/>
    </row>
    <row r="706" spans="49:96" ht="25.25" customHeight="1">
      <c r="AW706" s="35"/>
      <c r="BR706" s="35"/>
      <c r="CH706" s="35"/>
      <c r="CI706" s="35"/>
      <c r="CJ706" s="35"/>
      <c r="CK706" s="35"/>
      <c r="CM706" s="35"/>
      <c r="CR706" s="35"/>
    </row>
    <row r="707" spans="49:96" ht="25.25" customHeight="1">
      <c r="AW707" s="35"/>
      <c r="BR707" s="35"/>
      <c r="CH707" s="35"/>
      <c r="CI707" s="35"/>
      <c r="CJ707" s="35"/>
      <c r="CK707" s="35"/>
      <c r="CM707" s="35"/>
      <c r="CR707" s="35"/>
    </row>
    <row r="708" spans="49:96" ht="25.25" customHeight="1">
      <c r="AW708" s="35"/>
      <c r="BR708" s="35"/>
      <c r="CH708" s="35"/>
      <c r="CI708" s="35"/>
      <c r="CJ708" s="35"/>
      <c r="CK708" s="35"/>
      <c r="CM708" s="35"/>
      <c r="CR708" s="35"/>
    </row>
    <row r="709" spans="49:96" ht="25.25" customHeight="1">
      <c r="AW709" s="35"/>
      <c r="BR709" s="35"/>
      <c r="CH709" s="35"/>
      <c r="CI709" s="35"/>
      <c r="CJ709" s="35"/>
      <c r="CK709" s="35"/>
      <c r="CM709" s="35"/>
      <c r="CR709" s="35"/>
    </row>
    <row r="710" spans="49:96" ht="25.25" customHeight="1">
      <c r="AW710" s="35"/>
      <c r="BR710" s="35"/>
      <c r="CH710" s="35"/>
      <c r="CI710" s="35"/>
      <c r="CJ710" s="35"/>
      <c r="CK710" s="35"/>
      <c r="CM710" s="35"/>
      <c r="CR710" s="35"/>
    </row>
    <row r="711" spans="49:96" ht="25.25" customHeight="1">
      <c r="AW711" s="35"/>
      <c r="BR711" s="35"/>
      <c r="CH711" s="35"/>
      <c r="CI711" s="35"/>
      <c r="CJ711" s="35"/>
      <c r="CK711" s="35"/>
      <c r="CM711" s="35"/>
      <c r="CR711" s="35"/>
    </row>
    <row r="712" spans="49:96" ht="25.25" customHeight="1">
      <c r="AW712" s="35"/>
      <c r="BR712" s="35"/>
      <c r="CH712" s="35"/>
      <c r="CI712" s="35"/>
      <c r="CJ712" s="35"/>
      <c r="CK712" s="35"/>
      <c r="CM712" s="35"/>
      <c r="CR712" s="35"/>
    </row>
    <row r="713" spans="49:96" ht="25.25" customHeight="1">
      <c r="AW713" s="35"/>
      <c r="BR713" s="35"/>
      <c r="CH713" s="35"/>
      <c r="CI713" s="35"/>
      <c r="CJ713" s="35"/>
      <c r="CK713" s="35"/>
      <c r="CM713" s="35"/>
      <c r="CR713" s="35"/>
    </row>
    <row r="714" spans="49:96" ht="25.25" customHeight="1">
      <c r="AW714" s="35"/>
      <c r="BR714" s="35"/>
      <c r="CH714" s="35"/>
      <c r="CI714" s="35"/>
      <c r="CJ714" s="35"/>
      <c r="CK714" s="35"/>
      <c r="CM714" s="35"/>
      <c r="CR714" s="35"/>
    </row>
    <row r="715" spans="49:96" ht="25.25" customHeight="1">
      <c r="AW715" s="35"/>
      <c r="BR715" s="35"/>
      <c r="CH715" s="35"/>
      <c r="CI715" s="35"/>
      <c r="CJ715" s="35"/>
      <c r="CK715" s="35"/>
      <c r="CM715" s="35"/>
      <c r="CR715" s="35"/>
    </row>
    <row r="716" spans="49:96" ht="25.25" customHeight="1">
      <c r="AW716" s="35"/>
      <c r="BR716" s="35"/>
      <c r="CH716" s="35"/>
      <c r="CI716" s="35"/>
      <c r="CJ716" s="35"/>
      <c r="CK716" s="35"/>
      <c r="CM716" s="35"/>
      <c r="CR716" s="35"/>
    </row>
    <row r="717" spans="49:96" ht="25.25" customHeight="1">
      <c r="AW717" s="35"/>
      <c r="BR717" s="35"/>
      <c r="CH717" s="35"/>
      <c r="CI717" s="35"/>
      <c r="CJ717" s="35"/>
      <c r="CK717" s="35"/>
      <c r="CM717" s="35"/>
      <c r="CR717" s="35"/>
    </row>
    <row r="718" spans="49:96" ht="25.25" customHeight="1">
      <c r="AW718" s="35"/>
      <c r="BR718" s="35"/>
      <c r="CH718" s="35"/>
      <c r="CI718" s="35"/>
      <c r="CJ718" s="35"/>
      <c r="CK718" s="35"/>
      <c r="CM718" s="35"/>
      <c r="CR718" s="35"/>
    </row>
    <row r="719" spans="49:96" ht="25.25" customHeight="1">
      <c r="AW719" s="35"/>
      <c r="BR719" s="35"/>
      <c r="CH719" s="35"/>
      <c r="CI719" s="35"/>
      <c r="CJ719" s="35"/>
      <c r="CK719" s="35"/>
      <c r="CM719" s="35"/>
      <c r="CR719" s="35"/>
    </row>
    <row r="720" spans="49:96" ht="25.25" customHeight="1">
      <c r="AW720" s="35"/>
      <c r="BR720" s="35"/>
      <c r="CH720" s="35"/>
      <c r="CI720" s="35"/>
      <c r="CJ720" s="35"/>
      <c r="CK720" s="35"/>
      <c r="CM720" s="35"/>
      <c r="CR720" s="35"/>
    </row>
    <row r="721" spans="49:96" ht="25.25" customHeight="1">
      <c r="AW721" s="35"/>
      <c r="BR721" s="35"/>
      <c r="CH721" s="35"/>
      <c r="CI721" s="35"/>
      <c r="CJ721" s="35"/>
      <c r="CK721" s="35"/>
      <c r="CM721" s="35"/>
      <c r="CR721" s="35"/>
    </row>
    <row r="722" spans="49:96" ht="25.25" customHeight="1">
      <c r="AW722" s="35"/>
      <c r="BR722" s="35"/>
      <c r="CH722" s="35"/>
      <c r="CI722" s="35"/>
      <c r="CJ722" s="35"/>
      <c r="CK722" s="35"/>
      <c r="CM722" s="35"/>
      <c r="CR722" s="35"/>
    </row>
    <row r="723" spans="49:96" ht="25.25" customHeight="1">
      <c r="AW723" s="35"/>
      <c r="BR723" s="35"/>
      <c r="CH723" s="35"/>
      <c r="CI723" s="35"/>
      <c r="CJ723" s="35"/>
      <c r="CK723" s="35"/>
      <c r="CM723" s="35"/>
      <c r="CR723" s="35"/>
    </row>
    <row r="724" spans="49:96" ht="25.25" customHeight="1">
      <c r="AW724" s="35"/>
      <c r="BR724" s="35"/>
      <c r="CH724" s="35"/>
      <c r="CI724" s="35"/>
      <c r="CJ724" s="35"/>
      <c r="CK724" s="35"/>
      <c r="CM724" s="35"/>
      <c r="CR724" s="35"/>
    </row>
    <row r="725" spans="49:96" ht="25.25" customHeight="1">
      <c r="AW725" s="35"/>
      <c r="BR725" s="35"/>
      <c r="CH725" s="35"/>
      <c r="CI725" s="35"/>
      <c r="CJ725" s="35"/>
      <c r="CK725" s="35"/>
      <c r="CM725" s="35"/>
      <c r="CR725" s="35"/>
    </row>
    <row r="726" spans="49:96" ht="25.25" customHeight="1">
      <c r="AW726" s="35"/>
      <c r="BR726" s="35"/>
      <c r="CH726" s="35"/>
      <c r="CI726" s="35"/>
      <c r="CJ726" s="35"/>
      <c r="CK726" s="35"/>
      <c r="CM726" s="35"/>
      <c r="CR726" s="35"/>
    </row>
    <row r="727" spans="49:96" ht="25.25" customHeight="1">
      <c r="AW727" s="35"/>
      <c r="BR727" s="35"/>
      <c r="CH727" s="35"/>
      <c r="CI727" s="35"/>
      <c r="CJ727" s="35"/>
      <c r="CK727" s="35"/>
      <c r="CM727" s="35"/>
      <c r="CR727" s="35"/>
    </row>
    <row r="728" spans="49:96" ht="25.25" customHeight="1">
      <c r="AW728" s="35"/>
      <c r="BR728" s="35"/>
      <c r="CH728" s="35"/>
      <c r="CI728" s="35"/>
      <c r="CJ728" s="35"/>
      <c r="CK728" s="35"/>
      <c r="CM728" s="35"/>
      <c r="CR728" s="35"/>
    </row>
    <row r="729" spans="49:96" ht="25.25" customHeight="1">
      <c r="AW729" s="35"/>
      <c r="BR729" s="35"/>
      <c r="CH729" s="35"/>
      <c r="CI729" s="35"/>
      <c r="CJ729" s="35"/>
      <c r="CK729" s="35"/>
      <c r="CM729" s="35"/>
      <c r="CR729" s="35"/>
    </row>
    <row r="730" spans="49:96" ht="25.25" customHeight="1">
      <c r="AW730" s="35"/>
      <c r="BR730" s="35"/>
      <c r="CH730" s="35"/>
      <c r="CI730" s="35"/>
      <c r="CJ730" s="35"/>
      <c r="CK730" s="35"/>
      <c r="CM730" s="35"/>
      <c r="CR730" s="35"/>
    </row>
    <row r="731" spans="49:96" ht="25.25" customHeight="1">
      <c r="AW731" s="35"/>
      <c r="BR731" s="35"/>
      <c r="CH731" s="35"/>
      <c r="CI731" s="35"/>
      <c r="CJ731" s="35"/>
      <c r="CK731" s="35"/>
      <c r="CM731" s="35"/>
      <c r="CR731" s="35"/>
    </row>
    <row r="732" spans="49:96" ht="25.25" customHeight="1">
      <c r="AW732" s="35"/>
      <c r="BR732" s="35"/>
      <c r="CH732" s="35"/>
      <c r="CI732" s="35"/>
      <c r="CJ732" s="35"/>
      <c r="CK732" s="35"/>
      <c r="CM732" s="35"/>
      <c r="CR732" s="35"/>
    </row>
    <row r="733" spans="49:96" ht="25.25" customHeight="1">
      <c r="AW733" s="35"/>
      <c r="BR733" s="35"/>
      <c r="CH733" s="35"/>
      <c r="CI733" s="35"/>
      <c r="CJ733" s="35"/>
      <c r="CK733" s="35"/>
      <c r="CM733" s="35"/>
      <c r="CR733" s="35"/>
    </row>
    <row r="734" spans="49:96" ht="25.25" customHeight="1">
      <c r="AW734" s="35"/>
      <c r="BR734" s="35"/>
      <c r="CH734" s="35"/>
      <c r="CI734" s="35"/>
      <c r="CJ734" s="35"/>
      <c r="CK734" s="35"/>
      <c r="CM734" s="35"/>
      <c r="CR734" s="35"/>
    </row>
    <row r="735" spans="49:96" ht="25.25" customHeight="1">
      <c r="AW735" s="35"/>
      <c r="BR735" s="35"/>
      <c r="CH735" s="35"/>
      <c r="CI735" s="35"/>
      <c r="CJ735" s="35"/>
      <c r="CK735" s="35"/>
      <c r="CM735" s="35"/>
      <c r="CR735" s="35"/>
    </row>
    <row r="736" spans="49:96" ht="25.25" customHeight="1">
      <c r="AW736" s="35"/>
      <c r="BR736" s="35"/>
      <c r="CH736" s="35"/>
      <c r="CI736" s="35"/>
      <c r="CJ736" s="35"/>
      <c r="CK736" s="35"/>
      <c r="CM736" s="35"/>
      <c r="CR736" s="35"/>
    </row>
    <row r="737" spans="49:96" ht="25.25" customHeight="1">
      <c r="AW737" s="35"/>
      <c r="BR737" s="35"/>
      <c r="CH737" s="35"/>
      <c r="CI737" s="35"/>
      <c r="CJ737" s="35"/>
      <c r="CK737" s="35"/>
      <c r="CM737" s="35"/>
      <c r="CR737" s="35"/>
    </row>
    <row r="738" spans="49:96" ht="25.25" customHeight="1">
      <c r="AW738" s="35"/>
      <c r="BR738" s="35"/>
      <c r="CH738" s="35"/>
      <c r="CI738" s="35"/>
      <c r="CJ738" s="35"/>
      <c r="CK738" s="35"/>
      <c r="CM738" s="35"/>
      <c r="CR738" s="35"/>
    </row>
    <row r="739" spans="49:96" ht="25.25" customHeight="1">
      <c r="AW739" s="35"/>
      <c r="BR739" s="35"/>
      <c r="CH739" s="35"/>
      <c r="CI739" s="35"/>
      <c r="CJ739" s="35"/>
      <c r="CK739" s="35"/>
      <c r="CM739" s="35"/>
      <c r="CR739" s="35"/>
    </row>
    <row r="740" spans="49:96" ht="25.25" customHeight="1">
      <c r="AW740" s="35"/>
      <c r="BR740" s="35"/>
      <c r="CH740" s="35"/>
      <c r="CI740" s="35"/>
      <c r="CJ740" s="35"/>
      <c r="CK740" s="35"/>
      <c r="CM740" s="35"/>
      <c r="CR740" s="35"/>
    </row>
    <row r="741" spans="49:96" ht="25.25" customHeight="1">
      <c r="AW741" s="35"/>
      <c r="BR741" s="35"/>
      <c r="CH741" s="35"/>
      <c r="CI741" s="35"/>
      <c r="CJ741" s="35"/>
      <c r="CK741" s="35"/>
      <c r="CM741" s="35"/>
      <c r="CR741" s="35"/>
    </row>
    <row r="742" spans="49:96" ht="25.25" customHeight="1">
      <c r="AW742" s="35"/>
      <c r="BR742" s="35"/>
      <c r="CH742" s="35"/>
      <c r="CI742" s="35"/>
      <c r="CJ742" s="35"/>
      <c r="CK742" s="35"/>
      <c r="CM742" s="35"/>
      <c r="CR742" s="35"/>
    </row>
    <row r="743" spans="49:96" ht="25.25" customHeight="1">
      <c r="AW743" s="35"/>
      <c r="BR743" s="35"/>
      <c r="CH743" s="35"/>
      <c r="CI743" s="35"/>
      <c r="CJ743" s="35"/>
      <c r="CK743" s="35"/>
      <c r="CM743" s="35"/>
      <c r="CR743" s="35"/>
    </row>
    <row r="744" spans="49:96" ht="25.25" customHeight="1">
      <c r="AW744" s="35"/>
      <c r="BR744" s="35"/>
      <c r="CH744" s="35"/>
      <c r="CI744" s="35"/>
      <c r="CJ744" s="35"/>
      <c r="CK744" s="35"/>
      <c r="CM744" s="35"/>
      <c r="CR744" s="35"/>
    </row>
    <row r="745" spans="49:96" ht="25.25" customHeight="1">
      <c r="AW745" s="35"/>
      <c r="BR745" s="35"/>
      <c r="CH745" s="35"/>
      <c r="CI745" s="35"/>
      <c r="CJ745" s="35"/>
      <c r="CK745" s="35"/>
      <c r="CM745" s="35"/>
      <c r="CR745" s="35"/>
    </row>
    <row r="746" spans="49:96" ht="25.25" customHeight="1">
      <c r="AW746" s="35"/>
      <c r="BR746" s="35"/>
      <c r="CH746" s="35"/>
      <c r="CI746" s="35"/>
      <c r="CJ746" s="35"/>
      <c r="CK746" s="35"/>
      <c r="CM746" s="35"/>
      <c r="CR746" s="35"/>
    </row>
    <row r="747" spans="49:96" ht="25.25" customHeight="1">
      <c r="AW747" s="35"/>
      <c r="BR747" s="35"/>
      <c r="CH747" s="35"/>
      <c r="CI747" s="35"/>
      <c r="CJ747" s="35"/>
      <c r="CK747" s="35"/>
      <c r="CM747" s="35"/>
      <c r="CR747" s="35"/>
    </row>
    <row r="748" spans="49:96" ht="25.25" customHeight="1">
      <c r="AW748" s="35"/>
      <c r="BR748" s="35"/>
      <c r="CH748" s="35"/>
      <c r="CI748" s="35"/>
      <c r="CJ748" s="35"/>
      <c r="CK748" s="35"/>
      <c r="CM748" s="35"/>
      <c r="CR748" s="35"/>
    </row>
    <row r="749" spans="49:96" ht="25.25" customHeight="1">
      <c r="AW749" s="35"/>
      <c r="BR749" s="35"/>
      <c r="CH749" s="35"/>
      <c r="CI749" s="35"/>
      <c r="CJ749" s="35"/>
      <c r="CK749" s="35"/>
      <c r="CM749" s="35"/>
      <c r="CR749" s="35"/>
    </row>
    <row r="750" spans="49:96" ht="25.25" customHeight="1">
      <c r="AW750" s="35"/>
      <c r="BR750" s="35"/>
      <c r="CH750" s="35"/>
      <c r="CI750" s="35"/>
      <c r="CJ750" s="35"/>
      <c r="CK750" s="35"/>
      <c r="CM750" s="35"/>
      <c r="CR750" s="35"/>
    </row>
    <row r="751" spans="49:96" ht="25.25" customHeight="1">
      <c r="AW751" s="35"/>
      <c r="BR751" s="35"/>
      <c r="CH751" s="35"/>
      <c r="CI751" s="35"/>
      <c r="CJ751" s="35"/>
      <c r="CK751" s="35"/>
      <c r="CM751" s="35"/>
      <c r="CR751" s="35"/>
    </row>
    <row r="752" spans="49:96" ht="25.25" customHeight="1">
      <c r="AW752" s="35"/>
      <c r="BR752" s="35"/>
      <c r="CH752" s="35"/>
      <c r="CI752" s="35"/>
      <c r="CJ752" s="35"/>
      <c r="CK752" s="35"/>
      <c r="CM752" s="35"/>
      <c r="CR752" s="35"/>
    </row>
    <row r="753" spans="49:96" ht="25.25" customHeight="1">
      <c r="AW753" s="35"/>
      <c r="BR753" s="35"/>
      <c r="CH753" s="35"/>
      <c r="CI753" s="35"/>
      <c r="CJ753" s="35"/>
      <c r="CK753" s="35"/>
      <c r="CM753" s="35"/>
      <c r="CR753" s="35"/>
    </row>
    <row r="754" spans="49:96" ht="25.25" customHeight="1">
      <c r="AW754" s="35"/>
      <c r="BR754" s="35"/>
      <c r="CH754" s="35"/>
      <c r="CI754" s="35"/>
      <c r="CJ754" s="35"/>
      <c r="CK754" s="35"/>
      <c r="CM754" s="35"/>
      <c r="CR754" s="35"/>
    </row>
    <row r="755" spans="49:96" ht="25.25" customHeight="1">
      <c r="AW755" s="35"/>
      <c r="BR755" s="35"/>
      <c r="CH755" s="35"/>
      <c r="CI755" s="35"/>
      <c r="CJ755" s="35"/>
      <c r="CK755" s="35"/>
      <c r="CM755" s="35"/>
      <c r="CR755" s="35"/>
    </row>
    <row r="756" spans="49:96" ht="25.25" customHeight="1">
      <c r="AW756" s="35"/>
      <c r="BR756" s="35"/>
      <c r="CH756" s="35"/>
      <c r="CI756" s="35"/>
      <c r="CJ756" s="35"/>
      <c r="CK756" s="35"/>
      <c r="CM756" s="35"/>
      <c r="CR756" s="35"/>
    </row>
    <row r="757" spans="49:96" ht="25.25" customHeight="1">
      <c r="AW757" s="35"/>
      <c r="BR757" s="35"/>
      <c r="CH757" s="35"/>
      <c r="CI757" s="35"/>
      <c r="CJ757" s="35"/>
      <c r="CK757" s="35"/>
      <c r="CM757" s="35"/>
      <c r="CR757" s="35"/>
    </row>
    <row r="758" spans="49:96" ht="25.25" customHeight="1">
      <c r="AW758" s="35"/>
      <c r="BR758" s="35"/>
      <c r="CH758" s="35"/>
      <c r="CI758" s="35"/>
      <c r="CJ758" s="35"/>
      <c r="CK758" s="35"/>
      <c r="CM758" s="35"/>
      <c r="CR758" s="35"/>
    </row>
    <row r="759" spans="49:96" ht="25.25" customHeight="1">
      <c r="AW759" s="35"/>
      <c r="BR759" s="35"/>
      <c r="CH759" s="35"/>
      <c r="CI759" s="35"/>
      <c r="CJ759" s="35"/>
      <c r="CK759" s="35"/>
      <c r="CM759" s="35"/>
      <c r="CR759" s="35"/>
    </row>
    <row r="760" spans="49:96" ht="25.25" customHeight="1">
      <c r="AW760" s="35"/>
      <c r="BR760" s="35"/>
      <c r="CH760" s="35"/>
      <c r="CI760" s="35"/>
      <c r="CJ760" s="35"/>
      <c r="CK760" s="35"/>
      <c r="CM760" s="35"/>
      <c r="CR760" s="35"/>
    </row>
    <row r="761" spans="49:96" ht="25.25" customHeight="1">
      <c r="AW761" s="35"/>
      <c r="BR761" s="35"/>
      <c r="CH761" s="35"/>
      <c r="CI761" s="35"/>
      <c r="CJ761" s="35"/>
      <c r="CK761" s="35"/>
      <c r="CM761" s="35"/>
      <c r="CR761" s="35"/>
    </row>
    <row r="762" spans="49:96" ht="25.25" customHeight="1">
      <c r="AW762" s="35"/>
      <c r="BR762" s="35"/>
      <c r="CH762" s="35"/>
      <c r="CI762" s="35"/>
      <c r="CJ762" s="35"/>
      <c r="CK762" s="35"/>
      <c r="CM762" s="35"/>
      <c r="CR762" s="35"/>
    </row>
    <row r="763" spans="49:96" ht="25.25" customHeight="1">
      <c r="AW763" s="35"/>
      <c r="BR763" s="35"/>
      <c r="CH763" s="35"/>
      <c r="CI763" s="35"/>
      <c r="CJ763" s="35"/>
      <c r="CK763" s="35"/>
      <c r="CM763" s="35"/>
      <c r="CR763" s="35"/>
    </row>
    <row r="764" spans="49:96" ht="25.25" customHeight="1">
      <c r="AW764" s="35"/>
      <c r="BR764" s="35"/>
      <c r="CH764" s="35"/>
      <c r="CI764" s="35"/>
      <c r="CJ764" s="35"/>
      <c r="CK764" s="35"/>
      <c r="CM764" s="35"/>
      <c r="CR764" s="35"/>
    </row>
    <row r="765" spans="49:96" ht="25.25" customHeight="1">
      <c r="AW765" s="35"/>
      <c r="BR765" s="35"/>
      <c r="CH765" s="35"/>
      <c r="CI765" s="35"/>
      <c r="CJ765" s="35"/>
      <c r="CK765" s="35"/>
      <c r="CM765" s="35"/>
      <c r="CR765" s="35"/>
    </row>
    <row r="766" spans="49:96" ht="25.25" customHeight="1">
      <c r="AW766" s="35"/>
      <c r="BR766" s="35"/>
      <c r="CH766" s="35"/>
      <c r="CI766" s="35"/>
      <c r="CJ766" s="35"/>
      <c r="CK766" s="35"/>
      <c r="CM766" s="35"/>
      <c r="CR766" s="35"/>
    </row>
    <row r="767" spans="49:96" ht="25.25" customHeight="1">
      <c r="AW767" s="35"/>
      <c r="BR767" s="35"/>
      <c r="CH767" s="35"/>
      <c r="CI767" s="35"/>
      <c r="CJ767" s="35"/>
      <c r="CK767" s="35"/>
      <c r="CM767" s="35"/>
      <c r="CR767" s="35"/>
    </row>
    <row r="768" spans="49:96" ht="25.25" customHeight="1">
      <c r="AW768" s="35"/>
      <c r="BR768" s="35"/>
      <c r="CH768" s="35"/>
      <c r="CI768" s="35"/>
      <c r="CJ768" s="35"/>
      <c r="CK768" s="35"/>
      <c r="CM768" s="35"/>
      <c r="CR768" s="35"/>
    </row>
    <row r="769" spans="49:96" ht="25.25" customHeight="1">
      <c r="AW769" s="35"/>
      <c r="BR769" s="35"/>
      <c r="CH769" s="35"/>
      <c r="CI769" s="35"/>
      <c r="CJ769" s="35"/>
      <c r="CK769" s="35"/>
      <c r="CM769" s="35"/>
      <c r="CR769" s="35"/>
    </row>
    <row r="770" spans="49:96" ht="25.25" customHeight="1">
      <c r="AW770" s="35"/>
      <c r="BR770" s="35"/>
      <c r="CH770" s="35"/>
      <c r="CI770" s="35"/>
      <c r="CJ770" s="35"/>
      <c r="CK770" s="35"/>
      <c r="CM770" s="35"/>
      <c r="CR770" s="35"/>
    </row>
    <row r="771" spans="49:96" ht="25.25" customHeight="1">
      <c r="AW771" s="35"/>
      <c r="BR771" s="35"/>
      <c r="CH771" s="35"/>
      <c r="CI771" s="35"/>
      <c r="CJ771" s="35"/>
      <c r="CK771" s="35"/>
      <c r="CM771" s="35"/>
      <c r="CR771" s="35"/>
    </row>
    <row r="772" spans="49:96" ht="25.25" customHeight="1">
      <c r="AW772" s="35"/>
      <c r="BR772" s="35"/>
      <c r="CH772" s="35"/>
      <c r="CI772" s="35"/>
      <c r="CJ772" s="35"/>
      <c r="CK772" s="35"/>
      <c r="CM772" s="35"/>
      <c r="CR772" s="35"/>
    </row>
    <row r="773" spans="49:96" ht="25.25" customHeight="1">
      <c r="AW773" s="35"/>
      <c r="BR773" s="35"/>
      <c r="CH773" s="35"/>
      <c r="CI773" s="35"/>
      <c r="CJ773" s="35"/>
      <c r="CK773" s="35"/>
      <c r="CM773" s="35"/>
      <c r="CR773" s="35"/>
    </row>
    <row r="774" spans="49:96" ht="25.25" customHeight="1">
      <c r="AW774" s="35"/>
      <c r="BR774" s="35"/>
      <c r="CH774" s="35"/>
      <c r="CI774" s="35"/>
      <c r="CJ774" s="35"/>
      <c r="CK774" s="35"/>
      <c r="CM774" s="35"/>
      <c r="CR774" s="35"/>
    </row>
    <row r="775" spans="49:96" ht="25.25" customHeight="1">
      <c r="AW775" s="35"/>
      <c r="BR775" s="35"/>
      <c r="CH775" s="35"/>
      <c r="CI775" s="35"/>
      <c r="CJ775" s="35"/>
      <c r="CK775" s="35"/>
      <c r="CM775" s="35"/>
      <c r="CR775" s="35"/>
    </row>
    <row r="776" spans="49:96" ht="25.25" customHeight="1">
      <c r="AW776" s="35"/>
      <c r="BR776" s="35"/>
      <c r="CH776" s="35"/>
      <c r="CI776" s="35"/>
      <c r="CJ776" s="35"/>
      <c r="CK776" s="35"/>
      <c r="CM776" s="35"/>
      <c r="CR776" s="35"/>
    </row>
    <row r="777" spans="49:96" ht="25.25" customHeight="1">
      <c r="AW777" s="35"/>
      <c r="BR777" s="35"/>
      <c r="CH777" s="35"/>
      <c r="CI777" s="35"/>
      <c r="CJ777" s="35"/>
      <c r="CK777" s="35"/>
      <c r="CM777" s="35"/>
      <c r="CR777" s="35"/>
    </row>
    <row r="778" spans="49:96" ht="25.25" customHeight="1">
      <c r="AW778" s="35"/>
      <c r="BR778" s="35"/>
      <c r="CH778" s="35"/>
      <c r="CI778" s="35"/>
      <c r="CJ778" s="35"/>
      <c r="CK778" s="35"/>
      <c r="CM778" s="35"/>
      <c r="CR778" s="35"/>
    </row>
    <row r="779" spans="49:96" ht="25.25" customHeight="1">
      <c r="AW779" s="35"/>
      <c r="BR779" s="35"/>
      <c r="CH779" s="35"/>
      <c r="CI779" s="35"/>
      <c r="CJ779" s="35"/>
      <c r="CK779" s="35"/>
      <c r="CM779" s="35"/>
      <c r="CR779" s="35"/>
    </row>
    <row r="780" spans="49:96" ht="25.25" customHeight="1">
      <c r="AW780" s="35"/>
      <c r="BR780" s="35"/>
      <c r="CH780" s="35"/>
      <c r="CI780" s="35"/>
      <c r="CJ780" s="35"/>
      <c r="CK780" s="35"/>
      <c r="CM780" s="35"/>
      <c r="CR780" s="35"/>
    </row>
    <row r="781" spans="49:96" ht="25.25" customHeight="1">
      <c r="AW781" s="35"/>
      <c r="BR781" s="35"/>
      <c r="CH781" s="35"/>
      <c r="CI781" s="35"/>
      <c r="CJ781" s="35"/>
      <c r="CK781" s="35"/>
      <c r="CM781" s="35"/>
      <c r="CR781" s="35"/>
    </row>
    <row r="782" spans="49:96" ht="25.25" customHeight="1">
      <c r="AW782" s="35"/>
      <c r="BR782" s="35"/>
      <c r="CH782" s="35"/>
      <c r="CI782" s="35"/>
      <c r="CJ782" s="35"/>
      <c r="CK782" s="35"/>
      <c r="CM782" s="35"/>
      <c r="CR782" s="35"/>
    </row>
    <row r="783" spans="49:96" ht="25.25" customHeight="1">
      <c r="AW783" s="35"/>
      <c r="BR783" s="35"/>
      <c r="CH783" s="35"/>
      <c r="CI783" s="35"/>
      <c r="CJ783" s="35"/>
      <c r="CK783" s="35"/>
      <c r="CM783" s="35"/>
      <c r="CR783" s="35"/>
    </row>
    <row r="784" spans="49:96" ht="25.25" customHeight="1">
      <c r="AW784" s="35"/>
      <c r="BR784" s="35"/>
      <c r="CH784" s="35"/>
      <c r="CI784" s="35"/>
      <c r="CJ784" s="35"/>
      <c r="CK784" s="35"/>
      <c r="CM784" s="35"/>
      <c r="CR784" s="35"/>
    </row>
    <row r="785" spans="49:96" ht="25.25" customHeight="1">
      <c r="AW785" s="35"/>
      <c r="BR785" s="35"/>
      <c r="CH785" s="35"/>
      <c r="CI785" s="35"/>
      <c r="CJ785" s="35"/>
      <c r="CK785" s="35"/>
      <c r="CM785" s="35"/>
      <c r="CR785" s="35"/>
    </row>
    <row r="786" spans="49:96" ht="25.25" customHeight="1">
      <c r="AW786" s="35"/>
      <c r="BR786" s="35"/>
      <c r="CH786" s="35"/>
      <c r="CI786" s="35"/>
      <c r="CJ786" s="35"/>
      <c r="CK786" s="35"/>
      <c r="CM786" s="35"/>
      <c r="CR786" s="35"/>
    </row>
    <row r="787" spans="49:96" ht="25.25" customHeight="1">
      <c r="AW787" s="35"/>
      <c r="BR787" s="35"/>
      <c r="CH787" s="35"/>
      <c r="CI787" s="35"/>
      <c r="CJ787" s="35"/>
      <c r="CK787" s="35"/>
      <c r="CM787" s="35"/>
      <c r="CR787" s="35"/>
    </row>
    <row r="788" spans="49:96" ht="25.25" customHeight="1">
      <c r="AW788" s="35"/>
      <c r="BR788" s="35"/>
      <c r="CH788" s="35"/>
      <c r="CI788" s="35"/>
      <c r="CJ788" s="35"/>
      <c r="CK788" s="35"/>
      <c r="CM788" s="35"/>
      <c r="CR788" s="35"/>
    </row>
    <row r="789" spans="49:96" ht="25.25" customHeight="1">
      <c r="AW789" s="35"/>
      <c r="BR789" s="35"/>
      <c r="CH789" s="35"/>
      <c r="CI789" s="35"/>
      <c r="CJ789" s="35"/>
      <c r="CK789" s="35"/>
      <c r="CM789" s="35"/>
      <c r="CR789" s="35"/>
    </row>
    <row r="790" spans="49:96" ht="25.25" customHeight="1">
      <c r="AW790" s="35"/>
      <c r="BR790" s="35"/>
      <c r="CH790" s="35"/>
      <c r="CI790" s="35"/>
      <c r="CJ790" s="35"/>
      <c r="CK790" s="35"/>
      <c r="CM790" s="35"/>
      <c r="CR790" s="35"/>
    </row>
    <row r="791" spans="49:96" ht="25.25" customHeight="1">
      <c r="AW791" s="35"/>
      <c r="BR791" s="35"/>
      <c r="CH791" s="35"/>
      <c r="CI791" s="35"/>
      <c r="CJ791" s="35"/>
      <c r="CK791" s="35"/>
      <c r="CM791" s="35"/>
      <c r="CR791" s="35"/>
    </row>
    <row r="792" spans="49:96" ht="25.25" customHeight="1">
      <c r="AW792" s="35"/>
      <c r="BR792" s="35"/>
      <c r="CH792" s="35"/>
      <c r="CI792" s="35"/>
      <c r="CJ792" s="35"/>
      <c r="CK792" s="35"/>
      <c r="CM792" s="35"/>
      <c r="CR792" s="35"/>
    </row>
    <row r="793" spans="49:96" ht="25.25" customHeight="1">
      <c r="AW793" s="35"/>
      <c r="BR793" s="35"/>
      <c r="CH793" s="35"/>
      <c r="CI793" s="35"/>
      <c r="CJ793" s="35"/>
      <c r="CK793" s="35"/>
      <c r="CM793" s="35"/>
      <c r="CR793" s="35"/>
    </row>
    <row r="794" spans="49:96" ht="25.25" customHeight="1">
      <c r="AW794" s="35"/>
      <c r="BR794" s="35"/>
      <c r="CH794" s="35"/>
      <c r="CI794" s="35"/>
      <c r="CJ794" s="35"/>
      <c r="CK794" s="35"/>
      <c r="CM794" s="35"/>
      <c r="CR794" s="35"/>
    </row>
    <row r="795" spans="49:96" ht="25.25" customHeight="1">
      <c r="AW795" s="35"/>
      <c r="BR795" s="35"/>
      <c r="CH795" s="35"/>
      <c r="CI795" s="35"/>
      <c r="CJ795" s="35"/>
      <c r="CK795" s="35"/>
      <c r="CM795" s="35"/>
      <c r="CR795" s="35"/>
    </row>
    <row r="796" spans="49:96" ht="25.25" customHeight="1">
      <c r="AW796" s="35"/>
      <c r="BR796" s="35"/>
      <c r="CH796" s="35"/>
      <c r="CI796" s="35"/>
      <c r="CJ796" s="35"/>
      <c r="CK796" s="35"/>
      <c r="CM796" s="35"/>
      <c r="CR796" s="35"/>
    </row>
    <row r="797" spans="49:96" ht="25.25" customHeight="1">
      <c r="AW797" s="35"/>
      <c r="BR797" s="35"/>
      <c r="CH797" s="35"/>
      <c r="CI797" s="35"/>
      <c r="CJ797" s="35"/>
      <c r="CK797" s="35"/>
      <c r="CM797" s="35"/>
      <c r="CR797" s="35"/>
    </row>
    <row r="798" spans="49:96" ht="25.25" customHeight="1">
      <c r="AW798" s="35"/>
      <c r="BR798" s="35"/>
      <c r="CH798" s="35"/>
      <c r="CI798" s="35"/>
      <c r="CJ798" s="35"/>
      <c r="CK798" s="35"/>
      <c r="CM798" s="35"/>
      <c r="CR798" s="35"/>
    </row>
    <row r="799" spans="49:96" ht="25.25" customHeight="1">
      <c r="AW799" s="35"/>
      <c r="BR799" s="35"/>
      <c r="CH799" s="35"/>
      <c r="CI799" s="35"/>
      <c r="CJ799" s="35"/>
      <c r="CK799" s="35"/>
      <c r="CM799" s="35"/>
      <c r="CR799" s="35"/>
    </row>
    <row r="800" spans="49:96" ht="25.25" customHeight="1">
      <c r="AW800" s="35"/>
      <c r="BR800" s="35"/>
      <c r="CH800" s="35"/>
      <c r="CI800" s="35"/>
      <c r="CJ800" s="35"/>
      <c r="CK800" s="35"/>
      <c r="CM800" s="35"/>
      <c r="CR800" s="35"/>
    </row>
    <row r="801" spans="49:96" ht="25.25" customHeight="1">
      <c r="AW801" s="35"/>
      <c r="BR801" s="35"/>
      <c r="CH801" s="35"/>
      <c r="CI801" s="35"/>
      <c r="CJ801" s="35"/>
      <c r="CK801" s="35"/>
      <c r="CM801" s="35"/>
      <c r="CR801" s="35"/>
    </row>
    <row r="802" spans="49:96" ht="25.25" customHeight="1">
      <c r="AW802" s="35"/>
      <c r="BR802" s="35"/>
      <c r="CH802" s="35"/>
      <c r="CI802" s="35"/>
      <c r="CJ802" s="35"/>
      <c r="CK802" s="35"/>
      <c r="CM802" s="35"/>
      <c r="CR802" s="35"/>
    </row>
    <row r="803" spans="49:96" ht="25.25" customHeight="1">
      <c r="AW803" s="35"/>
      <c r="BR803" s="35"/>
      <c r="CH803" s="35"/>
      <c r="CI803" s="35"/>
      <c r="CJ803" s="35"/>
      <c r="CK803" s="35"/>
      <c r="CM803" s="35"/>
      <c r="CR803" s="35"/>
    </row>
    <row r="804" spans="49:96" ht="25.25" customHeight="1">
      <c r="AW804" s="35"/>
      <c r="BR804" s="35"/>
      <c r="CH804" s="35"/>
      <c r="CI804" s="35"/>
      <c r="CJ804" s="35"/>
      <c r="CK804" s="35"/>
      <c r="CM804" s="35"/>
      <c r="CR804" s="35"/>
    </row>
    <row r="805" spans="49:96" ht="25.25" customHeight="1">
      <c r="AW805" s="35"/>
      <c r="BR805" s="35"/>
      <c r="CH805" s="35"/>
      <c r="CI805" s="35"/>
      <c r="CJ805" s="35"/>
      <c r="CK805" s="35"/>
      <c r="CM805" s="35"/>
      <c r="CR805" s="35"/>
    </row>
    <row r="806" spans="49:96" ht="25.25" customHeight="1">
      <c r="AW806" s="35"/>
      <c r="BR806" s="35"/>
      <c r="CH806" s="35"/>
      <c r="CI806" s="35"/>
      <c r="CJ806" s="35"/>
      <c r="CK806" s="35"/>
      <c r="CM806" s="35"/>
      <c r="CR806" s="35"/>
    </row>
    <row r="807" spans="49:96" ht="25.25" customHeight="1">
      <c r="AW807" s="35"/>
      <c r="BR807" s="35"/>
      <c r="CH807" s="35"/>
      <c r="CI807" s="35"/>
      <c r="CJ807" s="35"/>
      <c r="CK807" s="35"/>
      <c r="CM807" s="35"/>
      <c r="CR807" s="35"/>
    </row>
    <row r="808" spans="49:96" ht="25.25" customHeight="1">
      <c r="AW808" s="35"/>
      <c r="BR808" s="35"/>
      <c r="CH808" s="35"/>
      <c r="CI808" s="35"/>
      <c r="CJ808" s="35"/>
      <c r="CK808" s="35"/>
      <c r="CM808" s="35"/>
      <c r="CR808" s="35"/>
    </row>
    <row r="809" spans="49:96" ht="25.25" customHeight="1">
      <c r="AW809" s="35"/>
      <c r="BR809" s="35"/>
      <c r="CH809" s="35"/>
      <c r="CI809" s="35"/>
      <c r="CJ809" s="35"/>
      <c r="CK809" s="35"/>
      <c r="CM809" s="35"/>
      <c r="CR809" s="35"/>
    </row>
    <row r="810" spans="49:96" ht="25.25" customHeight="1">
      <c r="AW810" s="35"/>
      <c r="BR810" s="35"/>
      <c r="CH810" s="35"/>
      <c r="CI810" s="35"/>
      <c r="CJ810" s="35"/>
      <c r="CK810" s="35"/>
      <c r="CM810" s="35"/>
      <c r="CR810" s="35"/>
    </row>
    <row r="811" spans="49:96" ht="25.25" customHeight="1">
      <c r="AW811" s="35"/>
      <c r="BR811" s="35"/>
      <c r="CH811" s="35"/>
      <c r="CI811" s="35"/>
      <c r="CJ811" s="35"/>
      <c r="CK811" s="35"/>
      <c r="CM811" s="35"/>
      <c r="CR811" s="35"/>
    </row>
    <row r="812" spans="49:96" ht="25.25" customHeight="1">
      <c r="AW812" s="35"/>
      <c r="BR812" s="35"/>
      <c r="CH812" s="35"/>
      <c r="CI812" s="35"/>
      <c r="CJ812" s="35"/>
      <c r="CK812" s="35"/>
      <c r="CM812" s="35"/>
      <c r="CR812" s="35"/>
    </row>
    <row r="813" spans="49:96" ht="25.25" customHeight="1">
      <c r="AW813" s="35"/>
      <c r="BR813" s="35"/>
      <c r="CH813" s="35"/>
      <c r="CI813" s="35"/>
      <c r="CJ813" s="35"/>
      <c r="CK813" s="35"/>
      <c r="CM813" s="35"/>
      <c r="CR813" s="35"/>
    </row>
    <row r="814" spans="49:96" ht="25.25" customHeight="1">
      <c r="AW814" s="35"/>
      <c r="BR814" s="35"/>
      <c r="CH814" s="35"/>
      <c r="CI814" s="35"/>
      <c r="CJ814" s="35"/>
      <c r="CK814" s="35"/>
      <c r="CM814" s="35"/>
      <c r="CR814" s="35"/>
    </row>
    <row r="815" spans="49:96" ht="25.25" customHeight="1">
      <c r="AW815" s="35"/>
      <c r="BR815" s="35"/>
      <c r="CH815" s="35"/>
      <c r="CI815" s="35"/>
      <c r="CJ815" s="35"/>
      <c r="CK815" s="35"/>
      <c r="CM815" s="35"/>
      <c r="CR815" s="35"/>
    </row>
    <row r="816" spans="49:96" ht="25.25" customHeight="1">
      <c r="AW816" s="35"/>
      <c r="BR816" s="35"/>
      <c r="CH816" s="35"/>
      <c r="CI816" s="35"/>
      <c r="CJ816" s="35"/>
      <c r="CK816" s="35"/>
      <c r="CM816" s="35"/>
      <c r="CR816" s="35"/>
    </row>
    <row r="817" spans="49:96" ht="25.25" customHeight="1">
      <c r="AW817" s="35"/>
      <c r="BR817" s="35"/>
      <c r="CH817" s="35"/>
      <c r="CI817" s="35"/>
      <c r="CJ817" s="35"/>
      <c r="CK817" s="35"/>
      <c r="CM817" s="35"/>
      <c r="CR817" s="35"/>
    </row>
    <row r="818" spans="49:96" ht="25.25" customHeight="1">
      <c r="AW818" s="35"/>
      <c r="BR818" s="35"/>
      <c r="CH818" s="35"/>
      <c r="CI818" s="35"/>
      <c r="CJ818" s="35"/>
      <c r="CK818" s="35"/>
      <c r="CM818" s="35"/>
      <c r="CR818" s="35"/>
    </row>
    <row r="819" spans="49:96" ht="25.25" customHeight="1">
      <c r="AW819" s="35"/>
      <c r="BR819" s="35"/>
      <c r="CH819" s="35"/>
      <c r="CI819" s="35"/>
      <c r="CJ819" s="35"/>
      <c r="CK819" s="35"/>
      <c r="CM819" s="35"/>
      <c r="CR819" s="35"/>
    </row>
    <row r="820" spans="49:96" ht="25.25" customHeight="1">
      <c r="AW820" s="35"/>
      <c r="BR820" s="35"/>
      <c r="CH820" s="35"/>
      <c r="CI820" s="35"/>
      <c r="CJ820" s="35"/>
      <c r="CK820" s="35"/>
      <c r="CM820" s="35"/>
      <c r="CR820" s="35"/>
    </row>
    <row r="821" spans="49:96" ht="25.25" customHeight="1">
      <c r="AW821" s="35"/>
      <c r="BR821" s="35"/>
      <c r="CH821" s="35"/>
      <c r="CI821" s="35"/>
      <c r="CJ821" s="35"/>
      <c r="CK821" s="35"/>
      <c r="CM821" s="35"/>
      <c r="CR821" s="35"/>
    </row>
    <row r="822" spans="49:96" ht="25.25" customHeight="1">
      <c r="AW822" s="35"/>
      <c r="BR822" s="35"/>
      <c r="CH822" s="35"/>
      <c r="CI822" s="35"/>
      <c r="CJ822" s="35"/>
      <c r="CK822" s="35"/>
      <c r="CM822" s="35"/>
      <c r="CR822" s="35"/>
    </row>
    <row r="823" spans="49:96" ht="25.25" customHeight="1">
      <c r="AW823" s="35"/>
      <c r="BR823" s="35"/>
      <c r="CH823" s="35"/>
      <c r="CI823" s="35"/>
      <c r="CJ823" s="35"/>
      <c r="CK823" s="35"/>
      <c r="CM823" s="35"/>
      <c r="CR823" s="35"/>
    </row>
    <row r="824" spans="49:96" ht="25.25" customHeight="1">
      <c r="AW824" s="35"/>
      <c r="BR824" s="35"/>
      <c r="CH824" s="35"/>
      <c r="CI824" s="35"/>
      <c r="CJ824" s="35"/>
      <c r="CK824" s="35"/>
      <c r="CM824" s="35"/>
      <c r="CR824" s="35"/>
    </row>
    <row r="825" spans="49:96" ht="25.25" customHeight="1">
      <c r="AW825" s="35"/>
      <c r="BR825" s="35"/>
      <c r="CH825" s="35"/>
      <c r="CI825" s="35"/>
      <c r="CJ825" s="35"/>
      <c r="CK825" s="35"/>
      <c r="CM825" s="35"/>
      <c r="CR825" s="35"/>
    </row>
    <row r="826" spans="49:96" ht="25.25" customHeight="1">
      <c r="AW826" s="35"/>
      <c r="BR826" s="35"/>
      <c r="CH826" s="35"/>
      <c r="CI826" s="35"/>
      <c r="CJ826" s="35"/>
      <c r="CK826" s="35"/>
      <c r="CM826" s="35"/>
      <c r="CR826" s="35"/>
    </row>
    <row r="827" spans="49:96" ht="25.25" customHeight="1">
      <c r="AW827" s="35"/>
      <c r="BR827" s="35"/>
      <c r="CH827" s="35"/>
      <c r="CI827" s="35"/>
      <c r="CJ827" s="35"/>
      <c r="CK827" s="35"/>
      <c r="CM827" s="35"/>
      <c r="CR827" s="35"/>
    </row>
    <row r="828" spans="49:96" ht="25.25" customHeight="1">
      <c r="AW828" s="35"/>
      <c r="BR828" s="35"/>
      <c r="CH828" s="35"/>
      <c r="CI828" s="35"/>
      <c r="CJ828" s="35"/>
      <c r="CK828" s="35"/>
      <c r="CM828" s="35"/>
      <c r="CR828" s="35"/>
    </row>
    <row r="829" spans="49:96" ht="25.25" customHeight="1">
      <c r="AW829" s="35"/>
      <c r="BR829" s="35"/>
      <c r="CH829" s="35"/>
      <c r="CI829" s="35"/>
      <c r="CJ829" s="35"/>
      <c r="CK829" s="35"/>
      <c r="CM829" s="35"/>
      <c r="CR829" s="35"/>
    </row>
    <row r="830" spans="49:96" ht="25.25" customHeight="1">
      <c r="AW830" s="35"/>
      <c r="BR830" s="35"/>
      <c r="CH830" s="35"/>
      <c r="CI830" s="35"/>
      <c r="CJ830" s="35"/>
      <c r="CK830" s="35"/>
      <c r="CM830" s="35"/>
      <c r="CR830" s="35"/>
    </row>
    <row r="831" spans="49:96" ht="25.25" customHeight="1">
      <c r="AW831" s="35"/>
      <c r="BR831" s="35"/>
      <c r="CH831" s="35"/>
      <c r="CI831" s="35"/>
      <c r="CJ831" s="35"/>
      <c r="CK831" s="35"/>
      <c r="CM831" s="35"/>
      <c r="CR831" s="35"/>
    </row>
    <row r="832" spans="49:96" ht="25.25" customHeight="1">
      <c r="AW832" s="35"/>
      <c r="BR832" s="35"/>
      <c r="CH832" s="35"/>
      <c r="CI832" s="35"/>
      <c r="CJ832" s="35"/>
      <c r="CK832" s="35"/>
      <c r="CM832" s="35"/>
      <c r="CR832" s="35"/>
    </row>
    <row r="833" spans="49:96" ht="25.25" customHeight="1">
      <c r="AW833" s="35"/>
      <c r="BR833" s="35"/>
      <c r="CH833" s="35"/>
      <c r="CI833" s="35"/>
      <c r="CJ833" s="35"/>
      <c r="CK833" s="35"/>
      <c r="CM833" s="35"/>
      <c r="CR833" s="35"/>
    </row>
    <row r="834" spans="49:96" ht="25.25" customHeight="1">
      <c r="AW834" s="35"/>
      <c r="BR834" s="35"/>
      <c r="CH834" s="35"/>
      <c r="CI834" s="35"/>
      <c r="CJ834" s="35"/>
      <c r="CK834" s="35"/>
      <c r="CM834" s="35"/>
      <c r="CR834" s="35"/>
    </row>
    <row r="835" spans="49:96" ht="25.25" customHeight="1">
      <c r="AW835" s="35"/>
      <c r="BR835" s="35"/>
      <c r="CH835" s="35"/>
      <c r="CI835" s="35"/>
      <c r="CJ835" s="35"/>
      <c r="CK835" s="35"/>
      <c r="CM835" s="35"/>
      <c r="CR835" s="35"/>
    </row>
    <row r="836" spans="49:96" ht="25.25" customHeight="1">
      <c r="AW836" s="35"/>
      <c r="BR836" s="35"/>
      <c r="CH836" s="35"/>
      <c r="CI836" s="35"/>
      <c r="CJ836" s="35"/>
      <c r="CK836" s="35"/>
      <c r="CM836" s="35"/>
      <c r="CR836" s="35"/>
    </row>
    <row r="837" spans="49:96" ht="25.25" customHeight="1">
      <c r="AW837" s="35"/>
      <c r="BR837" s="35"/>
      <c r="CH837" s="35"/>
      <c r="CI837" s="35"/>
      <c r="CJ837" s="35"/>
      <c r="CK837" s="35"/>
      <c r="CM837" s="35"/>
      <c r="CR837" s="35"/>
    </row>
    <row r="838" spans="49:96" ht="25.25" customHeight="1">
      <c r="AW838" s="35"/>
      <c r="BR838" s="35"/>
      <c r="CH838" s="35"/>
      <c r="CI838" s="35"/>
      <c r="CJ838" s="35"/>
      <c r="CK838" s="35"/>
      <c r="CM838" s="35"/>
      <c r="CR838" s="35"/>
    </row>
    <row r="839" spans="49:96" ht="25.25" customHeight="1">
      <c r="AW839" s="35"/>
      <c r="BR839" s="35"/>
      <c r="CH839" s="35"/>
      <c r="CI839" s="35"/>
      <c r="CJ839" s="35"/>
      <c r="CK839" s="35"/>
      <c r="CM839" s="35"/>
      <c r="CR839" s="35"/>
    </row>
    <row r="840" spans="49:96" ht="25.25" customHeight="1">
      <c r="AW840" s="35"/>
      <c r="BR840" s="35"/>
      <c r="CH840" s="35"/>
      <c r="CI840" s="35"/>
      <c r="CJ840" s="35"/>
      <c r="CK840" s="35"/>
      <c r="CM840" s="35"/>
      <c r="CR840" s="35"/>
    </row>
    <row r="841" spans="49:96" ht="25.25" customHeight="1">
      <c r="AW841" s="35"/>
      <c r="BR841" s="35"/>
      <c r="CH841" s="35"/>
      <c r="CI841" s="35"/>
      <c r="CJ841" s="35"/>
      <c r="CK841" s="35"/>
      <c r="CM841" s="35"/>
      <c r="CR841" s="35"/>
    </row>
    <row r="842" spans="49:96" ht="25.25" customHeight="1">
      <c r="AW842" s="35"/>
      <c r="BR842" s="35"/>
      <c r="CH842" s="35"/>
      <c r="CI842" s="35"/>
      <c r="CJ842" s="35"/>
      <c r="CK842" s="35"/>
      <c r="CM842" s="35"/>
      <c r="CR842" s="35"/>
    </row>
    <row r="843" spans="49:96" ht="25.25" customHeight="1">
      <c r="AW843" s="35"/>
      <c r="BR843" s="35"/>
      <c r="CH843" s="35"/>
      <c r="CI843" s="35"/>
      <c r="CJ843" s="35"/>
      <c r="CK843" s="35"/>
      <c r="CM843" s="35"/>
      <c r="CR843" s="35"/>
    </row>
    <row r="844" spans="49:96" ht="25.25" customHeight="1">
      <c r="AW844" s="35"/>
      <c r="BR844" s="35"/>
      <c r="CH844" s="35"/>
      <c r="CI844" s="35"/>
      <c r="CJ844" s="35"/>
      <c r="CK844" s="35"/>
      <c r="CM844" s="35"/>
      <c r="CR844" s="35"/>
    </row>
    <row r="845" spans="49:96" ht="25.25" customHeight="1">
      <c r="AW845" s="35"/>
      <c r="BR845" s="35"/>
      <c r="CH845" s="35"/>
      <c r="CI845" s="35"/>
      <c r="CJ845" s="35"/>
      <c r="CK845" s="35"/>
      <c r="CM845" s="35"/>
      <c r="CR845" s="35"/>
    </row>
    <row r="846" spans="49:96" ht="25.25" customHeight="1">
      <c r="AW846" s="35"/>
      <c r="BR846" s="35"/>
      <c r="CH846" s="35"/>
      <c r="CI846" s="35"/>
      <c r="CJ846" s="35"/>
      <c r="CK846" s="35"/>
      <c r="CM846" s="35"/>
      <c r="CR846" s="35"/>
    </row>
    <row r="847" spans="49:96" ht="25.25" customHeight="1">
      <c r="AW847" s="35"/>
      <c r="BR847" s="35"/>
      <c r="CH847" s="35"/>
      <c r="CI847" s="35"/>
      <c r="CJ847" s="35"/>
      <c r="CK847" s="35"/>
      <c r="CM847" s="35"/>
      <c r="CR847" s="35"/>
    </row>
    <row r="848" spans="49:96" ht="25.25" customHeight="1">
      <c r="AW848" s="35"/>
      <c r="BR848" s="35"/>
      <c r="CH848" s="35"/>
      <c r="CI848" s="35"/>
      <c r="CJ848" s="35"/>
      <c r="CK848" s="35"/>
      <c r="CM848" s="35"/>
      <c r="CR848" s="35"/>
    </row>
    <row r="849" spans="49:96" ht="25.25" customHeight="1">
      <c r="AW849" s="35"/>
      <c r="CH849" s="35"/>
      <c r="CI849" s="35"/>
      <c r="CJ849" s="35"/>
      <c r="CK849" s="35"/>
      <c r="CM849" s="35"/>
      <c r="CR849" s="35"/>
    </row>
    <row r="850" spans="49:96" ht="25.25" customHeight="1">
      <c r="AW850" s="35"/>
      <c r="CH850" s="35"/>
      <c r="CI850" s="35"/>
      <c r="CJ850" s="35"/>
      <c r="CK850" s="35"/>
      <c r="CM850" s="35"/>
      <c r="CR850" s="35"/>
    </row>
    <row r="851" spans="49:96" ht="25.25" customHeight="1">
      <c r="AW851" s="35"/>
      <c r="CH851" s="35"/>
      <c r="CI851" s="35"/>
      <c r="CJ851" s="35"/>
      <c r="CK851" s="35"/>
      <c r="CM851" s="35"/>
      <c r="CR851" s="35"/>
    </row>
    <row r="852" spans="49:96" ht="25.25" customHeight="1">
      <c r="AW852" s="35"/>
      <c r="CH852" s="35"/>
      <c r="CI852" s="35"/>
      <c r="CJ852" s="35"/>
      <c r="CK852" s="35"/>
      <c r="CM852" s="35"/>
      <c r="CR852" s="35"/>
    </row>
    <row r="853" spans="49:96" ht="25.25" customHeight="1">
      <c r="AW853" s="35"/>
      <c r="CH853" s="35"/>
      <c r="CI853" s="35"/>
      <c r="CJ853" s="35"/>
      <c r="CK853" s="35"/>
      <c r="CM853" s="35"/>
      <c r="CR853" s="35"/>
    </row>
    <row r="854" spans="49:96" ht="25.25" customHeight="1">
      <c r="AW854" s="35"/>
      <c r="CH854" s="35"/>
      <c r="CI854" s="35"/>
      <c r="CJ854" s="35"/>
      <c r="CK854" s="35"/>
      <c r="CM854" s="35"/>
      <c r="CR854" s="35"/>
    </row>
    <row r="855" spans="49:96" ht="25.25" customHeight="1">
      <c r="AW855" s="35"/>
      <c r="CH855" s="35"/>
      <c r="CI855" s="35"/>
      <c r="CJ855" s="35"/>
      <c r="CK855" s="35"/>
      <c r="CM855" s="35"/>
      <c r="CR855" s="35"/>
    </row>
    <row r="856" spans="49:96" ht="25.25" customHeight="1">
      <c r="AW856" s="35"/>
      <c r="CH856" s="35"/>
      <c r="CI856" s="35"/>
      <c r="CJ856" s="35"/>
      <c r="CK856" s="35"/>
      <c r="CM856" s="35"/>
      <c r="CR856" s="35"/>
    </row>
    <row r="857" spans="49:96" ht="25.25" customHeight="1">
      <c r="AW857" s="35"/>
      <c r="CH857" s="35"/>
      <c r="CI857" s="35"/>
      <c r="CJ857" s="35"/>
      <c r="CK857" s="35"/>
      <c r="CM857" s="35"/>
      <c r="CR857" s="35"/>
    </row>
    <row r="858" spans="49:96" ht="25.25" customHeight="1">
      <c r="AW858" s="35"/>
      <c r="CH858" s="35"/>
      <c r="CI858" s="35"/>
      <c r="CJ858" s="35"/>
      <c r="CK858" s="35"/>
      <c r="CM858" s="35"/>
      <c r="CR858" s="35"/>
    </row>
    <row r="859" spans="49:96" ht="25.25" customHeight="1">
      <c r="AW859" s="35"/>
      <c r="CH859" s="35"/>
      <c r="CI859" s="35"/>
      <c r="CJ859" s="35"/>
      <c r="CK859" s="35"/>
      <c r="CM859" s="35"/>
      <c r="CR859" s="35"/>
    </row>
    <row r="860" spans="49:96" ht="25.25" customHeight="1">
      <c r="AW860" s="35"/>
      <c r="CH860" s="35"/>
      <c r="CI860" s="35"/>
      <c r="CJ860" s="35"/>
      <c r="CK860" s="35"/>
      <c r="CM860" s="35"/>
      <c r="CR860" s="35"/>
    </row>
    <row r="861" spans="49:96" ht="25.25" customHeight="1">
      <c r="AW861" s="35"/>
      <c r="CH861" s="35"/>
      <c r="CI861" s="35"/>
      <c r="CJ861" s="35"/>
      <c r="CK861" s="35"/>
      <c r="CM861" s="35"/>
      <c r="CR861" s="35"/>
    </row>
    <row r="862" spans="49:96" ht="25.25" customHeight="1">
      <c r="AW862" s="35"/>
      <c r="CH862" s="35"/>
      <c r="CI862" s="35"/>
      <c r="CJ862" s="35"/>
      <c r="CK862" s="35"/>
      <c r="CM862" s="35"/>
      <c r="CR862" s="35"/>
    </row>
    <row r="863" spans="49:96" ht="25.25" customHeight="1">
      <c r="AW863" s="35"/>
      <c r="CH863" s="35"/>
      <c r="CI863" s="35"/>
      <c r="CJ863" s="35"/>
      <c r="CK863" s="35"/>
      <c r="CM863" s="35"/>
      <c r="CR863" s="35"/>
    </row>
    <row r="864" spans="49:96" ht="25.25" customHeight="1">
      <c r="AW864" s="35"/>
      <c r="CH864" s="35"/>
      <c r="CI864" s="35"/>
      <c r="CJ864" s="35"/>
      <c r="CK864" s="35"/>
      <c r="CM864" s="35"/>
      <c r="CR864" s="35"/>
    </row>
    <row r="865" spans="49:96" ht="25.25" customHeight="1">
      <c r="AW865" s="35"/>
      <c r="CH865" s="35"/>
      <c r="CI865" s="35"/>
      <c r="CJ865" s="35"/>
      <c r="CK865" s="35"/>
      <c r="CM865" s="35"/>
      <c r="CR865" s="35"/>
    </row>
    <row r="866" spans="49:96" ht="25.25" customHeight="1">
      <c r="AW866" s="35"/>
      <c r="CH866" s="35"/>
      <c r="CI866" s="35"/>
      <c r="CJ866" s="35"/>
      <c r="CK866" s="35"/>
      <c r="CM866" s="35"/>
      <c r="CR866" s="35"/>
    </row>
    <row r="867" spans="49:96" ht="25.25" customHeight="1">
      <c r="AW867" s="35"/>
      <c r="CH867" s="35"/>
      <c r="CI867" s="35"/>
      <c r="CJ867" s="35"/>
      <c r="CK867" s="35"/>
      <c r="CM867" s="35"/>
      <c r="CR867" s="35"/>
    </row>
    <row r="868" spans="49:96" ht="25.25" customHeight="1">
      <c r="AW868" s="35"/>
      <c r="CH868" s="35"/>
      <c r="CI868" s="35"/>
      <c r="CJ868" s="35"/>
      <c r="CK868" s="35"/>
      <c r="CM868" s="35"/>
      <c r="CR868" s="35"/>
    </row>
    <row r="869" spans="49:96" ht="25.25" customHeight="1">
      <c r="AW869" s="35"/>
      <c r="CH869" s="35"/>
      <c r="CI869" s="35"/>
      <c r="CJ869" s="35"/>
      <c r="CK869" s="35"/>
      <c r="CM869" s="35"/>
      <c r="CR869" s="35"/>
    </row>
    <row r="870" spans="49:96" ht="25.25" customHeight="1">
      <c r="AW870" s="35"/>
      <c r="CH870" s="35"/>
      <c r="CI870" s="35"/>
      <c r="CJ870" s="35"/>
      <c r="CK870" s="35"/>
      <c r="CM870" s="35"/>
      <c r="CR870" s="35"/>
    </row>
    <row r="871" spans="49:96" ht="25.25" customHeight="1">
      <c r="AW871" s="35"/>
      <c r="CH871" s="35"/>
      <c r="CI871" s="35"/>
      <c r="CJ871" s="35"/>
      <c r="CK871" s="35"/>
      <c r="CM871" s="35"/>
      <c r="CR871" s="35"/>
    </row>
    <row r="872" spans="49:96" ht="25.25" customHeight="1">
      <c r="AW872" s="35"/>
      <c r="CH872" s="35"/>
      <c r="CI872" s="35"/>
      <c r="CJ872" s="35"/>
      <c r="CK872" s="35"/>
      <c r="CM872" s="35"/>
      <c r="CR872" s="35"/>
    </row>
    <row r="873" spans="49:96" ht="25.25" customHeight="1">
      <c r="AW873" s="35"/>
      <c r="CH873" s="35"/>
      <c r="CI873" s="35"/>
      <c r="CJ873" s="35"/>
      <c r="CK873" s="35"/>
      <c r="CM873" s="35"/>
      <c r="CR873" s="35"/>
    </row>
    <row r="874" spans="49:96" ht="25.25" customHeight="1">
      <c r="AW874" s="35"/>
      <c r="CH874" s="35"/>
      <c r="CI874" s="35"/>
      <c r="CJ874" s="35"/>
      <c r="CK874" s="35"/>
      <c r="CM874" s="35"/>
      <c r="CR874" s="35"/>
    </row>
    <row r="875" spans="49:96" ht="25.25" customHeight="1">
      <c r="AW875" s="35"/>
      <c r="CH875" s="35"/>
      <c r="CI875" s="35"/>
      <c r="CJ875" s="35"/>
      <c r="CK875" s="35"/>
      <c r="CM875" s="35"/>
      <c r="CR875" s="35"/>
    </row>
    <row r="876" spans="49:96" ht="25.25" customHeight="1">
      <c r="AW876" s="35"/>
      <c r="CH876" s="35"/>
      <c r="CI876" s="35"/>
      <c r="CJ876" s="35"/>
      <c r="CK876" s="35"/>
      <c r="CM876" s="35"/>
      <c r="CR876" s="35"/>
    </row>
    <row r="877" spans="49:96" ht="25.25" customHeight="1">
      <c r="AW877" s="35"/>
      <c r="CH877" s="35"/>
      <c r="CI877" s="35"/>
      <c r="CJ877" s="35"/>
      <c r="CK877" s="35"/>
      <c r="CM877" s="35"/>
      <c r="CR877" s="35"/>
    </row>
    <row r="878" spans="49:96" ht="25.25" customHeight="1">
      <c r="AW878" s="35"/>
      <c r="CH878" s="35"/>
      <c r="CI878" s="35"/>
      <c r="CJ878" s="35"/>
      <c r="CK878" s="35"/>
      <c r="CM878" s="35"/>
      <c r="CR878" s="35"/>
    </row>
    <row r="879" spans="49:96" ht="25.25" customHeight="1">
      <c r="AW879" s="35"/>
      <c r="CH879" s="35"/>
      <c r="CI879" s="35"/>
      <c r="CJ879" s="35"/>
      <c r="CK879" s="35"/>
      <c r="CM879" s="35"/>
      <c r="CR879" s="35"/>
    </row>
    <row r="880" spans="49:96" ht="25.25" customHeight="1">
      <c r="AW880" s="35"/>
      <c r="CH880" s="35"/>
      <c r="CI880" s="35"/>
      <c r="CJ880" s="35"/>
      <c r="CK880" s="35"/>
      <c r="CM880" s="35"/>
      <c r="CR880" s="35"/>
    </row>
    <row r="881" spans="49:96" ht="25.25" customHeight="1">
      <c r="AW881" s="35"/>
      <c r="CH881" s="35"/>
      <c r="CI881" s="35"/>
      <c r="CJ881" s="35"/>
      <c r="CK881" s="35"/>
      <c r="CM881" s="35"/>
      <c r="CR881" s="35"/>
    </row>
    <row r="882" spans="49:96" ht="25.25" customHeight="1">
      <c r="AW882" s="35"/>
      <c r="CH882" s="35"/>
      <c r="CI882" s="35"/>
      <c r="CJ882" s="35"/>
      <c r="CK882" s="35"/>
      <c r="CM882" s="35"/>
      <c r="CR882" s="35"/>
    </row>
    <row r="883" spans="49:96" ht="25.25" customHeight="1">
      <c r="AW883" s="35"/>
      <c r="CH883" s="35"/>
      <c r="CI883" s="35"/>
      <c r="CJ883" s="35"/>
      <c r="CK883" s="35"/>
      <c r="CM883" s="35"/>
      <c r="CR883" s="35"/>
    </row>
    <row r="884" spans="49:96" ht="25.25" customHeight="1">
      <c r="AW884" s="35"/>
      <c r="CH884" s="35"/>
      <c r="CI884" s="35"/>
      <c r="CJ884" s="35"/>
      <c r="CK884" s="35"/>
      <c r="CM884" s="35"/>
      <c r="CR884" s="35"/>
    </row>
    <row r="885" spans="49:96" ht="25.25" customHeight="1">
      <c r="AW885" s="35"/>
      <c r="CH885" s="35"/>
      <c r="CI885" s="35"/>
      <c r="CJ885" s="35"/>
      <c r="CK885" s="35"/>
      <c r="CM885" s="35"/>
      <c r="CR885" s="35"/>
    </row>
    <row r="886" spans="49:96" ht="25.25" customHeight="1">
      <c r="AW886" s="35"/>
      <c r="CH886" s="35"/>
      <c r="CI886" s="35"/>
      <c r="CJ886" s="35"/>
      <c r="CK886" s="35"/>
      <c r="CM886" s="35"/>
      <c r="CR886" s="35"/>
    </row>
    <row r="887" spans="49:96" ht="25.25" customHeight="1">
      <c r="AW887" s="35"/>
      <c r="CH887" s="35"/>
      <c r="CI887" s="35"/>
      <c r="CJ887" s="35"/>
      <c r="CK887" s="35"/>
      <c r="CM887" s="35"/>
      <c r="CR887" s="35"/>
    </row>
    <row r="888" spans="49:96" ht="25.25" customHeight="1">
      <c r="AW888" s="35"/>
      <c r="CH888" s="35"/>
      <c r="CI888" s="35"/>
      <c r="CJ888" s="35"/>
      <c r="CK888" s="35"/>
      <c r="CM888" s="35"/>
      <c r="CR888" s="35"/>
    </row>
    <row r="889" spans="49:96" ht="25.25" customHeight="1">
      <c r="AW889" s="35"/>
      <c r="CH889" s="35"/>
      <c r="CI889" s="35"/>
      <c r="CJ889" s="35"/>
      <c r="CK889" s="35"/>
      <c r="CM889" s="35"/>
      <c r="CR889" s="35"/>
    </row>
    <row r="890" spans="49:96" ht="25.25" customHeight="1">
      <c r="AW890" s="35"/>
      <c r="CH890" s="35"/>
      <c r="CI890" s="35"/>
      <c r="CJ890" s="35"/>
      <c r="CK890" s="35"/>
      <c r="CM890" s="35"/>
      <c r="CR890" s="35"/>
    </row>
    <row r="891" spans="49:96" ht="25.25" customHeight="1">
      <c r="AW891" s="35"/>
      <c r="CH891" s="35"/>
      <c r="CI891" s="35"/>
      <c r="CJ891" s="35"/>
      <c r="CK891" s="35"/>
      <c r="CM891" s="35"/>
      <c r="CR891" s="35"/>
    </row>
    <row r="892" spans="49:96" ht="25.25" customHeight="1">
      <c r="AW892" s="35"/>
      <c r="CH892" s="35"/>
      <c r="CI892" s="35"/>
      <c r="CJ892" s="35"/>
      <c r="CK892" s="35"/>
      <c r="CM892" s="35"/>
      <c r="CR892" s="35"/>
    </row>
    <row r="893" spans="49:96" ht="25.25" customHeight="1">
      <c r="AW893" s="35"/>
      <c r="CH893" s="35"/>
      <c r="CI893" s="35"/>
      <c r="CJ893" s="35"/>
      <c r="CK893" s="35"/>
      <c r="CM893" s="35"/>
      <c r="CR893" s="35"/>
    </row>
    <row r="894" spans="49:96" ht="25.25" customHeight="1">
      <c r="AW894" s="35"/>
      <c r="CH894" s="35"/>
      <c r="CI894" s="35"/>
      <c r="CJ894" s="35"/>
      <c r="CK894" s="35"/>
      <c r="CM894" s="35"/>
      <c r="CR894" s="35"/>
    </row>
    <row r="895" spans="49:96" ht="25.25" customHeight="1">
      <c r="AW895" s="35"/>
      <c r="CH895" s="35"/>
      <c r="CI895" s="35"/>
      <c r="CJ895" s="35"/>
      <c r="CK895" s="35"/>
      <c r="CM895" s="35"/>
      <c r="CR895" s="35"/>
    </row>
    <row r="896" spans="49:96" ht="25.25" customHeight="1">
      <c r="AW896" s="35"/>
      <c r="CH896" s="35"/>
      <c r="CI896" s="35"/>
      <c r="CJ896" s="35"/>
      <c r="CK896" s="35"/>
      <c r="CM896" s="35"/>
      <c r="CR896" s="35"/>
    </row>
    <row r="897" spans="49:96" ht="25.25" customHeight="1">
      <c r="AW897" s="35"/>
      <c r="CH897" s="35"/>
      <c r="CI897" s="35"/>
      <c r="CJ897" s="35"/>
      <c r="CK897" s="35"/>
      <c r="CM897" s="35"/>
      <c r="CR897" s="35"/>
    </row>
    <row r="898" spans="49:96" ht="25.25" customHeight="1">
      <c r="AW898" s="35"/>
      <c r="CH898" s="35"/>
      <c r="CI898" s="35"/>
      <c r="CJ898" s="35"/>
      <c r="CK898" s="35"/>
      <c r="CM898" s="35"/>
      <c r="CR898" s="35"/>
    </row>
    <row r="899" spans="49:96" ht="25.25" customHeight="1">
      <c r="AW899" s="35"/>
      <c r="CH899" s="35"/>
      <c r="CI899" s="35"/>
      <c r="CJ899" s="35"/>
      <c r="CK899" s="35"/>
      <c r="CM899" s="35"/>
      <c r="CR899" s="35"/>
    </row>
    <row r="900" spans="49:96" ht="25.25" customHeight="1">
      <c r="AW900" s="35"/>
      <c r="CH900" s="35"/>
      <c r="CI900" s="35"/>
      <c r="CJ900" s="35"/>
      <c r="CK900" s="35"/>
      <c r="CM900" s="35"/>
      <c r="CR900" s="35"/>
    </row>
    <row r="901" spans="49:96" ht="25.25" customHeight="1">
      <c r="AW901" s="35"/>
      <c r="CH901" s="35"/>
      <c r="CI901" s="35"/>
      <c r="CJ901" s="35"/>
      <c r="CK901" s="35"/>
      <c r="CM901" s="35"/>
      <c r="CR901" s="35"/>
    </row>
    <row r="902" spans="49:96" ht="25.25" customHeight="1">
      <c r="AW902" s="35"/>
      <c r="CH902" s="35"/>
      <c r="CI902" s="35"/>
      <c r="CJ902" s="35"/>
      <c r="CK902" s="35"/>
      <c r="CM902" s="35"/>
      <c r="CR902" s="35"/>
    </row>
    <row r="903" spans="49:96" ht="25.25" customHeight="1">
      <c r="AW903" s="35"/>
      <c r="CH903" s="35"/>
      <c r="CI903" s="35"/>
      <c r="CJ903" s="35"/>
      <c r="CK903" s="35"/>
      <c r="CM903" s="35"/>
      <c r="CR903" s="35"/>
    </row>
    <row r="904" spans="49:96" ht="25.25" customHeight="1">
      <c r="AW904" s="35"/>
      <c r="CH904" s="35"/>
      <c r="CI904" s="35"/>
      <c r="CJ904" s="35"/>
      <c r="CK904" s="35"/>
      <c r="CM904" s="35"/>
      <c r="CR904" s="35"/>
    </row>
    <row r="905" spans="49:96" ht="25.25" customHeight="1">
      <c r="AW905" s="35"/>
      <c r="CH905" s="35"/>
      <c r="CI905" s="35"/>
      <c r="CJ905" s="35"/>
      <c r="CK905" s="35"/>
      <c r="CM905" s="35"/>
      <c r="CR905" s="35"/>
    </row>
    <row r="906" spans="49:96" ht="25.25" customHeight="1">
      <c r="AW906" s="35"/>
      <c r="CH906" s="35"/>
      <c r="CI906" s="35"/>
      <c r="CJ906" s="35"/>
      <c r="CK906" s="35"/>
      <c r="CM906" s="35"/>
      <c r="CR906" s="35"/>
    </row>
    <row r="907" spans="49:96" ht="25.25" customHeight="1">
      <c r="AW907" s="35"/>
      <c r="CH907" s="35"/>
      <c r="CI907" s="35"/>
      <c r="CJ907" s="35"/>
      <c r="CK907" s="35"/>
      <c r="CM907" s="35"/>
      <c r="CR907" s="35"/>
    </row>
    <row r="908" spans="49:96" ht="25.25" customHeight="1">
      <c r="AW908" s="35"/>
      <c r="CH908" s="35"/>
      <c r="CI908" s="35"/>
      <c r="CJ908" s="35"/>
      <c r="CK908" s="35"/>
      <c r="CM908" s="35"/>
      <c r="CR908" s="35"/>
    </row>
    <row r="909" spans="49:96" ht="25.25" customHeight="1">
      <c r="AW909" s="35"/>
      <c r="CH909" s="35"/>
      <c r="CI909" s="35"/>
      <c r="CJ909" s="35"/>
      <c r="CK909" s="35"/>
      <c r="CM909" s="35"/>
      <c r="CR909" s="35"/>
    </row>
    <row r="910" spans="49:96" ht="25.25" customHeight="1">
      <c r="AW910" s="35"/>
      <c r="CH910" s="35"/>
      <c r="CI910" s="35"/>
      <c r="CJ910" s="35"/>
      <c r="CK910" s="35"/>
      <c r="CM910" s="35"/>
      <c r="CR910" s="35"/>
    </row>
    <row r="911" spans="49:96" ht="25.25" customHeight="1">
      <c r="AW911" s="35"/>
      <c r="CH911" s="35"/>
      <c r="CI911" s="35"/>
      <c r="CJ911" s="35"/>
      <c r="CK911" s="35"/>
      <c r="CM911" s="35"/>
      <c r="CR911" s="35"/>
    </row>
    <row r="912" spans="49:96" ht="25.25" customHeight="1">
      <c r="AW912" s="35"/>
      <c r="CH912" s="35"/>
      <c r="CI912" s="35"/>
      <c r="CJ912" s="35"/>
      <c r="CK912" s="35"/>
      <c r="CM912" s="35"/>
      <c r="CR912" s="35"/>
    </row>
    <row r="913" spans="49:96" ht="25.25" customHeight="1">
      <c r="AW913" s="35"/>
      <c r="CH913" s="35"/>
      <c r="CI913" s="35"/>
      <c r="CJ913" s="35"/>
      <c r="CK913" s="35"/>
      <c r="CM913" s="35"/>
      <c r="CR913" s="35"/>
    </row>
    <row r="914" spans="49:96" ht="25.25" customHeight="1">
      <c r="AW914" s="35"/>
      <c r="CH914" s="35"/>
      <c r="CI914" s="35"/>
      <c r="CJ914" s="35"/>
      <c r="CK914" s="35"/>
      <c r="CM914" s="35"/>
      <c r="CR914" s="35"/>
    </row>
    <row r="915" spans="49:96" ht="25.25" customHeight="1">
      <c r="AW915" s="35"/>
      <c r="CH915" s="35"/>
      <c r="CI915" s="35"/>
      <c r="CJ915" s="35"/>
      <c r="CK915" s="35"/>
      <c r="CM915" s="35"/>
      <c r="CR915" s="35"/>
    </row>
    <row r="916" spans="49:96" ht="25.25" customHeight="1">
      <c r="AW916" s="35"/>
      <c r="CH916" s="35"/>
      <c r="CI916" s="35"/>
      <c r="CJ916" s="35"/>
      <c r="CK916" s="35"/>
      <c r="CM916" s="35"/>
      <c r="CR916" s="35"/>
    </row>
    <row r="917" spans="49:96" ht="25.25" customHeight="1">
      <c r="AW917" s="35"/>
      <c r="CH917" s="35"/>
      <c r="CI917" s="35"/>
      <c r="CJ917" s="35"/>
      <c r="CK917" s="35"/>
      <c r="CM917" s="35"/>
      <c r="CR917" s="35"/>
    </row>
    <row r="918" spans="49:96" ht="25.25" customHeight="1">
      <c r="AW918" s="35"/>
      <c r="CH918" s="35"/>
      <c r="CI918" s="35"/>
      <c r="CJ918" s="35"/>
      <c r="CK918" s="35"/>
      <c r="CM918" s="35"/>
      <c r="CR918" s="35"/>
    </row>
    <row r="919" spans="49:96" ht="25.25" customHeight="1">
      <c r="AW919" s="35"/>
      <c r="CH919" s="35"/>
      <c r="CI919" s="35"/>
      <c r="CJ919" s="35"/>
      <c r="CK919" s="35"/>
      <c r="CM919" s="35"/>
      <c r="CR919" s="35"/>
    </row>
    <row r="920" spans="49:96" ht="25.25" customHeight="1">
      <c r="AW920" s="35"/>
      <c r="CH920" s="35"/>
      <c r="CI920" s="35"/>
      <c r="CJ920" s="35"/>
      <c r="CK920" s="35"/>
      <c r="CM920" s="35"/>
      <c r="CR920" s="35"/>
    </row>
    <row r="921" spans="49:96" ht="25.25" customHeight="1">
      <c r="AW921" s="35"/>
      <c r="CH921" s="35"/>
      <c r="CI921" s="35"/>
      <c r="CJ921" s="35"/>
      <c r="CK921" s="35"/>
      <c r="CM921" s="35"/>
      <c r="CR921" s="35"/>
    </row>
    <row r="922" spans="49:96" ht="25.25" customHeight="1">
      <c r="AW922" s="35"/>
      <c r="CH922" s="35"/>
      <c r="CI922" s="35"/>
      <c r="CJ922" s="35"/>
      <c r="CK922" s="35"/>
      <c r="CM922" s="35"/>
      <c r="CR922" s="35"/>
    </row>
    <row r="923" spans="49:96" ht="25.25" customHeight="1">
      <c r="AW923" s="35"/>
      <c r="CH923" s="35"/>
      <c r="CI923" s="35"/>
      <c r="CJ923" s="35"/>
      <c r="CK923" s="35"/>
      <c r="CM923" s="35"/>
      <c r="CR923" s="35"/>
    </row>
    <row r="924" spans="49:96" ht="25.25" customHeight="1">
      <c r="AW924" s="35"/>
      <c r="CH924" s="35"/>
      <c r="CI924" s="35"/>
      <c r="CJ924" s="35"/>
      <c r="CK924" s="35"/>
      <c r="CM924" s="35"/>
      <c r="CR924" s="35"/>
    </row>
    <row r="925" spans="49:96" ht="25.25" customHeight="1">
      <c r="AW925" s="35"/>
      <c r="CH925" s="35"/>
      <c r="CI925" s="35"/>
      <c r="CJ925" s="35"/>
      <c r="CK925" s="35"/>
      <c r="CM925" s="35"/>
      <c r="CR925" s="35"/>
    </row>
    <row r="926" spans="49:96" ht="25.25" customHeight="1">
      <c r="AW926" s="35"/>
      <c r="CH926" s="35"/>
      <c r="CI926" s="35"/>
      <c r="CJ926" s="35"/>
      <c r="CK926" s="35"/>
      <c r="CM926" s="35"/>
      <c r="CR926" s="35"/>
    </row>
    <row r="927" spans="49:96" ht="25.25" customHeight="1">
      <c r="AW927" s="35"/>
      <c r="CH927" s="35"/>
      <c r="CI927" s="35"/>
      <c r="CJ927" s="35"/>
      <c r="CK927" s="35"/>
      <c r="CM927" s="35"/>
      <c r="CR927" s="35"/>
    </row>
    <row r="928" spans="49:96" ht="25.25" customHeight="1">
      <c r="AW928" s="35"/>
      <c r="CH928" s="35"/>
      <c r="CI928" s="35"/>
      <c r="CJ928" s="35"/>
      <c r="CK928" s="35"/>
      <c r="CM928" s="35"/>
      <c r="CR928" s="35"/>
    </row>
    <row r="929" spans="49:96" ht="25.25" customHeight="1">
      <c r="AW929" s="35"/>
      <c r="CH929" s="35"/>
      <c r="CI929" s="35"/>
      <c r="CJ929" s="35"/>
      <c r="CK929" s="35"/>
      <c r="CM929" s="35"/>
      <c r="CR929" s="35"/>
    </row>
    <row r="930" spans="49:96" ht="25.25" customHeight="1">
      <c r="AW930" s="35"/>
      <c r="CH930" s="35"/>
      <c r="CI930" s="35"/>
      <c r="CJ930" s="35"/>
      <c r="CK930" s="35"/>
      <c r="CM930" s="35"/>
      <c r="CR930" s="35"/>
    </row>
    <row r="931" spans="49:96" ht="25.25" customHeight="1">
      <c r="AW931" s="35"/>
      <c r="CH931" s="35"/>
      <c r="CI931" s="35"/>
      <c r="CJ931" s="35"/>
      <c r="CK931" s="35"/>
      <c r="CM931" s="35"/>
      <c r="CR931" s="35"/>
    </row>
    <row r="932" spans="49:96" ht="25.25" customHeight="1">
      <c r="AW932" s="35"/>
      <c r="CH932" s="35"/>
      <c r="CI932" s="35"/>
      <c r="CJ932" s="35"/>
      <c r="CK932" s="35"/>
      <c r="CM932" s="35"/>
      <c r="CR932" s="35"/>
    </row>
    <row r="933" spans="49:96" ht="25.25" customHeight="1">
      <c r="AW933" s="35"/>
      <c r="CH933" s="35"/>
      <c r="CI933" s="35"/>
      <c r="CJ933" s="35"/>
      <c r="CK933" s="35"/>
      <c r="CM933" s="35"/>
      <c r="CR933" s="35"/>
    </row>
    <row r="934" spans="49:96" ht="25.25" customHeight="1">
      <c r="AW934" s="35"/>
      <c r="CH934" s="35"/>
      <c r="CI934" s="35"/>
      <c r="CJ934" s="35"/>
      <c r="CK934" s="35"/>
      <c r="CM934" s="35"/>
      <c r="CR934" s="35"/>
    </row>
    <row r="935" spans="49:96" ht="25.25" customHeight="1">
      <c r="AW935" s="35"/>
      <c r="CH935" s="35"/>
      <c r="CI935" s="35"/>
      <c r="CJ935" s="35"/>
      <c r="CK935" s="35"/>
      <c r="CM935" s="35"/>
      <c r="CR935" s="35"/>
    </row>
    <row r="936" spans="49:96" ht="25.25" customHeight="1">
      <c r="AW936" s="35"/>
      <c r="CH936" s="35"/>
      <c r="CI936" s="35"/>
      <c r="CJ936" s="35"/>
      <c r="CK936" s="35"/>
      <c r="CM936" s="35"/>
      <c r="CR936" s="35"/>
    </row>
    <row r="937" spans="49:96" ht="25.25" customHeight="1">
      <c r="AW937" s="35"/>
      <c r="CH937" s="35"/>
      <c r="CI937" s="35"/>
      <c r="CJ937" s="35"/>
      <c r="CK937" s="35"/>
      <c r="CM937" s="35"/>
      <c r="CR937" s="35"/>
    </row>
    <row r="938" spans="49:96" ht="25.25" customHeight="1">
      <c r="AW938" s="35"/>
      <c r="CH938" s="35"/>
      <c r="CI938" s="35"/>
      <c r="CJ938" s="35"/>
      <c r="CK938" s="35"/>
      <c r="CM938" s="35"/>
      <c r="CR938" s="35"/>
    </row>
    <row r="939" spans="49:96" ht="25.25" customHeight="1">
      <c r="AW939" s="35"/>
      <c r="CH939" s="35"/>
      <c r="CI939" s="35"/>
      <c r="CJ939" s="35"/>
      <c r="CK939" s="35"/>
      <c r="CM939" s="35"/>
      <c r="CR939" s="35"/>
    </row>
    <row r="940" spans="49:96" ht="25.25" customHeight="1">
      <c r="AW940" s="35"/>
      <c r="CH940" s="35"/>
      <c r="CI940" s="35"/>
      <c r="CJ940" s="35"/>
      <c r="CK940" s="35"/>
      <c r="CM940" s="35"/>
      <c r="CR940" s="35"/>
    </row>
    <row r="941" spans="49:96" ht="25.25" customHeight="1">
      <c r="AW941" s="35"/>
      <c r="CH941" s="35"/>
      <c r="CI941" s="35"/>
      <c r="CJ941" s="35"/>
      <c r="CK941" s="35"/>
      <c r="CM941" s="35"/>
      <c r="CR941" s="35"/>
    </row>
    <row r="942" spans="49:96" ht="25.25" customHeight="1">
      <c r="AW942" s="35"/>
      <c r="CH942" s="35"/>
      <c r="CI942" s="35"/>
      <c r="CJ942" s="35"/>
      <c r="CK942" s="35"/>
      <c r="CM942" s="35"/>
      <c r="CR942" s="35"/>
    </row>
    <row r="943" spans="49:96" ht="25.25" customHeight="1">
      <c r="AW943" s="35"/>
      <c r="CH943" s="35"/>
      <c r="CI943" s="35"/>
      <c r="CJ943" s="35"/>
      <c r="CK943" s="35"/>
      <c r="CM943" s="35"/>
      <c r="CR943" s="35"/>
    </row>
    <row r="944" spans="49:96" ht="25.25" customHeight="1">
      <c r="AW944" s="35"/>
      <c r="CH944" s="35"/>
      <c r="CI944" s="35"/>
      <c r="CJ944" s="35"/>
      <c r="CK944" s="35"/>
      <c r="CM944" s="35"/>
      <c r="CR944" s="35"/>
    </row>
    <row r="945" spans="49:96" ht="25.25" customHeight="1">
      <c r="AW945" s="35"/>
      <c r="CH945" s="35"/>
      <c r="CI945" s="35"/>
      <c r="CJ945" s="35"/>
      <c r="CK945" s="35"/>
      <c r="CM945" s="35"/>
      <c r="CR945" s="35"/>
    </row>
    <row r="946" spans="49:96" ht="25.25" customHeight="1">
      <c r="AW946" s="35"/>
      <c r="CH946" s="35"/>
      <c r="CI946" s="35"/>
      <c r="CJ946" s="35"/>
      <c r="CK946" s="35"/>
      <c r="CM946" s="35"/>
      <c r="CR946" s="35"/>
    </row>
    <row r="947" spans="49:96" ht="25.25" customHeight="1">
      <c r="AW947" s="35"/>
      <c r="CH947" s="35"/>
      <c r="CI947" s="35"/>
      <c r="CJ947" s="35"/>
      <c r="CK947" s="35"/>
      <c r="CM947" s="35"/>
      <c r="CR947" s="35"/>
    </row>
    <row r="948" spans="49:96" ht="25.25" customHeight="1">
      <c r="AW948" s="35"/>
      <c r="CH948" s="35"/>
      <c r="CI948" s="35"/>
      <c r="CJ948" s="35"/>
      <c r="CK948" s="35"/>
      <c r="CM948" s="35"/>
      <c r="CR948" s="35"/>
    </row>
    <row r="949" spans="49:96" ht="25.25" customHeight="1">
      <c r="AW949" s="35"/>
      <c r="CH949" s="35"/>
      <c r="CI949" s="35"/>
      <c r="CJ949" s="35"/>
      <c r="CK949" s="35"/>
      <c r="CM949" s="35"/>
      <c r="CR949" s="35"/>
    </row>
    <row r="950" spans="49:96" ht="25.25" customHeight="1">
      <c r="AW950" s="35"/>
      <c r="CH950" s="35"/>
      <c r="CI950" s="35"/>
      <c r="CJ950" s="35"/>
      <c r="CK950" s="35"/>
      <c r="CM950" s="35"/>
      <c r="CR950" s="35"/>
    </row>
    <row r="951" spans="49:96" ht="25.25" customHeight="1">
      <c r="AW951" s="35"/>
      <c r="CH951" s="35"/>
      <c r="CI951" s="35"/>
      <c r="CJ951" s="35"/>
      <c r="CK951" s="35"/>
      <c r="CM951" s="35"/>
      <c r="CR951" s="35"/>
    </row>
    <row r="952" spans="49:96" ht="25.25" customHeight="1">
      <c r="AW952" s="35"/>
      <c r="CH952" s="35"/>
      <c r="CI952" s="35"/>
      <c r="CJ952" s="35"/>
      <c r="CK952" s="35"/>
      <c r="CM952" s="35"/>
      <c r="CR952" s="35"/>
    </row>
    <row r="953" spans="49:96" ht="25.25" customHeight="1">
      <c r="AW953" s="35"/>
      <c r="CH953" s="35"/>
      <c r="CI953" s="35"/>
      <c r="CJ953" s="35"/>
      <c r="CK953" s="35"/>
      <c r="CM953" s="35"/>
      <c r="CR953" s="35"/>
    </row>
    <row r="954" spans="49:96" ht="25.25" customHeight="1">
      <c r="AW954" s="35"/>
      <c r="CH954" s="35"/>
      <c r="CI954" s="35"/>
      <c r="CJ954" s="35"/>
      <c r="CK954" s="35"/>
      <c r="CM954" s="35"/>
      <c r="CR954" s="35"/>
    </row>
    <row r="955" spans="49:96" ht="25.25" customHeight="1">
      <c r="AW955" s="35"/>
      <c r="CH955" s="35"/>
      <c r="CI955" s="35"/>
      <c r="CJ955" s="35"/>
      <c r="CK955" s="35"/>
      <c r="CM955" s="35"/>
      <c r="CR955" s="35"/>
    </row>
    <row r="956" spans="49:96" ht="25.25" customHeight="1">
      <c r="AW956" s="35"/>
      <c r="CH956" s="35"/>
      <c r="CI956" s="35"/>
      <c r="CJ956" s="35"/>
      <c r="CK956" s="35"/>
      <c r="CM956" s="35"/>
      <c r="CR956" s="35"/>
    </row>
    <row r="957" spans="49:96" ht="25.25" customHeight="1">
      <c r="AW957" s="35"/>
      <c r="CH957" s="35"/>
      <c r="CI957" s="35"/>
      <c r="CJ957" s="35"/>
      <c r="CK957" s="35"/>
      <c r="CM957" s="35"/>
      <c r="CR957" s="35"/>
    </row>
    <row r="958" spans="49:96" ht="25.25" customHeight="1">
      <c r="AW958" s="35"/>
      <c r="CH958" s="35"/>
      <c r="CI958" s="35"/>
      <c r="CJ958" s="35"/>
      <c r="CK958" s="35"/>
      <c r="CM958" s="35"/>
      <c r="CR958" s="35"/>
    </row>
    <row r="959" spans="49:96" ht="25.25" customHeight="1">
      <c r="AW959" s="35"/>
      <c r="CH959" s="35"/>
      <c r="CI959" s="35"/>
      <c r="CJ959" s="35"/>
      <c r="CK959" s="35"/>
      <c r="CM959" s="35"/>
      <c r="CR959" s="35"/>
    </row>
    <row r="960" spans="49:96" ht="25.25" customHeight="1">
      <c r="AW960" s="35"/>
      <c r="CH960" s="35"/>
      <c r="CI960" s="35"/>
      <c r="CJ960" s="35"/>
      <c r="CK960" s="35"/>
      <c r="CM960" s="35"/>
      <c r="CR960" s="35"/>
    </row>
    <row r="961" spans="49:96" ht="25.25" customHeight="1">
      <c r="AW961" s="35"/>
      <c r="CH961" s="35"/>
      <c r="CI961" s="35"/>
      <c r="CJ961" s="35"/>
      <c r="CK961" s="35"/>
      <c r="CM961" s="35"/>
      <c r="CR961" s="35"/>
    </row>
    <row r="962" spans="49:96" ht="25.25" customHeight="1">
      <c r="AW962" s="35"/>
      <c r="CH962" s="35"/>
      <c r="CI962" s="35"/>
      <c r="CJ962" s="35"/>
      <c r="CK962" s="35"/>
      <c r="CM962" s="35"/>
      <c r="CR962" s="35"/>
    </row>
    <row r="963" spans="49:96" ht="25.25" customHeight="1">
      <c r="AW963" s="35"/>
      <c r="CH963" s="35"/>
      <c r="CI963" s="35"/>
      <c r="CJ963" s="35"/>
      <c r="CK963" s="35"/>
      <c r="CM963" s="35"/>
      <c r="CR963" s="35"/>
    </row>
    <row r="964" spans="49:96" ht="25.25" customHeight="1">
      <c r="AW964" s="35"/>
      <c r="CH964" s="35"/>
      <c r="CI964" s="35"/>
      <c r="CJ964" s="35"/>
      <c r="CK964" s="35"/>
      <c r="CM964" s="35"/>
      <c r="CR964" s="35"/>
    </row>
    <row r="965" spans="49:96" ht="25.25" customHeight="1">
      <c r="AW965" s="35"/>
      <c r="CH965" s="35"/>
      <c r="CI965" s="35"/>
      <c r="CJ965" s="35"/>
      <c r="CK965" s="35"/>
      <c r="CM965" s="35"/>
      <c r="CR965" s="35"/>
    </row>
    <row r="966" spans="49:96" ht="25.25" customHeight="1">
      <c r="AW966" s="35"/>
      <c r="CH966" s="35"/>
      <c r="CI966" s="35"/>
      <c r="CJ966" s="35"/>
      <c r="CK966" s="35"/>
      <c r="CM966" s="35"/>
      <c r="CR966" s="35"/>
    </row>
    <row r="967" spans="49:96" ht="25.25" customHeight="1">
      <c r="AW967" s="35"/>
      <c r="CH967" s="35"/>
      <c r="CI967" s="35"/>
      <c r="CJ967" s="35"/>
      <c r="CK967" s="35"/>
      <c r="CM967" s="35"/>
      <c r="CR967" s="35"/>
    </row>
    <row r="968" spans="49:96" ht="25.25" customHeight="1">
      <c r="AW968" s="35"/>
      <c r="CH968" s="35"/>
      <c r="CI968" s="35"/>
      <c r="CJ968" s="35"/>
      <c r="CK968" s="35"/>
      <c r="CM968" s="35"/>
      <c r="CR968" s="35"/>
    </row>
    <row r="969" spans="49:96" ht="25.25" customHeight="1">
      <c r="AW969" s="35"/>
      <c r="CH969" s="35"/>
      <c r="CI969" s="35"/>
      <c r="CJ969" s="35"/>
      <c r="CK969" s="35"/>
      <c r="CM969" s="35"/>
      <c r="CR969" s="35"/>
    </row>
    <row r="970" spans="49:96" ht="25.25" customHeight="1">
      <c r="AW970" s="35"/>
      <c r="CH970" s="35"/>
      <c r="CI970" s="35"/>
      <c r="CJ970" s="35"/>
      <c r="CK970" s="35"/>
      <c r="CM970" s="35"/>
      <c r="CR970" s="35"/>
    </row>
    <row r="971" spans="49:96" ht="25.25" customHeight="1">
      <c r="AW971" s="35"/>
      <c r="CH971" s="35"/>
      <c r="CI971" s="35"/>
      <c r="CJ971" s="35"/>
      <c r="CK971" s="35"/>
      <c r="CM971" s="35"/>
      <c r="CR971" s="35"/>
    </row>
    <row r="972" spans="49:96" ht="25.25" customHeight="1">
      <c r="AW972" s="35"/>
      <c r="CH972" s="35"/>
      <c r="CI972" s="35"/>
      <c r="CJ972" s="35"/>
      <c r="CK972" s="35"/>
      <c r="CM972" s="35"/>
      <c r="CR972" s="35"/>
    </row>
    <row r="973" spans="49:96" ht="25.25" customHeight="1">
      <c r="AW973" s="35"/>
      <c r="CH973" s="35"/>
      <c r="CI973" s="35"/>
      <c r="CJ973" s="35"/>
      <c r="CK973" s="35"/>
      <c r="CM973" s="35"/>
      <c r="CR973" s="35"/>
    </row>
    <row r="974" spans="49:96" ht="25.25" customHeight="1">
      <c r="AW974" s="35"/>
      <c r="CH974" s="35"/>
      <c r="CI974" s="35"/>
      <c r="CJ974" s="35"/>
      <c r="CK974" s="35"/>
      <c r="CM974" s="35"/>
      <c r="CR974" s="35"/>
    </row>
    <row r="975" spans="49:96" ht="25.25" customHeight="1">
      <c r="AW975" s="35"/>
      <c r="CH975" s="35"/>
      <c r="CI975" s="35"/>
      <c r="CJ975" s="35"/>
      <c r="CK975" s="35"/>
      <c r="CM975" s="35"/>
      <c r="CR975" s="35"/>
    </row>
    <row r="976" spans="49:96" ht="25.25" customHeight="1">
      <c r="AW976" s="35"/>
      <c r="CH976" s="35"/>
      <c r="CI976" s="35"/>
      <c r="CJ976" s="35"/>
      <c r="CK976" s="35"/>
      <c r="CM976" s="35"/>
      <c r="CR976" s="35"/>
    </row>
    <row r="977" spans="49:96" ht="25.25" customHeight="1">
      <c r="AW977" s="35"/>
      <c r="CH977" s="35"/>
      <c r="CI977" s="35"/>
      <c r="CJ977" s="35"/>
      <c r="CK977" s="35"/>
      <c r="CM977" s="35"/>
      <c r="CR977" s="35"/>
    </row>
    <row r="978" spans="49:96" ht="25.25" customHeight="1">
      <c r="AW978" s="35"/>
      <c r="CH978" s="35"/>
      <c r="CI978" s="35"/>
      <c r="CJ978" s="35"/>
      <c r="CK978" s="35"/>
      <c r="CM978" s="35"/>
      <c r="CR978" s="35"/>
    </row>
    <row r="979" spans="49:96" ht="25.25" customHeight="1">
      <c r="AW979" s="35"/>
      <c r="CH979" s="35"/>
      <c r="CI979" s="35"/>
      <c r="CJ979" s="35"/>
      <c r="CK979" s="35"/>
      <c r="CM979" s="35"/>
      <c r="CR979" s="35"/>
    </row>
    <row r="980" spans="49:96" ht="25.25" customHeight="1">
      <c r="AW980" s="35"/>
      <c r="CH980" s="35"/>
      <c r="CI980" s="35"/>
      <c r="CJ980" s="35"/>
      <c r="CK980" s="35"/>
      <c r="CM980" s="35"/>
      <c r="CR980" s="35"/>
    </row>
    <row r="981" spans="49:96" ht="25.25" customHeight="1">
      <c r="AW981" s="35"/>
      <c r="CH981" s="35"/>
      <c r="CI981" s="35"/>
      <c r="CJ981" s="35"/>
      <c r="CK981" s="35"/>
      <c r="CM981" s="35"/>
      <c r="CR981" s="35"/>
    </row>
    <row r="982" spans="49:96" ht="25.25" customHeight="1">
      <c r="AW982" s="35"/>
      <c r="CH982" s="35"/>
      <c r="CI982" s="35"/>
      <c r="CJ982" s="35"/>
      <c r="CK982" s="35"/>
      <c r="CM982" s="35"/>
      <c r="CR982" s="35"/>
    </row>
    <row r="983" spans="49:96" ht="25.25" customHeight="1">
      <c r="AW983" s="35"/>
      <c r="CH983" s="35"/>
      <c r="CI983" s="35"/>
      <c r="CJ983" s="35"/>
      <c r="CK983" s="35"/>
      <c r="CM983" s="35"/>
      <c r="CR983" s="35"/>
    </row>
    <row r="984" spans="49:96" ht="25.25" customHeight="1">
      <c r="AW984" s="35"/>
      <c r="CH984" s="35"/>
      <c r="CI984" s="35"/>
      <c r="CJ984" s="35"/>
      <c r="CK984" s="35"/>
      <c r="CM984" s="35"/>
      <c r="CR984" s="35"/>
    </row>
    <row r="985" spans="49:96" ht="25.25" customHeight="1">
      <c r="AW985" s="35"/>
      <c r="CH985" s="35"/>
      <c r="CI985" s="35"/>
      <c r="CJ985" s="35"/>
      <c r="CK985" s="35"/>
      <c r="CM985" s="35"/>
      <c r="CR985" s="35"/>
    </row>
    <row r="986" spans="49:96" ht="25.25" customHeight="1">
      <c r="AW986" s="35"/>
      <c r="CH986" s="35"/>
      <c r="CI986" s="35"/>
      <c r="CJ986" s="35"/>
      <c r="CK986" s="35"/>
      <c r="CM986" s="35"/>
      <c r="CR986" s="35"/>
    </row>
    <row r="987" spans="49:96" ht="25.25" customHeight="1">
      <c r="AW987" s="35"/>
      <c r="CH987" s="35"/>
      <c r="CI987" s="35"/>
      <c r="CJ987" s="35"/>
      <c r="CK987" s="35"/>
      <c r="CM987" s="35"/>
      <c r="CR987" s="35"/>
    </row>
    <row r="988" spans="49:96" ht="25.25" customHeight="1">
      <c r="AW988" s="35"/>
      <c r="CH988" s="35"/>
      <c r="CI988" s="35"/>
      <c r="CJ988" s="35"/>
      <c r="CK988" s="35"/>
      <c r="CM988" s="35"/>
      <c r="CR988" s="35"/>
    </row>
    <row r="989" spans="49:96" ht="25.25" customHeight="1">
      <c r="AW989" s="35"/>
      <c r="CH989" s="35"/>
      <c r="CI989" s="35"/>
      <c r="CJ989" s="35"/>
      <c r="CK989" s="35"/>
      <c r="CM989" s="35"/>
      <c r="CR989" s="35"/>
    </row>
    <row r="990" spans="49:96" ht="25.25" customHeight="1">
      <c r="AW990" s="35"/>
      <c r="CH990" s="35"/>
      <c r="CI990" s="35"/>
      <c r="CJ990" s="35"/>
      <c r="CK990" s="35"/>
      <c r="CM990" s="35"/>
      <c r="CR990" s="35"/>
    </row>
    <row r="991" spans="49:96" ht="25.25" customHeight="1">
      <c r="AW991" s="35"/>
      <c r="CH991" s="35"/>
      <c r="CI991" s="35"/>
      <c r="CJ991" s="35"/>
      <c r="CK991" s="35"/>
      <c r="CM991" s="35"/>
      <c r="CR991" s="35"/>
    </row>
    <row r="992" spans="49:96" ht="25.25" customHeight="1">
      <c r="AW992" s="35"/>
      <c r="CH992" s="35"/>
      <c r="CI992" s="35"/>
      <c r="CJ992" s="35"/>
      <c r="CK992" s="35"/>
      <c r="CM992" s="35"/>
      <c r="CR992" s="35"/>
    </row>
    <row r="993" spans="49:96" ht="25.25" customHeight="1">
      <c r="AW993" s="35"/>
      <c r="CH993" s="35"/>
      <c r="CI993" s="35"/>
      <c r="CJ993" s="35"/>
      <c r="CK993" s="35"/>
      <c r="CM993" s="35"/>
      <c r="CR993" s="35"/>
    </row>
    <row r="994" spans="49:96" ht="25.25" customHeight="1">
      <c r="AW994" s="35"/>
      <c r="CH994" s="35"/>
      <c r="CI994" s="35"/>
      <c r="CJ994" s="35"/>
      <c r="CK994" s="35"/>
      <c r="CM994" s="35"/>
      <c r="CR994" s="35"/>
    </row>
    <row r="995" spans="49:96" ht="25.25" customHeight="1">
      <c r="AW995" s="35"/>
      <c r="CH995" s="35"/>
      <c r="CI995" s="35"/>
      <c r="CJ995" s="35"/>
      <c r="CK995" s="35"/>
      <c r="CM995" s="35"/>
      <c r="CR995" s="35"/>
    </row>
    <row r="996" spans="49:96" ht="25.25" customHeight="1">
      <c r="AW996" s="35"/>
      <c r="CH996" s="35"/>
      <c r="CI996" s="35"/>
      <c r="CJ996" s="35"/>
      <c r="CK996" s="35"/>
      <c r="CM996" s="35"/>
      <c r="CR996" s="35"/>
    </row>
    <row r="997" spans="49:96" ht="25.25" customHeight="1">
      <c r="AW997" s="35"/>
      <c r="CH997" s="35"/>
      <c r="CI997" s="35"/>
      <c r="CJ997" s="35"/>
      <c r="CK997" s="35"/>
      <c r="CM997" s="35"/>
      <c r="CR997" s="35"/>
    </row>
    <row r="998" spans="49:96" ht="25.25" customHeight="1">
      <c r="AW998" s="35"/>
      <c r="CH998" s="35"/>
      <c r="CI998" s="35"/>
      <c r="CJ998" s="35"/>
      <c r="CK998" s="35"/>
      <c r="CM998" s="35"/>
      <c r="CR998" s="35"/>
    </row>
    <row r="999" spans="49:96" ht="25.25" customHeight="1">
      <c r="AW999" s="35"/>
      <c r="CH999" s="35"/>
      <c r="CI999" s="35"/>
      <c r="CJ999" s="35"/>
      <c r="CK999" s="35"/>
      <c r="CM999" s="35"/>
      <c r="CR999" s="35"/>
    </row>
    <row r="1000" spans="49:96" ht="25.25" customHeight="1">
      <c r="AW1000" s="35"/>
      <c r="CH1000" s="35"/>
      <c r="CI1000" s="35"/>
      <c r="CJ1000" s="35"/>
      <c r="CK1000" s="35"/>
      <c r="CM1000" s="35"/>
      <c r="CR1000" s="35"/>
    </row>
    <row r="1001" spans="49:96" ht="25.25" customHeight="1">
      <c r="AW1001" s="35"/>
      <c r="CH1001" s="35"/>
      <c r="CI1001" s="35"/>
      <c r="CJ1001" s="35"/>
      <c r="CK1001" s="35"/>
      <c r="CM1001" s="35"/>
      <c r="CR1001" s="35"/>
    </row>
    <row r="1002" spans="49:96" ht="25.25" customHeight="1">
      <c r="AW1002" s="35"/>
      <c r="CH1002" s="35"/>
      <c r="CI1002" s="35"/>
      <c r="CJ1002" s="35"/>
      <c r="CK1002" s="35"/>
      <c r="CM1002" s="35"/>
      <c r="CR1002" s="35"/>
    </row>
    <row r="1003" spans="49:96" ht="25.25" customHeight="1">
      <c r="AW1003" s="35"/>
      <c r="CH1003" s="35"/>
      <c r="CI1003" s="35"/>
      <c r="CJ1003" s="35"/>
      <c r="CK1003" s="35"/>
      <c r="CM1003" s="35"/>
      <c r="CR1003" s="35"/>
    </row>
    <row r="1004" spans="49:96" ht="25.25" customHeight="1">
      <c r="AW1004" s="35"/>
      <c r="CH1004" s="35"/>
      <c r="CI1004" s="35"/>
      <c r="CJ1004" s="35"/>
      <c r="CK1004" s="35"/>
      <c r="CM1004" s="35"/>
      <c r="CR1004" s="35"/>
    </row>
    <row r="1005" spans="49:96" ht="25.25" customHeight="1">
      <c r="AW1005" s="35"/>
      <c r="CH1005" s="35"/>
      <c r="CI1005" s="35"/>
      <c r="CJ1005" s="35"/>
      <c r="CK1005" s="35"/>
      <c r="CM1005" s="35"/>
      <c r="CR1005" s="35"/>
    </row>
    <row r="1006" spans="49:96" ht="25.25" customHeight="1">
      <c r="AW1006" s="35"/>
      <c r="CH1006" s="35"/>
      <c r="CI1006" s="35"/>
      <c r="CJ1006" s="35"/>
      <c r="CK1006" s="35"/>
      <c r="CM1006" s="35"/>
      <c r="CR1006" s="35"/>
    </row>
    <row r="1007" spans="49:96" ht="25.25" customHeight="1">
      <c r="AW1007" s="35"/>
      <c r="CH1007" s="35"/>
      <c r="CI1007" s="35"/>
      <c r="CJ1007" s="35"/>
      <c r="CK1007" s="35"/>
      <c r="CM1007" s="35"/>
      <c r="CR1007" s="35"/>
    </row>
    <row r="1008" spans="49:96" ht="25.25" customHeight="1">
      <c r="AW1008" s="35"/>
      <c r="CH1008" s="35"/>
      <c r="CI1008" s="35"/>
      <c r="CJ1008" s="35"/>
      <c r="CK1008" s="35"/>
      <c r="CM1008" s="35"/>
      <c r="CR1008" s="35"/>
    </row>
    <row r="1009" spans="49:96" ht="25.25" customHeight="1">
      <c r="AW1009" s="35"/>
      <c r="CH1009" s="35"/>
      <c r="CI1009" s="35"/>
      <c r="CJ1009" s="35"/>
      <c r="CK1009" s="35"/>
      <c r="CM1009" s="35"/>
      <c r="CR1009" s="35"/>
    </row>
    <row r="1010" spans="49:96" ht="25.25" customHeight="1">
      <c r="AW1010" s="35"/>
      <c r="CH1010" s="35"/>
      <c r="CI1010" s="35"/>
      <c r="CJ1010" s="35"/>
      <c r="CK1010" s="35"/>
      <c r="CM1010" s="35"/>
      <c r="CR1010" s="35"/>
    </row>
    <row r="1011" spans="49:96" ht="25.25" customHeight="1">
      <c r="AW1011" s="35"/>
      <c r="CH1011" s="35"/>
      <c r="CI1011" s="35"/>
      <c r="CJ1011" s="35"/>
      <c r="CK1011" s="35"/>
      <c r="CM1011" s="35"/>
      <c r="CR1011" s="35"/>
    </row>
    <row r="1012" spans="49:96" ht="25.25" customHeight="1">
      <c r="AW1012" s="35"/>
      <c r="CH1012" s="35"/>
      <c r="CI1012" s="35"/>
      <c r="CJ1012" s="35"/>
      <c r="CK1012" s="35"/>
      <c r="CM1012" s="35"/>
      <c r="CR1012" s="35"/>
    </row>
    <row r="1013" spans="49:96" ht="25.25" customHeight="1">
      <c r="AW1013" s="35"/>
      <c r="CH1013" s="35"/>
      <c r="CI1013" s="35"/>
      <c r="CJ1013" s="35"/>
      <c r="CK1013" s="35"/>
      <c r="CM1013" s="35"/>
      <c r="CR1013" s="35"/>
    </row>
    <row r="1014" spans="49:96" ht="25.25" customHeight="1">
      <c r="AW1014" s="35"/>
      <c r="CH1014" s="35"/>
      <c r="CI1014" s="35"/>
      <c r="CJ1014" s="35"/>
      <c r="CK1014" s="35"/>
      <c r="CM1014" s="35"/>
      <c r="CR1014" s="35"/>
    </row>
    <row r="1015" spans="49:96" ht="25.25" customHeight="1">
      <c r="AW1015" s="35"/>
      <c r="CH1015" s="35"/>
      <c r="CI1015" s="35"/>
      <c r="CJ1015" s="35"/>
      <c r="CK1015" s="35"/>
      <c r="CM1015" s="35"/>
      <c r="CR1015" s="35"/>
    </row>
    <row r="1016" spans="49:96" ht="25.25" customHeight="1">
      <c r="AW1016" s="35"/>
      <c r="CH1016" s="35"/>
      <c r="CI1016" s="35"/>
      <c r="CJ1016" s="35"/>
      <c r="CK1016" s="35"/>
      <c r="CM1016" s="35"/>
      <c r="CR1016" s="35"/>
    </row>
    <row r="1017" spans="49:96" ht="25.25" customHeight="1">
      <c r="AW1017" s="35"/>
      <c r="CH1017" s="35"/>
      <c r="CI1017" s="35"/>
      <c r="CJ1017" s="35"/>
      <c r="CK1017" s="35"/>
      <c r="CM1017" s="35"/>
      <c r="CR1017" s="35"/>
    </row>
    <row r="1018" spans="49:96" ht="25.25" customHeight="1">
      <c r="AW1018" s="35"/>
      <c r="CH1018" s="35"/>
      <c r="CI1018" s="35"/>
      <c r="CJ1018" s="35"/>
      <c r="CK1018" s="35"/>
      <c r="CM1018" s="35"/>
      <c r="CR1018" s="35"/>
    </row>
    <row r="1019" spans="49:96" ht="25.25" customHeight="1">
      <c r="AW1019" s="35"/>
      <c r="CH1019" s="35"/>
      <c r="CI1019" s="35"/>
      <c r="CJ1019" s="35"/>
      <c r="CK1019" s="35"/>
      <c r="CM1019" s="35"/>
      <c r="CR1019" s="35"/>
    </row>
    <row r="1020" spans="49:96" ht="25.25" customHeight="1">
      <c r="AW1020" s="35"/>
      <c r="CH1020" s="35"/>
      <c r="CI1020" s="35"/>
      <c r="CJ1020" s="35"/>
      <c r="CK1020" s="35"/>
      <c r="CM1020" s="35"/>
      <c r="CR1020" s="35"/>
    </row>
    <row r="1021" spans="49:96" ht="25.25" customHeight="1">
      <c r="AW1021" s="35"/>
      <c r="CH1021" s="35"/>
      <c r="CI1021" s="35"/>
      <c r="CJ1021" s="35"/>
      <c r="CK1021" s="35"/>
      <c r="CM1021" s="35"/>
      <c r="CR1021" s="35"/>
    </row>
    <row r="1022" spans="49:96" ht="25.25" customHeight="1">
      <c r="AW1022" s="35"/>
      <c r="CH1022" s="35"/>
      <c r="CI1022" s="35"/>
      <c r="CJ1022" s="35"/>
      <c r="CK1022" s="35"/>
      <c r="CM1022" s="35"/>
      <c r="CR1022" s="35"/>
    </row>
    <row r="1023" spans="49:96" ht="25.25" customHeight="1">
      <c r="AW1023" s="35"/>
      <c r="CH1023" s="35"/>
      <c r="CI1023" s="35"/>
      <c r="CJ1023" s="35"/>
      <c r="CK1023" s="35"/>
      <c r="CM1023" s="35"/>
      <c r="CR1023" s="35"/>
    </row>
    <row r="1024" spans="49:96" ht="25.25" customHeight="1">
      <c r="AW1024" s="35"/>
      <c r="CH1024" s="35"/>
      <c r="CI1024" s="35"/>
      <c r="CJ1024" s="35"/>
      <c r="CK1024" s="35"/>
      <c r="CM1024" s="35"/>
      <c r="CR1024" s="35"/>
    </row>
    <row r="1025" spans="49:96" ht="25.25" customHeight="1">
      <c r="AW1025" s="35"/>
      <c r="CH1025" s="35"/>
      <c r="CI1025" s="35"/>
      <c r="CJ1025" s="35"/>
      <c r="CK1025" s="35"/>
      <c r="CM1025" s="35"/>
      <c r="CR1025" s="35"/>
    </row>
    <row r="1026" spans="49:96" ht="25.25" customHeight="1">
      <c r="AW1026" s="35"/>
      <c r="CH1026" s="35"/>
      <c r="CI1026" s="35"/>
      <c r="CJ1026" s="35"/>
      <c r="CK1026" s="35"/>
      <c r="CM1026" s="35"/>
      <c r="CR1026" s="35"/>
    </row>
    <row r="1027" spans="49:96" ht="25.25" customHeight="1">
      <c r="AW1027" s="35"/>
      <c r="CH1027" s="35"/>
      <c r="CI1027" s="35"/>
      <c r="CJ1027" s="35"/>
      <c r="CK1027" s="35"/>
      <c r="CM1027" s="35"/>
      <c r="CR1027" s="35"/>
    </row>
    <row r="1028" spans="49:96" ht="25.25" customHeight="1">
      <c r="AW1028" s="35"/>
      <c r="CH1028" s="35"/>
      <c r="CI1028" s="35"/>
      <c r="CJ1028" s="35"/>
      <c r="CK1028" s="35"/>
      <c r="CM1028" s="35"/>
      <c r="CR1028" s="35"/>
    </row>
    <row r="1029" spans="49:96" ht="25.25" customHeight="1">
      <c r="AW1029" s="35"/>
      <c r="CH1029" s="35"/>
      <c r="CI1029" s="35"/>
      <c r="CJ1029" s="35"/>
      <c r="CK1029" s="35"/>
      <c r="CM1029" s="35"/>
      <c r="CR1029" s="35"/>
    </row>
    <row r="1030" spans="49:96" ht="25.25" customHeight="1">
      <c r="AW1030" s="35"/>
      <c r="CH1030" s="35"/>
      <c r="CI1030" s="35"/>
      <c r="CJ1030" s="35"/>
      <c r="CK1030" s="35"/>
      <c r="CM1030" s="35"/>
      <c r="CR1030" s="35"/>
    </row>
    <row r="1031" spans="49:96" ht="25.25" customHeight="1">
      <c r="AW1031" s="35"/>
      <c r="CH1031" s="35"/>
      <c r="CI1031" s="35"/>
      <c r="CJ1031" s="35"/>
      <c r="CK1031" s="35"/>
      <c r="CM1031" s="35"/>
      <c r="CR1031" s="35"/>
    </row>
    <row r="1032" spans="49:96" ht="25.25" customHeight="1">
      <c r="AW1032" s="35"/>
      <c r="CH1032" s="35"/>
      <c r="CI1032" s="35"/>
      <c r="CJ1032" s="35"/>
      <c r="CK1032" s="35"/>
      <c r="CM1032" s="35"/>
      <c r="CR1032" s="35"/>
    </row>
    <row r="1033" spans="49:96" ht="25.25" customHeight="1">
      <c r="AW1033" s="35"/>
      <c r="CH1033" s="35"/>
      <c r="CI1033" s="35"/>
      <c r="CJ1033" s="35"/>
      <c r="CK1033" s="35"/>
      <c r="CM1033" s="35"/>
      <c r="CR1033" s="35"/>
    </row>
    <row r="1034" spans="49:96" ht="25.25" customHeight="1">
      <c r="AW1034" s="35"/>
      <c r="CH1034" s="35"/>
      <c r="CI1034" s="35"/>
      <c r="CJ1034" s="35"/>
      <c r="CK1034" s="35"/>
      <c r="CM1034" s="35"/>
      <c r="CR1034" s="35"/>
    </row>
    <row r="1035" spans="49:96" ht="25.25" customHeight="1">
      <c r="AW1035" s="35"/>
      <c r="CH1035" s="35"/>
      <c r="CI1035" s="35"/>
      <c r="CJ1035" s="35"/>
      <c r="CK1035" s="35"/>
      <c r="CM1035" s="35"/>
      <c r="CR1035" s="35"/>
    </row>
    <row r="1036" spans="49:96" ht="25.25" customHeight="1">
      <c r="AW1036" s="35"/>
      <c r="CH1036" s="35"/>
      <c r="CI1036" s="35"/>
      <c r="CJ1036" s="35"/>
      <c r="CK1036" s="35"/>
      <c r="CM1036" s="35"/>
      <c r="CR1036" s="35"/>
    </row>
    <row r="1037" spans="49:96" ht="25.25" customHeight="1">
      <c r="AW1037" s="35"/>
      <c r="CH1037" s="35"/>
      <c r="CI1037" s="35"/>
      <c r="CJ1037" s="35"/>
      <c r="CK1037" s="35"/>
      <c r="CM1037" s="35"/>
      <c r="CR1037" s="35"/>
    </row>
    <row r="1038" spans="49:96" ht="25.25" customHeight="1">
      <c r="AW1038" s="35"/>
      <c r="CH1038" s="35"/>
      <c r="CI1038" s="35"/>
      <c r="CJ1038" s="35"/>
      <c r="CK1038" s="35"/>
      <c r="CM1038" s="35"/>
      <c r="CR1038" s="35"/>
    </row>
    <row r="1039" spans="49:96" ht="25.25" customHeight="1">
      <c r="AW1039" s="35"/>
      <c r="CH1039" s="35"/>
      <c r="CI1039" s="35"/>
      <c r="CJ1039" s="35"/>
      <c r="CK1039" s="35"/>
      <c r="CM1039" s="35"/>
      <c r="CR1039" s="35"/>
    </row>
    <row r="1040" spans="49:96" ht="25.25" customHeight="1">
      <c r="AW1040" s="35"/>
      <c r="CH1040" s="35"/>
      <c r="CI1040" s="35"/>
      <c r="CJ1040" s="35"/>
      <c r="CK1040" s="35"/>
      <c r="CM1040" s="35"/>
      <c r="CR1040" s="35"/>
    </row>
    <row r="1041" spans="49:96" ht="25.25" customHeight="1">
      <c r="AW1041" s="35"/>
      <c r="CH1041" s="35"/>
      <c r="CI1041" s="35"/>
      <c r="CJ1041" s="35"/>
      <c r="CK1041" s="35"/>
      <c r="CM1041" s="35"/>
      <c r="CR1041" s="35"/>
    </row>
    <row r="1042" spans="49:96" ht="25.25" customHeight="1">
      <c r="AW1042" s="35"/>
      <c r="CH1042" s="35"/>
      <c r="CI1042" s="35"/>
      <c r="CJ1042" s="35"/>
      <c r="CK1042" s="35"/>
      <c r="CM1042" s="35"/>
      <c r="CR1042" s="35"/>
    </row>
    <row r="1043" spans="49:96" ht="25.25" customHeight="1">
      <c r="AW1043" s="35"/>
      <c r="CH1043" s="35"/>
      <c r="CI1043" s="35"/>
      <c r="CJ1043" s="35"/>
      <c r="CK1043" s="35"/>
      <c r="CM1043" s="35"/>
      <c r="CR1043" s="35"/>
    </row>
    <row r="1044" spans="49:96" ht="25.25" customHeight="1">
      <c r="AW1044" s="35"/>
      <c r="CH1044" s="35"/>
      <c r="CI1044" s="35"/>
      <c r="CJ1044" s="35"/>
      <c r="CK1044" s="35"/>
      <c r="CM1044" s="35"/>
      <c r="CR1044" s="35"/>
    </row>
    <row r="1045" spans="49:96" ht="25.25" customHeight="1">
      <c r="AW1045" s="35"/>
      <c r="CH1045" s="35"/>
      <c r="CI1045" s="35"/>
      <c r="CJ1045" s="35"/>
      <c r="CK1045" s="35"/>
      <c r="CM1045" s="35"/>
      <c r="CR1045" s="35"/>
    </row>
    <row r="1046" spans="49:96" ht="25.25" customHeight="1">
      <c r="AW1046" s="35"/>
      <c r="CH1046" s="35"/>
      <c r="CI1046" s="35"/>
      <c r="CJ1046" s="35"/>
      <c r="CK1046" s="35"/>
      <c r="CM1046" s="35"/>
      <c r="CR1046" s="35"/>
    </row>
    <row r="1047" spans="49:96" ht="25.25" customHeight="1">
      <c r="AW1047" s="35"/>
      <c r="CH1047" s="35"/>
      <c r="CI1047" s="35"/>
      <c r="CJ1047" s="35"/>
      <c r="CK1047" s="35"/>
      <c r="CM1047" s="35"/>
      <c r="CR1047" s="35"/>
    </row>
    <row r="1048" spans="49:96" ht="25.25" customHeight="1">
      <c r="AW1048" s="35"/>
      <c r="CH1048" s="35"/>
      <c r="CI1048" s="35"/>
      <c r="CJ1048" s="35"/>
      <c r="CK1048" s="35"/>
      <c r="CM1048" s="35"/>
      <c r="CR1048" s="35"/>
    </row>
    <row r="1049" spans="49:96" ht="25.25" customHeight="1">
      <c r="AW1049" s="35"/>
      <c r="CH1049" s="35"/>
      <c r="CI1049" s="35"/>
      <c r="CJ1049" s="35"/>
      <c r="CK1049" s="35"/>
      <c r="CM1049" s="35"/>
      <c r="CR1049" s="35"/>
    </row>
    <row r="1050" spans="49:96" ht="25.25" customHeight="1">
      <c r="AW1050" s="35"/>
      <c r="CH1050" s="35"/>
      <c r="CI1050" s="35"/>
      <c r="CJ1050" s="35"/>
      <c r="CK1050" s="35"/>
      <c r="CM1050" s="35"/>
      <c r="CR1050" s="35"/>
    </row>
    <row r="1051" spans="49:96" ht="25.25" customHeight="1">
      <c r="AW1051" s="35"/>
      <c r="CH1051" s="35"/>
      <c r="CI1051" s="35"/>
      <c r="CJ1051" s="35"/>
      <c r="CK1051" s="35"/>
      <c r="CM1051" s="35"/>
      <c r="CR1051" s="35"/>
    </row>
    <row r="1052" spans="49:96" ht="25.25" customHeight="1">
      <c r="AW1052" s="35"/>
      <c r="CH1052" s="35"/>
      <c r="CI1052" s="35"/>
      <c r="CJ1052" s="35"/>
      <c r="CK1052" s="35"/>
      <c r="CM1052" s="35"/>
      <c r="CR1052" s="35"/>
    </row>
    <row r="1053" spans="49:96" ht="25.25" customHeight="1">
      <c r="AW1053" s="35"/>
      <c r="CH1053" s="35"/>
      <c r="CI1053" s="35"/>
      <c r="CJ1053" s="35"/>
      <c r="CK1053" s="35"/>
      <c r="CM1053" s="35"/>
      <c r="CR1053" s="35"/>
    </row>
    <row r="1054" spans="49:96" ht="25.25" customHeight="1">
      <c r="AW1054" s="35"/>
      <c r="CH1054" s="35"/>
      <c r="CI1054" s="35"/>
      <c r="CJ1054" s="35"/>
      <c r="CK1054" s="35"/>
      <c r="CM1054" s="35"/>
      <c r="CR1054" s="35"/>
    </row>
    <row r="1055" spans="49:96" ht="25.25" customHeight="1">
      <c r="AW1055" s="35"/>
      <c r="CH1055" s="35"/>
      <c r="CI1055" s="35"/>
      <c r="CJ1055" s="35"/>
      <c r="CK1055" s="35"/>
      <c r="CM1055" s="35"/>
      <c r="CR1055" s="35"/>
    </row>
    <row r="1056" spans="49:96" ht="25.25" customHeight="1">
      <c r="AW1056" s="35"/>
      <c r="CH1056" s="35"/>
      <c r="CI1056" s="35"/>
      <c r="CJ1056" s="35"/>
      <c r="CK1056" s="35"/>
      <c r="CM1056" s="35"/>
      <c r="CR1056" s="35"/>
    </row>
    <row r="1057" spans="49:96" ht="25.25" customHeight="1">
      <c r="AW1057" s="35"/>
      <c r="CH1057" s="35"/>
      <c r="CI1057" s="35"/>
      <c r="CJ1057" s="35"/>
      <c r="CK1057" s="35"/>
      <c r="CM1057" s="35"/>
      <c r="CR1057" s="35"/>
    </row>
    <row r="1058" spans="49:96" ht="25.25" customHeight="1">
      <c r="AW1058" s="35"/>
      <c r="CH1058" s="35"/>
      <c r="CI1058" s="35"/>
      <c r="CJ1058" s="35"/>
      <c r="CK1058" s="35"/>
      <c r="CM1058" s="35"/>
      <c r="CR1058" s="35"/>
    </row>
    <row r="1059" spans="49:96" ht="25.25" customHeight="1">
      <c r="AW1059" s="35"/>
      <c r="CH1059" s="35"/>
      <c r="CI1059" s="35"/>
      <c r="CJ1059" s="35"/>
      <c r="CK1059" s="35"/>
      <c r="CM1059" s="35"/>
      <c r="CR1059" s="35"/>
    </row>
    <row r="1060" spans="49:96" ht="25.25" customHeight="1">
      <c r="AW1060" s="35"/>
      <c r="CH1060" s="35"/>
      <c r="CI1060" s="35"/>
      <c r="CJ1060" s="35"/>
      <c r="CK1060" s="35"/>
      <c r="CM1060" s="35"/>
      <c r="CR1060" s="35"/>
    </row>
    <row r="1061" spans="49:96" ht="25.25" customHeight="1">
      <c r="AW1061" s="35"/>
      <c r="CH1061" s="35"/>
      <c r="CI1061" s="35"/>
      <c r="CJ1061" s="35"/>
      <c r="CK1061" s="35"/>
      <c r="CM1061" s="35"/>
      <c r="CR1061" s="35"/>
    </row>
    <row r="1062" spans="49:96" ht="25.25" customHeight="1">
      <c r="AW1062" s="35"/>
      <c r="CH1062" s="35"/>
      <c r="CI1062" s="35"/>
      <c r="CJ1062" s="35"/>
      <c r="CK1062" s="35"/>
      <c r="CM1062" s="35"/>
      <c r="CR1062" s="35"/>
    </row>
    <row r="1063" spans="49:96" ht="25.25" customHeight="1">
      <c r="AW1063" s="35"/>
      <c r="CH1063" s="35"/>
      <c r="CI1063" s="35"/>
      <c r="CJ1063" s="35"/>
      <c r="CK1063" s="35"/>
      <c r="CM1063" s="35"/>
      <c r="CR1063" s="35"/>
    </row>
    <row r="1064" spans="49:96" ht="25.25" customHeight="1">
      <c r="AW1064" s="35"/>
      <c r="CH1064" s="35"/>
      <c r="CI1064" s="35"/>
      <c r="CJ1064" s="35"/>
      <c r="CK1064" s="35"/>
      <c r="CM1064" s="35"/>
      <c r="CR1064" s="35"/>
    </row>
    <row r="1065" spans="49:96" ht="25.25" customHeight="1">
      <c r="AW1065" s="35"/>
      <c r="CH1065" s="35"/>
      <c r="CI1065" s="35"/>
      <c r="CJ1065" s="35"/>
      <c r="CK1065" s="35"/>
      <c r="CM1065" s="35"/>
      <c r="CR1065" s="35"/>
    </row>
    <row r="1066" spans="49:96" ht="25.25" customHeight="1">
      <c r="AW1066" s="35"/>
      <c r="CH1066" s="35"/>
      <c r="CI1066" s="35"/>
      <c r="CJ1066" s="35"/>
      <c r="CK1066" s="35"/>
      <c r="CM1066" s="35"/>
      <c r="CR1066" s="35"/>
    </row>
    <row r="1067" spans="49:96" ht="25.25" customHeight="1">
      <c r="AW1067" s="35"/>
      <c r="CH1067" s="35"/>
      <c r="CI1067" s="35"/>
      <c r="CJ1067" s="35"/>
      <c r="CK1067" s="35"/>
      <c r="CM1067" s="35"/>
      <c r="CR1067" s="35"/>
    </row>
    <row r="1068" spans="49:96" ht="25.25" customHeight="1">
      <c r="AW1068" s="35"/>
      <c r="CH1068" s="35"/>
      <c r="CI1068" s="35"/>
      <c r="CJ1068" s="35"/>
      <c r="CK1068" s="35"/>
      <c r="CM1068" s="35"/>
      <c r="CR1068" s="35"/>
    </row>
    <row r="1069" spans="49:96" ht="25.25" customHeight="1">
      <c r="AW1069" s="35"/>
      <c r="CH1069" s="35"/>
      <c r="CI1069" s="35"/>
      <c r="CJ1069" s="35"/>
      <c r="CK1069" s="35"/>
      <c r="CM1069" s="35"/>
      <c r="CR1069" s="35"/>
    </row>
    <row r="1070" spans="49:96" ht="25.25" customHeight="1">
      <c r="AW1070" s="35"/>
      <c r="CH1070" s="35"/>
      <c r="CI1070" s="35"/>
      <c r="CJ1070" s="35"/>
      <c r="CK1070" s="35"/>
      <c r="CM1070" s="35"/>
      <c r="CR1070" s="35"/>
    </row>
    <row r="1071" spans="49:96" ht="25.25" customHeight="1">
      <c r="AW1071" s="35"/>
      <c r="CH1071" s="35"/>
      <c r="CI1071" s="35"/>
      <c r="CJ1071" s="35"/>
      <c r="CK1071" s="35"/>
      <c r="CM1071" s="35"/>
      <c r="CR1071" s="35"/>
    </row>
    <row r="1072" spans="49:96" ht="25.25" customHeight="1">
      <c r="AW1072" s="35"/>
      <c r="CH1072" s="35"/>
      <c r="CI1072" s="35"/>
      <c r="CJ1072" s="35"/>
      <c r="CK1072" s="35"/>
      <c r="CM1072" s="35"/>
      <c r="CR1072" s="35"/>
    </row>
    <row r="1073" spans="49:96" ht="25.25" customHeight="1">
      <c r="AW1073" s="35"/>
      <c r="CH1073" s="35"/>
      <c r="CI1073" s="35"/>
      <c r="CJ1073" s="35"/>
      <c r="CK1073" s="35"/>
      <c r="CM1073" s="35"/>
      <c r="CR1073" s="35"/>
    </row>
    <row r="1074" spans="49:96" ht="25.25" customHeight="1">
      <c r="AW1074" s="35"/>
      <c r="CH1074" s="35"/>
      <c r="CI1074" s="35"/>
      <c r="CJ1074" s="35"/>
      <c r="CK1074" s="35"/>
      <c r="CM1074" s="35"/>
      <c r="CR1074" s="35"/>
    </row>
    <row r="1075" spans="49:96" ht="25.25" customHeight="1">
      <c r="AW1075" s="35"/>
      <c r="CH1075" s="35"/>
      <c r="CI1075" s="35"/>
      <c r="CJ1075" s="35"/>
      <c r="CK1075" s="35"/>
      <c r="CM1075" s="35"/>
      <c r="CR1075" s="35"/>
    </row>
    <row r="1076" spans="49:96" ht="25.25" customHeight="1">
      <c r="AW1076" s="35"/>
      <c r="CH1076" s="35"/>
      <c r="CI1076" s="35"/>
      <c r="CJ1076" s="35"/>
      <c r="CK1076" s="35"/>
      <c r="CM1076" s="35"/>
      <c r="CR1076" s="35"/>
    </row>
    <row r="1077" spans="49:96" ht="25.25" customHeight="1">
      <c r="AW1077" s="35"/>
      <c r="CH1077" s="35"/>
      <c r="CI1077" s="35"/>
      <c r="CJ1077" s="35"/>
      <c r="CK1077" s="35"/>
      <c r="CM1077" s="35"/>
      <c r="CR1077" s="35"/>
    </row>
    <row r="1078" spans="49:96" ht="25.25" customHeight="1">
      <c r="AW1078" s="35"/>
      <c r="CH1078" s="35"/>
      <c r="CI1078" s="35"/>
      <c r="CJ1078" s="35"/>
      <c r="CK1078" s="35"/>
      <c r="CM1078" s="35"/>
      <c r="CR1078" s="35"/>
    </row>
    <row r="1079" spans="49:96" ht="25.25" customHeight="1">
      <c r="AW1079" s="35"/>
      <c r="CH1079" s="35"/>
      <c r="CI1079" s="35"/>
      <c r="CJ1079" s="35"/>
      <c r="CK1079" s="35"/>
      <c r="CM1079" s="35"/>
      <c r="CR1079" s="35"/>
    </row>
    <row r="1080" spans="49:96" ht="25.25" customHeight="1">
      <c r="AW1080" s="35"/>
      <c r="CH1080" s="35"/>
      <c r="CI1080" s="35"/>
      <c r="CJ1080" s="35"/>
      <c r="CK1080" s="35"/>
      <c r="CM1080" s="35"/>
      <c r="CR1080" s="35"/>
    </row>
    <row r="1081" spans="49:96" ht="25.25" customHeight="1">
      <c r="AW1081" s="35"/>
      <c r="CH1081" s="35"/>
      <c r="CI1081" s="35"/>
      <c r="CJ1081" s="35"/>
      <c r="CK1081" s="35"/>
      <c r="CM1081" s="35"/>
      <c r="CR1081" s="35"/>
    </row>
    <row r="1082" spans="49:96" ht="25.25" customHeight="1">
      <c r="AW1082" s="35"/>
      <c r="CH1082" s="35"/>
      <c r="CI1082" s="35"/>
      <c r="CJ1082" s="35"/>
      <c r="CK1082" s="35"/>
      <c r="CM1082" s="35"/>
      <c r="CR1082" s="35"/>
    </row>
    <row r="1083" spans="49:96" ht="25.25" customHeight="1">
      <c r="AW1083" s="35"/>
      <c r="CH1083" s="35"/>
      <c r="CI1083" s="35"/>
      <c r="CJ1083" s="35"/>
      <c r="CK1083" s="35"/>
      <c r="CM1083" s="35"/>
      <c r="CR1083" s="35"/>
    </row>
    <row r="1084" spans="49:96" ht="25.25" customHeight="1">
      <c r="AW1084" s="35"/>
      <c r="CH1084" s="35"/>
      <c r="CI1084" s="35"/>
      <c r="CJ1084" s="35"/>
      <c r="CK1084" s="35"/>
      <c r="CM1084" s="35"/>
      <c r="CR1084" s="35"/>
    </row>
    <row r="1085" spans="49:96" ht="25.25" customHeight="1">
      <c r="AW1085" s="35"/>
      <c r="CH1085" s="35"/>
      <c r="CI1085" s="35"/>
      <c r="CJ1085" s="35"/>
      <c r="CK1085" s="35"/>
      <c r="CM1085" s="35"/>
      <c r="CR1085" s="35"/>
    </row>
    <row r="1086" spans="49:96" ht="25.25" customHeight="1">
      <c r="AW1086" s="35"/>
      <c r="CH1086" s="35"/>
      <c r="CI1086" s="35"/>
      <c r="CJ1086" s="35"/>
      <c r="CK1086" s="35"/>
      <c r="CM1086" s="35"/>
      <c r="CR1086" s="35"/>
    </row>
    <row r="1087" spans="49:96" ht="25.25" customHeight="1">
      <c r="AW1087" s="35"/>
      <c r="CH1087" s="35"/>
      <c r="CI1087" s="35"/>
      <c r="CJ1087" s="35"/>
      <c r="CK1087" s="35"/>
      <c r="CM1087" s="35"/>
      <c r="CR1087" s="35"/>
    </row>
    <row r="1088" spans="49:96" ht="25.25" customHeight="1">
      <c r="AW1088" s="35"/>
      <c r="CH1088" s="35"/>
      <c r="CI1088" s="35"/>
      <c r="CJ1088" s="35"/>
      <c r="CK1088" s="35"/>
      <c r="CM1088" s="35"/>
      <c r="CR1088" s="35"/>
    </row>
    <row r="1089" spans="49:96" ht="25.25" customHeight="1">
      <c r="AW1089" s="35"/>
      <c r="CH1089" s="35"/>
      <c r="CI1089" s="35"/>
      <c r="CJ1089" s="35"/>
      <c r="CK1089" s="35"/>
      <c r="CM1089" s="35"/>
      <c r="CR1089" s="35"/>
    </row>
    <row r="1090" spans="49:96" ht="25.25" customHeight="1">
      <c r="AW1090" s="35"/>
      <c r="CH1090" s="35"/>
      <c r="CI1090" s="35"/>
      <c r="CJ1090" s="35"/>
      <c r="CK1090" s="35"/>
      <c r="CM1090" s="35"/>
      <c r="CR1090" s="35"/>
    </row>
    <row r="1091" spans="49:96" ht="25.25" customHeight="1">
      <c r="AW1091" s="35"/>
      <c r="CH1091" s="35"/>
      <c r="CI1091" s="35"/>
      <c r="CJ1091" s="35"/>
      <c r="CK1091" s="35"/>
      <c r="CM1091" s="35"/>
      <c r="CR1091" s="35"/>
    </row>
    <row r="1092" spans="49:96" ht="25.25" customHeight="1">
      <c r="AW1092" s="35"/>
      <c r="CH1092" s="35"/>
      <c r="CI1092" s="35"/>
      <c r="CJ1092" s="35"/>
      <c r="CK1092" s="35"/>
      <c r="CM1092" s="35"/>
      <c r="CR1092" s="35"/>
    </row>
    <row r="1093" spans="49:96" ht="25.25" customHeight="1">
      <c r="AW1093" s="35"/>
      <c r="CH1093" s="35"/>
      <c r="CI1093" s="35"/>
      <c r="CJ1093" s="35"/>
      <c r="CK1093" s="35"/>
      <c r="CM1093" s="35"/>
      <c r="CR1093" s="35"/>
    </row>
    <row r="1094" spans="49:96" ht="25.25" customHeight="1">
      <c r="AW1094" s="35"/>
      <c r="CH1094" s="35"/>
      <c r="CI1094" s="35"/>
      <c r="CJ1094" s="35"/>
      <c r="CK1094" s="35"/>
      <c r="CM1094" s="35"/>
      <c r="CR1094" s="35"/>
    </row>
    <row r="1095" spans="49:96" ht="25.25" customHeight="1">
      <c r="AW1095" s="35"/>
      <c r="CH1095" s="35"/>
      <c r="CI1095" s="35"/>
      <c r="CJ1095" s="35"/>
      <c r="CK1095" s="35"/>
      <c r="CM1095" s="35"/>
      <c r="CR1095" s="35"/>
    </row>
    <row r="1096" spans="49:96" ht="25.25" customHeight="1">
      <c r="AW1096" s="35"/>
      <c r="CH1096" s="35"/>
      <c r="CI1096" s="35"/>
      <c r="CJ1096" s="35"/>
      <c r="CK1096" s="35"/>
      <c r="CM1096" s="35"/>
      <c r="CR1096" s="35"/>
    </row>
    <row r="1097" spans="49:96" ht="25.25" customHeight="1">
      <c r="AW1097" s="35"/>
      <c r="CH1097" s="35"/>
      <c r="CI1097" s="35"/>
      <c r="CJ1097" s="35"/>
      <c r="CK1097" s="35"/>
      <c r="CM1097" s="35"/>
      <c r="CR1097" s="35"/>
    </row>
    <row r="1098" spans="49:96" ht="25.25" customHeight="1">
      <c r="AW1098" s="35"/>
      <c r="CH1098" s="35"/>
      <c r="CI1098" s="35"/>
      <c r="CJ1098" s="35"/>
      <c r="CK1098" s="35"/>
      <c r="CM1098" s="35"/>
      <c r="CR1098" s="35"/>
    </row>
    <row r="1099" spans="49:96" ht="25.25" customHeight="1">
      <c r="AW1099" s="35"/>
      <c r="CH1099" s="35"/>
      <c r="CI1099" s="35"/>
      <c r="CJ1099" s="35"/>
      <c r="CK1099" s="35"/>
      <c r="CM1099" s="35"/>
      <c r="CR1099" s="35"/>
    </row>
    <row r="1100" spans="49:96" ht="25.25" customHeight="1">
      <c r="AW1100" s="35"/>
      <c r="CH1100" s="35"/>
      <c r="CI1100" s="35"/>
      <c r="CJ1100" s="35"/>
      <c r="CK1100" s="35"/>
      <c r="CM1100" s="35"/>
      <c r="CR1100" s="35"/>
    </row>
    <row r="1101" spans="49:96" ht="25.25" customHeight="1">
      <c r="AW1101" s="35"/>
      <c r="CH1101" s="35"/>
      <c r="CI1101" s="35"/>
      <c r="CJ1101" s="35"/>
      <c r="CK1101" s="35"/>
      <c r="CM1101" s="35"/>
      <c r="CR1101" s="35"/>
    </row>
    <row r="1102" spans="49:96" ht="25.25" customHeight="1">
      <c r="AW1102" s="35"/>
      <c r="CH1102" s="35"/>
      <c r="CI1102" s="35"/>
      <c r="CJ1102" s="35"/>
      <c r="CK1102" s="35"/>
      <c r="CM1102" s="35"/>
      <c r="CR1102" s="35"/>
    </row>
    <row r="1103" spans="49:96" ht="25.25" customHeight="1">
      <c r="AW1103" s="35"/>
      <c r="CH1103" s="35"/>
      <c r="CI1103" s="35"/>
      <c r="CJ1103" s="35"/>
      <c r="CK1103" s="35"/>
      <c r="CM1103" s="35"/>
      <c r="CR1103" s="35"/>
    </row>
    <row r="1104" spans="49:96" ht="25.25" customHeight="1">
      <c r="AW1104" s="35"/>
      <c r="CH1104" s="35"/>
      <c r="CI1104" s="35"/>
      <c r="CJ1104" s="35"/>
      <c r="CK1104" s="35"/>
      <c r="CM1104" s="35"/>
      <c r="CR1104" s="35"/>
    </row>
    <row r="1105" spans="49:96" ht="25.25" customHeight="1">
      <c r="AW1105" s="35"/>
      <c r="CH1105" s="35"/>
      <c r="CI1105" s="35"/>
      <c r="CJ1105" s="35"/>
      <c r="CK1105" s="35"/>
      <c r="CM1105" s="35"/>
      <c r="CR1105" s="35"/>
    </row>
    <row r="1106" spans="49:96" ht="25.25" customHeight="1">
      <c r="AW1106" s="35"/>
      <c r="CH1106" s="35"/>
      <c r="CI1106" s="35"/>
      <c r="CJ1106" s="35"/>
      <c r="CK1106" s="35"/>
      <c r="CM1106" s="35"/>
      <c r="CR1106" s="35"/>
    </row>
    <row r="1107" spans="49:96" ht="25.25" customHeight="1">
      <c r="AW1107" s="35"/>
      <c r="CH1107" s="35"/>
      <c r="CI1107" s="35"/>
      <c r="CJ1107" s="35"/>
      <c r="CK1107" s="35"/>
      <c r="CM1107" s="35"/>
      <c r="CR1107" s="35"/>
    </row>
    <row r="1108" spans="49:96" ht="25.25" customHeight="1">
      <c r="AW1108" s="35"/>
      <c r="CH1108" s="35"/>
      <c r="CI1108" s="35"/>
      <c r="CJ1108" s="35"/>
      <c r="CK1108" s="35"/>
      <c r="CM1108" s="35"/>
      <c r="CR1108" s="35"/>
    </row>
    <row r="1109" spans="49:96" ht="25.25" customHeight="1">
      <c r="AW1109" s="35"/>
      <c r="CH1109" s="35"/>
      <c r="CI1109" s="35"/>
      <c r="CJ1109" s="35"/>
      <c r="CK1109" s="35"/>
      <c r="CM1109" s="35"/>
      <c r="CR1109" s="35"/>
    </row>
    <row r="1110" spans="49:96" ht="25.25" customHeight="1">
      <c r="AW1110" s="35"/>
      <c r="CH1110" s="35"/>
      <c r="CI1110" s="35"/>
      <c r="CJ1110" s="35"/>
      <c r="CK1110" s="35"/>
      <c r="CM1110" s="35"/>
      <c r="CR1110" s="35"/>
    </row>
    <row r="1111" spans="49:96" ht="25.25" customHeight="1">
      <c r="AW1111" s="35"/>
      <c r="CH1111" s="35"/>
      <c r="CI1111" s="35"/>
      <c r="CJ1111" s="35"/>
      <c r="CK1111" s="35"/>
      <c r="CM1111" s="35"/>
      <c r="CR1111" s="35"/>
    </row>
    <row r="1112" spans="49:96" ht="25.25" customHeight="1">
      <c r="AW1112" s="35"/>
      <c r="CH1112" s="35"/>
      <c r="CI1112" s="35"/>
      <c r="CJ1112" s="35"/>
      <c r="CK1112" s="35"/>
      <c r="CM1112" s="35"/>
      <c r="CR1112" s="35"/>
    </row>
    <row r="1113" spans="49:96" ht="25.25" customHeight="1">
      <c r="AW1113" s="35"/>
      <c r="CH1113" s="35"/>
      <c r="CI1113" s="35"/>
      <c r="CJ1113" s="35"/>
      <c r="CK1113" s="35"/>
      <c r="CM1113" s="35"/>
      <c r="CR1113" s="35"/>
    </row>
    <row r="1114" spans="49:96" ht="25.25" customHeight="1">
      <c r="AW1114" s="35"/>
      <c r="CH1114" s="35"/>
      <c r="CI1114" s="35"/>
      <c r="CJ1114" s="35"/>
      <c r="CK1114" s="35"/>
      <c r="CM1114" s="35"/>
      <c r="CR1114" s="35"/>
    </row>
    <row r="1115" spans="49:96" ht="25.25" customHeight="1">
      <c r="AW1115" s="35"/>
      <c r="CH1115" s="35"/>
      <c r="CI1115" s="35"/>
      <c r="CJ1115" s="35"/>
      <c r="CK1115" s="35"/>
      <c r="CM1115" s="35"/>
      <c r="CR1115" s="35"/>
    </row>
    <row r="1116" spans="49:96" ht="25.25" customHeight="1">
      <c r="AW1116" s="35"/>
      <c r="CH1116" s="35"/>
      <c r="CI1116" s="35"/>
      <c r="CJ1116" s="35"/>
      <c r="CK1116" s="35"/>
      <c r="CM1116" s="35"/>
      <c r="CR1116" s="35"/>
    </row>
    <row r="1117" spans="49:96" ht="25.25" customHeight="1">
      <c r="AW1117" s="35"/>
      <c r="CH1117" s="35"/>
      <c r="CI1117" s="35"/>
      <c r="CJ1117" s="35"/>
      <c r="CK1117" s="35"/>
      <c r="CM1117" s="35"/>
      <c r="CR1117" s="35"/>
    </row>
    <row r="1118" spans="49:96" ht="25.25" customHeight="1">
      <c r="AW1118" s="35"/>
      <c r="CH1118" s="35"/>
      <c r="CI1118" s="35"/>
      <c r="CJ1118" s="35"/>
      <c r="CK1118" s="35"/>
      <c r="CM1118" s="35"/>
      <c r="CR1118" s="35"/>
    </row>
    <row r="1119" spans="49:96" ht="25.25" customHeight="1">
      <c r="AW1119" s="35"/>
      <c r="CH1119" s="35"/>
      <c r="CI1119" s="35"/>
      <c r="CJ1119" s="35"/>
      <c r="CK1119" s="35"/>
      <c r="CM1119" s="35"/>
      <c r="CR1119" s="35"/>
    </row>
    <row r="1120" spans="49:96" ht="25.25" customHeight="1">
      <c r="AW1120" s="35"/>
      <c r="CH1120" s="35"/>
      <c r="CI1120" s="35"/>
      <c r="CJ1120" s="35"/>
      <c r="CK1120" s="35"/>
      <c r="CM1120" s="35"/>
      <c r="CR1120" s="35"/>
    </row>
    <row r="1121" spans="49:96" ht="25.25" customHeight="1">
      <c r="AW1121" s="35"/>
      <c r="CH1121" s="35"/>
      <c r="CI1121" s="35"/>
      <c r="CJ1121" s="35"/>
      <c r="CK1121" s="35"/>
      <c r="CM1121" s="35"/>
      <c r="CR1121" s="35"/>
    </row>
    <row r="1122" spans="49:96" ht="25.25" customHeight="1">
      <c r="AW1122" s="35"/>
      <c r="CH1122" s="35"/>
      <c r="CI1122" s="35"/>
      <c r="CJ1122" s="35"/>
      <c r="CK1122" s="35"/>
      <c r="CM1122" s="35"/>
      <c r="CR1122" s="35"/>
    </row>
    <row r="1123" spans="49:96" ht="25.25" customHeight="1">
      <c r="AW1123" s="35"/>
      <c r="CH1123" s="35"/>
      <c r="CI1123" s="35"/>
      <c r="CJ1123" s="35"/>
      <c r="CK1123" s="35"/>
      <c r="CM1123" s="35"/>
      <c r="CR1123" s="35"/>
    </row>
    <row r="1124" spans="49:96" ht="25.25" customHeight="1">
      <c r="AW1124" s="35"/>
      <c r="CH1124" s="35"/>
      <c r="CI1124" s="35"/>
      <c r="CJ1124" s="35"/>
      <c r="CK1124" s="35"/>
      <c r="CM1124" s="35"/>
      <c r="CR1124" s="35"/>
    </row>
    <row r="1125" spans="49:96" ht="25.25" customHeight="1">
      <c r="AW1125" s="35"/>
      <c r="CH1125" s="35"/>
      <c r="CI1125" s="35"/>
      <c r="CJ1125" s="35"/>
      <c r="CK1125" s="35"/>
      <c r="CM1125" s="35"/>
      <c r="CR1125" s="35"/>
    </row>
    <row r="1126" spans="49:96" ht="25.25" customHeight="1">
      <c r="AW1126" s="35"/>
      <c r="CH1126" s="35"/>
      <c r="CI1126" s="35"/>
      <c r="CJ1126" s="35"/>
      <c r="CK1126" s="35"/>
      <c r="CM1126" s="35"/>
      <c r="CR1126" s="35"/>
    </row>
    <row r="1127" spans="49:96" ht="25.25" customHeight="1">
      <c r="AW1127" s="35"/>
      <c r="CH1127" s="35"/>
      <c r="CI1127" s="35"/>
      <c r="CJ1127" s="35"/>
      <c r="CK1127" s="35"/>
      <c r="CM1127" s="35"/>
      <c r="CR1127" s="35"/>
    </row>
    <row r="1128" spans="49:96" ht="25.25" customHeight="1">
      <c r="AW1128" s="35"/>
      <c r="CH1128" s="35"/>
      <c r="CI1128" s="35"/>
      <c r="CJ1128" s="35"/>
      <c r="CK1128" s="35"/>
      <c r="CM1128" s="35"/>
      <c r="CR1128" s="35"/>
    </row>
    <row r="1129" spans="49:96" ht="25.25" customHeight="1">
      <c r="AW1129" s="35"/>
      <c r="CH1129" s="35"/>
      <c r="CI1129" s="35"/>
      <c r="CJ1129" s="35"/>
      <c r="CK1129" s="35"/>
      <c r="CM1129" s="35"/>
      <c r="CR1129" s="35"/>
    </row>
    <row r="1130" spans="49:96" ht="25.25" customHeight="1">
      <c r="AW1130" s="35"/>
      <c r="CH1130" s="35"/>
      <c r="CI1130" s="35"/>
      <c r="CJ1130" s="35"/>
      <c r="CK1130" s="35"/>
      <c r="CM1130" s="35"/>
      <c r="CR1130" s="35"/>
    </row>
    <row r="1131" spans="49:96" ht="25.25" customHeight="1">
      <c r="AW1131" s="35"/>
      <c r="CH1131" s="35"/>
      <c r="CI1131" s="35"/>
      <c r="CJ1131" s="35"/>
      <c r="CK1131" s="35"/>
      <c r="CM1131" s="35"/>
      <c r="CR1131" s="35"/>
    </row>
    <row r="1132" spans="49:96" ht="25.25" customHeight="1">
      <c r="AW1132" s="35"/>
      <c r="CH1132" s="35"/>
      <c r="CI1132" s="35"/>
      <c r="CJ1132" s="35"/>
      <c r="CK1132" s="35"/>
      <c r="CM1132" s="35"/>
      <c r="CR1132" s="35"/>
    </row>
    <row r="1133" spans="49:96" ht="25.25" customHeight="1">
      <c r="AW1133" s="35"/>
      <c r="CH1133" s="35"/>
      <c r="CI1133" s="35"/>
      <c r="CJ1133" s="35"/>
      <c r="CK1133" s="35"/>
      <c r="CM1133" s="35"/>
      <c r="CR1133" s="35"/>
    </row>
    <row r="1134" spans="49:96" ht="25.25" customHeight="1">
      <c r="AW1134" s="35"/>
      <c r="CH1134" s="35"/>
      <c r="CI1134" s="35"/>
      <c r="CJ1134" s="35"/>
      <c r="CK1134" s="35"/>
      <c r="CM1134" s="35"/>
      <c r="CR1134" s="35"/>
    </row>
    <row r="1135" spans="49:96" ht="25.25" customHeight="1">
      <c r="AW1135" s="35"/>
      <c r="CH1135" s="35"/>
      <c r="CI1135" s="35"/>
      <c r="CJ1135" s="35"/>
      <c r="CK1135" s="35"/>
      <c r="CM1135" s="35"/>
      <c r="CR1135" s="35"/>
    </row>
    <row r="1136" spans="49:96" ht="25.25" customHeight="1">
      <c r="AW1136" s="35"/>
      <c r="CH1136" s="35"/>
      <c r="CI1136" s="35"/>
      <c r="CJ1136" s="35"/>
      <c r="CK1136" s="35"/>
      <c r="CM1136" s="35"/>
      <c r="CR1136" s="35"/>
    </row>
    <row r="1137" spans="49:96" ht="25.25" customHeight="1">
      <c r="AW1137" s="35"/>
      <c r="CH1137" s="35"/>
      <c r="CI1137" s="35"/>
      <c r="CJ1137" s="35"/>
      <c r="CK1137" s="35"/>
      <c r="CM1137" s="35"/>
      <c r="CR1137" s="35"/>
    </row>
    <row r="1138" spans="49:96" ht="25.25" customHeight="1">
      <c r="AW1138" s="35"/>
      <c r="CH1138" s="35"/>
      <c r="CI1138" s="35"/>
      <c r="CJ1138" s="35"/>
      <c r="CK1138" s="35"/>
      <c r="CM1138" s="35"/>
      <c r="CR1138" s="35"/>
    </row>
    <row r="1139" spans="49:96" ht="25.25" customHeight="1">
      <c r="AW1139" s="35"/>
      <c r="CH1139" s="35"/>
      <c r="CI1139" s="35"/>
      <c r="CJ1139" s="35"/>
      <c r="CK1139" s="35"/>
      <c r="CM1139" s="35"/>
      <c r="CR1139" s="35"/>
    </row>
    <row r="1140" spans="49:96" ht="25.25" customHeight="1">
      <c r="AW1140" s="35"/>
      <c r="CH1140" s="35"/>
      <c r="CI1140" s="35"/>
      <c r="CJ1140" s="35"/>
      <c r="CK1140" s="35"/>
      <c r="CM1140" s="35"/>
      <c r="CR1140" s="35"/>
    </row>
    <row r="1141" spans="49:96" ht="25.25" customHeight="1">
      <c r="AW1141" s="35"/>
      <c r="CH1141" s="35"/>
      <c r="CI1141" s="35"/>
      <c r="CJ1141" s="35"/>
      <c r="CK1141" s="35"/>
      <c r="CM1141" s="35"/>
      <c r="CR1141" s="35"/>
    </row>
    <row r="1142" spans="49:96" ht="25.25" customHeight="1">
      <c r="AW1142" s="35"/>
      <c r="CH1142" s="35"/>
      <c r="CI1142" s="35"/>
      <c r="CJ1142" s="35"/>
      <c r="CK1142" s="35"/>
      <c r="CM1142" s="35"/>
      <c r="CR1142" s="35"/>
    </row>
    <row r="1143" spans="49:96" ht="25.25" customHeight="1">
      <c r="AW1143" s="35"/>
      <c r="CH1143" s="35"/>
      <c r="CI1143" s="35"/>
      <c r="CJ1143" s="35"/>
      <c r="CK1143" s="35"/>
      <c r="CM1143" s="35"/>
      <c r="CR1143" s="35"/>
    </row>
    <row r="1144" spans="49:96" ht="25.25" customHeight="1">
      <c r="AW1144" s="35"/>
      <c r="CH1144" s="35"/>
      <c r="CI1144" s="35"/>
      <c r="CJ1144" s="35"/>
      <c r="CK1144" s="35"/>
      <c r="CM1144" s="35"/>
      <c r="CR1144" s="35"/>
    </row>
    <row r="1145" spans="49:96" ht="25.25" customHeight="1">
      <c r="AW1145" s="35"/>
      <c r="CH1145" s="35"/>
      <c r="CI1145" s="35"/>
      <c r="CJ1145" s="35"/>
      <c r="CK1145" s="35"/>
      <c r="CM1145" s="35"/>
      <c r="CR1145" s="35"/>
    </row>
    <row r="1146" spans="49:96" ht="25.25" customHeight="1">
      <c r="AW1146" s="35"/>
      <c r="CH1146" s="35"/>
      <c r="CI1146" s="35"/>
      <c r="CJ1146" s="35"/>
      <c r="CK1146" s="35"/>
      <c r="CM1146" s="35"/>
      <c r="CR1146" s="35"/>
    </row>
    <row r="1147" spans="49:96" ht="25.25" customHeight="1">
      <c r="AW1147" s="35"/>
      <c r="CH1147" s="35"/>
      <c r="CI1147" s="35"/>
      <c r="CJ1147" s="35"/>
      <c r="CK1147" s="35"/>
      <c r="CM1147" s="35"/>
      <c r="CR1147" s="35"/>
    </row>
    <row r="1148" spans="49:96" ht="25.25" customHeight="1">
      <c r="AW1148" s="35"/>
      <c r="CH1148" s="35"/>
      <c r="CI1148" s="35"/>
      <c r="CJ1148" s="35"/>
      <c r="CK1148" s="35"/>
      <c r="CM1148" s="35"/>
      <c r="CR1148" s="35"/>
    </row>
    <row r="1149" spans="49:96" ht="25.25" customHeight="1">
      <c r="AW1149" s="35"/>
      <c r="CH1149" s="35"/>
      <c r="CI1149" s="35"/>
      <c r="CJ1149" s="35"/>
      <c r="CK1149" s="35"/>
      <c r="CM1149" s="35"/>
      <c r="CR1149" s="35"/>
    </row>
    <row r="1150" spans="49:96" ht="25.25" customHeight="1">
      <c r="AW1150" s="35"/>
      <c r="CH1150" s="35"/>
      <c r="CI1150" s="35"/>
      <c r="CJ1150" s="35"/>
      <c r="CK1150" s="35"/>
      <c r="CM1150" s="35"/>
      <c r="CR1150" s="35"/>
    </row>
    <row r="1151" spans="49:96" ht="25.25" customHeight="1">
      <c r="AW1151" s="35"/>
      <c r="CH1151" s="35"/>
      <c r="CI1151" s="35"/>
      <c r="CJ1151" s="35"/>
      <c r="CK1151" s="35"/>
      <c r="CM1151" s="35"/>
      <c r="CR1151" s="35"/>
    </row>
    <row r="1152" spans="49:96" ht="25.25" customHeight="1">
      <c r="AW1152" s="35"/>
      <c r="CH1152" s="35"/>
      <c r="CI1152" s="35"/>
      <c r="CJ1152" s="35"/>
      <c r="CK1152" s="35"/>
      <c r="CM1152" s="35"/>
      <c r="CR1152" s="35"/>
    </row>
    <row r="1153" spans="49:96" ht="25.25" customHeight="1">
      <c r="AW1153" s="35"/>
      <c r="CH1153" s="35"/>
      <c r="CI1153" s="35"/>
      <c r="CJ1153" s="35"/>
      <c r="CK1153" s="35"/>
      <c r="CM1153" s="35"/>
      <c r="CR1153" s="35"/>
    </row>
    <row r="1154" spans="49:96" ht="25.25" customHeight="1">
      <c r="AW1154" s="35"/>
      <c r="CH1154" s="35"/>
      <c r="CI1154" s="35"/>
      <c r="CJ1154" s="35"/>
      <c r="CK1154" s="35"/>
      <c r="CM1154" s="35"/>
      <c r="CR1154" s="35"/>
    </row>
    <row r="1155" spans="49:96" ht="25.25" customHeight="1">
      <c r="AW1155" s="35"/>
      <c r="CH1155" s="35"/>
      <c r="CI1155" s="35"/>
      <c r="CJ1155" s="35"/>
      <c r="CK1155" s="35"/>
      <c r="CM1155" s="35"/>
      <c r="CR1155" s="35"/>
    </row>
    <row r="1156" spans="49:96" ht="25.25" customHeight="1">
      <c r="AW1156" s="35"/>
      <c r="CH1156" s="35"/>
      <c r="CI1156" s="35"/>
      <c r="CJ1156" s="35"/>
      <c r="CK1156" s="35"/>
      <c r="CM1156" s="35"/>
      <c r="CR1156" s="35"/>
    </row>
    <row r="1157" spans="49:96" ht="25.25" customHeight="1">
      <c r="AW1157" s="35"/>
      <c r="CH1157" s="35"/>
      <c r="CI1157" s="35"/>
      <c r="CJ1157" s="35"/>
      <c r="CK1157" s="35"/>
      <c r="CM1157" s="35"/>
      <c r="CR1157" s="35"/>
    </row>
    <row r="1158" spans="49:96" ht="25.25" customHeight="1">
      <c r="AW1158" s="35"/>
      <c r="CH1158" s="35"/>
      <c r="CI1158" s="35"/>
      <c r="CJ1158" s="35"/>
      <c r="CK1158" s="35"/>
      <c r="CM1158" s="35"/>
      <c r="CR1158" s="35"/>
    </row>
    <row r="1159" spans="49:96" ht="25.25" customHeight="1">
      <c r="AW1159" s="35"/>
      <c r="CH1159" s="35"/>
      <c r="CI1159" s="35"/>
      <c r="CJ1159" s="35"/>
      <c r="CK1159" s="35"/>
      <c r="CM1159" s="35"/>
      <c r="CR1159" s="35"/>
    </row>
    <row r="1160" spans="49:96" ht="25.25" customHeight="1">
      <c r="AW1160" s="35"/>
      <c r="CH1160" s="35"/>
      <c r="CI1160" s="35"/>
      <c r="CJ1160" s="35"/>
      <c r="CK1160" s="35"/>
      <c r="CM1160" s="35"/>
      <c r="CR1160" s="35"/>
    </row>
    <row r="1161" spans="49:96" ht="25.25" customHeight="1">
      <c r="AW1161" s="35"/>
      <c r="CH1161" s="35"/>
      <c r="CI1161" s="35"/>
      <c r="CJ1161" s="35"/>
      <c r="CK1161" s="35"/>
      <c r="CM1161" s="35"/>
      <c r="CR1161" s="35"/>
    </row>
    <row r="1162" spans="49:96" ht="25.25" customHeight="1">
      <c r="AW1162" s="35"/>
      <c r="CH1162" s="35"/>
      <c r="CI1162" s="35"/>
      <c r="CJ1162" s="35"/>
      <c r="CK1162" s="35"/>
      <c r="CM1162" s="35"/>
      <c r="CR1162" s="35"/>
    </row>
    <row r="1163" spans="49:96" ht="25.25" customHeight="1">
      <c r="AW1163" s="35"/>
      <c r="CH1163" s="35"/>
      <c r="CI1163" s="35"/>
      <c r="CJ1163" s="35"/>
      <c r="CK1163" s="35"/>
      <c r="CM1163" s="35"/>
      <c r="CR1163" s="35"/>
    </row>
    <row r="1164" spans="49:96" ht="25.25" customHeight="1">
      <c r="AW1164" s="35"/>
      <c r="CH1164" s="35"/>
      <c r="CI1164" s="35"/>
      <c r="CJ1164" s="35"/>
      <c r="CK1164" s="35"/>
      <c r="CM1164" s="35"/>
      <c r="CR1164" s="35"/>
    </row>
    <row r="1165" spans="49:96" ht="25.25" customHeight="1">
      <c r="AW1165" s="35"/>
      <c r="CH1165" s="35"/>
      <c r="CI1165" s="35"/>
      <c r="CJ1165" s="35"/>
      <c r="CK1165" s="35"/>
      <c r="CM1165" s="35"/>
      <c r="CR1165" s="35"/>
    </row>
    <row r="1166" spans="49:96" ht="25.25" customHeight="1">
      <c r="AW1166" s="35"/>
      <c r="CH1166" s="35"/>
      <c r="CI1166" s="35"/>
      <c r="CJ1166" s="35"/>
      <c r="CK1166" s="35"/>
      <c r="CM1166" s="35"/>
      <c r="CR1166" s="35"/>
    </row>
    <row r="1167" spans="49:96" ht="25.25" customHeight="1">
      <c r="AW1167" s="35"/>
      <c r="CH1167" s="35"/>
      <c r="CI1167" s="35"/>
      <c r="CJ1167" s="35"/>
      <c r="CK1167" s="35"/>
      <c r="CM1167" s="35"/>
      <c r="CR1167" s="35"/>
    </row>
    <row r="1168" spans="49:96" ht="25.25" customHeight="1">
      <c r="AW1168" s="35"/>
      <c r="CH1168" s="35"/>
      <c r="CI1168" s="35"/>
      <c r="CJ1168" s="35"/>
      <c r="CK1168" s="35"/>
      <c r="CM1168" s="35"/>
      <c r="CR1168" s="35"/>
    </row>
    <row r="1169" spans="49:96" ht="25.25" customHeight="1">
      <c r="AW1169" s="35"/>
      <c r="CH1169" s="35"/>
      <c r="CI1169" s="35"/>
      <c r="CJ1169" s="35"/>
      <c r="CK1169" s="35"/>
      <c r="CM1169" s="35"/>
      <c r="CR1169" s="35"/>
    </row>
    <row r="1170" spans="49:96" ht="25.25" customHeight="1">
      <c r="AW1170" s="35"/>
      <c r="CH1170" s="35"/>
      <c r="CI1170" s="35"/>
      <c r="CJ1170" s="35"/>
      <c r="CK1170" s="35"/>
      <c r="CM1170" s="35"/>
      <c r="CR1170" s="35"/>
    </row>
    <row r="1171" spans="49:96" ht="25.25" customHeight="1">
      <c r="AW1171" s="35"/>
      <c r="CH1171" s="35"/>
      <c r="CI1171" s="35"/>
      <c r="CJ1171" s="35"/>
      <c r="CK1171" s="35"/>
      <c r="CM1171" s="35"/>
      <c r="CR1171" s="35"/>
    </row>
    <row r="1172" spans="49:96" ht="25.25" customHeight="1">
      <c r="AW1172" s="35"/>
      <c r="CH1172" s="35"/>
      <c r="CI1172" s="35"/>
      <c r="CJ1172" s="35"/>
      <c r="CK1172" s="35"/>
      <c r="CM1172" s="35"/>
      <c r="CR1172" s="35"/>
    </row>
    <row r="1173" spans="49:96" ht="25.25" customHeight="1">
      <c r="AW1173" s="35"/>
      <c r="CH1173" s="35"/>
      <c r="CI1173" s="35"/>
      <c r="CJ1173" s="35"/>
      <c r="CK1173" s="35"/>
      <c r="CM1173" s="35"/>
      <c r="CR1173" s="35"/>
    </row>
    <row r="1174" spans="49:96" ht="25.25" customHeight="1">
      <c r="AW1174" s="35"/>
      <c r="CH1174" s="35"/>
      <c r="CI1174" s="35"/>
      <c r="CJ1174" s="35"/>
      <c r="CK1174" s="35"/>
      <c r="CM1174" s="35"/>
      <c r="CR1174" s="35"/>
    </row>
    <row r="1175" spans="49:96" ht="25.25" customHeight="1">
      <c r="AW1175" s="35"/>
      <c r="CH1175" s="35"/>
      <c r="CI1175" s="35"/>
      <c r="CJ1175" s="35"/>
      <c r="CK1175" s="35"/>
      <c r="CM1175" s="35"/>
      <c r="CR1175" s="35"/>
    </row>
    <row r="1176" spans="49:96" ht="25.25" customHeight="1">
      <c r="AW1176" s="35"/>
      <c r="CH1176" s="35"/>
      <c r="CI1176" s="35"/>
      <c r="CJ1176" s="35"/>
      <c r="CK1176" s="35"/>
      <c r="CM1176" s="35"/>
      <c r="CR1176" s="35"/>
    </row>
    <row r="1177" spans="49:96" ht="25.25" customHeight="1">
      <c r="AW1177" s="35"/>
      <c r="CH1177" s="35"/>
      <c r="CI1177" s="35"/>
      <c r="CJ1177" s="35"/>
      <c r="CK1177" s="35"/>
      <c r="CM1177" s="35"/>
      <c r="CR1177" s="35"/>
    </row>
    <row r="1178" spans="49:96" ht="25.25" customHeight="1">
      <c r="AW1178" s="35"/>
      <c r="CH1178" s="35"/>
      <c r="CI1178" s="35"/>
      <c r="CJ1178" s="35"/>
      <c r="CK1178" s="35"/>
      <c r="CM1178" s="35"/>
      <c r="CR1178" s="35"/>
    </row>
    <row r="1179" spans="49:96" ht="25.25" customHeight="1">
      <c r="AW1179" s="35"/>
      <c r="CH1179" s="35"/>
      <c r="CI1179" s="35"/>
      <c r="CJ1179" s="35"/>
      <c r="CK1179" s="35"/>
      <c r="CM1179" s="35"/>
      <c r="CR1179" s="35"/>
    </row>
    <row r="1180" spans="49:96" ht="25.25" customHeight="1">
      <c r="AW1180" s="35"/>
      <c r="CH1180" s="35"/>
      <c r="CI1180" s="35"/>
      <c r="CJ1180" s="35"/>
      <c r="CK1180" s="35"/>
      <c r="CM1180" s="35"/>
      <c r="CR1180" s="35"/>
    </row>
    <row r="1181" spans="49:96" ht="25.25" customHeight="1">
      <c r="AW1181" s="35"/>
      <c r="CH1181" s="35"/>
      <c r="CI1181" s="35"/>
      <c r="CJ1181" s="35"/>
      <c r="CK1181" s="35"/>
      <c r="CM1181" s="35"/>
      <c r="CR1181" s="35"/>
    </row>
    <row r="1182" spans="49:96" ht="25.25" customHeight="1">
      <c r="AW1182" s="35"/>
      <c r="CH1182" s="35"/>
      <c r="CI1182" s="35"/>
      <c r="CJ1182" s="35"/>
      <c r="CK1182" s="35"/>
      <c r="CM1182" s="35"/>
      <c r="CR1182" s="35"/>
    </row>
    <row r="1183" spans="49:96" ht="25.25" customHeight="1">
      <c r="AW1183" s="35"/>
      <c r="CH1183" s="35"/>
      <c r="CI1183" s="35"/>
      <c r="CJ1183" s="35"/>
      <c r="CK1183" s="35"/>
      <c r="CM1183" s="35"/>
      <c r="CR1183" s="35"/>
    </row>
    <row r="1184" spans="49:96" ht="25.25" customHeight="1">
      <c r="AW1184" s="35"/>
      <c r="CH1184" s="35"/>
      <c r="CI1184" s="35"/>
      <c r="CJ1184" s="35"/>
      <c r="CK1184" s="35"/>
      <c r="CM1184" s="35"/>
      <c r="CR1184" s="35"/>
    </row>
    <row r="1185" spans="49:96" ht="25.25" customHeight="1">
      <c r="AW1185" s="35"/>
      <c r="CH1185" s="35"/>
      <c r="CI1185" s="35"/>
      <c r="CJ1185" s="35"/>
      <c r="CK1185" s="35"/>
      <c r="CM1185" s="35"/>
      <c r="CR1185" s="35"/>
    </row>
    <row r="1186" spans="49:96" ht="25.25" customHeight="1">
      <c r="AW1186" s="35"/>
      <c r="CH1186" s="35"/>
      <c r="CI1186" s="35"/>
      <c r="CJ1186" s="35"/>
      <c r="CK1186" s="35"/>
      <c r="CM1186" s="35"/>
      <c r="CR1186" s="35"/>
    </row>
    <row r="1187" spans="49:96" ht="25.25" customHeight="1">
      <c r="AW1187" s="35"/>
      <c r="CH1187" s="35"/>
      <c r="CI1187" s="35"/>
      <c r="CJ1187" s="35"/>
      <c r="CK1187" s="35"/>
      <c r="CM1187" s="35"/>
      <c r="CR1187" s="35"/>
    </row>
    <row r="1188" spans="49:96" ht="25.25" customHeight="1">
      <c r="AW1188" s="35"/>
      <c r="CH1188" s="35"/>
      <c r="CI1188" s="35"/>
      <c r="CJ1188" s="35"/>
      <c r="CK1188" s="35"/>
      <c r="CM1188" s="35"/>
      <c r="CR1188" s="35"/>
    </row>
    <row r="1189" spans="49:96" ht="25.25" customHeight="1">
      <c r="AW1189" s="35"/>
      <c r="CH1189" s="35"/>
      <c r="CI1189" s="35"/>
      <c r="CJ1189" s="35"/>
      <c r="CK1189" s="35"/>
      <c r="CM1189" s="35"/>
      <c r="CR1189" s="35"/>
    </row>
    <row r="1190" spans="49:96" ht="25.25" customHeight="1">
      <c r="AW1190" s="35"/>
      <c r="CH1190" s="35"/>
      <c r="CI1190" s="35"/>
      <c r="CJ1190" s="35"/>
      <c r="CK1190" s="35"/>
      <c r="CM1190" s="35"/>
      <c r="CR1190" s="35"/>
    </row>
    <row r="1191" spans="49:96" ht="25.25" customHeight="1">
      <c r="AW1191" s="35"/>
      <c r="CH1191" s="35"/>
      <c r="CI1191" s="35"/>
      <c r="CJ1191" s="35"/>
      <c r="CK1191" s="35"/>
      <c r="CM1191" s="35"/>
      <c r="CR1191" s="35"/>
    </row>
    <row r="1192" spans="49:96" ht="25.25" customHeight="1">
      <c r="AW1192" s="35"/>
      <c r="CH1192" s="35"/>
      <c r="CI1192" s="35"/>
      <c r="CJ1192" s="35"/>
      <c r="CK1192" s="35"/>
      <c r="CM1192" s="35"/>
      <c r="CR1192" s="35"/>
    </row>
    <row r="1193" spans="49:96" ht="25.25" customHeight="1">
      <c r="AW1193" s="35"/>
      <c r="CH1193" s="35"/>
      <c r="CI1193" s="35"/>
      <c r="CJ1193" s="35"/>
      <c r="CK1193" s="35"/>
      <c r="CM1193" s="35"/>
      <c r="CR1193" s="35"/>
    </row>
    <row r="1194" spans="49:96" ht="25.25" customHeight="1">
      <c r="AW1194" s="35"/>
    </row>
    <row r="1195" spans="49:96" ht="25.25" customHeight="1">
      <c r="AW1195" s="35"/>
    </row>
    <row r="1196" spans="49:96" ht="25.25" customHeight="1">
      <c r="AW1196" s="35"/>
    </row>
    <row r="1197" spans="49:96" ht="25.25" customHeight="1">
      <c r="AW1197" s="35"/>
    </row>
    <row r="1198" spans="49:96" ht="25.25" customHeight="1">
      <c r="AW1198" s="35"/>
    </row>
    <row r="1199" spans="49:96" ht="25.25" customHeight="1">
      <c r="AW1199" s="35"/>
    </row>
    <row r="1200" spans="49:96" ht="25.25" customHeight="1">
      <c r="AW1200" s="35"/>
    </row>
    <row r="1201" spans="49:49" ht="25.25" customHeight="1">
      <c r="AW1201" s="35"/>
    </row>
    <row r="1202" spans="49:49" ht="25.25" customHeight="1">
      <c r="AW1202" s="35"/>
    </row>
    <row r="1203" spans="49:49" ht="25.25" customHeight="1">
      <c r="AW1203" s="35"/>
    </row>
    <row r="1204" spans="49:49" ht="25.25" customHeight="1">
      <c r="AW1204" s="35"/>
    </row>
    <row r="1205" spans="49:49" ht="25.25" customHeight="1">
      <c r="AW1205" s="35"/>
    </row>
    <row r="1206" spans="49:49" ht="25.25" customHeight="1">
      <c r="AW1206" s="35"/>
    </row>
    <row r="1207" spans="49:49" ht="25.25" customHeight="1">
      <c r="AW1207" s="35"/>
    </row>
    <row r="1208" spans="49:49" ht="25.25" customHeight="1">
      <c r="AW1208" s="35"/>
    </row>
    <row r="1209" spans="49:49" ht="25.25" customHeight="1">
      <c r="AW1209" s="35"/>
    </row>
    <row r="1210" spans="49:49" ht="25.25" customHeight="1">
      <c r="AW1210" s="35"/>
    </row>
    <row r="1211" spans="49:49" ht="25.25" customHeight="1">
      <c r="AW1211" s="35"/>
    </row>
    <row r="1212" spans="49:49" ht="25.25" customHeight="1">
      <c r="AW1212" s="35"/>
    </row>
    <row r="1213" spans="49:49" ht="25.25" customHeight="1">
      <c r="AW1213" s="35"/>
    </row>
    <row r="1214" spans="49:49" ht="25.25" customHeight="1">
      <c r="AW1214" s="35"/>
    </row>
    <row r="1215" spans="49:49" ht="25.25" customHeight="1">
      <c r="AW1215" s="35"/>
    </row>
    <row r="1216" spans="49:49" ht="25.25" customHeight="1">
      <c r="AW1216" s="35"/>
    </row>
    <row r="1217" spans="49:49" ht="25.25" customHeight="1">
      <c r="AW1217" s="35"/>
    </row>
    <row r="1218" spans="49:49" ht="25.25" customHeight="1">
      <c r="AW1218" s="35"/>
    </row>
    <row r="1219" spans="49:49" ht="25.25" customHeight="1">
      <c r="AW1219" s="35"/>
    </row>
    <row r="1220" spans="49:49" ht="25.25" customHeight="1">
      <c r="AW1220" s="35"/>
    </row>
    <row r="1221" spans="49:49" ht="25.25" customHeight="1">
      <c r="AW1221" s="35"/>
    </row>
    <row r="1222" spans="49:49" ht="25.25" customHeight="1">
      <c r="AW1222" s="35"/>
    </row>
    <row r="1223" spans="49:49" ht="25.25" customHeight="1">
      <c r="AW1223" s="35"/>
    </row>
    <row r="1224" spans="49:49" ht="25.25" customHeight="1">
      <c r="AW1224" s="35"/>
    </row>
    <row r="1225" spans="49:49" ht="25.25" customHeight="1">
      <c r="AW1225" s="35"/>
    </row>
    <row r="1226" spans="49:49" ht="25.25" customHeight="1">
      <c r="AW1226" s="35"/>
    </row>
    <row r="1227" spans="49:49" ht="25.25" customHeight="1">
      <c r="AW1227" s="35"/>
    </row>
    <row r="1228" spans="49:49" ht="25.25" customHeight="1">
      <c r="AW1228" s="35"/>
    </row>
    <row r="1229" spans="49:49" ht="25.25" customHeight="1">
      <c r="AW1229" s="35"/>
    </row>
    <row r="1230" spans="49:49" ht="25.25" customHeight="1">
      <c r="AW1230" s="35"/>
    </row>
    <row r="1231" spans="49:49" ht="25.25" customHeight="1">
      <c r="AW1231" s="35"/>
    </row>
    <row r="1232" spans="49:49" ht="25.25" customHeight="1">
      <c r="AW1232" s="35"/>
    </row>
    <row r="1233" spans="49:49" ht="25.25" customHeight="1">
      <c r="AW1233" s="35"/>
    </row>
    <row r="1234" spans="49:49" ht="25.25" customHeight="1">
      <c r="AW1234" s="35"/>
    </row>
    <row r="1235" spans="49:49" ht="25.25" customHeight="1">
      <c r="AW1235" s="35"/>
    </row>
    <row r="1236" spans="49:49" ht="25.25" customHeight="1">
      <c r="AW1236" s="35"/>
    </row>
    <row r="1237" spans="49:49" ht="25.25" customHeight="1">
      <c r="AW1237" s="35"/>
    </row>
    <row r="1238" spans="49:49" ht="25.25" customHeight="1">
      <c r="AW1238" s="35"/>
    </row>
    <row r="1239" spans="49:49" ht="25.25" customHeight="1">
      <c r="AW1239" s="35"/>
    </row>
    <row r="1240" spans="49:49" ht="25.25" customHeight="1">
      <c r="AW1240" s="35"/>
    </row>
    <row r="1241" spans="49:49" ht="25.25" customHeight="1">
      <c r="AW1241" s="35"/>
    </row>
    <row r="1242" spans="49:49" ht="25.25" customHeight="1">
      <c r="AW1242" s="35"/>
    </row>
    <row r="1243" spans="49:49" ht="25.25" customHeight="1">
      <c r="AW1243" s="35"/>
    </row>
    <row r="1244" spans="49:49" ht="25.25" customHeight="1">
      <c r="AW1244" s="35"/>
    </row>
    <row r="1245" spans="49:49" ht="25.25" customHeight="1">
      <c r="AW1245" s="35"/>
    </row>
    <row r="1246" spans="49:49" ht="25.25" customHeight="1">
      <c r="AW1246" s="35"/>
    </row>
    <row r="1247" spans="49:49" ht="25.25" customHeight="1">
      <c r="AW1247" s="35"/>
    </row>
    <row r="1248" spans="49:49" ht="25.25" customHeight="1">
      <c r="AW1248" s="35"/>
    </row>
    <row r="1249" spans="49:49" ht="25.25" customHeight="1">
      <c r="AW1249" s="35"/>
    </row>
    <row r="1250" spans="49:49" ht="25.25" customHeight="1">
      <c r="AW1250" s="35"/>
    </row>
    <row r="1251" spans="49:49" ht="25.25" customHeight="1">
      <c r="AW1251" s="35"/>
    </row>
    <row r="1252" spans="49:49" ht="25.25" customHeight="1">
      <c r="AW1252" s="35"/>
    </row>
    <row r="1253" spans="49:49" ht="25.25" customHeight="1">
      <c r="AW1253" s="35"/>
    </row>
    <row r="1254" spans="49:49" ht="25.25" customHeight="1">
      <c r="AW1254" s="35"/>
    </row>
    <row r="1255" spans="49:49" ht="25.25" customHeight="1">
      <c r="AW1255" s="35"/>
    </row>
    <row r="1256" spans="49:49" ht="25.25" customHeight="1">
      <c r="AW1256" s="35"/>
    </row>
    <row r="1257" spans="49:49" ht="25.25" customHeight="1">
      <c r="AW1257" s="35"/>
    </row>
    <row r="1258" spans="49:49" ht="25.25" customHeight="1">
      <c r="AW1258" s="35"/>
    </row>
    <row r="1259" spans="49:49" ht="25.25" customHeight="1">
      <c r="AW1259" s="35"/>
    </row>
    <row r="1260" spans="49:49" ht="25.25" customHeight="1">
      <c r="AW1260" s="35"/>
    </row>
    <row r="1261" spans="49:49" ht="25.25" customHeight="1">
      <c r="AW1261" s="35"/>
    </row>
    <row r="1262" spans="49:49" ht="25.25" customHeight="1">
      <c r="AW1262" s="35"/>
    </row>
    <row r="1263" spans="49:49" ht="25.25" customHeight="1">
      <c r="AW1263" s="35"/>
    </row>
    <row r="1264" spans="49:49" ht="25.25" customHeight="1">
      <c r="AW1264" s="35"/>
    </row>
    <row r="1265" spans="49:49" ht="25.25" customHeight="1">
      <c r="AW1265" s="35"/>
    </row>
    <row r="1266" spans="49:49" ht="25.25" customHeight="1">
      <c r="AW1266" s="35"/>
    </row>
    <row r="1267" spans="49:49" ht="25.25" customHeight="1">
      <c r="AW1267" s="35"/>
    </row>
    <row r="1268" spans="49:49" ht="25.25" customHeight="1">
      <c r="AW1268" s="35"/>
    </row>
    <row r="1269" spans="49:49" ht="25.25" customHeight="1">
      <c r="AW1269" s="35"/>
    </row>
    <row r="1270" spans="49:49" ht="25.25" customHeight="1">
      <c r="AW1270" s="35"/>
    </row>
    <row r="1271" spans="49:49" ht="25.25" customHeight="1">
      <c r="AW1271" s="35"/>
    </row>
    <row r="1272" spans="49:49" ht="25.25" customHeight="1">
      <c r="AW1272" s="35"/>
    </row>
    <row r="1273" spans="49:49" ht="25.25" customHeight="1">
      <c r="AW1273" s="35"/>
    </row>
    <row r="1274" spans="49:49" ht="25.25" customHeight="1">
      <c r="AW1274" s="35"/>
    </row>
    <row r="1275" spans="49:49" ht="25.25" customHeight="1">
      <c r="AW1275" s="35"/>
    </row>
    <row r="1276" spans="49:49" ht="25.25" customHeight="1">
      <c r="AW1276" s="35"/>
    </row>
    <row r="1277" spans="49:49" ht="25.25" customHeight="1">
      <c r="AW1277" s="35"/>
    </row>
    <row r="1278" spans="49:49" ht="25.25" customHeight="1">
      <c r="AW1278" s="35"/>
    </row>
    <row r="1279" spans="49:49" ht="25.25" customHeight="1">
      <c r="AW1279" s="35"/>
    </row>
    <row r="1280" spans="49:49" ht="25.25" customHeight="1">
      <c r="AW1280" s="35"/>
    </row>
    <row r="1281" spans="49:49" ht="25.25" customHeight="1">
      <c r="AW1281" s="35"/>
    </row>
    <row r="1282" spans="49:49" ht="25.25" customHeight="1">
      <c r="AW1282" s="35"/>
    </row>
    <row r="1283" spans="49:49" ht="25.25" customHeight="1">
      <c r="AW1283" s="35"/>
    </row>
    <row r="1284" spans="49:49" ht="25.25" customHeight="1">
      <c r="AW1284" s="35"/>
    </row>
    <row r="1285" spans="49:49" ht="25.25" customHeight="1">
      <c r="AW1285" s="35"/>
    </row>
    <row r="1286" spans="49:49" ht="25.25" customHeight="1">
      <c r="AW1286" s="35"/>
    </row>
    <row r="1287" spans="49:49" ht="25.25" customHeight="1">
      <c r="AW1287" s="35"/>
    </row>
    <row r="1288" spans="49:49" ht="25.25" customHeight="1">
      <c r="AW1288" s="35"/>
    </row>
    <row r="1289" spans="49:49" ht="25.25" customHeight="1">
      <c r="AW1289" s="35"/>
    </row>
    <row r="1290" spans="49:49" ht="25.25" customHeight="1">
      <c r="AW1290" s="35"/>
    </row>
    <row r="1291" spans="49:49" ht="25.25" customHeight="1">
      <c r="AW1291" s="35"/>
    </row>
    <row r="1292" spans="49:49" ht="25.25" customHeight="1">
      <c r="AW1292" s="35"/>
    </row>
    <row r="1293" spans="49:49" ht="25.25" customHeight="1">
      <c r="AW1293" s="35"/>
    </row>
    <row r="1294" spans="49:49" ht="25.25" customHeight="1">
      <c r="AW1294" s="35"/>
    </row>
    <row r="1295" spans="49:49" ht="25.25" customHeight="1">
      <c r="AW1295" s="35"/>
    </row>
    <row r="1296" spans="49:49" ht="25.25" customHeight="1">
      <c r="AW1296" s="35"/>
    </row>
    <row r="1297" spans="49:49" ht="25.25" customHeight="1">
      <c r="AW1297" s="35"/>
    </row>
    <row r="1298" spans="49:49" ht="25.25" customHeight="1">
      <c r="AW1298" s="35"/>
    </row>
    <row r="1299" spans="49:49" ht="25.25" customHeight="1">
      <c r="AW1299" s="35"/>
    </row>
    <row r="1300" spans="49:49" ht="25.25" customHeight="1">
      <c r="AW1300" s="35"/>
    </row>
    <row r="1301" spans="49:49" ht="25.25" customHeight="1">
      <c r="AW1301" s="35"/>
    </row>
    <row r="1302" spans="49:49" ht="25.25" customHeight="1">
      <c r="AW1302" s="35"/>
    </row>
    <row r="1303" spans="49:49" ht="25.25" customHeight="1">
      <c r="AW1303" s="35"/>
    </row>
    <row r="1304" spans="49:49" ht="25.25" customHeight="1">
      <c r="AW1304" s="35"/>
    </row>
    <row r="1305" spans="49:49" ht="25.25" customHeight="1">
      <c r="AW1305" s="35"/>
    </row>
    <row r="1306" spans="49:49" ht="25.25" customHeight="1">
      <c r="AW1306" s="35"/>
    </row>
    <row r="1307" spans="49:49" ht="25.25" customHeight="1">
      <c r="AW1307" s="35"/>
    </row>
    <row r="1308" spans="49:49" ht="25.25" customHeight="1">
      <c r="AW1308" s="35"/>
    </row>
    <row r="1309" spans="49:49" ht="25.25" customHeight="1">
      <c r="AW1309" s="35"/>
    </row>
    <row r="1310" spans="49:49" ht="25.25" customHeight="1">
      <c r="AW1310" s="35"/>
    </row>
    <row r="1311" spans="49:49" ht="25.25" customHeight="1">
      <c r="AW1311" s="35"/>
    </row>
    <row r="1312" spans="49:49" ht="25.25" customHeight="1">
      <c r="AW1312" s="35"/>
    </row>
    <row r="1313" spans="49:49" ht="25.25" customHeight="1">
      <c r="AW1313" s="35"/>
    </row>
    <row r="1314" spans="49:49" ht="25.25" customHeight="1">
      <c r="AW1314" s="35"/>
    </row>
    <row r="1315" spans="49:49" ht="25.25" customHeight="1">
      <c r="AW1315" s="35"/>
    </row>
    <row r="1316" spans="49:49" ht="25.25" customHeight="1">
      <c r="AW1316" s="35"/>
    </row>
    <row r="1317" spans="49:49" ht="25.25" customHeight="1">
      <c r="AW1317" s="35"/>
    </row>
    <row r="1318" spans="49:49" ht="25.25" customHeight="1">
      <c r="AW1318" s="35"/>
    </row>
    <row r="1319" spans="49:49" ht="25.25" customHeight="1">
      <c r="AW1319" s="35"/>
    </row>
    <row r="1320" spans="49:49" ht="25.25" customHeight="1">
      <c r="AW1320" s="35"/>
    </row>
    <row r="1321" spans="49:49" ht="25.25" customHeight="1">
      <c r="AW1321" s="35"/>
    </row>
    <row r="1322" spans="49:49" ht="25.25" customHeight="1">
      <c r="AW1322" s="35"/>
    </row>
    <row r="1323" spans="49:49" ht="25.25" customHeight="1">
      <c r="AW1323" s="35"/>
    </row>
    <row r="1324" spans="49:49" ht="25.25" customHeight="1">
      <c r="AW1324" s="35"/>
    </row>
    <row r="1325" spans="49:49" ht="25.25" customHeight="1">
      <c r="AW1325" s="35"/>
    </row>
    <row r="1326" spans="49:49" ht="25.25" customHeight="1">
      <c r="AW1326" s="35"/>
    </row>
    <row r="1327" spans="49:49" ht="25.25" customHeight="1">
      <c r="AW1327" s="35"/>
    </row>
    <row r="1328" spans="49:49" ht="25.25" customHeight="1">
      <c r="AW1328" s="35"/>
    </row>
    <row r="1329" spans="49:49" ht="25.25" customHeight="1">
      <c r="AW1329" s="35"/>
    </row>
    <row r="1330" spans="49:49" ht="25.25" customHeight="1">
      <c r="AW1330" s="35"/>
    </row>
    <row r="1331" spans="49:49" ht="25.25" customHeight="1">
      <c r="AW1331" s="35"/>
    </row>
    <row r="1332" spans="49:49" ht="25.25" customHeight="1">
      <c r="AW1332" s="35"/>
    </row>
    <row r="1333" spans="49:49" ht="25.25" customHeight="1">
      <c r="AW1333" s="35"/>
    </row>
    <row r="1334" spans="49:49" ht="25.25" customHeight="1">
      <c r="AW1334" s="35"/>
    </row>
    <row r="1335" spans="49:49" ht="25.25" customHeight="1">
      <c r="AW1335" s="35"/>
    </row>
    <row r="1336" spans="49:49" ht="25.25" customHeight="1">
      <c r="AW1336" s="35"/>
    </row>
    <row r="1337" spans="49:49" ht="25.25" customHeight="1">
      <c r="AW1337" s="35"/>
    </row>
    <row r="1338" spans="49:49" ht="25.25" customHeight="1">
      <c r="AW1338" s="35"/>
    </row>
    <row r="1339" spans="49:49" ht="25.25" customHeight="1">
      <c r="AW1339" s="35"/>
    </row>
    <row r="1340" spans="49:49" ht="25.25" customHeight="1">
      <c r="AW1340" s="35"/>
    </row>
    <row r="1341" spans="49:49" ht="25.25" customHeight="1">
      <c r="AW1341" s="35"/>
    </row>
    <row r="1342" spans="49:49" ht="25.25" customHeight="1">
      <c r="AW1342" s="35"/>
    </row>
    <row r="1343" spans="49:49" ht="25.25" customHeight="1">
      <c r="AW1343" s="35"/>
    </row>
    <row r="1344" spans="49:49" ht="25.25" customHeight="1">
      <c r="AW1344" s="35"/>
    </row>
    <row r="1345" spans="49:49" ht="25.25" customHeight="1">
      <c r="AW1345" s="35"/>
    </row>
    <row r="1346" spans="49:49" ht="25.25" customHeight="1">
      <c r="AW1346" s="35"/>
    </row>
    <row r="1347" spans="49:49" ht="25.25" customHeight="1">
      <c r="AW1347" s="35"/>
    </row>
    <row r="1348" spans="49:49" ht="25.25" customHeight="1">
      <c r="AW1348" s="35"/>
    </row>
    <row r="1349" spans="49:49" ht="25.25" customHeight="1">
      <c r="AW1349" s="35"/>
    </row>
    <row r="1350" spans="49:49" ht="25.25" customHeight="1">
      <c r="AW1350" s="35"/>
    </row>
    <row r="1351" spans="49:49" ht="25.25" customHeight="1">
      <c r="AW1351" s="35"/>
    </row>
    <row r="1352" spans="49:49" ht="25.25" customHeight="1">
      <c r="AW1352" s="35"/>
    </row>
    <row r="1353" spans="49:49" ht="25.25" customHeight="1">
      <c r="AW1353" s="35"/>
    </row>
    <row r="1354" spans="49:49" ht="25.25" customHeight="1">
      <c r="AW1354" s="35"/>
    </row>
    <row r="1355" spans="49:49" ht="25.25" customHeight="1">
      <c r="AW1355" s="35"/>
    </row>
    <row r="1356" spans="49:49" ht="25.25" customHeight="1">
      <c r="AW1356" s="35"/>
    </row>
    <row r="1357" spans="49:49" ht="25.25" customHeight="1">
      <c r="AW1357" s="35"/>
    </row>
    <row r="1358" spans="49:49" ht="25.25" customHeight="1">
      <c r="AW1358" s="35"/>
    </row>
    <row r="1359" spans="49:49" ht="25.25" customHeight="1">
      <c r="AW1359" s="35"/>
    </row>
    <row r="1360" spans="49:49" ht="25.25" customHeight="1">
      <c r="AW1360" s="35"/>
    </row>
    <row r="1361" spans="49:49" ht="25.25" customHeight="1">
      <c r="AW1361" s="35"/>
    </row>
    <row r="1362" spans="49:49" ht="25.25" customHeight="1">
      <c r="AW1362" s="35"/>
    </row>
    <row r="1363" spans="49:49" ht="25.25" customHeight="1">
      <c r="AW1363" s="35"/>
    </row>
    <row r="1364" spans="49:49" ht="25.25" customHeight="1">
      <c r="AW1364" s="35"/>
    </row>
    <row r="1365" spans="49:49" ht="25.25" customHeight="1">
      <c r="AW1365" s="35"/>
    </row>
    <row r="1366" spans="49:49" ht="25.25" customHeight="1">
      <c r="AW1366" s="35"/>
    </row>
    <row r="1367" spans="49:49" ht="25.25" customHeight="1">
      <c r="AW1367" s="35"/>
    </row>
    <row r="1368" spans="49:49" ht="25.25" customHeight="1">
      <c r="AW1368" s="35"/>
    </row>
    <row r="1369" spans="49:49" ht="25.25" customHeight="1">
      <c r="AW1369" s="35"/>
    </row>
    <row r="1370" spans="49:49" ht="25.25" customHeight="1">
      <c r="AW1370" s="35"/>
    </row>
    <row r="1371" spans="49:49" ht="25.25" customHeight="1">
      <c r="AW1371" s="35"/>
    </row>
    <row r="1372" spans="49:49" ht="25.25" customHeight="1">
      <c r="AW1372" s="35"/>
    </row>
    <row r="1373" spans="49:49" ht="25.25" customHeight="1">
      <c r="AW1373" s="35"/>
    </row>
    <row r="1374" spans="49:49" ht="25.25" customHeight="1">
      <c r="AW1374" s="35"/>
    </row>
    <row r="1375" spans="49:49" ht="25.25" customHeight="1">
      <c r="AW1375" s="35"/>
    </row>
    <row r="1376" spans="49:49" ht="25.25" customHeight="1">
      <c r="AW1376" s="35"/>
    </row>
    <row r="1377" spans="49:49" ht="25.25" customHeight="1">
      <c r="AW1377" s="35"/>
    </row>
    <row r="1378" spans="49:49" ht="25.25" customHeight="1">
      <c r="AW1378" s="35"/>
    </row>
    <row r="1379" spans="49:49" ht="25.25" customHeight="1">
      <c r="AW1379" s="35"/>
    </row>
    <row r="1380" spans="49:49" ht="25.25" customHeight="1">
      <c r="AW1380" s="35"/>
    </row>
    <row r="1381" spans="49:49" ht="25.25" customHeight="1">
      <c r="AW1381" s="35"/>
    </row>
    <row r="1382" spans="49:49" ht="25.25" customHeight="1">
      <c r="AW1382" s="35"/>
    </row>
    <row r="1383" spans="49:49" ht="25.25" customHeight="1">
      <c r="AW1383" s="35"/>
    </row>
    <row r="1384" spans="49:49" ht="25.25" customHeight="1">
      <c r="AW1384" s="35"/>
    </row>
    <row r="1385" spans="49:49" ht="25.25" customHeight="1">
      <c r="AW1385" s="35"/>
    </row>
    <row r="1386" spans="49:49" ht="25.25" customHeight="1">
      <c r="AW1386" s="35"/>
    </row>
    <row r="1387" spans="49:49" ht="25.25" customHeight="1">
      <c r="AW1387" s="35"/>
    </row>
    <row r="1388" spans="49:49" ht="25.25" customHeight="1">
      <c r="AW1388" s="35"/>
    </row>
    <row r="1389" spans="49:49" ht="25.25" customHeight="1">
      <c r="AW1389" s="35"/>
    </row>
    <row r="1390" spans="49:49" ht="25.25" customHeight="1">
      <c r="AW1390" s="35"/>
    </row>
    <row r="1391" spans="49:49" ht="25.25" customHeight="1">
      <c r="AW1391" s="35"/>
    </row>
    <row r="1392" spans="49:49" ht="25.25" customHeight="1">
      <c r="AW1392" s="35"/>
    </row>
    <row r="1393" spans="49:49" ht="25.25" customHeight="1">
      <c r="AW1393" s="35"/>
    </row>
    <row r="1394" spans="49:49" ht="25.25" customHeight="1">
      <c r="AW1394" s="35"/>
    </row>
    <row r="1395" spans="49:49" ht="25.25" customHeight="1">
      <c r="AW1395" s="35"/>
    </row>
    <row r="1396" spans="49:49" ht="25.25" customHeight="1">
      <c r="AW1396" s="35"/>
    </row>
    <row r="1397" spans="49:49" ht="25.25" customHeight="1">
      <c r="AW1397" s="35"/>
    </row>
    <row r="1398" spans="49:49" ht="25.25" customHeight="1">
      <c r="AW1398" s="35"/>
    </row>
    <row r="1399" spans="49:49" ht="25.25" customHeight="1">
      <c r="AW1399" s="35"/>
    </row>
    <row r="1400" spans="49:49" ht="25.25" customHeight="1">
      <c r="AW1400" s="35"/>
    </row>
    <row r="1401" spans="49:49" ht="25.25" customHeight="1">
      <c r="AW1401" s="35"/>
    </row>
    <row r="1402" spans="49:49" ht="25.25" customHeight="1">
      <c r="AW1402" s="35"/>
    </row>
    <row r="1403" spans="49:49" ht="25.25" customHeight="1">
      <c r="AW1403" s="35"/>
    </row>
    <row r="1404" spans="49:49" ht="25.25" customHeight="1">
      <c r="AW1404" s="35"/>
    </row>
    <row r="1405" spans="49:49" ht="25.25" customHeight="1">
      <c r="AW1405" s="35"/>
    </row>
    <row r="1406" spans="49:49" ht="25.25" customHeight="1">
      <c r="AW1406" s="35"/>
    </row>
    <row r="1407" spans="49:49" ht="25.25" customHeight="1">
      <c r="AW1407" s="35"/>
    </row>
    <row r="1408" spans="49:49" ht="25.25" customHeight="1">
      <c r="AW1408" s="35"/>
    </row>
    <row r="1409" spans="49:49" ht="25.25" customHeight="1">
      <c r="AW1409" s="35"/>
    </row>
    <row r="1410" spans="49:49" ht="25.25" customHeight="1">
      <c r="AW1410" s="35"/>
    </row>
    <row r="1411" spans="49:49" ht="25.25" customHeight="1">
      <c r="AW1411" s="35"/>
    </row>
    <row r="1412" spans="49:49" ht="25.25" customHeight="1">
      <c r="AW1412" s="35"/>
    </row>
    <row r="1413" spans="49:49" ht="25.25" customHeight="1">
      <c r="AW1413" s="35"/>
    </row>
    <row r="1414" spans="49:49" ht="25.25" customHeight="1">
      <c r="AW1414" s="35"/>
    </row>
    <row r="1415" spans="49:49" ht="25.25" customHeight="1">
      <c r="AW1415" s="35"/>
    </row>
    <row r="1416" spans="49:49" ht="25.25" customHeight="1">
      <c r="AW1416" s="35"/>
    </row>
    <row r="1417" spans="49:49" ht="25.25" customHeight="1">
      <c r="AW1417" s="35"/>
    </row>
    <row r="1418" spans="49:49" ht="25.25" customHeight="1">
      <c r="AW1418" s="35"/>
    </row>
    <row r="1419" spans="49:49" ht="25.25" customHeight="1">
      <c r="AW1419" s="35"/>
    </row>
    <row r="1420" spans="49:49" ht="25.25" customHeight="1">
      <c r="AW1420" s="35"/>
    </row>
    <row r="1421" spans="49:49" ht="25.25" customHeight="1">
      <c r="AW1421" s="35"/>
    </row>
    <row r="1422" spans="49:49" ht="25.25" customHeight="1">
      <c r="AW1422" s="35"/>
    </row>
    <row r="1423" spans="49:49" ht="25.25" customHeight="1">
      <c r="AW1423" s="35"/>
    </row>
    <row r="1424" spans="49:49" ht="25.25" customHeight="1">
      <c r="AW1424" s="35"/>
    </row>
    <row r="1425" spans="49:49" ht="25.25" customHeight="1">
      <c r="AW1425" s="35"/>
    </row>
    <row r="1426" spans="49:49" ht="25.25" customHeight="1">
      <c r="AW1426" s="35"/>
    </row>
    <row r="1427" spans="49:49" ht="25.25" customHeight="1">
      <c r="AW1427" s="35"/>
    </row>
    <row r="1428" spans="49:49" ht="25.25" customHeight="1">
      <c r="AW1428" s="35"/>
    </row>
    <row r="1429" spans="49:49" ht="25.25" customHeight="1">
      <c r="AW1429" s="35"/>
    </row>
    <row r="1430" spans="49:49" ht="25.25" customHeight="1">
      <c r="AW1430" s="35"/>
    </row>
    <row r="1431" spans="49:49" ht="25.25" customHeight="1">
      <c r="AW1431" s="35"/>
    </row>
    <row r="1432" spans="49:49" ht="25.25" customHeight="1">
      <c r="AW1432" s="35"/>
    </row>
    <row r="1433" spans="49:49" ht="25.25" customHeight="1">
      <c r="AW1433" s="35"/>
    </row>
    <row r="1434" spans="49:49" ht="25.25" customHeight="1">
      <c r="AW1434" s="35"/>
    </row>
    <row r="1435" spans="49:49" ht="25.25" customHeight="1">
      <c r="AW1435" s="35"/>
    </row>
    <row r="1436" spans="49:49" ht="25.25" customHeight="1">
      <c r="AW1436" s="35"/>
    </row>
    <row r="1437" spans="49:49" ht="25.25" customHeight="1">
      <c r="AW1437" s="35"/>
    </row>
    <row r="1438" spans="49:49" ht="25.25" customHeight="1">
      <c r="AW1438" s="35"/>
    </row>
    <row r="1439" spans="49:49" ht="25.25" customHeight="1">
      <c r="AW1439" s="35"/>
    </row>
    <row r="1440" spans="49:49" ht="25.25" customHeight="1">
      <c r="AW1440" s="35"/>
    </row>
    <row r="1441" spans="49:49" ht="25.25" customHeight="1">
      <c r="AW1441" s="35"/>
    </row>
    <row r="1442" spans="49:49" ht="25.25" customHeight="1">
      <c r="AW1442" s="35"/>
    </row>
    <row r="1443" spans="49:49" ht="25.25" customHeight="1">
      <c r="AW1443" s="35"/>
    </row>
    <row r="1444" spans="49:49" ht="25.25" customHeight="1">
      <c r="AW1444" s="35"/>
    </row>
    <row r="1445" spans="49:49" ht="25.25" customHeight="1">
      <c r="AW1445" s="35"/>
    </row>
    <row r="1446" spans="49:49" ht="25.25" customHeight="1">
      <c r="AW1446" s="35"/>
    </row>
    <row r="1447" spans="49:49" ht="25.25" customHeight="1">
      <c r="AW1447" s="35"/>
    </row>
    <row r="1448" spans="49:49" ht="25.25" customHeight="1">
      <c r="AW1448" s="35"/>
    </row>
    <row r="1449" spans="49:49" ht="25.25" customHeight="1">
      <c r="AW1449" s="35"/>
    </row>
    <row r="1450" spans="49:49" ht="25.25" customHeight="1">
      <c r="AW1450" s="35"/>
    </row>
    <row r="1451" spans="49:49" ht="25.25" customHeight="1">
      <c r="AW1451" s="35"/>
    </row>
    <row r="1452" spans="49:49" ht="25.25" customHeight="1">
      <c r="AW1452" s="35"/>
    </row>
    <row r="1453" spans="49:49" ht="25.25" customHeight="1">
      <c r="AW1453" s="35"/>
    </row>
    <row r="1454" spans="49:49" ht="25.25" customHeight="1">
      <c r="AW1454" s="35"/>
    </row>
    <row r="1455" spans="49:49" ht="25.25" customHeight="1">
      <c r="AW1455" s="35"/>
    </row>
    <row r="1456" spans="49:49" ht="25.25" customHeight="1">
      <c r="AW1456" s="35"/>
    </row>
    <row r="1457" spans="49:49" ht="25.25" customHeight="1">
      <c r="AW1457" s="35"/>
    </row>
    <row r="1458" spans="49:49" ht="25.25" customHeight="1">
      <c r="AW1458" s="35"/>
    </row>
    <row r="1459" spans="49:49" ht="25.25" customHeight="1">
      <c r="AW1459" s="35"/>
    </row>
    <row r="1460" spans="49:49" ht="25.25" customHeight="1">
      <c r="AW1460" s="35"/>
    </row>
    <row r="1461" spans="49:49" ht="25.25" customHeight="1">
      <c r="AW1461" s="35"/>
    </row>
    <row r="1462" spans="49:49" ht="25.25" customHeight="1">
      <c r="AW1462" s="35"/>
    </row>
    <row r="1463" spans="49:49" ht="25.25" customHeight="1">
      <c r="AW1463" s="35"/>
    </row>
    <row r="1464" spans="49:49" ht="25.25" customHeight="1">
      <c r="AW1464" s="35"/>
    </row>
    <row r="1465" spans="49:49" ht="25.25" customHeight="1">
      <c r="AW1465" s="35"/>
    </row>
    <row r="1466" spans="49:49" ht="25.25" customHeight="1">
      <c r="AW1466" s="35"/>
    </row>
    <row r="1467" spans="49:49" ht="25.25" customHeight="1">
      <c r="AW1467" s="35"/>
    </row>
    <row r="1468" spans="49:49" ht="25.25" customHeight="1">
      <c r="AW1468" s="35"/>
    </row>
    <row r="1469" spans="49:49" ht="25.25" customHeight="1">
      <c r="AW1469" s="35"/>
    </row>
    <row r="1470" spans="49:49" ht="25.25" customHeight="1">
      <c r="AW1470" s="35"/>
    </row>
    <row r="1471" spans="49:49" ht="25.25" customHeight="1">
      <c r="AW1471" s="35"/>
    </row>
    <row r="1472" spans="49:49" ht="25.25" customHeight="1">
      <c r="AW1472" s="35"/>
    </row>
    <row r="1473" spans="49:49" ht="25.25" customHeight="1">
      <c r="AW1473" s="35"/>
    </row>
    <row r="1474" spans="49:49" ht="25.25" customHeight="1">
      <c r="AW1474" s="35"/>
    </row>
    <row r="1475" spans="49:49" ht="25.25" customHeight="1">
      <c r="AW1475" s="35"/>
    </row>
    <row r="1476" spans="49:49" ht="25.25" customHeight="1">
      <c r="AW1476" s="35"/>
    </row>
    <row r="1477" spans="49:49" ht="25.25" customHeight="1">
      <c r="AW1477" s="35"/>
    </row>
    <row r="1478" spans="49:49" ht="25.25" customHeight="1">
      <c r="AW1478" s="35"/>
    </row>
    <row r="1479" spans="49:49" ht="25.25" customHeight="1">
      <c r="AW1479" s="35"/>
    </row>
    <row r="1480" spans="49:49" ht="25.25" customHeight="1">
      <c r="AW1480" s="35"/>
    </row>
    <row r="1481" spans="49:49" ht="25.25" customHeight="1">
      <c r="AW1481" s="35"/>
    </row>
    <row r="1482" spans="49:49" ht="25.25" customHeight="1">
      <c r="AW1482" s="35"/>
    </row>
    <row r="1483" spans="49:49" ht="25.25" customHeight="1">
      <c r="AW1483" s="35"/>
    </row>
    <row r="1484" spans="49:49" ht="25.25" customHeight="1">
      <c r="AW1484" s="35"/>
    </row>
    <row r="1485" spans="49:49" ht="25.25" customHeight="1">
      <c r="AW1485" s="35"/>
    </row>
    <row r="1486" spans="49:49" ht="25.25" customHeight="1">
      <c r="AW1486" s="35"/>
    </row>
    <row r="1487" spans="49:49" ht="25.25" customHeight="1">
      <c r="AW1487" s="35"/>
    </row>
    <row r="1488" spans="49:49" ht="25.25" customHeight="1">
      <c r="AW1488" s="35"/>
    </row>
    <row r="1489" spans="49:49" ht="25.25" customHeight="1">
      <c r="AW1489" s="35"/>
    </row>
    <row r="1490" spans="49:49" ht="25.25" customHeight="1">
      <c r="AW1490" s="35"/>
    </row>
    <row r="1491" spans="49:49" ht="25.25" customHeight="1">
      <c r="AW1491" s="35"/>
    </row>
    <row r="1492" spans="49:49" ht="25.25" customHeight="1">
      <c r="AW1492" s="35"/>
    </row>
    <row r="1493" spans="49:49" ht="25.25" customHeight="1">
      <c r="AW1493" s="35"/>
    </row>
    <row r="1494" spans="49:49" ht="25.25" customHeight="1">
      <c r="AW1494" s="35"/>
    </row>
    <row r="1495" spans="49:49" ht="25.25" customHeight="1">
      <c r="AW1495" s="35"/>
    </row>
    <row r="1496" spans="49:49" ht="25.25" customHeight="1">
      <c r="AW1496" s="35"/>
    </row>
    <row r="1497" spans="49:49" ht="25.25" customHeight="1">
      <c r="AW1497" s="35"/>
    </row>
    <row r="1498" spans="49:49" ht="25.25" customHeight="1">
      <c r="AW1498" s="35"/>
    </row>
    <row r="1499" spans="49:49" ht="25.25" customHeight="1">
      <c r="AW1499" s="35"/>
    </row>
    <row r="1500" spans="49:49" ht="25.25" customHeight="1">
      <c r="AW1500" s="35"/>
    </row>
    <row r="1501" spans="49:49" ht="25.25" customHeight="1">
      <c r="AW1501" s="35"/>
    </row>
    <row r="1502" spans="49:49" ht="25.25" customHeight="1">
      <c r="AW1502" s="35"/>
    </row>
    <row r="1503" spans="49:49" ht="25.25" customHeight="1">
      <c r="AW1503" s="35"/>
    </row>
    <row r="1504" spans="49:49" ht="25.25" customHeight="1">
      <c r="AW1504" s="35"/>
    </row>
    <row r="1505" spans="49:49" ht="25.25" customHeight="1">
      <c r="AW1505" s="35"/>
    </row>
    <row r="1506" spans="49:49" ht="25.25" customHeight="1">
      <c r="AW1506" s="35"/>
    </row>
    <row r="1507" spans="49:49" ht="25.25" customHeight="1">
      <c r="AW1507" s="35"/>
    </row>
    <row r="1508" spans="49:49" ht="25.25" customHeight="1">
      <c r="AW1508" s="35"/>
    </row>
    <row r="1509" spans="49:49" ht="25.25" customHeight="1">
      <c r="AW1509" s="35"/>
    </row>
    <row r="1510" spans="49:49" ht="25.25" customHeight="1">
      <c r="AW1510" s="35"/>
    </row>
    <row r="1511" spans="49:49" ht="25.25" customHeight="1">
      <c r="AW1511" s="35"/>
    </row>
    <row r="1512" spans="49:49" ht="25.25" customHeight="1">
      <c r="AW1512" s="35"/>
    </row>
    <row r="1513" spans="49:49" ht="25.25" customHeight="1">
      <c r="AW1513" s="35"/>
    </row>
    <row r="1514" spans="49:49" ht="25.25" customHeight="1">
      <c r="AW1514" s="35"/>
    </row>
    <row r="1515" spans="49:49" ht="25.25" customHeight="1">
      <c r="AW1515" s="35"/>
    </row>
    <row r="1516" spans="49:49" ht="25.25" customHeight="1">
      <c r="AW1516" s="35"/>
    </row>
    <row r="1517" spans="49:49" ht="25.25" customHeight="1">
      <c r="AW1517" s="35"/>
    </row>
    <row r="1518" spans="49:49" ht="25.25" customHeight="1">
      <c r="AW1518" s="35"/>
    </row>
    <row r="1519" spans="49:49" ht="25.25" customHeight="1">
      <c r="AW1519" s="35"/>
    </row>
    <row r="1520" spans="49:49" ht="25.25" customHeight="1">
      <c r="AW1520" s="35"/>
    </row>
    <row r="1521" spans="49:49" ht="25.25" customHeight="1">
      <c r="AW1521" s="35"/>
    </row>
    <row r="1522" spans="49:49" ht="25.25" customHeight="1">
      <c r="AW1522" s="35"/>
    </row>
    <row r="1523" spans="49:49" ht="25.25" customHeight="1">
      <c r="AW1523" s="35"/>
    </row>
    <row r="1524" spans="49:49" ht="25.25" customHeight="1">
      <c r="AW1524" s="35"/>
    </row>
    <row r="1525" spans="49:49" ht="25.25" customHeight="1">
      <c r="AW1525" s="35"/>
    </row>
    <row r="1526" spans="49:49" ht="25.25" customHeight="1">
      <c r="AW1526" s="35"/>
    </row>
    <row r="1527" spans="49:49" ht="25.25" customHeight="1">
      <c r="AW1527" s="35"/>
    </row>
    <row r="1528" spans="49:49" ht="25.25" customHeight="1">
      <c r="AW1528" s="35"/>
    </row>
    <row r="1529" spans="49:49" ht="25.25" customHeight="1">
      <c r="AW1529" s="35"/>
    </row>
    <row r="1530" spans="49:49" ht="25.25" customHeight="1">
      <c r="AW1530" s="35"/>
    </row>
    <row r="1531" spans="49:49" ht="25.25" customHeight="1">
      <c r="AW1531" s="35"/>
    </row>
    <row r="1532" spans="49:49" ht="25.25" customHeight="1">
      <c r="AW1532" s="35"/>
    </row>
    <row r="1533" spans="49:49" ht="25.25" customHeight="1">
      <c r="AW1533" s="35"/>
    </row>
    <row r="1534" spans="49:49" ht="25.25" customHeight="1">
      <c r="AW1534" s="35"/>
    </row>
    <row r="1535" spans="49:49" ht="25.25" customHeight="1">
      <c r="AW1535" s="35"/>
    </row>
    <row r="1536" spans="49:49" ht="25.25" customHeight="1">
      <c r="AW1536" s="35"/>
    </row>
    <row r="1537" spans="49:49" ht="25.25" customHeight="1">
      <c r="AW1537" s="35"/>
    </row>
    <row r="1538" spans="49:49" ht="25.25" customHeight="1">
      <c r="AW1538" s="35"/>
    </row>
    <row r="1539" spans="49:49" ht="25.25" customHeight="1">
      <c r="AW1539" s="35"/>
    </row>
    <row r="1540" spans="49:49" ht="25.25" customHeight="1">
      <c r="AW1540" s="35"/>
    </row>
    <row r="1541" spans="49:49" ht="25.25" customHeight="1">
      <c r="AW1541" s="35"/>
    </row>
    <row r="1542" spans="49:49" ht="25.25" customHeight="1">
      <c r="AW1542" s="35"/>
    </row>
    <row r="1543" spans="49:49" ht="25.25" customHeight="1">
      <c r="AW1543" s="35"/>
    </row>
    <row r="1544" spans="49:49" ht="25.25" customHeight="1">
      <c r="AW1544" s="35"/>
    </row>
    <row r="1545" spans="49:49" ht="25.25" customHeight="1">
      <c r="AW1545" s="35"/>
    </row>
    <row r="1546" spans="49:49" ht="25.25" customHeight="1">
      <c r="AW1546" s="35"/>
    </row>
    <row r="1547" spans="49:49" ht="25.25" customHeight="1">
      <c r="AW1547" s="35"/>
    </row>
    <row r="1548" spans="49:49" ht="25.25" customHeight="1">
      <c r="AW1548" s="35"/>
    </row>
    <row r="1549" spans="49:49" ht="25.25" customHeight="1">
      <c r="AW1549" s="35"/>
    </row>
    <row r="1550" spans="49:49" ht="25.25" customHeight="1">
      <c r="AW1550" s="35"/>
    </row>
    <row r="1551" spans="49:49" ht="25.25" customHeight="1">
      <c r="AW1551" s="35"/>
    </row>
    <row r="1552" spans="49:49" ht="25.25" customHeight="1">
      <c r="AW1552" s="35"/>
    </row>
    <row r="1553" spans="49:49" ht="25.25" customHeight="1">
      <c r="AW1553" s="35"/>
    </row>
    <row r="1554" spans="49:49" ht="25.25" customHeight="1">
      <c r="AW1554" s="35"/>
    </row>
    <row r="1555" spans="49:49" ht="25.25" customHeight="1">
      <c r="AW1555" s="35"/>
    </row>
    <row r="1556" spans="49:49" ht="25.25" customHeight="1">
      <c r="AW1556" s="35"/>
    </row>
    <row r="1557" spans="49:49" ht="25.25" customHeight="1">
      <c r="AW1557" s="35"/>
    </row>
    <row r="1558" spans="49:49" ht="25.25" customHeight="1">
      <c r="AW1558" s="35"/>
    </row>
    <row r="1559" spans="49:49" ht="25.25" customHeight="1">
      <c r="AW1559" s="35"/>
    </row>
    <row r="1560" spans="49:49" ht="25.25" customHeight="1">
      <c r="AW1560" s="35"/>
    </row>
    <row r="1561" spans="49:49" ht="25.25" customHeight="1">
      <c r="AW1561" s="35"/>
    </row>
    <row r="1562" spans="49:49" ht="25.25" customHeight="1">
      <c r="AW1562" s="35"/>
    </row>
    <row r="1563" spans="49:49" ht="25.25" customHeight="1">
      <c r="AW1563" s="35"/>
    </row>
    <row r="1564" spans="49:49" ht="25.25" customHeight="1">
      <c r="AW1564" s="35"/>
    </row>
    <row r="1565" spans="49:49" ht="25.25" customHeight="1">
      <c r="AW1565" s="35"/>
    </row>
    <row r="1566" spans="49:49" ht="25.25" customHeight="1">
      <c r="AW1566" s="35"/>
    </row>
    <row r="1567" spans="49:49" ht="25.25" customHeight="1">
      <c r="AW1567" s="35"/>
    </row>
    <row r="1568" spans="49:49" ht="25.25" customHeight="1">
      <c r="AW1568" s="35"/>
    </row>
    <row r="1569" spans="49:49" ht="25.25" customHeight="1">
      <c r="AW1569" s="35"/>
    </row>
    <row r="1570" spans="49:49" ht="25.25" customHeight="1">
      <c r="AW1570" s="35"/>
    </row>
    <row r="1571" spans="49:49" ht="25.25" customHeight="1">
      <c r="AW1571" s="35"/>
    </row>
    <row r="1572" spans="49:49" ht="25.25" customHeight="1">
      <c r="AW1572" s="35"/>
    </row>
    <row r="1573" spans="49:49" ht="25.25" customHeight="1">
      <c r="AW1573" s="35"/>
    </row>
    <row r="1574" spans="49:49" ht="25.25" customHeight="1">
      <c r="AW1574" s="35"/>
    </row>
    <row r="1575" spans="49:49" ht="25.25" customHeight="1">
      <c r="AW1575" s="35"/>
    </row>
    <row r="1576" spans="49:49" ht="25.25" customHeight="1">
      <c r="AW1576" s="35"/>
    </row>
    <row r="1577" spans="49:49" ht="25.25" customHeight="1">
      <c r="AW1577" s="35"/>
    </row>
    <row r="1578" spans="49:49" ht="25.25" customHeight="1">
      <c r="AW1578" s="35"/>
    </row>
    <row r="1579" spans="49:49" ht="25.25" customHeight="1">
      <c r="AW1579" s="35"/>
    </row>
    <row r="1580" spans="49:49" ht="25.25" customHeight="1">
      <c r="AW1580" s="35"/>
    </row>
    <row r="1581" spans="49:49" ht="25.25" customHeight="1">
      <c r="AW1581" s="35"/>
    </row>
    <row r="1582" spans="49:49" ht="25.25" customHeight="1">
      <c r="AW1582" s="35"/>
    </row>
    <row r="1583" spans="49:49" ht="25.25" customHeight="1">
      <c r="AW1583" s="35"/>
    </row>
    <row r="1584" spans="49:49" ht="25.25" customHeight="1">
      <c r="AW1584" s="35"/>
    </row>
    <row r="1585" spans="49:49" ht="25.25" customHeight="1">
      <c r="AW1585" s="35"/>
    </row>
    <row r="1586" spans="49:49" ht="25.25" customHeight="1">
      <c r="AW1586" s="35"/>
    </row>
    <row r="1587" spans="49:49" ht="25.25" customHeight="1">
      <c r="AW1587" s="35"/>
    </row>
    <row r="1588" spans="49:49" ht="25.25" customHeight="1">
      <c r="AW1588" s="35"/>
    </row>
    <row r="1589" spans="49:49" ht="25.25" customHeight="1">
      <c r="AW1589" s="35"/>
    </row>
    <row r="1590" spans="49:49" ht="25.25" customHeight="1">
      <c r="AW1590" s="35"/>
    </row>
    <row r="1591" spans="49:49" ht="25.25" customHeight="1">
      <c r="AW1591" s="35"/>
    </row>
    <row r="1592" spans="49:49" ht="25.25" customHeight="1">
      <c r="AW1592" s="35"/>
    </row>
    <row r="1593" spans="49:49" ht="25.25" customHeight="1">
      <c r="AW1593" s="35"/>
    </row>
    <row r="1594" spans="49:49" ht="25.25" customHeight="1">
      <c r="AW1594" s="35"/>
    </row>
    <row r="1595" spans="49:49" ht="25.25" customHeight="1">
      <c r="AW1595" s="35"/>
    </row>
    <row r="1596" spans="49:49" ht="25.25" customHeight="1">
      <c r="AW1596" s="35"/>
    </row>
    <row r="1597" spans="49:49" ht="25.25" customHeight="1">
      <c r="AW1597" s="35"/>
    </row>
    <row r="1598" spans="49:49" ht="25.25" customHeight="1">
      <c r="AW1598" s="35"/>
    </row>
    <row r="1599" spans="49:49" ht="25.25" customHeight="1">
      <c r="AW1599" s="35"/>
    </row>
    <row r="1600" spans="49:49" ht="25.25" customHeight="1">
      <c r="AW1600" s="35"/>
    </row>
    <row r="1601" spans="49:49" ht="25.25" customHeight="1">
      <c r="AW1601" s="35"/>
    </row>
    <row r="1602" spans="49:49" ht="25.25" customHeight="1">
      <c r="AW1602" s="35"/>
    </row>
    <row r="1603" spans="49:49" ht="25.25" customHeight="1">
      <c r="AW1603" s="35"/>
    </row>
    <row r="1604" spans="49:49" ht="25.25" customHeight="1">
      <c r="AW1604" s="35"/>
    </row>
    <row r="1605" spans="49:49" ht="25.25" customHeight="1">
      <c r="AW1605" s="35"/>
    </row>
    <row r="1606" spans="49:49" ht="25.25" customHeight="1">
      <c r="AW1606" s="35"/>
    </row>
    <row r="1607" spans="49:49" ht="25.25" customHeight="1">
      <c r="AW1607" s="35"/>
    </row>
    <row r="1608" spans="49:49" ht="25.25" customHeight="1">
      <c r="AW1608" s="35"/>
    </row>
    <row r="1609" spans="49:49" ht="25.25" customHeight="1">
      <c r="AW1609" s="35"/>
    </row>
    <row r="1610" spans="49:49" ht="25.25" customHeight="1">
      <c r="AW1610" s="35"/>
    </row>
    <row r="1611" spans="49:49" ht="25.25" customHeight="1">
      <c r="AW1611" s="35"/>
    </row>
    <row r="1612" spans="49:49" ht="25.25" customHeight="1">
      <c r="AW1612" s="35"/>
    </row>
    <row r="1613" spans="49:49" ht="25.25" customHeight="1">
      <c r="AW1613" s="35"/>
    </row>
    <row r="1614" spans="49:49" ht="25.25" customHeight="1">
      <c r="AW1614" s="35"/>
    </row>
    <row r="1615" spans="49:49" ht="25.25" customHeight="1">
      <c r="AW1615" s="35"/>
    </row>
    <row r="1616" spans="49:49" ht="25.25" customHeight="1">
      <c r="AW1616" s="35"/>
    </row>
    <row r="1617" spans="49:49" ht="25.25" customHeight="1">
      <c r="AW1617" s="35"/>
    </row>
    <row r="1618" spans="49:49" ht="25.25" customHeight="1">
      <c r="AW1618" s="35"/>
    </row>
    <row r="1619" spans="49:49" ht="25.25" customHeight="1">
      <c r="AW1619" s="35"/>
    </row>
    <row r="1620" spans="49:49" ht="25.25" customHeight="1">
      <c r="AW1620" s="35"/>
    </row>
    <row r="1621" spans="49:49" ht="25.25" customHeight="1">
      <c r="AW1621" s="35"/>
    </row>
    <row r="1622" spans="49:49" ht="25.25" customHeight="1">
      <c r="AW1622" s="35"/>
    </row>
    <row r="1623" spans="49:49" ht="25.25" customHeight="1">
      <c r="AW1623" s="35"/>
    </row>
    <row r="1624" spans="49:49" ht="25.25" customHeight="1">
      <c r="AW1624" s="35"/>
    </row>
    <row r="1625" spans="49:49" ht="25.25" customHeight="1">
      <c r="AW1625" s="35"/>
    </row>
    <row r="1626" spans="49:49" ht="25.25" customHeight="1">
      <c r="AW1626" s="35"/>
    </row>
    <row r="1627" spans="49:49" ht="25.25" customHeight="1">
      <c r="AW1627" s="35"/>
    </row>
    <row r="1628" spans="49:49" ht="25.25" customHeight="1">
      <c r="AW1628" s="35"/>
    </row>
    <row r="1629" spans="49:49" ht="25.25" customHeight="1">
      <c r="AW1629" s="35"/>
    </row>
    <row r="1630" spans="49:49" ht="25.25" customHeight="1">
      <c r="AW1630" s="35"/>
    </row>
    <row r="1631" spans="49:49" ht="25.25" customHeight="1">
      <c r="AW1631" s="35"/>
    </row>
    <row r="1632" spans="49:49" ht="25.25" customHeight="1">
      <c r="AW1632" s="35"/>
    </row>
    <row r="1633" spans="49:49" ht="25.25" customHeight="1">
      <c r="AW1633" s="35"/>
    </row>
    <row r="1634" spans="49:49" ht="25.25" customHeight="1">
      <c r="AW1634" s="35"/>
    </row>
    <row r="1635" spans="49:49" ht="25.25" customHeight="1">
      <c r="AW1635" s="35"/>
    </row>
    <row r="1636" spans="49:49" ht="25.25" customHeight="1">
      <c r="AW1636" s="35"/>
    </row>
    <row r="1637" spans="49:49" ht="25.25" customHeight="1">
      <c r="AW1637" s="35"/>
    </row>
    <row r="1638" spans="49:49" ht="25.25" customHeight="1">
      <c r="AW1638" s="35"/>
    </row>
    <row r="1639" spans="49:49" ht="25.25" customHeight="1">
      <c r="AW1639" s="35"/>
    </row>
    <row r="1640" spans="49:49" ht="25.25" customHeight="1">
      <c r="AW1640" s="35"/>
    </row>
    <row r="1641" spans="49:49" ht="25.25" customHeight="1">
      <c r="AW1641" s="35"/>
    </row>
    <row r="1642" spans="49:49" ht="25.25" customHeight="1">
      <c r="AW1642" s="35"/>
    </row>
    <row r="1643" spans="49:49" ht="25.25" customHeight="1">
      <c r="AW1643" s="35"/>
    </row>
    <row r="1644" spans="49:49" ht="25.25" customHeight="1">
      <c r="AW1644" s="35"/>
    </row>
    <row r="1645" spans="49:49" ht="25.25" customHeight="1">
      <c r="AW1645" s="35"/>
    </row>
    <row r="1646" spans="49:49" ht="25.25" customHeight="1">
      <c r="AW1646" s="35"/>
    </row>
    <row r="1647" spans="49:49" ht="25.25" customHeight="1">
      <c r="AW1647" s="35"/>
    </row>
    <row r="1648" spans="49:49" ht="25.25" customHeight="1">
      <c r="AW1648" s="35"/>
    </row>
    <row r="1649" spans="49:49" ht="25.25" customHeight="1">
      <c r="AW1649" s="35"/>
    </row>
    <row r="1650" spans="49:49" ht="25.25" customHeight="1">
      <c r="AW1650" s="35"/>
    </row>
    <row r="1651" spans="49:49" ht="25.25" customHeight="1">
      <c r="AW1651" s="35"/>
    </row>
    <row r="1652" spans="49:49" ht="25.25" customHeight="1">
      <c r="AW1652" s="35"/>
    </row>
    <row r="1653" spans="49:49" ht="25.25" customHeight="1">
      <c r="AW1653" s="35"/>
    </row>
    <row r="1654" spans="49:49" ht="25.25" customHeight="1">
      <c r="AW1654" s="35"/>
    </row>
    <row r="1655" spans="49:49" ht="25.25" customHeight="1">
      <c r="AW1655" s="35"/>
    </row>
    <row r="1656" spans="49:49" ht="25.25" customHeight="1">
      <c r="AW1656" s="35"/>
    </row>
    <row r="1657" spans="49:49" ht="25.25" customHeight="1">
      <c r="AW1657" s="35"/>
    </row>
    <row r="1658" spans="49:49" ht="25.25" customHeight="1">
      <c r="AW1658" s="35"/>
    </row>
    <row r="1659" spans="49:49" ht="25.25" customHeight="1">
      <c r="AW1659" s="35"/>
    </row>
    <row r="1660" spans="49:49" ht="25.25" customHeight="1">
      <c r="AW1660" s="35"/>
    </row>
    <row r="1661" spans="49:49" ht="25.25" customHeight="1">
      <c r="AW1661" s="35"/>
    </row>
    <row r="1662" spans="49:49" ht="25.25" customHeight="1">
      <c r="AW1662" s="35"/>
    </row>
    <row r="1663" spans="49:49" ht="25.25" customHeight="1">
      <c r="AW1663" s="35"/>
    </row>
    <row r="1664" spans="49:49" ht="25.25" customHeight="1">
      <c r="AW1664" s="35"/>
    </row>
    <row r="1665" spans="49:49" ht="25.25" customHeight="1">
      <c r="AW1665" s="35"/>
    </row>
    <row r="1666" spans="49:49" ht="25.25" customHeight="1">
      <c r="AW1666" s="35"/>
    </row>
    <row r="1667" spans="49:49" ht="25.25" customHeight="1">
      <c r="AW1667" s="35"/>
    </row>
    <row r="1668" spans="49:49" ht="25.25" customHeight="1">
      <c r="AW1668" s="35"/>
    </row>
    <row r="1669" spans="49:49" ht="25.25" customHeight="1">
      <c r="AW1669" s="35"/>
    </row>
    <row r="1670" spans="49:49" ht="25.25" customHeight="1">
      <c r="AW1670" s="35"/>
    </row>
    <row r="1671" spans="49:49" ht="25.25" customHeight="1">
      <c r="AW1671" s="35"/>
    </row>
    <row r="1672" spans="49:49" ht="25.25" customHeight="1">
      <c r="AW1672" s="35"/>
    </row>
    <row r="1673" spans="49:49" ht="25.25" customHeight="1">
      <c r="AW1673" s="35"/>
    </row>
    <row r="1674" spans="49:49" ht="25.25" customHeight="1">
      <c r="AW1674" s="35"/>
    </row>
    <row r="1675" spans="49:49" ht="25.25" customHeight="1">
      <c r="AW1675" s="35"/>
    </row>
    <row r="1676" spans="49:49" ht="25.25" customHeight="1">
      <c r="AW1676" s="35"/>
    </row>
    <row r="1677" spans="49:49" ht="25.25" customHeight="1">
      <c r="AW1677" s="35"/>
    </row>
    <row r="1678" spans="49:49" ht="25.25" customHeight="1">
      <c r="AW1678" s="35"/>
    </row>
    <row r="1679" spans="49:49" ht="25.25" customHeight="1">
      <c r="AW1679" s="35"/>
    </row>
    <row r="1680" spans="49:49" ht="25.25" customHeight="1">
      <c r="AW1680" s="35"/>
    </row>
    <row r="1681" spans="49:49" ht="25.25" customHeight="1">
      <c r="AW1681" s="35"/>
    </row>
    <row r="1682" spans="49:49" ht="25.25" customHeight="1">
      <c r="AW1682" s="35"/>
    </row>
    <row r="1683" spans="49:49" ht="25.25" customHeight="1">
      <c r="AW1683" s="35"/>
    </row>
    <row r="1684" spans="49:49" ht="25.25" customHeight="1">
      <c r="AW1684" s="35"/>
    </row>
    <row r="1685" spans="49:49" ht="25.25" customHeight="1">
      <c r="AW1685" s="35"/>
    </row>
    <row r="1686" spans="49:49" ht="25.25" customHeight="1">
      <c r="AW1686" s="35"/>
    </row>
    <row r="1687" spans="49:49" ht="25.25" customHeight="1">
      <c r="AW1687" s="35"/>
    </row>
    <row r="1688" spans="49:49" ht="25.25" customHeight="1">
      <c r="AW1688" s="35"/>
    </row>
    <row r="1689" spans="49:49" ht="25.25" customHeight="1">
      <c r="AW1689" s="35"/>
    </row>
    <row r="1690" spans="49:49" ht="25.25" customHeight="1">
      <c r="AW1690" s="35"/>
    </row>
    <row r="1691" spans="49:49" ht="25.25" customHeight="1">
      <c r="AW1691" s="35"/>
    </row>
    <row r="1692" spans="49:49" ht="25.25" customHeight="1">
      <c r="AW1692" s="35"/>
    </row>
    <row r="1693" spans="49:49" ht="25.25" customHeight="1">
      <c r="AW1693" s="35"/>
    </row>
    <row r="1694" spans="49:49" ht="25.25" customHeight="1">
      <c r="AW1694" s="35"/>
    </row>
    <row r="1695" spans="49:49" ht="25.25" customHeight="1">
      <c r="AW1695" s="35"/>
    </row>
    <row r="1696" spans="49:49" ht="25.25" customHeight="1">
      <c r="AW1696" s="35"/>
    </row>
    <row r="1697" spans="49:49" ht="25.25" customHeight="1">
      <c r="AW1697" s="35"/>
    </row>
    <row r="1698" spans="49:49" ht="25.25" customHeight="1">
      <c r="AW1698" s="35"/>
    </row>
    <row r="1699" spans="49:49" ht="25.25" customHeight="1">
      <c r="AW1699" s="35"/>
    </row>
    <row r="1700" spans="49:49" ht="25.25" customHeight="1">
      <c r="AW1700" s="35"/>
    </row>
    <row r="1701" spans="49:49" ht="25.25" customHeight="1">
      <c r="AW1701" s="35"/>
    </row>
    <row r="1702" spans="49:49" ht="25.25" customHeight="1">
      <c r="AW1702" s="35"/>
    </row>
    <row r="1703" spans="49:49" ht="25.25" customHeight="1">
      <c r="AW1703" s="35"/>
    </row>
    <row r="1704" spans="49:49" ht="25.25" customHeight="1">
      <c r="AW1704" s="35"/>
    </row>
    <row r="1705" spans="49:49" ht="25.25" customHeight="1">
      <c r="AW1705" s="35"/>
    </row>
    <row r="1706" spans="49:49" ht="25.25" customHeight="1">
      <c r="AW1706" s="35"/>
    </row>
    <row r="1707" spans="49:49" ht="25.25" customHeight="1">
      <c r="AW1707" s="35"/>
    </row>
    <row r="1708" spans="49:49" ht="25.25" customHeight="1">
      <c r="AW1708" s="35"/>
    </row>
    <row r="1709" spans="49:49" ht="25.25" customHeight="1">
      <c r="AW1709" s="35"/>
    </row>
    <row r="1710" spans="49:49" ht="25.25" customHeight="1">
      <c r="AW1710" s="35"/>
    </row>
    <row r="1711" spans="49:49" ht="25.25" customHeight="1">
      <c r="AW1711" s="35"/>
    </row>
    <row r="1712" spans="49:49" ht="25.25" customHeight="1">
      <c r="AW1712" s="35"/>
    </row>
    <row r="1713" spans="49:49" ht="25.25" customHeight="1">
      <c r="AW1713" s="35"/>
    </row>
    <row r="1714" spans="49:49" ht="25.25" customHeight="1">
      <c r="AW1714" s="35"/>
    </row>
    <row r="1715" spans="49:49" ht="25.25" customHeight="1">
      <c r="AW1715" s="35"/>
    </row>
    <row r="1716" spans="49:49" ht="25.25" customHeight="1">
      <c r="AW1716" s="35"/>
    </row>
    <row r="1717" spans="49:49" ht="25.25" customHeight="1">
      <c r="AW1717" s="35"/>
    </row>
    <row r="1718" spans="49:49" ht="25.25" customHeight="1">
      <c r="AW1718" s="35"/>
    </row>
    <row r="1719" spans="49:49" ht="25.25" customHeight="1">
      <c r="AW1719" s="35"/>
    </row>
    <row r="1720" spans="49:49" ht="25.25" customHeight="1">
      <c r="AW1720" s="35"/>
    </row>
    <row r="1721" spans="49:49" ht="25.25" customHeight="1">
      <c r="AW1721" s="35"/>
    </row>
    <row r="1722" spans="49:49" ht="25.25" customHeight="1">
      <c r="AW1722" s="35"/>
    </row>
    <row r="1723" spans="49:49" ht="25.25" customHeight="1">
      <c r="AW1723" s="35"/>
    </row>
    <row r="1724" spans="49:49" ht="25.25" customHeight="1">
      <c r="AW1724" s="35"/>
    </row>
    <row r="1725" spans="49:49" ht="25.25" customHeight="1">
      <c r="AW1725" s="35"/>
    </row>
    <row r="1726" spans="49:49" ht="25.25" customHeight="1">
      <c r="AW1726" s="35"/>
    </row>
    <row r="1727" spans="49:49" ht="25.25" customHeight="1">
      <c r="AW1727" s="35"/>
    </row>
    <row r="1728" spans="49:49" ht="25.25" customHeight="1">
      <c r="AW1728" s="35"/>
    </row>
    <row r="1729" spans="49:49" ht="25.25" customHeight="1">
      <c r="AW1729" s="35"/>
    </row>
    <row r="1730" spans="49:49" ht="25.25" customHeight="1">
      <c r="AW1730" s="35"/>
    </row>
    <row r="1731" spans="49:49" ht="25.25" customHeight="1">
      <c r="AW1731" s="35"/>
    </row>
    <row r="1732" spans="49:49" ht="25.25" customHeight="1">
      <c r="AW1732" s="35"/>
    </row>
    <row r="1733" spans="49:49" ht="25.25" customHeight="1">
      <c r="AW1733" s="35"/>
    </row>
    <row r="1734" spans="49:49" ht="25.25" customHeight="1">
      <c r="AW1734" s="35"/>
    </row>
    <row r="1735" spans="49:49" ht="25.25" customHeight="1">
      <c r="AW1735" s="35"/>
    </row>
    <row r="1736" spans="49:49" ht="25.25" customHeight="1">
      <c r="AW1736" s="35"/>
    </row>
    <row r="1737" spans="49:49" ht="25.25" customHeight="1">
      <c r="AW1737" s="35"/>
    </row>
    <row r="1738" spans="49:49" ht="25.25" customHeight="1">
      <c r="AW1738" s="35"/>
    </row>
    <row r="1739" spans="49:49" ht="25.25" customHeight="1">
      <c r="AW1739" s="35"/>
    </row>
    <row r="1740" spans="49:49" ht="25.25" customHeight="1">
      <c r="AW1740" s="35"/>
    </row>
    <row r="1741" spans="49:49" ht="25.25" customHeight="1">
      <c r="AW1741" s="35"/>
    </row>
    <row r="1742" spans="49:49" ht="25.25" customHeight="1">
      <c r="AW1742" s="35"/>
    </row>
    <row r="1743" spans="49:49" ht="25.25" customHeight="1">
      <c r="AW1743" s="35"/>
    </row>
    <row r="1744" spans="49:49" ht="25.25" customHeight="1">
      <c r="AW1744" s="35"/>
    </row>
    <row r="1745" spans="49:49" ht="25.25" customHeight="1">
      <c r="AW1745" s="35"/>
    </row>
    <row r="1746" spans="49:49" ht="25.25" customHeight="1">
      <c r="AW1746" s="35"/>
    </row>
    <row r="1747" spans="49:49" ht="25.25" customHeight="1">
      <c r="AW1747" s="35"/>
    </row>
    <row r="1748" spans="49:49" ht="25.25" customHeight="1">
      <c r="AW1748" s="35"/>
    </row>
    <row r="1749" spans="49:49" ht="25.25" customHeight="1">
      <c r="AW1749" s="35"/>
    </row>
    <row r="1750" spans="49:49" ht="25.25" customHeight="1">
      <c r="AW1750" s="35"/>
    </row>
    <row r="1751" spans="49:49" ht="25.25" customHeight="1">
      <c r="AW1751" s="35"/>
    </row>
    <row r="1752" spans="49:49" ht="25.25" customHeight="1">
      <c r="AW1752" s="35"/>
    </row>
    <row r="1753" spans="49:49" ht="25.25" customHeight="1">
      <c r="AW1753" s="35"/>
    </row>
    <row r="1754" spans="49:49" ht="25.25" customHeight="1">
      <c r="AW1754" s="35"/>
    </row>
    <row r="1755" spans="49:49" ht="25.25" customHeight="1">
      <c r="AW1755" s="35"/>
    </row>
    <row r="1756" spans="49:49" ht="25.25" customHeight="1">
      <c r="AW1756" s="35"/>
    </row>
    <row r="1757" spans="49:49" ht="25.25" customHeight="1">
      <c r="AW1757" s="35"/>
    </row>
    <row r="1758" spans="49:49" ht="25.25" customHeight="1">
      <c r="AW1758" s="35"/>
    </row>
    <row r="1759" spans="49:49" ht="25.25" customHeight="1">
      <c r="AW1759" s="35"/>
    </row>
    <row r="1760" spans="49:49" ht="25.25" customHeight="1">
      <c r="AW1760" s="35"/>
    </row>
    <row r="1761" spans="49:49" ht="25.25" customHeight="1">
      <c r="AW1761" s="35"/>
    </row>
    <row r="1762" spans="49:49" ht="25.25" customHeight="1">
      <c r="AW1762" s="35"/>
    </row>
    <row r="1763" spans="49:49" ht="25.25" customHeight="1">
      <c r="AW1763" s="35"/>
    </row>
    <row r="1764" spans="49:49" ht="25.25" customHeight="1">
      <c r="AW1764" s="35"/>
    </row>
    <row r="1765" spans="49:49" ht="25.25" customHeight="1">
      <c r="AW1765" s="35"/>
    </row>
    <row r="1766" spans="49:49" ht="25.25" customHeight="1">
      <c r="AW1766" s="35"/>
    </row>
    <row r="1767" spans="49:49" ht="25.25" customHeight="1">
      <c r="AW1767" s="35"/>
    </row>
    <row r="1768" spans="49:49" ht="25.25" customHeight="1">
      <c r="AW1768" s="35"/>
    </row>
    <row r="1769" spans="49:49" ht="25.25" customHeight="1">
      <c r="AW1769" s="35"/>
    </row>
    <row r="1770" spans="49:49" ht="25.25" customHeight="1">
      <c r="AW1770" s="35"/>
    </row>
    <row r="1771" spans="49:49" ht="25.25" customHeight="1">
      <c r="AW1771" s="35"/>
    </row>
    <row r="1772" spans="49:49" ht="25.25" customHeight="1">
      <c r="AW1772" s="35"/>
    </row>
    <row r="1773" spans="49:49" ht="25.25" customHeight="1">
      <c r="AW1773" s="35"/>
    </row>
    <row r="1774" spans="49:49" ht="25.25" customHeight="1">
      <c r="AW1774" s="35"/>
    </row>
    <row r="1775" spans="49:49" ht="25.25" customHeight="1">
      <c r="AW1775" s="35"/>
    </row>
    <row r="1776" spans="49:49" ht="25.25" customHeight="1">
      <c r="AW1776" s="35"/>
    </row>
    <row r="1777" spans="49:49" ht="25.25" customHeight="1">
      <c r="AW1777" s="35"/>
    </row>
    <row r="1778" spans="49:49" ht="25.25" customHeight="1">
      <c r="AW1778" s="35"/>
    </row>
    <row r="1779" spans="49:49" ht="25.25" customHeight="1">
      <c r="AW1779" s="35"/>
    </row>
    <row r="1780" spans="49:49" ht="25.25" customHeight="1">
      <c r="AW1780" s="35"/>
    </row>
    <row r="1781" spans="49:49" ht="25.25" customHeight="1">
      <c r="AW1781" s="35"/>
    </row>
    <row r="1782" spans="49:49" ht="25.25" customHeight="1">
      <c r="AW1782" s="35"/>
    </row>
    <row r="1783" spans="49:49" ht="25.25" customHeight="1">
      <c r="AW1783" s="35"/>
    </row>
    <row r="1784" spans="49:49" ht="25.25" customHeight="1">
      <c r="AW1784" s="35"/>
    </row>
    <row r="1785" spans="49:49" ht="25.25" customHeight="1">
      <c r="AW1785" s="35"/>
    </row>
    <row r="1786" spans="49:49" ht="25.25" customHeight="1">
      <c r="AW1786" s="35"/>
    </row>
    <row r="1787" spans="49:49" ht="25.25" customHeight="1">
      <c r="AW1787" s="35"/>
    </row>
    <row r="1788" spans="49:49" ht="25.25" customHeight="1">
      <c r="AW1788" s="35"/>
    </row>
    <row r="1789" spans="49:49" ht="25.25" customHeight="1">
      <c r="AW1789" s="35"/>
    </row>
    <row r="1790" spans="49:49" ht="25.25" customHeight="1">
      <c r="AW1790" s="35"/>
    </row>
    <row r="1791" spans="49:49" ht="25.25" customHeight="1">
      <c r="AW1791" s="35"/>
    </row>
    <row r="1792" spans="49:49" ht="25.25" customHeight="1">
      <c r="AW1792" s="35"/>
    </row>
    <row r="1793" spans="49:49" ht="25.25" customHeight="1">
      <c r="AW1793" s="35"/>
    </row>
    <row r="1794" spans="49:49" ht="25.25" customHeight="1">
      <c r="AW1794" s="35"/>
    </row>
    <row r="1795" spans="49:49" ht="25.25" customHeight="1">
      <c r="AW1795" s="35"/>
    </row>
    <row r="1796" spans="49:49" ht="25.25" customHeight="1">
      <c r="AW1796" s="35"/>
    </row>
    <row r="1797" spans="49:49" ht="25.25" customHeight="1">
      <c r="AW1797" s="35"/>
    </row>
    <row r="1798" spans="49:49" ht="25.25" customHeight="1">
      <c r="AW1798" s="35"/>
    </row>
    <row r="1799" spans="49:49" ht="25.25" customHeight="1">
      <c r="AW1799" s="35"/>
    </row>
    <row r="1800" spans="49:49" ht="25.25" customHeight="1">
      <c r="AW1800" s="35"/>
    </row>
    <row r="1801" spans="49:49" ht="25.25" customHeight="1">
      <c r="AW1801" s="35"/>
    </row>
    <row r="1802" spans="49:49" ht="25.25" customHeight="1">
      <c r="AW1802" s="35"/>
    </row>
    <row r="1803" spans="49:49" ht="25.25" customHeight="1">
      <c r="AW1803" s="35"/>
    </row>
    <row r="1804" spans="49:49" ht="25.25" customHeight="1">
      <c r="AW1804" s="35"/>
    </row>
    <row r="1805" spans="49:49" ht="25.25" customHeight="1">
      <c r="AW1805" s="35"/>
    </row>
    <row r="1806" spans="49:49" ht="25.25" customHeight="1">
      <c r="AW1806" s="35"/>
    </row>
    <row r="1807" spans="49:49" ht="25.25" customHeight="1">
      <c r="AW1807" s="35"/>
    </row>
    <row r="1808" spans="49:49" ht="25.25" customHeight="1">
      <c r="AW1808" s="35"/>
    </row>
    <row r="1809" spans="49:49" ht="25.25" customHeight="1">
      <c r="AW1809" s="35"/>
    </row>
    <row r="1810" spans="49:49" ht="25.25" customHeight="1">
      <c r="AW1810" s="35"/>
    </row>
    <row r="1811" spans="49:49" ht="25.25" customHeight="1">
      <c r="AW1811" s="35"/>
    </row>
    <row r="1812" spans="49:49" ht="25.25" customHeight="1">
      <c r="AW1812" s="35"/>
    </row>
    <row r="1813" spans="49:49" ht="25.25" customHeight="1">
      <c r="AW1813" s="35"/>
    </row>
    <row r="1814" spans="49:49" ht="25.25" customHeight="1">
      <c r="AW1814" s="35"/>
    </row>
    <row r="1815" spans="49:49" ht="25.25" customHeight="1">
      <c r="AW1815" s="35"/>
    </row>
    <row r="1816" spans="49:49" ht="25.25" customHeight="1">
      <c r="AW1816" s="35"/>
    </row>
    <row r="1817" spans="49:49" ht="25.25" customHeight="1">
      <c r="AW1817" s="35"/>
    </row>
    <row r="1818" spans="49:49" ht="25.25" customHeight="1">
      <c r="AW1818" s="35"/>
    </row>
    <row r="1819" spans="49:49" ht="25.25" customHeight="1">
      <c r="AW1819" s="35"/>
    </row>
    <row r="1820" spans="49:49" ht="25.25" customHeight="1">
      <c r="AW1820" s="35"/>
    </row>
    <row r="1821" spans="49:49" ht="25.25" customHeight="1">
      <c r="AW1821" s="35"/>
    </row>
    <row r="1822" spans="49:49" ht="25.25" customHeight="1">
      <c r="AW1822" s="35"/>
    </row>
    <row r="1823" spans="49:49" ht="25.25" customHeight="1">
      <c r="AW1823" s="35"/>
    </row>
    <row r="1824" spans="49:49" ht="25.25" customHeight="1">
      <c r="AW1824" s="35"/>
    </row>
    <row r="1825" spans="49:49" ht="25.25" customHeight="1">
      <c r="AW1825" s="35"/>
    </row>
    <row r="1826" spans="49:49" ht="25.25" customHeight="1">
      <c r="AW1826" s="35"/>
    </row>
    <row r="1827" spans="49:49" ht="25.25" customHeight="1">
      <c r="AW1827" s="35"/>
    </row>
    <row r="1828" spans="49:49" ht="25.25" customHeight="1">
      <c r="AW1828" s="35"/>
    </row>
    <row r="1829" spans="49:49" ht="25.25" customHeight="1">
      <c r="AW1829" s="35"/>
    </row>
    <row r="1830" spans="49:49" ht="25.25" customHeight="1">
      <c r="AW1830" s="35"/>
    </row>
    <row r="1831" spans="49:49" ht="25.25" customHeight="1">
      <c r="AW1831" s="35"/>
    </row>
    <row r="1832" spans="49:49" ht="25.25" customHeight="1">
      <c r="AW1832" s="35"/>
    </row>
    <row r="1833" spans="49:49" ht="25.25" customHeight="1">
      <c r="AW1833" s="35"/>
    </row>
    <row r="1834" spans="49:49" ht="25.25" customHeight="1">
      <c r="AW1834" s="35"/>
    </row>
    <row r="1835" spans="49:49" ht="25.25" customHeight="1">
      <c r="AW1835" s="35"/>
    </row>
    <row r="1836" spans="49:49" ht="25.25" customHeight="1">
      <c r="AW1836" s="35"/>
    </row>
    <row r="1837" spans="49:49" ht="25.25" customHeight="1">
      <c r="AW1837" s="35"/>
    </row>
    <row r="1838" spans="49:49" ht="25.25" customHeight="1">
      <c r="AW1838" s="35"/>
    </row>
    <row r="1839" spans="49:49" ht="25.25" customHeight="1">
      <c r="AW1839" s="35"/>
    </row>
    <row r="1840" spans="49:49" ht="25.25" customHeight="1">
      <c r="AW1840" s="35"/>
    </row>
    <row r="1841" spans="49:49" ht="25.25" customHeight="1">
      <c r="AW1841" s="35"/>
    </row>
    <row r="1842" spans="49:49" ht="25.25" customHeight="1">
      <c r="AW1842" s="35"/>
    </row>
    <row r="1843" spans="49:49" ht="25.25" customHeight="1">
      <c r="AW1843" s="35"/>
    </row>
    <row r="1844" spans="49:49" ht="25.25" customHeight="1">
      <c r="AW1844" s="35"/>
    </row>
    <row r="1845" spans="49:49" ht="25.25" customHeight="1">
      <c r="AW1845" s="35"/>
    </row>
    <row r="1846" spans="49:49" ht="25.25" customHeight="1">
      <c r="AW1846" s="35"/>
    </row>
    <row r="1847" spans="49:49" ht="25.25" customHeight="1">
      <c r="AW1847" s="35"/>
    </row>
    <row r="1848" spans="49:49" ht="25.25" customHeight="1">
      <c r="AW1848" s="35"/>
    </row>
    <row r="1849" spans="49:49" ht="25.25" customHeight="1">
      <c r="AW1849" s="35"/>
    </row>
    <row r="1850" spans="49:49" ht="25.25" customHeight="1">
      <c r="AW1850" s="35"/>
    </row>
    <row r="1851" spans="49:49" ht="25.25" customHeight="1">
      <c r="AW1851" s="35"/>
    </row>
    <row r="1852" spans="49:49" ht="25.25" customHeight="1">
      <c r="AW1852" s="35"/>
    </row>
    <row r="1853" spans="49:49" ht="25.25" customHeight="1">
      <c r="AW1853" s="35"/>
    </row>
    <row r="1854" spans="49:49" ht="25.25" customHeight="1">
      <c r="AW1854" s="35"/>
    </row>
    <row r="1855" spans="49:49" ht="25.25" customHeight="1">
      <c r="AW1855" s="35"/>
    </row>
    <row r="1856" spans="49:49" ht="25.25" customHeight="1">
      <c r="AW1856" s="35"/>
    </row>
    <row r="1857" spans="49:49" ht="25.25" customHeight="1">
      <c r="AW1857" s="35"/>
    </row>
    <row r="1858" spans="49:49" ht="25.25" customHeight="1">
      <c r="AW1858" s="35"/>
    </row>
    <row r="1859" spans="49:49" ht="25.25" customHeight="1">
      <c r="AW1859" s="35"/>
    </row>
    <row r="1860" spans="49:49" ht="25.25" customHeight="1">
      <c r="AW1860" s="35"/>
    </row>
    <row r="1861" spans="49:49" ht="25.25" customHeight="1">
      <c r="AW1861" s="35"/>
    </row>
    <row r="1862" spans="49:49" ht="25.25" customHeight="1">
      <c r="AW1862" s="35"/>
    </row>
    <row r="1863" spans="49:49" ht="25.25" customHeight="1">
      <c r="AW1863" s="35"/>
    </row>
    <row r="1864" spans="49:49" ht="25.25" customHeight="1">
      <c r="AW1864" s="35"/>
    </row>
    <row r="1865" spans="49:49" ht="25.25" customHeight="1">
      <c r="AW1865" s="35"/>
    </row>
    <row r="1866" spans="49:49" ht="25.25" customHeight="1">
      <c r="AW1866" s="35"/>
    </row>
    <row r="1867" spans="49:49" ht="25.25" customHeight="1">
      <c r="AW1867" s="35"/>
    </row>
    <row r="1868" spans="49:49" ht="25.25" customHeight="1">
      <c r="AW1868" s="35"/>
    </row>
    <row r="1869" spans="49:49" ht="25.25" customHeight="1">
      <c r="AW1869" s="35"/>
    </row>
    <row r="1870" spans="49:49" ht="25.25" customHeight="1">
      <c r="AW1870" s="35"/>
    </row>
    <row r="1871" spans="49:49" ht="25.25" customHeight="1">
      <c r="AW1871" s="35"/>
    </row>
    <row r="1872" spans="49:49" ht="25.25" customHeight="1">
      <c r="AW1872" s="35"/>
    </row>
    <row r="1873" spans="49:49" ht="25.25" customHeight="1">
      <c r="AW1873" s="35"/>
    </row>
    <row r="1874" spans="49:49" ht="25.25" customHeight="1">
      <c r="AW1874" s="35"/>
    </row>
    <row r="1875" spans="49:49" ht="25.25" customHeight="1">
      <c r="AW1875" s="35"/>
    </row>
    <row r="1876" spans="49:49" ht="25.25" customHeight="1">
      <c r="AW1876" s="35"/>
    </row>
    <row r="1877" spans="49:49" ht="25.25" customHeight="1">
      <c r="AW1877" s="35"/>
    </row>
    <row r="1878" spans="49:49" ht="25.25" customHeight="1">
      <c r="AW1878" s="35"/>
    </row>
    <row r="1879" spans="49:49" ht="25.25" customHeight="1">
      <c r="AW1879" s="35"/>
    </row>
    <row r="1880" spans="49:49" ht="25.25" customHeight="1">
      <c r="AW1880" s="35"/>
    </row>
    <row r="1881" spans="49:49" ht="25.25" customHeight="1">
      <c r="AW1881" s="35"/>
    </row>
    <row r="1882" spans="49:49" ht="25.25" customHeight="1">
      <c r="AW1882" s="35"/>
    </row>
    <row r="1883" spans="49:49" ht="25.25" customHeight="1">
      <c r="AW1883" s="35"/>
    </row>
    <row r="1884" spans="49:49" ht="25.25" customHeight="1">
      <c r="AW1884" s="35"/>
    </row>
    <row r="1885" spans="49:49" ht="25.25" customHeight="1">
      <c r="AW1885" s="35"/>
    </row>
    <row r="1886" spans="49:49" ht="25.25" customHeight="1">
      <c r="AW1886" s="35"/>
    </row>
    <row r="1887" spans="49:49" ht="25.25" customHeight="1">
      <c r="AW1887" s="35"/>
    </row>
    <row r="1888" spans="49:49" ht="25.25" customHeight="1">
      <c r="AW1888" s="35"/>
    </row>
    <row r="1889" spans="49:49" ht="25.25" customHeight="1">
      <c r="AW1889" s="35"/>
    </row>
    <row r="1890" spans="49:49" ht="25.25" customHeight="1">
      <c r="AW1890" s="35"/>
    </row>
    <row r="1891" spans="49:49" ht="25.25" customHeight="1">
      <c r="AW1891" s="35"/>
    </row>
    <row r="1892" spans="49:49" ht="25.25" customHeight="1">
      <c r="AW1892" s="35"/>
    </row>
    <row r="1893" spans="49:49" ht="25.25" customHeight="1">
      <c r="AW1893" s="35"/>
    </row>
    <row r="1894" spans="49:49" ht="25.25" customHeight="1">
      <c r="AW1894" s="35"/>
    </row>
    <row r="1895" spans="49:49" ht="25.25" customHeight="1">
      <c r="AW1895" s="35"/>
    </row>
    <row r="1896" spans="49:49" ht="25.25" customHeight="1">
      <c r="AW1896" s="35"/>
    </row>
    <row r="1897" spans="49:49" ht="25.25" customHeight="1">
      <c r="AW1897" s="35"/>
    </row>
    <row r="1898" spans="49:49" ht="25.25" customHeight="1">
      <c r="AW1898" s="35"/>
    </row>
    <row r="1899" spans="49:49" ht="25.25" customHeight="1">
      <c r="AW1899" s="35"/>
    </row>
    <row r="1900" spans="49:49" ht="25.25" customHeight="1">
      <c r="AW1900" s="35"/>
    </row>
    <row r="1901" spans="49:49" ht="25.25" customHeight="1">
      <c r="AW1901" s="35"/>
    </row>
    <row r="1902" spans="49:49" ht="25.25" customHeight="1">
      <c r="AW1902" s="35"/>
    </row>
    <row r="1903" spans="49:49" ht="25.25" customHeight="1">
      <c r="AW1903" s="35"/>
    </row>
    <row r="1904" spans="49:49" ht="25.25" customHeight="1">
      <c r="AW1904" s="35"/>
    </row>
    <row r="1905" spans="49:49" ht="25.25" customHeight="1">
      <c r="AW1905" s="35"/>
    </row>
    <row r="1906" spans="49:49" ht="25.25" customHeight="1">
      <c r="AW1906" s="35"/>
    </row>
    <row r="1907" spans="49:49" ht="25.25" customHeight="1">
      <c r="AW1907" s="35"/>
    </row>
    <row r="1908" spans="49:49" ht="25.25" customHeight="1">
      <c r="AW1908" s="35"/>
    </row>
    <row r="1909" spans="49:49" ht="25.25" customHeight="1">
      <c r="AW1909" s="35"/>
    </row>
    <row r="1910" spans="49:49" ht="25.25" customHeight="1">
      <c r="AW1910" s="35"/>
    </row>
    <row r="1911" spans="49:49" ht="25.25" customHeight="1">
      <c r="AW1911" s="35"/>
    </row>
    <row r="1912" spans="49:49" ht="25.25" customHeight="1">
      <c r="AW1912" s="35"/>
    </row>
    <row r="1913" spans="49:49" ht="25.25" customHeight="1">
      <c r="AW1913" s="35"/>
    </row>
    <row r="1914" spans="49:49" ht="25.25" customHeight="1">
      <c r="AW1914" s="35"/>
    </row>
    <row r="1915" spans="49:49" ht="25.25" customHeight="1">
      <c r="AW1915" s="35"/>
    </row>
    <row r="1916" spans="49:49" ht="25.25" customHeight="1">
      <c r="AW1916" s="35"/>
    </row>
    <row r="1917" spans="49:49" ht="25.25" customHeight="1">
      <c r="AW1917" s="35"/>
    </row>
    <row r="1918" spans="49:49" ht="25.25" customHeight="1">
      <c r="AW1918" s="35"/>
    </row>
    <row r="1919" spans="49:49" ht="25.25" customHeight="1">
      <c r="AW1919" s="35"/>
    </row>
    <row r="1920" spans="49:49" ht="25.25" customHeight="1">
      <c r="AW1920" s="35"/>
    </row>
    <row r="1921" spans="49:49" ht="25.25" customHeight="1">
      <c r="AW1921" s="35"/>
    </row>
    <row r="1922" spans="49:49" ht="25.25" customHeight="1">
      <c r="AW1922" s="35"/>
    </row>
    <row r="1923" spans="49:49" ht="25.25" customHeight="1">
      <c r="AW1923" s="35"/>
    </row>
    <row r="1924" spans="49:49" ht="25.25" customHeight="1">
      <c r="AW1924" s="35"/>
    </row>
    <row r="1925" spans="49:49" ht="25.25" customHeight="1">
      <c r="AW1925" s="35"/>
    </row>
    <row r="1926" spans="49:49" ht="25.25" customHeight="1">
      <c r="AW1926" s="35"/>
    </row>
    <row r="1927" spans="49:49" ht="25.25" customHeight="1">
      <c r="AW1927" s="35"/>
    </row>
    <row r="1928" spans="49:49" ht="25.25" customHeight="1">
      <c r="AW1928" s="35"/>
    </row>
    <row r="1929" spans="49:49" ht="25.25" customHeight="1">
      <c r="AW1929" s="35"/>
    </row>
    <row r="1930" spans="49:49" ht="25.25" customHeight="1">
      <c r="AW1930" s="35"/>
    </row>
    <row r="1931" spans="49:49" ht="25.25" customHeight="1">
      <c r="AW1931" s="35"/>
    </row>
    <row r="1932" spans="49:49" ht="25.25" customHeight="1">
      <c r="AW1932" s="35"/>
    </row>
    <row r="1933" spans="49:49" ht="25.25" customHeight="1">
      <c r="AW1933" s="35"/>
    </row>
    <row r="1934" spans="49:49" ht="25.25" customHeight="1">
      <c r="AW1934" s="35"/>
    </row>
    <row r="1935" spans="49:49" ht="25.25" customHeight="1">
      <c r="AW1935" s="35"/>
    </row>
    <row r="1936" spans="49:49" ht="25.25" customHeight="1">
      <c r="AW1936" s="35"/>
    </row>
    <row r="1937" spans="49:49" ht="25.25" customHeight="1">
      <c r="AW1937" s="35"/>
    </row>
    <row r="1938" spans="49:49" ht="25.25" customHeight="1">
      <c r="AW1938" s="35"/>
    </row>
    <row r="1939" spans="49:49" ht="25.25" customHeight="1">
      <c r="AW1939" s="35"/>
    </row>
    <row r="1940" spans="49:49" ht="25.25" customHeight="1">
      <c r="AW1940" s="35"/>
    </row>
    <row r="1941" spans="49:49" ht="25.25" customHeight="1">
      <c r="AW1941" s="35"/>
    </row>
    <row r="1942" spans="49:49" ht="25.25" customHeight="1">
      <c r="AW1942" s="35"/>
    </row>
    <row r="1943" spans="49:49" ht="25.25" customHeight="1">
      <c r="AW1943" s="35"/>
    </row>
    <row r="1944" spans="49:49" ht="25.25" customHeight="1">
      <c r="AW1944" s="35"/>
    </row>
    <row r="1945" spans="49:49" ht="25.25" customHeight="1">
      <c r="AW1945" s="35"/>
    </row>
    <row r="1946" spans="49:49" ht="25.25" customHeight="1">
      <c r="AW1946" s="35"/>
    </row>
    <row r="1947" spans="49:49" ht="25.25" customHeight="1">
      <c r="AW1947" s="35"/>
    </row>
    <row r="1948" spans="49:49" ht="25.25" customHeight="1">
      <c r="AW1948" s="35"/>
    </row>
    <row r="1949" spans="49:49" ht="25.25" customHeight="1">
      <c r="AW1949" s="35"/>
    </row>
    <row r="1950" spans="49:49" ht="25.25" customHeight="1">
      <c r="AW1950" s="35"/>
    </row>
    <row r="1951" spans="49:49" ht="25.25" customHeight="1">
      <c r="AW1951" s="35"/>
    </row>
    <row r="1952" spans="49:49" ht="25.25" customHeight="1">
      <c r="AW1952" s="35"/>
    </row>
    <row r="1953" spans="49:49" ht="25.25" customHeight="1">
      <c r="AW1953" s="35"/>
    </row>
    <row r="1954" spans="49:49" ht="25.25" customHeight="1">
      <c r="AW1954" s="35"/>
    </row>
    <row r="1955" spans="49:49" ht="25.25" customHeight="1">
      <c r="AW1955" s="35"/>
    </row>
    <row r="1956" spans="49:49" ht="25.25" customHeight="1">
      <c r="AW1956" s="35"/>
    </row>
    <row r="1957" spans="49:49" ht="25.25" customHeight="1">
      <c r="AW1957" s="35"/>
    </row>
    <row r="1958" spans="49:49" ht="25.25" customHeight="1">
      <c r="AW1958" s="35"/>
    </row>
    <row r="1959" spans="49:49" ht="25.25" customHeight="1">
      <c r="AW1959" s="35"/>
    </row>
    <row r="1960" spans="49:49" ht="25.25" customHeight="1">
      <c r="AW1960" s="35"/>
    </row>
    <row r="1961" spans="49:49" ht="25.25" customHeight="1">
      <c r="AW1961" s="35"/>
    </row>
    <row r="1962" spans="49:49" ht="25.25" customHeight="1">
      <c r="AW1962" s="35"/>
    </row>
    <row r="1963" spans="49:49" ht="25.25" customHeight="1">
      <c r="AW1963" s="35"/>
    </row>
    <row r="1964" spans="49:49" ht="25.25" customHeight="1">
      <c r="AW1964" s="35"/>
    </row>
    <row r="1965" spans="49:49" ht="25.25" customHeight="1">
      <c r="AW1965" s="35"/>
    </row>
    <row r="1966" spans="49:49" ht="25.25" customHeight="1">
      <c r="AW1966" s="35"/>
    </row>
    <row r="1967" spans="49:49" ht="25.25" customHeight="1">
      <c r="AW1967" s="35"/>
    </row>
    <row r="1968" spans="49:49" ht="25.25" customHeight="1">
      <c r="AW1968" s="35"/>
    </row>
    <row r="1969" spans="49:49" ht="25.25" customHeight="1">
      <c r="AW1969" s="35"/>
    </row>
    <row r="1970" spans="49:49" ht="25.25" customHeight="1">
      <c r="AW1970" s="35"/>
    </row>
    <row r="1971" spans="49:49" ht="25.25" customHeight="1">
      <c r="AW1971" s="35"/>
    </row>
    <row r="1972" spans="49:49" ht="25.25" customHeight="1">
      <c r="AW1972" s="35"/>
    </row>
    <row r="1973" spans="49:49" ht="25.25" customHeight="1">
      <c r="AW1973" s="35"/>
    </row>
    <row r="1974" spans="49:49" ht="25.25" customHeight="1">
      <c r="AW1974" s="35"/>
    </row>
    <row r="1975" spans="49:49" ht="25.25" customHeight="1">
      <c r="AW1975" s="35"/>
    </row>
    <row r="1976" spans="49:49" ht="25.25" customHeight="1">
      <c r="AW1976" s="35"/>
    </row>
    <row r="1977" spans="49:49" ht="25.25" customHeight="1">
      <c r="AW1977" s="35"/>
    </row>
    <row r="1978" spans="49:49" ht="25.25" customHeight="1">
      <c r="AW1978" s="35"/>
    </row>
    <row r="1979" spans="49:49" ht="25.25" customHeight="1">
      <c r="AW1979" s="35"/>
    </row>
    <row r="1980" spans="49:49" ht="25.25" customHeight="1">
      <c r="AW1980" s="35"/>
    </row>
    <row r="1981" spans="49:49" ht="25.25" customHeight="1">
      <c r="AW1981" s="35"/>
    </row>
    <row r="1982" spans="49:49" ht="25.25" customHeight="1">
      <c r="AW1982" s="35"/>
    </row>
    <row r="1983" spans="49:49" ht="25.25" customHeight="1">
      <c r="AW1983" s="35"/>
    </row>
    <row r="1984" spans="49:49" ht="25.25" customHeight="1">
      <c r="AW1984" s="35"/>
    </row>
    <row r="1985" spans="49:49" ht="25.25" customHeight="1">
      <c r="AW1985" s="35"/>
    </row>
    <row r="1986" spans="49:49" ht="25.25" customHeight="1">
      <c r="AW1986" s="35"/>
    </row>
    <row r="1987" spans="49:49" ht="25.25" customHeight="1">
      <c r="AW1987" s="35"/>
    </row>
    <row r="1988" spans="49:49" ht="25.25" customHeight="1">
      <c r="AW1988" s="35"/>
    </row>
    <row r="1989" spans="49:49" ht="25.25" customHeight="1">
      <c r="AW1989" s="35"/>
    </row>
    <row r="1990" spans="49:49" ht="25.25" customHeight="1">
      <c r="AW1990" s="35"/>
    </row>
    <row r="1991" spans="49:49" ht="25.25" customHeight="1">
      <c r="AW1991" s="35"/>
    </row>
    <row r="1992" spans="49:49" ht="25.25" customHeight="1">
      <c r="AW1992" s="35"/>
    </row>
    <row r="1993" spans="49:49" ht="25.25" customHeight="1">
      <c r="AW1993" s="35"/>
    </row>
    <row r="1994" spans="49:49" ht="25.25" customHeight="1">
      <c r="AW1994" s="35"/>
    </row>
    <row r="1995" spans="49:49" ht="25.25" customHeight="1">
      <c r="AW1995" s="35"/>
    </row>
    <row r="1996" spans="49:49" ht="25.25" customHeight="1">
      <c r="AW1996" s="35"/>
    </row>
    <row r="1997" spans="49:49" ht="25.25" customHeight="1">
      <c r="AW1997" s="35"/>
    </row>
    <row r="1998" spans="49:49" ht="25.25" customHeight="1">
      <c r="AW1998" s="35"/>
    </row>
    <row r="1999" spans="49:49" ht="25.25" customHeight="1">
      <c r="AW1999" s="35"/>
    </row>
    <row r="2000" spans="49:49" ht="25.25" customHeight="1">
      <c r="AW2000" s="35"/>
    </row>
    <row r="2001" spans="49:49" ht="25.25" customHeight="1">
      <c r="AW2001" s="35"/>
    </row>
    <row r="2002" spans="49:49" ht="25.25" customHeight="1">
      <c r="AW2002" s="35"/>
    </row>
    <row r="2003" spans="49:49" ht="25.25" customHeight="1">
      <c r="AW2003" s="35"/>
    </row>
    <row r="2004" spans="49:49" ht="25.25" customHeight="1">
      <c r="AW2004" s="35"/>
    </row>
    <row r="2005" spans="49:49" ht="25.25" customHeight="1">
      <c r="AW2005" s="35"/>
    </row>
    <row r="2006" spans="49:49" ht="25.25" customHeight="1">
      <c r="AW2006" s="35"/>
    </row>
    <row r="2007" spans="49:49" ht="25.25" customHeight="1">
      <c r="AW2007" s="35"/>
    </row>
    <row r="2008" spans="49:49" ht="25.25" customHeight="1">
      <c r="AW2008" s="35"/>
    </row>
    <row r="2009" spans="49:49" ht="25.25" customHeight="1">
      <c r="AW2009" s="35"/>
    </row>
    <row r="2010" spans="49:49" ht="25.25" customHeight="1">
      <c r="AW2010" s="35"/>
    </row>
    <row r="2011" spans="49:49" ht="25.25" customHeight="1">
      <c r="AW2011" s="35"/>
    </row>
    <row r="2012" spans="49:49" ht="25.25" customHeight="1">
      <c r="AW2012" s="35"/>
    </row>
    <row r="2013" spans="49:49" ht="25.25" customHeight="1">
      <c r="AW2013" s="35"/>
    </row>
    <row r="2014" spans="49:49" ht="25.25" customHeight="1">
      <c r="AW2014" s="35"/>
    </row>
    <row r="2015" spans="49:49" ht="25.25" customHeight="1">
      <c r="AW2015" s="35"/>
    </row>
    <row r="2016" spans="49:49" ht="25.25" customHeight="1">
      <c r="AW2016" s="35"/>
    </row>
    <row r="2017" spans="49:49" ht="25.25" customHeight="1">
      <c r="AW2017" s="35"/>
    </row>
    <row r="2018" spans="49:49" ht="25.25" customHeight="1">
      <c r="AW2018" s="35"/>
    </row>
    <row r="2019" spans="49:49" ht="25.25" customHeight="1">
      <c r="AW2019" s="35"/>
    </row>
    <row r="2020" spans="49:49" ht="25.25" customHeight="1">
      <c r="AW2020" s="35"/>
    </row>
    <row r="2021" spans="49:49" ht="25.25" customHeight="1">
      <c r="AW2021" s="35"/>
    </row>
    <row r="2022" spans="49:49" ht="25.25" customHeight="1">
      <c r="AW2022" s="35"/>
    </row>
    <row r="2023" spans="49:49" ht="25.25" customHeight="1">
      <c r="AW2023" s="35"/>
    </row>
    <row r="2024" spans="49:49" ht="25.25" customHeight="1">
      <c r="AW2024" s="35"/>
    </row>
    <row r="2025" spans="49:49" ht="25.25" customHeight="1">
      <c r="AW2025" s="35"/>
    </row>
    <row r="2026" spans="49:49" ht="25.25" customHeight="1">
      <c r="AW2026" s="35"/>
    </row>
    <row r="2027" spans="49:49" ht="25.25" customHeight="1">
      <c r="AW2027" s="35"/>
    </row>
    <row r="2028" spans="49:49" ht="25.25" customHeight="1">
      <c r="AW2028" s="35"/>
    </row>
    <row r="2029" spans="49:49" ht="25.25" customHeight="1">
      <c r="AW2029" s="35"/>
    </row>
    <row r="2030" spans="49:49" ht="25.25" customHeight="1">
      <c r="AW2030" s="35"/>
    </row>
    <row r="2031" spans="49:49" ht="25.25" customHeight="1">
      <c r="AW2031" s="35"/>
    </row>
    <row r="2032" spans="49:49" ht="25.25" customHeight="1">
      <c r="AW2032" s="35"/>
    </row>
    <row r="2033" spans="49:49" ht="25.25" customHeight="1">
      <c r="AW2033" s="35"/>
    </row>
    <row r="2034" spans="49:49" ht="25.25" customHeight="1">
      <c r="AW2034" s="35"/>
    </row>
    <row r="2035" spans="49:49" ht="25.25" customHeight="1">
      <c r="AW2035" s="35"/>
    </row>
    <row r="2036" spans="49:49" ht="25.25" customHeight="1">
      <c r="AW2036" s="35"/>
    </row>
    <row r="2037" spans="49:49" ht="25.25" customHeight="1">
      <c r="AW2037" s="35"/>
    </row>
    <row r="2038" spans="49:49" ht="25.25" customHeight="1">
      <c r="AW2038" s="35"/>
    </row>
    <row r="2039" spans="49:49" ht="25.25" customHeight="1">
      <c r="AW2039" s="35"/>
    </row>
    <row r="2040" spans="49:49" ht="25.25" customHeight="1">
      <c r="AW2040" s="35"/>
    </row>
    <row r="2041" spans="49:49" ht="25.25" customHeight="1">
      <c r="AW2041" s="35"/>
    </row>
    <row r="2042" spans="49:49" ht="25.25" customHeight="1">
      <c r="AW2042" s="35"/>
    </row>
    <row r="2043" spans="49:49" ht="25.25" customHeight="1">
      <c r="AW2043" s="35"/>
    </row>
    <row r="2044" spans="49:49" ht="25.25" customHeight="1">
      <c r="AW2044" s="35"/>
    </row>
    <row r="2045" spans="49:49" ht="25.25" customHeight="1">
      <c r="AW2045" s="35"/>
    </row>
    <row r="2046" spans="49:49" ht="25.25" customHeight="1">
      <c r="AW2046" s="35"/>
    </row>
    <row r="2047" spans="49:49" ht="25.25" customHeight="1">
      <c r="AW2047" s="35"/>
    </row>
    <row r="2048" spans="49:49" ht="25.25" customHeight="1">
      <c r="AW2048" s="35"/>
    </row>
    <row r="2049" spans="49:49" ht="25.25" customHeight="1">
      <c r="AW2049" s="35"/>
    </row>
    <row r="2050" spans="49:49" ht="25.25" customHeight="1">
      <c r="AW2050" s="35"/>
    </row>
    <row r="2051" spans="49:49" ht="25.25" customHeight="1">
      <c r="AW2051" s="35"/>
    </row>
    <row r="2052" spans="49:49" ht="25.25" customHeight="1">
      <c r="AW2052" s="35"/>
    </row>
    <row r="2053" spans="49:49" ht="25.25" customHeight="1">
      <c r="AW2053" s="35"/>
    </row>
    <row r="2054" spans="49:49" ht="25.25" customHeight="1">
      <c r="AW2054" s="35"/>
    </row>
    <row r="2055" spans="49:49" ht="25.25" customHeight="1">
      <c r="AW2055" s="35"/>
    </row>
    <row r="2056" spans="49:49" ht="25.25" customHeight="1">
      <c r="AW2056" s="35"/>
    </row>
    <row r="2057" spans="49:49" ht="25.25" customHeight="1">
      <c r="AW2057" s="35"/>
    </row>
    <row r="2058" spans="49:49" ht="25.25" customHeight="1">
      <c r="AW2058" s="35"/>
    </row>
    <row r="2059" spans="49:49" ht="25.25" customHeight="1">
      <c r="AW2059" s="35"/>
    </row>
    <row r="2060" spans="49:49" ht="25.25" customHeight="1">
      <c r="AW2060" s="35"/>
    </row>
    <row r="2061" spans="49:49" ht="25.25" customHeight="1">
      <c r="AW2061" s="35"/>
    </row>
    <row r="2062" spans="49:49" ht="25.25" customHeight="1">
      <c r="AW2062" s="35"/>
    </row>
    <row r="2063" spans="49:49" ht="25.25" customHeight="1">
      <c r="AW2063" s="35"/>
    </row>
    <row r="2064" spans="49:49" ht="25.25" customHeight="1">
      <c r="AW2064" s="35"/>
    </row>
    <row r="2065" spans="49:49" ht="25.25" customHeight="1">
      <c r="AW2065" s="35"/>
    </row>
    <row r="2066" spans="49:49" ht="25.25" customHeight="1">
      <c r="AW2066" s="35"/>
    </row>
    <row r="2067" spans="49:49" ht="25.25" customHeight="1">
      <c r="AW2067" s="35"/>
    </row>
    <row r="2068" spans="49:49" ht="25.25" customHeight="1">
      <c r="AW2068" s="35"/>
    </row>
    <row r="2069" spans="49:49" ht="25.25" customHeight="1">
      <c r="AW2069" s="35"/>
    </row>
    <row r="2070" spans="49:49" ht="25.25" customHeight="1">
      <c r="AW2070" s="35"/>
    </row>
    <row r="2071" spans="49:49" ht="25.25" customHeight="1">
      <c r="AW2071" s="35"/>
    </row>
    <row r="2072" spans="49:49" ht="25.25" customHeight="1">
      <c r="AW2072" s="35"/>
    </row>
    <row r="2073" spans="49:49" ht="25.25" customHeight="1">
      <c r="AW2073" s="35"/>
    </row>
    <row r="2074" spans="49:49" ht="25.25" customHeight="1">
      <c r="AW2074" s="35"/>
    </row>
    <row r="2075" spans="49:49" ht="25.25" customHeight="1">
      <c r="AW2075" s="35"/>
    </row>
    <row r="2076" spans="49:49" ht="25.25" customHeight="1">
      <c r="AW2076" s="35"/>
    </row>
    <row r="2077" spans="49:49" ht="25.25" customHeight="1">
      <c r="AW2077" s="35"/>
    </row>
    <row r="2078" spans="49:49" ht="25.25" customHeight="1">
      <c r="AW2078" s="35"/>
    </row>
    <row r="2079" spans="49:49" ht="25.25" customHeight="1">
      <c r="AW2079" s="35"/>
    </row>
    <row r="2080" spans="49:49" ht="25.25" customHeight="1">
      <c r="AW2080" s="35"/>
    </row>
    <row r="2081" spans="49:49" ht="25.25" customHeight="1">
      <c r="AW2081" s="35"/>
    </row>
    <row r="2082" spans="49:49" ht="25.25" customHeight="1">
      <c r="AW2082" s="35"/>
    </row>
    <row r="2083" spans="49:49" ht="25.25" customHeight="1">
      <c r="AW2083" s="35"/>
    </row>
    <row r="2084" spans="49:49" ht="25.25" customHeight="1">
      <c r="AW2084" s="35"/>
    </row>
    <row r="2085" spans="49:49" ht="25.25" customHeight="1">
      <c r="AW2085" s="35"/>
    </row>
    <row r="2086" spans="49:49" ht="25.25" customHeight="1">
      <c r="AW2086" s="35"/>
    </row>
    <row r="2087" spans="49:49" ht="25.25" customHeight="1">
      <c r="AW2087" s="35"/>
    </row>
    <row r="2088" spans="49:49" ht="25.25" customHeight="1">
      <c r="AW2088" s="35"/>
    </row>
    <row r="2089" spans="49:49" ht="25.25" customHeight="1">
      <c r="AW2089" s="35"/>
    </row>
    <row r="2090" spans="49:49" ht="25.25" customHeight="1">
      <c r="AW2090" s="35"/>
    </row>
    <row r="2091" spans="49:49" ht="25.25" customHeight="1">
      <c r="AW2091" s="35"/>
    </row>
    <row r="2092" spans="49:49" ht="25.25" customHeight="1">
      <c r="AW2092" s="35"/>
    </row>
    <row r="2093" spans="49:49" ht="25.25" customHeight="1">
      <c r="AW2093" s="35"/>
    </row>
    <row r="2094" spans="49:49" ht="25.25" customHeight="1">
      <c r="AW2094" s="35"/>
    </row>
    <row r="2095" spans="49:49" ht="25.25" customHeight="1">
      <c r="AW2095" s="35"/>
    </row>
    <row r="2096" spans="49:49" ht="25.25" customHeight="1">
      <c r="AW2096" s="35"/>
    </row>
    <row r="2097" spans="49:49" ht="25.25" customHeight="1">
      <c r="AW2097" s="35"/>
    </row>
    <row r="2098" spans="49:49" ht="25.25" customHeight="1">
      <c r="AW2098" s="35"/>
    </row>
    <row r="2099" spans="49:49" ht="25.25" customHeight="1">
      <c r="AW2099" s="35"/>
    </row>
    <row r="2100" spans="49:49" ht="25.25" customHeight="1">
      <c r="AW2100" s="35"/>
    </row>
    <row r="2101" spans="49:49" ht="25.25" customHeight="1">
      <c r="AW2101" s="35"/>
    </row>
    <row r="2102" spans="49:49" ht="25.25" customHeight="1">
      <c r="AW2102" s="35"/>
    </row>
    <row r="2103" spans="49:49" ht="25.25" customHeight="1">
      <c r="AW2103" s="35"/>
    </row>
    <row r="2104" spans="49:49" ht="25.25" customHeight="1">
      <c r="AW2104" s="35"/>
    </row>
    <row r="2105" spans="49:49" ht="25.25" customHeight="1">
      <c r="AW2105" s="35"/>
    </row>
    <row r="2106" spans="49:49" ht="25.25" customHeight="1">
      <c r="AW2106" s="35"/>
    </row>
    <row r="2107" spans="49:49" ht="25.25" customHeight="1">
      <c r="AW2107" s="35"/>
    </row>
    <row r="2108" spans="49:49" ht="25.25" customHeight="1">
      <c r="AW2108" s="35"/>
    </row>
    <row r="2109" spans="49:49" ht="25.25" customHeight="1">
      <c r="AW2109" s="35"/>
    </row>
    <row r="2110" spans="49:49" ht="25.25" customHeight="1">
      <c r="AW2110" s="35"/>
    </row>
    <row r="2111" spans="49:49" ht="25.25" customHeight="1">
      <c r="AW2111" s="35"/>
    </row>
    <row r="2112" spans="49:49" ht="25.25" customHeight="1">
      <c r="AW2112" s="35"/>
    </row>
    <row r="2113" spans="49:49" ht="25.25" customHeight="1">
      <c r="AW2113" s="35"/>
    </row>
    <row r="2114" spans="49:49" ht="25.25" customHeight="1">
      <c r="AW2114" s="35"/>
    </row>
    <row r="2115" spans="49:49" ht="25.25" customHeight="1">
      <c r="AW2115" s="35"/>
    </row>
    <row r="2116" spans="49:49" ht="25.25" customHeight="1">
      <c r="AW2116" s="35"/>
    </row>
    <row r="2117" spans="49:49" ht="25.25" customHeight="1">
      <c r="AW2117" s="35"/>
    </row>
    <row r="2118" spans="49:49" ht="25.25" customHeight="1">
      <c r="AW2118" s="35"/>
    </row>
    <row r="2119" spans="49:49" ht="25.25" customHeight="1">
      <c r="AW2119" s="35"/>
    </row>
    <row r="2120" spans="49:49" ht="25.25" customHeight="1">
      <c r="AW2120" s="35"/>
    </row>
    <row r="2121" spans="49:49" ht="25.25" customHeight="1">
      <c r="AW2121" s="35"/>
    </row>
    <row r="2122" spans="49:49" ht="25.25" customHeight="1">
      <c r="AW2122" s="35"/>
    </row>
    <row r="2123" spans="49:49" ht="25.25" customHeight="1">
      <c r="AW2123" s="35"/>
    </row>
    <row r="2124" spans="49:49" ht="25.25" customHeight="1">
      <c r="AW2124" s="35"/>
    </row>
    <row r="2125" spans="49:49" ht="25.25" customHeight="1">
      <c r="AW2125" s="35"/>
    </row>
    <row r="2126" spans="49:49" ht="25.25" customHeight="1">
      <c r="AW2126" s="35"/>
    </row>
    <row r="2127" spans="49:49" ht="25.25" customHeight="1">
      <c r="AW2127" s="35"/>
    </row>
    <row r="2128" spans="49:49" ht="25.25" customHeight="1">
      <c r="AW2128" s="35"/>
    </row>
    <row r="2129" spans="49:49" ht="25.25" customHeight="1">
      <c r="AW2129" s="35"/>
    </row>
    <row r="2130" spans="49:49" ht="25.25" customHeight="1">
      <c r="AW2130" s="35"/>
    </row>
    <row r="2131" spans="49:49" ht="25.25" customHeight="1">
      <c r="AW2131" s="35"/>
    </row>
    <row r="2132" spans="49:49" ht="25.25" customHeight="1">
      <c r="AW2132" s="35"/>
    </row>
    <row r="2133" spans="49:49" ht="25.25" customHeight="1">
      <c r="AW2133" s="35"/>
    </row>
    <row r="2134" spans="49:49" ht="25.25" customHeight="1">
      <c r="AW2134" s="35"/>
    </row>
    <row r="2135" spans="49:49" ht="25.25" customHeight="1">
      <c r="AW2135" s="35"/>
    </row>
    <row r="2136" spans="49:49" ht="25.25" customHeight="1">
      <c r="AW2136" s="35"/>
    </row>
    <row r="2137" spans="49:49" ht="25.25" customHeight="1">
      <c r="AW2137" s="35"/>
    </row>
    <row r="2138" spans="49:49" ht="25.25" customHeight="1">
      <c r="AW2138" s="35"/>
    </row>
    <row r="2139" spans="49:49" ht="25.25" customHeight="1">
      <c r="AW2139" s="35"/>
    </row>
    <row r="2140" spans="49:49" ht="25.25" customHeight="1">
      <c r="AW2140" s="35"/>
    </row>
    <row r="2141" spans="49:49" ht="25.25" customHeight="1">
      <c r="AW2141" s="35"/>
    </row>
    <row r="2142" spans="49:49" ht="25.25" customHeight="1">
      <c r="AW2142" s="35"/>
    </row>
    <row r="2143" spans="49:49" ht="25.25" customHeight="1">
      <c r="AW2143" s="35"/>
    </row>
    <row r="2144" spans="49:49" ht="25.25" customHeight="1">
      <c r="AW2144" s="35"/>
    </row>
    <row r="2145" spans="49:49" ht="25.25" customHeight="1">
      <c r="AW2145" s="35"/>
    </row>
    <row r="2146" spans="49:49" ht="25.25" customHeight="1">
      <c r="AW2146" s="35"/>
    </row>
    <row r="2147" spans="49:49" ht="25.25" customHeight="1">
      <c r="AW2147" s="35"/>
    </row>
    <row r="2148" spans="49:49" ht="25.25" customHeight="1">
      <c r="AW2148" s="35"/>
    </row>
    <row r="2149" spans="49:49" ht="25.25" customHeight="1">
      <c r="AW2149" s="35"/>
    </row>
    <row r="2150" spans="49:49" ht="25.25" customHeight="1">
      <c r="AW2150" s="35"/>
    </row>
    <row r="2151" spans="49:49" ht="25.25" customHeight="1">
      <c r="AW2151" s="35"/>
    </row>
    <row r="2152" spans="49:49" ht="25.25" customHeight="1">
      <c r="AW2152" s="35"/>
    </row>
    <row r="2153" spans="49:49" ht="25.25" customHeight="1">
      <c r="AW2153" s="35"/>
    </row>
    <row r="2154" spans="49:49" ht="25.25" customHeight="1">
      <c r="AW2154" s="35"/>
    </row>
    <row r="2155" spans="49:49" ht="25.25" customHeight="1">
      <c r="AW2155" s="35"/>
    </row>
    <row r="2156" spans="49:49" ht="25.25" customHeight="1">
      <c r="AW2156" s="35"/>
    </row>
    <row r="2157" spans="49:49" ht="25.25" customHeight="1">
      <c r="AW2157" s="35"/>
    </row>
    <row r="2158" spans="49:49" ht="25.25" customHeight="1">
      <c r="AW2158" s="35"/>
    </row>
    <row r="2159" spans="49:49" ht="25.25" customHeight="1">
      <c r="AW2159" s="35"/>
    </row>
    <row r="2160" spans="49:49" ht="25.25" customHeight="1">
      <c r="AW2160" s="35"/>
    </row>
    <row r="2161" spans="49:49" ht="25.25" customHeight="1">
      <c r="AW2161" s="35"/>
    </row>
    <row r="2162" spans="49:49" ht="25.25" customHeight="1">
      <c r="AW2162" s="35"/>
    </row>
    <row r="2163" spans="49:49" ht="25.25" customHeight="1">
      <c r="AW2163" s="35"/>
    </row>
    <row r="2164" spans="49:49" ht="25.25" customHeight="1">
      <c r="AW2164" s="35"/>
    </row>
    <row r="2165" spans="49:49" ht="25.25" customHeight="1">
      <c r="AW2165" s="35"/>
    </row>
    <row r="2166" spans="49:49" ht="25.25" customHeight="1">
      <c r="AW2166" s="35"/>
    </row>
    <row r="2167" spans="49:49" ht="25.25" customHeight="1">
      <c r="AW2167" s="35"/>
    </row>
    <row r="2168" spans="49:49" ht="25.25" customHeight="1">
      <c r="AW2168" s="35"/>
    </row>
    <row r="2169" spans="49:49" ht="25.25" customHeight="1">
      <c r="AW2169" s="35"/>
    </row>
    <row r="2170" spans="49:49" ht="25.25" customHeight="1">
      <c r="AW2170" s="35"/>
    </row>
    <row r="2171" spans="49:49" ht="25.25" customHeight="1">
      <c r="AW2171" s="35"/>
    </row>
    <row r="2172" spans="49:49" ht="25.25" customHeight="1">
      <c r="AW2172" s="35"/>
    </row>
    <row r="2173" spans="49:49" ht="25.25" customHeight="1">
      <c r="AW2173" s="35"/>
    </row>
    <row r="2174" spans="49:49" ht="25.25" customHeight="1">
      <c r="AW2174" s="35"/>
    </row>
    <row r="2175" spans="49:49" ht="25.25" customHeight="1">
      <c r="AW2175" s="35"/>
    </row>
    <row r="2176" spans="49:49" ht="25.25" customHeight="1">
      <c r="AW2176" s="35"/>
    </row>
    <row r="2177" spans="49:49" ht="25.25" customHeight="1">
      <c r="AW2177" s="35"/>
    </row>
    <row r="2178" spans="49:49" ht="25.25" customHeight="1">
      <c r="AW2178" s="35"/>
    </row>
    <row r="2179" spans="49:49" ht="25.25" customHeight="1">
      <c r="AW2179" s="35"/>
    </row>
    <row r="2180" spans="49:49" ht="25.25" customHeight="1">
      <c r="AW2180" s="35"/>
    </row>
    <row r="2181" spans="49:49" ht="25.25" customHeight="1">
      <c r="AW2181" s="35"/>
    </row>
    <row r="2182" spans="49:49" ht="25.25" customHeight="1">
      <c r="AW2182" s="35"/>
    </row>
    <row r="2183" spans="49:49" ht="25.25" customHeight="1">
      <c r="AW2183" s="35"/>
    </row>
    <row r="2184" spans="49:49" ht="25.25" customHeight="1">
      <c r="AW2184" s="35"/>
    </row>
    <row r="2185" spans="49:49" ht="25.25" customHeight="1">
      <c r="AW2185" s="35"/>
    </row>
    <row r="2186" spans="49:49" ht="25.25" customHeight="1">
      <c r="AW2186" s="35"/>
    </row>
    <row r="2187" spans="49:49" ht="25.25" customHeight="1">
      <c r="AW2187" s="35"/>
    </row>
    <row r="2188" spans="49:49" ht="25.25" customHeight="1">
      <c r="AW2188" s="35"/>
    </row>
    <row r="2189" spans="49:49" ht="25.25" customHeight="1">
      <c r="AW2189" s="35"/>
    </row>
    <row r="2190" spans="49:49" ht="25.25" customHeight="1">
      <c r="AW2190" s="35"/>
    </row>
    <row r="2191" spans="49:49" ht="25.25" customHeight="1">
      <c r="AW2191" s="35"/>
    </row>
    <row r="2192" spans="49:49" ht="25.25" customHeight="1">
      <c r="AW2192" s="35"/>
    </row>
    <row r="2193" spans="49:49" ht="25.25" customHeight="1">
      <c r="AW2193" s="35"/>
    </row>
    <row r="2194" spans="49:49" ht="25.25" customHeight="1">
      <c r="AW2194" s="35"/>
    </row>
    <row r="2195" spans="49:49" ht="25.25" customHeight="1">
      <c r="AW2195" s="35"/>
    </row>
    <row r="2196" spans="49:49" ht="25.25" customHeight="1">
      <c r="AW2196" s="35"/>
    </row>
    <row r="2197" spans="49:49" ht="25.25" customHeight="1">
      <c r="AW2197" s="35"/>
    </row>
    <row r="2198" spans="49:49" ht="25.25" customHeight="1">
      <c r="AW2198" s="35"/>
    </row>
    <row r="2199" spans="49:49" ht="25.25" customHeight="1">
      <c r="AW2199" s="35"/>
    </row>
    <row r="2200" spans="49:49" ht="25.25" customHeight="1">
      <c r="AW2200" s="35"/>
    </row>
    <row r="2201" spans="49:49" ht="25.25" customHeight="1">
      <c r="AW2201" s="35"/>
    </row>
    <row r="2202" spans="49:49" ht="25.25" customHeight="1">
      <c r="AW2202" s="35"/>
    </row>
    <row r="2203" spans="49:49" ht="25.25" customHeight="1">
      <c r="AW2203" s="35"/>
    </row>
    <row r="2204" spans="49:49" ht="25.25" customHeight="1">
      <c r="AW2204" s="35"/>
    </row>
    <row r="2205" spans="49:49" ht="25.25" customHeight="1">
      <c r="AW2205" s="35"/>
    </row>
    <row r="2206" spans="49:49" ht="25.25" customHeight="1">
      <c r="AW2206" s="35"/>
    </row>
    <row r="2207" spans="49:49" ht="25.25" customHeight="1">
      <c r="AW2207" s="35"/>
    </row>
    <row r="2208" spans="49:49" ht="25.25" customHeight="1">
      <c r="AW2208" s="35"/>
    </row>
    <row r="2209" spans="49:49" ht="25.25" customHeight="1">
      <c r="AW2209" s="35"/>
    </row>
    <row r="2210" spans="49:49" ht="25.25" customHeight="1">
      <c r="AW2210" s="35"/>
    </row>
    <row r="2211" spans="49:49" ht="25.25" customHeight="1">
      <c r="AW2211" s="35"/>
    </row>
    <row r="2212" spans="49:49" ht="25.25" customHeight="1">
      <c r="AW2212" s="35"/>
    </row>
    <row r="2213" spans="49:49" ht="25.25" customHeight="1">
      <c r="AW2213" s="35"/>
    </row>
    <row r="2214" spans="49:49" ht="25.25" customHeight="1">
      <c r="AW2214" s="35"/>
    </row>
    <row r="2215" spans="49:49" ht="25.25" customHeight="1">
      <c r="AW2215" s="35"/>
    </row>
    <row r="2216" spans="49:49" ht="25.25" customHeight="1">
      <c r="AW2216" s="35"/>
    </row>
    <row r="2217" spans="49:49" ht="25.25" customHeight="1">
      <c r="AW2217" s="35"/>
    </row>
    <row r="2218" spans="49:49" ht="25.25" customHeight="1">
      <c r="AW2218" s="35"/>
    </row>
    <row r="2219" spans="49:49" ht="25.25" customHeight="1">
      <c r="AW2219" s="35"/>
    </row>
    <row r="2220" spans="49:49" ht="25.25" customHeight="1">
      <c r="AW2220" s="35"/>
    </row>
    <row r="2221" spans="49:49" ht="25.25" customHeight="1">
      <c r="AW2221" s="35"/>
    </row>
    <row r="2222" spans="49:49" ht="25.25" customHeight="1">
      <c r="AW2222" s="35"/>
    </row>
    <row r="2223" spans="49:49" ht="25.25" customHeight="1">
      <c r="AW2223" s="35"/>
    </row>
    <row r="2224" spans="49:49" ht="25.25" customHeight="1">
      <c r="AW2224" s="35"/>
    </row>
    <row r="2225" spans="49:49" ht="25.25" customHeight="1">
      <c r="AW2225" s="35"/>
    </row>
    <row r="2226" spans="49:49" ht="25.25" customHeight="1">
      <c r="AW2226" s="35"/>
    </row>
    <row r="2227" spans="49:49" ht="25.25" customHeight="1">
      <c r="AW2227" s="35"/>
    </row>
    <row r="2228" spans="49:49" ht="25.25" customHeight="1">
      <c r="AW2228" s="35"/>
    </row>
    <row r="2229" spans="49:49" ht="25.25" customHeight="1">
      <c r="AW2229" s="35"/>
    </row>
    <row r="2230" spans="49:49" ht="25.25" customHeight="1">
      <c r="AW2230" s="35"/>
    </row>
    <row r="2231" spans="49:49" ht="25.25" customHeight="1">
      <c r="AW2231" s="35"/>
    </row>
    <row r="2232" spans="49:49" ht="25.25" customHeight="1">
      <c r="AW2232" s="35"/>
    </row>
    <row r="2233" spans="49:49" ht="25.25" customHeight="1">
      <c r="AW2233" s="35"/>
    </row>
    <row r="2234" spans="49:49" ht="25.25" customHeight="1">
      <c r="AW2234" s="35"/>
    </row>
    <row r="2235" spans="49:49" ht="25.25" customHeight="1">
      <c r="AW2235" s="35"/>
    </row>
    <row r="2236" spans="49:49" ht="25.25" customHeight="1">
      <c r="AW2236" s="35"/>
    </row>
    <row r="2237" spans="49:49" ht="25.25" customHeight="1">
      <c r="AW2237" s="35"/>
    </row>
    <row r="2238" spans="49:49" ht="25.25" customHeight="1">
      <c r="AW2238" s="35"/>
    </row>
    <row r="2239" spans="49:49" ht="25.25" customHeight="1">
      <c r="AW2239" s="35"/>
    </row>
    <row r="2240" spans="49:49" ht="25.25" customHeight="1">
      <c r="AW2240" s="35"/>
    </row>
    <row r="2241" spans="49:49" ht="25.25" customHeight="1">
      <c r="AW2241" s="35"/>
    </row>
    <row r="2242" spans="49:49" ht="25.25" customHeight="1">
      <c r="AW2242" s="35"/>
    </row>
    <row r="2243" spans="49:49" ht="25.25" customHeight="1">
      <c r="AW2243" s="35"/>
    </row>
    <row r="2244" spans="49:49" ht="25.25" customHeight="1">
      <c r="AW2244" s="35"/>
    </row>
    <row r="2245" spans="49:49" ht="25.25" customHeight="1">
      <c r="AW2245" s="35"/>
    </row>
    <row r="2246" spans="49:49" ht="25.25" customHeight="1">
      <c r="AW2246" s="35"/>
    </row>
    <row r="2247" spans="49:49" ht="25.25" customHeight="1">
      <c r="AW2247" s="35"/>
    </row>
    <row r="2248" spans="49:49" ht="25.25" customHeight="1">
      <c r="AW2248" s="35"/>
    </row>
    <row r="2249" spans="49:49" ht="25.25" customHeight="1">
      <c r="AW2249" s="35"/>
    </row>
    <row r="2250" spans="49:49" ht="25.25" customHeight="1">
      <c r="AW2250" s="35"/>
    </row>
    <row r="2251" spans="49:49" ht="25.25" customHeight="1">
      <c r="AW2251" s="35"/>
    </row>
    <row r="2252" spans="49:49" ht="25.25" customHeight="1">
      <c r="AW2252" s="35"/>
    </row>
    <row r="2253" spans="49:49" ht="25.25" customHeight="1">
      <c r="AW2253" s="35"/>
    </row>
    <row r="2254" spans="49:49" ht="25.25" customHeight="1">
      <c r="AW2254" s="35"/>
    </row>
    <row r="2255" spans="49:49" ht="25.25" customHeight="1">
      <c r="AW2255" s="35"/>
    </row>
    <row r="2256" spans="49:49" ht="25.25" customHeight="1">
      <c r="AW2256" s="35"/>
    </row>
    <row r="2257" spans="49:49" ht="25.25" customHeight="1">
      <c r="AW2257" s="35"/>
    </row>
    <row r="2258" spans="49:49" ht="25.25" customHeight="1">
      <c r="AW2258" s="35"/>
    </row>
    <row r="2259" spans="49:49" ht="25.25" customHeight="1">
      <c r="AW2259" s="35"/>
    </row>
    <row r="2260" spans="49:49" ht="25.25" customHeight="1">
      <c r="AW2260" s="35"/>
    </row>
    <row r="2261" spans="49:49" ht="25.25" customHeight="1">
      <c r="AW2261" s="35"/>
    </row>
    <row r="2262" spans="49:49" ht="25.25" customHeight="1">
      <c r="AW2262" s="35"/>
    </row>
    <row r="2263" spans="49:49" ht="25.25" customHeight="1">
      <c r="AW2263" s="35"/>
    </row>
    <row r="2264" spans="49:49" ht="25.25" customHeight="1">
      <c r="AW2264" s="35"/>
    </row>
    <row r="2265" spans="49:49" ht="25.25" customHeight="1">
      <c r="AW2265" s="35"/>
    </row>
    <row r="2266" spans="49:49" ht="25.25" customHeight="1">
      <c r="AW2266" s="35"/>
    </row>
    <row r="2267" spans="49:49" ht="25.25" customHeight="1">
      <c r="AW2267" s="35"/>
    </row>
    <row r="2268" spans="49:49" ht="25.25" customHeight="1">
      <c r="AW2268" s="35"/>
    </row>
    <row r="2269" spans="49:49" ht="25.25" customHeight="1">
      <c r="AW2269" s="35"/>
    </row>
    <row r="2270" spans="49:49" ht="25.25" customHeight="1">
      <c r="AW2270" s="35"/>
    </row>
    <row r="2271" spans="49:49" ht="25.25" customHeight="1">
      <c r="AW2271" s="35"/>
    </row>
    <row r="2272" spans="49:49" ht="25.25" customHeight="1">
      <c r="AW2272" s="35"/>
    </row>
    <row r="2273" spans="49:49" ht="25.25" customHeight="1">
      <c r="AW2273" s="35"/>
    </row>
    <row r="2274" spans="49:49" ht="25.25" customHeight="1">
      <c r="AW2274" s="35"/>
    </row>
    <row r="2275" spans="49:49" ht="25.25" customHeight="1">
      <c r="AW2275" s="35"/>
    </row>
    <row r="2276" spans="49:49" ht="25.25" customHeight="1">
      <c r="AW2276" s="35"/>
    </row>
    <row r="2277" spans="49:49" ht="25.25" customHeight="1">
      <c r="AW2277" s="35"/>
    </row>
    <row r="2278" spans="49:49" ht="25.25" customHeight="1">
      <c r="AW2278" s="35"/>
    </row>
    <row r="2279" spans="49:49" ht="25.25" customHeight="1">
      <c r="AW2279" s="35"/>
    </row>
    <row r="2280" spans="49:49" ht="25.25" customHeight="1">
      <c r="AW2280" s="35"/>
    </row>
    <row r="2281" spans="49:49" ht="25.25" customHeight="1">
      <c r="AW2281" s="35"/>
    </row>
    <row r="2282" spans="49:49" ht="25.25" customHeight="1">
      <c r="AW2282" s="35"/>
    </row>
    <row r="2283" spans="49:49" ht="25.25" customHeight="1">
      <c r="AW2283" s="35"/>
    </row>
    <row r="2284" spans="49:49" ht="25.25" customHeight="1">
      <c r="AW2284" s="35"/>
    </row>
    <row r="2285" spans="49:49" ht="25.25" customHeight="1">
      <c r="AW2285" s="35"/>
    </row>
    <row r="2286" spans="49:49" ht="25.25" customHeight="1">
      <c r="AW2286" s="35"/>
    </row>
    <row r="2287" spans="49:49" ht="25.25" customHeight="1">
      <c r="AW2287" s="35"/>
    </row>
    <row r="2288" spans="49:49" ht="25.25" customHeight="1">
      <c r="AW2288" s="35"/>
    </row>
    <row r="2289" spans="49:49" ht="25.25" customHeight="1">
      <c r="AW2289" s="35"/>
    </row>
    <row r="2290" spans="49:49" ht="25.25" customHeight="1">
      <c r="AW2290" s="35"/>
    </row>
    <row r="2291" spans="49:49" ht="25.25" customHeight="1">
      <c r="AW2291" s="35"/>
    </row>
    <row r="2292" spans="49:49" ht="25.25" customHeight="1">
      <c r="AW2292" s="35"/>
    </row>
    <row r="2293" spans="49:49" ht="25.25" customHeight="1">
      <c r="AW2293" s="35"/>
    </row>
    <row r="2294" spans="49:49" ht="25.25" customHeight="1">
      <c r="AW2294" s="35"/>
    </row>
    <row r="2295" spans="49:49" ht="25.25" customHeight="1">
      <c r="AW2295" s="35"/>
    </row>
    <row r="2296" spans="49:49" ht="25.25" customHeight="1">
      <c r="AW2296" s="35"/>
    </row>
    <row r="2297" spans="49:49" ht="25.25" customHeight="1">
      <c r="AW2297" s="35"/>
    </row>
    <row r="2298" spans="49:49" ht="25.25" customHeight="1">
      <c r="AW2298" s="35"/>
    </row>
    <row r="2299" spans="49:49" ht="25.25" customHeight="1">
      <c r="AW2299" s="35"/>
    </row>
    <row r="2300" spans="49:49" ht="25.25" customHeight="1">
      <c r="AW2300" s="35"/>
    </row>
    <row r="2301" spans="49:49" ht="25.25" customHeight="1">
      <c r="AW2301" s="35"/>
    </row>
    <row r="2302" spans="49:49" ht="25.25" customHeight="1">
      <c r="AW2302" s="35"/>
    </row>
    <row r="2303" spans="49:49" ht="25.25" customHeight="1">
      <c r="AW2303" s="35"/>
    </row>
    <row r="2304" spans="49:49" ht="25.25" customHeight="1">
      <c r="AW2304" s="35"/>
    </row>
    <row r="2305" spans="49:49" ht="25.25" customHeight="1">
      <c r="AW2305" s="35"/>
    </row>
    <row r="2306" spans="49:49" ht="25.25" customHeight="1">
      <c r="AW2306" s="35"/>
    </row>
    <row r="2307" spans="49:49" ht="25.25" customHeight="1">
      <c r="AW2307" s="35"/>
    </row>
    <row r="2308" spans="49:49" ht="25.25" customHeight="1">
      <c r="AW2308" s="35"/>
    </row>
    <row r="2309" spans="49:49" ht="25.25" customHeight="1">
      <c r="AW2309" s="35"/>
    </row>
    <row r="2310" spans="49:49" ht="25.25" customHeight="1">
      <c r="AW2310" s="35"/>
    </row>
    <row r="2311" spans="49:49" ht="25.25" customHeight="1">
      <c r="AW2311" s="35"/>
    </row>
    <row r="2312" spans="49:49" ht="25.25" customHeight="1">
      <c r="AW2312" s="35"/>
    </row>
    <row r="2313" spans="49:49" ht="25.25" customHeight="1">
      <c r="AW2313" s="35"/>
    </row>
    <row r="2314" spans="49:49" ht="25.25" customHeight="1">
      <c r="AW2314" s="35"/>
    </row>
    <row r="2315" spans="49:49" ht="25.25" customHeight="1">
      <c r="AW2315" s="35"/>
    </row>
    <row r="2316" spans="49:49" ht="25.25" customHeight="1">
      <c r="AW2316" s="35"/>
    </row>
    <row r="2317" spans="49:49" ht="25.25" customHeight="1">
      <c r="AW2317" s="35"/>
    </row>
    <row r="2318" spans="49:49" ht="25.25" customHeight="1">
      <c r="AW2318" s="35"/>
    </row>
    <row r="2319" spans="49:49" ht="25.25" customHeight="1">
      <c r="AW2319" s="35"/>
    </row>
    <row r="2320" spans="49:49" ht="25.25" customHeight="1">
      <c r="AW2320" s="35"/>
    </row>
    <row r="2321" spans="49:49" ht="25.25" customHeight="1">
      <c r="AW2321" s="35"/>
    </row>
    <row r="2322" spans="49:49" ht="25.25" customHeight="1">
      <c r="AW2322" s="35"/>
    </row>
    <row r="2323" spans="49:49" ht="25.25" customHeight="1">
      <c r="AW2323" s="35"/>
    </row>
    <row r="2324" spans="49:49" ht="25.25" customHeight="1">
      <c r="AW2324" s="35"/>
    </row>
    <row r="2325" spans="49:49" ht="25.25" customHeight="1">
      <c r="AW2325" s="35"/>
    </row>
    <row r="2326" spans="49:49" ht="25.25" customHeight="1">
      <c r="AW2326" s="35"/>
    </row>
    <row r="2327" spans="49:49" ht="25.25" customHeight="1">
      <c r="AW2327" s="35"/>
    </row>
    <row r="2328" spans="49:49" ht="25.25" customHeight="1">
      <c r="AW2328" s="35"/>
    </row>
    <row r="2329" spans="49:49" ht="25.25" customHeight="1">
      <c r="AW2329" s="35"/>
    </row>
    <row r="2330" spans="49:49" ht="25.25" customHeight="1">
      <c r="AW2330" s="35"/>
    </row>
    <row r="2331" spans="49:49" ht="25.25" customHeight="1">
      <c r="AW2331" s="35"/>
    </row>
    <row r="2332" spans="49:49" ht="25.25" customHeight="1">
      <c r="AW2332" s="35"/>
    </row>
    <row r="2333" spans="49:49" ht="25.25" customHeight="1">
      <c r="AW2333" s="35"/>
    </row>
    <row r="2334" spans="49:49" ht="25.25" customHeight="1">
      <c r="AW2334" s="35"/>
    </row>
    <row r="2335" spans="49:49" ht="25.25" customHeight="1">
      <c r="AW2335" s="35"/>
    </row>
    <row r="2336" spans="49:49" ht="25.25" customHeight="1">
      <c r="AW2336" s="35"/>
    </row>
    <row r="2337" spans="49:49" ht="25.25" customHeight="1">
      <c r="AW2337" s="35"/>
    </row>
    <row r="2338" spans="49:49" ht="25.25" customHeight="1">
      <c r="AW2338" s="35"/>
    </row>
    <row r="2339" spans="49:49" ht="25.25" customHeight="1">
      <c r="AW2339" s="35"/>
    </row>
    <row r="2340" spans="49:49" ht="25.25" customHeight="1">
      <c r="AW2340" s="35"/>
    </row>
    <row r="2341" spans="49:49" ht="25.25" customHeight="1">
      <c r="AW2341" s="35"/>
    </row>
    <row r="2342" spans="49:49" ht="25.25" customHeight="1">
      <c r="AW2342" s="35"/>
    </row>
    <row r="2343" spans="49:49" ht="25.25" customHeight="1">
      <c r="AW2343" s="35"/>
    </row>
    <row r="2344" spans="49:49" ht="25.25" customHeight="1">
      <c r="AW2344" s="35"/>
    </row>
    <row r="2345" spans="49:49" ht="25.25" customHeight="1">
      <c r="AW2345" s="35"/>
    </row>
    <row r="2346" spans="49:49" ht="25.25" customHeight="1">
      <c r="AW2346" s="35"/>
    </row>
    <row r="2347" spans="49:49" ht="25.25" customHeight="1">
      <c r="AW2347" s="35"/>
    </row>
    <row r="2348" spans="49:49" ht="25.25" customHeight="1">
      <c r="AW2348" s="35"/>
    </row>
    <row r="2349" spans="49:49" ht="25.25" customHeight="1">
      <c r="AW2349" s="35"/>
    </row>
    <row r="2350" spans="49:49" ht="25.25" customHeight="1">
      <c r="AW2350" s="35"/>
    </row>
    <row r="2351" spans="49:49" ht="25.25" customHeight="1">
      <c r="AW2351" s="35"/>
    </row>
    <row r="2352" spans="49:49" ht="25.25" customHeight="1">
      <c r="AW2352" s="35"/>
    </row>
    <row r="2353" spans="49:49" ht="25.25" customHeight="1">
      <c r="AW2353" s="35"/>
    </row>
    <row r="2354" spans="49:49" ht="25.25" customHeight="1">
      <c r="AW2354" s="35"/>
    </row>
    <row r="2355" spans="49:49" ht="25.25" customHeight="1">
      <c r="AW2355" s="35"/>
    </row>
    <row r="2356" spans="49:49" ht="25.25" customHeight="1">
      <c r="AW2356" s="35"/>
    </row>
    <row r="2357" spans="49:49" ht="25.25" customHeight="1">
      <c r="AW2357" s="35"/>
    </row>
    <row r="2358" spans="49:49" ht="25.25" customHeight="1">
      <c r="AW2358" s="35"/>
    </row>
    <row r="2359" spans="49:49" ht="25.25" customHeight="1">
      <c r="AW2359" s="35"/>
    </row>
    <row r="2360" spans="49:49" ht="25.25" customHeight="1">
      <c r="AW2360" s="35"/>
    </row>
    <row r="2361" spans="49:49" ht="25.25" customHeight="1">
      <c r="AW2361" s="35"/>
    </row>
    <row r="2362" spans="49:49" ht="25.25" customHeight="1">
      <c r="AW2362" s="35"/>
    </row>
    <row r="2363" spans="49:49" ht="25.25" customHeight="1">
      <c r="AW2363" s="35"/>
    </row>
    <row r="2364" spans="49:49" ht="25.25" customHeight="1">
      <c r="AW2364" s="35"/>
    </row>
    <row r="2365" spans="49:49" ht="25.25" customHeight="1">
      <c r="AW2365" s="35"/>
    </row>
    <row r="2366" spans="49:49" ht="25.25" customHeight="1">
      <c r="AW2366" s="35"/>
    </row>
    <row r="2367" spans="49:49" ht="25.25" customHeight="1">
      <c r="AW2367" s="35"/>
    </row>
    <row r="2368" spans="49:49" ht="25.25" customHeight="1">
      <c r="AW2368" s="35"/>
    </row>
    <row r="2369" spans="49:49" ht="25.25" customHeight="1">
      <c r="AW2369" s="35"/>
    </row>
    <row r="2370" spans="49:49" ht="25.25" customHeight="1">
      <c r="AW2370" s="35"/>
    </row>
    <row r="2371" spans="49:49" ht="25.25" customHeight="1">
      <c r="AW2371" s="35"/>
    </row>
    <row r="2372" spans="49:49" ht="25.25" customHeight="1">
      <c r="AW2372" s="35"/>
    </row>
    <row r="2373" spans="49:49" ht="25.25" customHeight="1">
      <c r="AW2373" s="35"/>
    </row>
    <row r="2374" spans="49:49" ht="25.25" customHeight="1">
      <c r="AW2374" s="35"/>
    </row>
    <row r="2375" spans="49:49" ht="25.25" customHeight="1">
      <c r="AW2375" s="35"/>
    </row>
    <row r="2376" spans="49:49" ht="25.25" customHeight="1">
      <c r="AW2376" s="35"/>
    </row>
    <row r="2377" spans="49:49" ht="25.25" customHeight="1">
      <c r="AW2377" s="35"/>
    </row>
    <row r="2378" spans="49:49" ht="25.25" customHeight="1">
      <c r="AW2378" s="35"/>
    </row>
    <row r="2379" spans="49:49" ht="25.25" customHeight="1">
      <c r="AW2379" s="35"/>
    </row>
    <row r="2380" spans="49:49" ht="25.25" customHeight="1">
      <c r="AW2380" s="35"/>
    </row>
    <row r="2381" spans="49:49" ht="25.25" customHeight="1">
      <c r="AW2381" s="35"/>
    </row>
    <row r="2382" spans="49:49" ht="25.25" customHeight="1">
      <c r="AW2382" s="35"/>
    </row>
    <row r="2383" spans="49:49" ht="25.25" customHeight="1">
      <c r="AW2383" s="35"/>
    </row>
    <row r="2384" spans="49:49" ht="25.25" customHeight="1">
      <c r="AW2384" s="35"/>
    </row>
    <row r="2385" spans="49:49" ht="25.25" customHeight="1">
      <c r="AW2385" s="35"/>
    </row>
    <row r="2386" spans="49:49" ht="25.25" customHeight="1">
      <c r="AW2386" s="35"/>
    </row>
    <row r="2387" spans="49:49" ht="25.25" customHeight="1">
      <c r="AW2387" s="35"/>
    </row>
    <row r="2388" spans="49:49" ht="25.25" customHeight="1">
      <c r="AW2388" s="35"/>
    </row>
    <row r="2389" spans="49:49" ht="25.25" customHeight="1">
      <c r="AW2389" s="35"/>
    </row>
    <row r="2390" spans="49:49" ht="25.25" customHeight="1">
      <c r="AW2390" s="35"/>
    </row>
    <row r="2391" spans="49:49" ht="25.25" customHeight="1">
      <c r="AW2391" s="35"/>
    </row>
    <row r="2392" spans="49:49" ht="25.25" customHeight="1">
      <c r="AW2392" s="35"/>
    </row>
    <row r="2393" spans="49:49" ht="25.25" customHeight="1">
      <c r="AW2393" s="35"/>
    </row>
    <row r="2394" spans="49:49" ht="25.25" customHeight="1">
      <c r="AW2394" s="35"/>
    </row>
    <row r="2395" spans="49:49" ht="25.25" customHeight="1">
      <c r="AW2395" s="35"/>
    </row>
    <row r="2396" spans="49:49" ht="25.25" customHeight="1">
      <c r="AW2396" s="35"/>
    </row>
    <row r="2397" spans="49:49" ht="25.25" customHeight="1">
      <c r="AW2397" s="35"/>
    </row>
    <row r="2398" spans="49:49" ht="25.25" customHeight="1">
      <c r="AW2398" s="35"/>
    </row>
    <row r="2399" spans="49:49" ht="25.25" customHeight="1">
      <c r="AW2399" s="35"/>
    </row>
    <row r="2400" spans="49:49" ht="25.25" customHeight="1">
      <c r="AW2400" s="35"/>
    </row>
    <row r="2401" spans="49:49" ht="25.25" customHeight="1">
      <c r="AW2401" s="35"/>
    </row>
    <row r="2402" spans="49:49" ht="25.25" customHeight="1">
      <c r="AW2402" s="35"/>
    </row>
    <row r="2403" spans="49:49" ht="25.25" customHeight="1">
      <c r="AW2403" s="35"/>
    </row>
    <row r="2404" spans="49:49" ht="25.25" customHeight="1">
      <c r="AW2404" s="35"/>
    </row>
    <row r="2405" spans="49:49" ht="25.25" customHeight="1">
      <c r="AW2405" s="35"/>
    </row>
    <row r="2406" spans="49:49" ht="25.25" customHeight="1">
      <c r="AW2406" s="35"/>
    </row>
    <row r="2407" spans="49:49" ht="25.25" customHeight="1">
      <c r="AW2407" s="35"/>
    </row>
    <row r="2408" spans="49:49" ht="25.25" customHeight="1">
      <c r="AW2408" s="35"/>
    </row>
    <row r="2409" spans="49:49" ht="25.25" customHeight="1">
      <c r="AW2409" s="35"/>
    </row>
    <row r="2410" spans="49:49" ht="25.25" customHeight="1">
      <c r="AW2410" s="35"/>
    </row>
    <row r="2411" spans="49:49" ht="25.25" customHeight="1">
      <c r="AW2411" s="35"/>
    </row>
    <row r="2412" spans="49:49" ht="25.25" customHeight="1">
      <c r="AW2412" s="35"/>
    </row>
    <row r="2413" spans="49:49" ht="25.25" customHeight="1">
      <c r="AW2413" s="35"/>
    </row>
    <row r="2414" spans="49:49" ht="25.25" customHeight="1">
      <c r="AW2414" s="35"/>
    </row>
    <row r="2415" spans="49:49" ht="25.25" customHeight="1">
      <c r="AW2415" s="35"/>
    </row>
    <row r="2416" spans="49:49" ht="25.25" customHeight="1">
      <c r="AW2416" s="35"/>
    </row>
    <row r="2417" spans="49:49" ht="25.25" customHeight="1">
      <c r="AW2417" s="35"/>
    </row>
    <row r="2418" spans="49:49" ht="25.25" customHeight="1">
      <c r="AW2418" s="35"/>
    </row>
    <row r="2419" spans="49:49" ht="25.25" customHeight="1">
      <c r="AW2419" s="35"/>
    </row>
    <row r="2420" spans="49:49" ht="25.25" customHeight="1">
      <c r="AW2420" s="35"/>
    </row>
    <row r="2421" spans="49:49" ht="25.25" customHeight="1">
      <c r="AW2421" s="35"/>
    </row>
    <row r="2422" spans="49:49" ht="25.25" customHeight="1">
      <c r="AW2422" s="35"/>
    </row>
    <row r="2423" spans="49:49" ht="25.25" customHeight="1">
      <c r="AW2423" s="35"/>
    </row>
    <row r="2424" spans="49:49" ht="25.25" customHeight="1">
      <c r="AW2424" s="35"/>
    </row>
    <row r="2425" spans="49:49" ht="25.25" customHeight="1">
      <c r="AW2425" s="35"/>
    </row>
    <row r="2426" spans="49:49" ht="25.25" customHeight="1">
      <c r="AW2426" s="35"/>
    </row>
    <row r="2427" spans="49:49" ht="25.25" customHeight="1">
      <c r="AW2427" s="35"/>
    </row>
    <row r="2428" spans="49:49" ht="25.25" customHeight="1">
      <c r="AW2428" s="35"/>
    </row>
    <row r="2429" spans="49:49" ht="25.25" customHeight="1">
      <c r="AW2429" s="35"/>
    </row>
    <row r="2430" spans="49:49" ht="25.25" customHeight="1">
      <c r="AW2430" s="35"/>
    </row>
    <row r="2431" spans="49:49" ht="25.25" customHeight="1">
      <c r="AW2431" s="35"/>
    </row>
    <row r="2432" spans="49:49" ht="25.25" customHeight="1">
      <c r="AW2432" s="35"/>
    </row>
    <row r="2433" spans="49:49" ht="25.25" customHeight="1">
      <c r="AW2433" s="35"/>
    </row>
    <row r="2434" spans="49:49" ht="25.25" customHeight="1">
      <c r="AW2434" s="35"/>
    </row>
    <row r="2435" spans="49:49" ht="25.25" customHeight="1">
      <c r="AW2435" s="35"/>
    </row>
    <row r="2436" spans="49:49" ht="25.25" customHeight="1">
      <c r="AW2436" s="35"/>
    </row>
    <row r="2437" spans="49:49" ht="25.25" customHeight="1">
      <c r="AW2437" s="35"/>
    </row>
    <row r="2438" spans="49:49" ht="25.25" customHeight="1">
      <c r="AW2438" s="35"/>
    </row>
    <row r="2439" spans="49:49" ht="25.25" customHeight="1">
      <c r="AW2439" s="35"/>
    </row>
    <row r="2440" spans="49:49" ht="25.25" customHeight="1">
      <c r="AW2440" s="35"/>
    </row>
    <row r="2441" spans="49:49" ht="25.25" customHeight="1">
      <c r="AW2441" s="35"/>
    </row>
    <row r="2442" spans="49:49" ht="25.25" customHeight="1">
      <c r="AW2442" s="35"/>
    </row>
    <row r="2443" spans="49:49" ht="25.25" customHeight="1">
      <c r="AW2443" s="35"/>
    </row>
    <row r="2444" spans="49:49" ht="25.25" customHeight="1">
      <c r="AW2444" s="35"/>
    </row>
    <row r="2445" spans="49:49" ht="25.25" customHeight="1">
      <c r="AW2445" s="35"/>
    </row>
    <row r="2446" spans="49:49" ht="25.25" customHeight="1">
      <c r="AW2446" s="35"/>
    </row>
    <row r="2447" spans="49:49" ht="25.25" customHeight="1">
      <c r="AW2447" s="35"/>
    </row>
    <row r="2448" spans="49:49" ht="25.25" customHeight="1">
      <c r="AW2448" s="35"/>
    </row>
    <row r="2449" spans="49:49" ht="25.25" customHeight="1">
      <c r="AW2449" s="35"/>
    </row>
    <row r="2450" spans="49:49" ht="25.25" customHeight="1">
      <c r="AW2450" s="35"/>
    </row>
    <row r="2451" spans="49:49" ht="25.25" customHeight="1">
      <c r="AW2451" s="35"/>
    </row>
    <row r="2452" spans="49:49" ht="25.25" customHeight="1">
      <c r="AW2452" s="35"/>
    </row>
    <row r="2453" spans="49:49" ht="25.25" customHeight="1">
      <c r="AW2453" s="35"/>
    </row>
    <row r="2454" spans="49:49" ht="25.25" customHeight="1">
      <c r="AW2454" s="35"/>
    </row>
    <row r="2455" spans="49:49" ht="25.25" customHeight="1">
      <c r="AW2455" s="35"/>
    </row>
    <row r="2456" spans="49:49" ht="25.25" customHeight="1">
      <c r="AW2456" s="35"/>
    </row>
    <row r="2457" spans="49:49" ht="25.25" customHeight="1">
      <c r="AW2457" s="35"/>
    </row>
    <row r="2458" spans="49:49" ht="25.25" customHeight="1">
      <c r="AW2458" s="35"/>
    </row>
    <row r="2459" spans="49:49" ht="25.25" customHeight="1">
      <c r="AW2459" s="35"/>
    </row>
    <row r="2460" spans="49:49" ht="25.25" customHeight="1">
      <c r="AW2460" s="35"/>
    </row>
    <row r="2461" spans="49:49" ht="25.25" customHeight="1">
      <c r="AW2461" s="35"/>
    </row>
    <row r="2462" spans="49:49" ht="25.25" customHeight="1">
      <c r="AW2462" s="35"/>
    </row>
    <row r="2463" spans="49:49" ht="25.25" customHeight="1">
      <c r="AW2463" s="35"/>
    </row>
    <row r="2464" spans="49:49" ht="25.25" customHeight="1">
      <c r="AW2464" s="35"/>
    </row>
    <row r="2465" spans="49:49" ht="25.25" customHeight="1">
      <c r="AW2465" s="35"/>
    </row>
    <row r="2466" spans="49:49" ht="25.25" customHeight="1">
      <c r="AW2466" s="35"/>
    </row>
    <row r="2467" spans="49:49" ht="25.25" customHeight="1">
      <c r="AW2467" s="35"/>
    </row>
    <row r="2468" spans="49:49" ht="25.25" customHeight="1">
      <c r="AW2468" s="35"/>
    </row>
    <row r="2469" spans="49:49" ht="25.25" customHeight="1">
      <c r="AW2469" s="35"/>
    </row>
    <row r="2470" spans="49:49" ht="25.25" customHeight="1">
      <c r="AW2470" s="35"/>
    </row>
    <row r="2471" spans="49:49" ht="25.25" customHeight="1">
      <c r="AW2471" s="35"/>
    </row>
    <row r="2472" spans="49:49" ht="25.25" customHeight="1">
      <c r="AW2472" s="35"/>
    </row>
    <row r="2473" spans="49:49" ht="25.25" customHeight="1">
      <c r="AW2473" s="35"/>
    </row>
    <row r="2474" spans="49:49" ht="25.25" customHeight="1">
      <c r="AW2474" s="35"/>
    </row>
    <row r="2475" spans="49:49" ht="25.25" customHeight="1">
      <c r="AW2475" s="35"/>
    </row>
    <row r="2476" spans="49:49" ht="25.25" customHeight="1">
      <c r="AW2476" s="35"/>
    </row>
    <row r="2477" spans="49:49" ht="25.25" customHeight="1">
      <c r="AW2477" s="35"/>
    </row>
    <row r="2478" spans="49:49" ht="25.25" customHeight="1">
      <c r="AW2478" s="35"/>
    </row>
    <row r="2479" spans="49:49" ht="25.25" customHeight="1">
      <c r="AW2479" s="35"/>
    </row>
    <row r="2480" spans="49:49" ht="25.25" customHeight="1">
      <c r="AW2480" s="35"/>
    </row>
    <row r="2481" spans="49:49" ht="25.25" customHeight="1">
      <c r="AW2481" s="35"/>
    </row>
    <row r="2482" spans="49:49" ht="25.25" customHeight="1">
      <c r="AW2482" s="35"/>
    </row>
    <row r="2483" spans="49:49" ht="25.25" customHeight="1">
      <c r="AW2483" s="35"/>
    </row>
    <row r="2484" spans="49:49" ht="25.25" customHeight="1">
      <c r="AW2484" s="35"/>
    </row>
    <row r="2485" spans="49:49" ht="25.25" customHeight="1">
      <c r="AW2485" s="35"/>
    </row>
    <row r="2486" spans="49:49" ht="25.25" customHeight="1">
      <c r="AW2486" s="35"/>
    </row>
    <row r="2487" spans="49:49" ht="25.25" customHeight="1">
      <c r="AW2487" s="35"/>
    </row>
    <row r="2488" spans="49:49" ht="25.25" customHeight="1">
      <c r="AW2488" s="35"/>
    </row>
    <row r="2489" spans="49:49" ht="25.25" customHeight="1">
      <c r="AW2489" s="35"/>
    </row>
    <row r="2490" spans="49:49" ht="25.25" customHeight="1">
      <c r="AW2490" s="35"/>
    </row>
    <row r="2491" spans="49:49" ht="25.25" customHeight="1">
      <c r="AW2491" s="35"/>
    </row>
    <row r="2492" spans="49:49" ht="25.25" customHeight="1">
      <c r="AW2492" s="35"/>
    </row>
    <row r="2493" spans="49:49" ht="25.25" customHeight="1">
      <c r="AW2493" s="35"/>
    </row>
    <row r="2494" spans="49:49" ht="25.25" customHeight="1">
      <c r="AW2494" s="35"/>
    </row>
    <row r="2495" spans="49:49" ht="25.25" customHeight="1">
      <c r="AW2495" s="35"/>
    </row>
    <row r="2496" spans="49:49" ht="25.25" customHeight="1">
      <c r="AW2496" s="35"/>
    </row>
    <row r="2497" spans="49:49" ht="25.25" customHeight="1">
      <c r="AW2497" s="35"/>
    </row>
    <row r="2498" spans="49:49" ht="25.25" customHeight="1">
      <c r="AW2498" s="35"/>
    </row>
    <row r="2499" spans="49:49" ht="25.25" customHeight="1">
      <c r="AW2499" s="35"/>
    </row>
    <row r="2500" spans="49:49" ht="25.25" customHeight="1">
      <c r="AW2500" s="35"/>
    </row>
    <row r="2501" spans="49:49" ht="25.25" customHeight="1">
      <c r="AW2501" s="35"/>
    </row>
    <row r="2502" spans="49:49" ht="25.25" customHeight="1">
      <c r="AW2502" s="35"/>
    </row>
    <row r="2503" spans="49:49" ht="25.25" customHeight="1">
      <c r="AW2503" s="35"/>
    </row>
    <row r="2504" spans="49:49" ht="25.25" customHeight="1">
      <c r="AW2504" s="35"/>
    </row>
    <row r="2505" spans="49:49" ht="25.25" customHeight="1">
      <c r="AW2505" s="35"/>
    </row>
    <row r="2506" spans="49:49" ht="25.25" customHeight="1">
      <c r="AW2506" s="35"/>
    </row>
    <row r="2507" spans="49:49" ht="25.25" customHeight="1">
      <c r="AW2507" s="35"/>
    </row>
    <row r="2508" spans="49:49" ht="25.25" customHeight="1">
      <c r="AW2508" s="35"/>
    </row>
    <row r="2509" spans="49:49" ht="25.25" customHeight="1">
      <c r="AW2509" s="35"/>
    </row>
    <row r="2510" spans="49:49" ht="25.25" customHeight="1">
      <c r="AW2510" s="35"/>
    </row>
    <row r="2511" spans="49:49" ht="25.25" customHeight="1">
      <c r="AW2511" s="35"/>
    </row>
    <row r="2512" spans="49:49" ht="25.25" customHeight="1">
      <c r="AW2512" s="35"/>
    </row>
    <row r="2513" spans="49:49" ht="25.25" customHeight="1">
      <c r="AW2513" s="35"/>
    </row>
    <row r="2514" spans="49:49" ht="25.25" customHeight="1">
      <c r="AW2514" s="35"/>
    </row>
    <row r="2515" spans="49:49" ht="25.25" customHeight="1">
      <c r="AW2515" s="35"/>
    </row>
    <row r="2516" spans="49:49" ht="25.25" customHeight="1">
      <c r="AW2516" s="35"/>
    </row>
    <row r="2517" spans="49:49" ht="25.25" customHeight="1">
      <c r="AW2517" s="35"/>
    </row>
    <row r="2518" spans="49:49" ht="25.25" customHeight="1">
      <c r="AW2518" s="35"/>
    </row>
    <row r="2519" spans="49:49" ht="25.25" customHeight="1">
      <c r="AW2519" s="35"/>
    </row>
    <row r="2520" spans="49:49" ht="25.25" customHeight="1">
      <c r="AW2520" s="35"/>
    </row>
    <row r="2521" spans="49:49" ht="25.25" customHeight="1">
      <c r="AW2521" s="35"/>
    </row>
    <row r="2522" spans="49:49" ht="25.25" customHeight="1">
      <c r="AW2522" s="35"/>
    </row>
    <row r="2523" spans="49:49" ht="25.25" customHeight="1">
      <c r="AW2523" s="35"/>
    </row>
    <row r="2524" spans="49:49" ht="25.25" customHeight="1">
      <c r="AW2524" s="35"/>
    </row>
    <row r="2525" spans="49:49" ht="25.25" customHeight="1">
      <c r="AW2525" s="35"/>
    </row>
    <row r="2526" spans="49:49" ht="25.25" customHeight="1">
      <c r="AW2526" s="35"/>
    </row>
    <row r="2527" spans="49:49" ht="25.25" customHeight="1">
      <c r="AW2527" s="35"/>
    </row>
    <row r="2528" spans="49:49" ht="25.25" customHeight="1">
      <c r="AW2528" s="35"/>
    </row>
    <row r="2529" spans="49:49" ht="25.25" customHeight="1">
      <c r="AW2529" s="35"/>
    </row>
    <row r="2530" spans="49:49" ht="25.25" customHeight="1">
      <c r="AW2530" s="35"/>
    </row>
    <row r="2531" spans="49:49" ht="25.25" customHeight="1">
      <c r="AW2531" s="35"/>
    </row>
    <row r="2532" spans="49:49" ht="25.25" customHeight="1">
      <c r="AW2532" s="35"/>
    </row>
    <row r="2533" spans="49:49" ht="25.25" customHeight="1">
      <c r="AW2533" s="35"/>
    </row>
    <row r="2534" spans="49:49" ht="25.25" customHeight="1">
      <c r="AW2534" s="35"/>
    </row>
    <row r="2535" spans="49:49" ht="25.25" customHeight="1">
      <c r="AW2535" s="35"/>
    </row>
    <row r="2536" spans="49:49" ht="25.25" customHeight="1">
      <c r="AW2536" s="35"/>
    </row>
    <row r="2537" spans="49:49" ht="25.25" customHeight="1">
      <c r="AW2537" s="35"/>
    </row>
    <row r="2538" spans="49:49" ht="25.25" customHeight="1">
      <c r="AW2538" s="35"/>
    </row>
    <row r="2539" spans="49:49" ht="25.25" customHeight="1">
      <c r="AW2539" s="35"/>
    </row>
    <row r="2540" spans="49:49" ht="25.25" customHeight="1">
      <c r="AW2540" s="35"/>
    </row>
    <row r="2541" spans="49:49" ht="25.25" customHeight="1">
      <c r="AW2541" s="35"/>
    </row>
    <row r="2542" spans="49:49" ht="25.25" customHeight="1">
      <c r="AW2542" s="35"/>
    </row>
    <row r="2543" spans="49:49" ht="25.25" customHeight="1">
      <c r="AW2543" s="35"/>
    </row>
    <row r="2544" spans="49:49" ht="25.25" customHeight="1">
      <c r="AW2544" s="35"/>
    </row>
    <row r="2545" spans="49:49" ht="25.25" customHeight="1">
      <c r="AW2545" s="35"/>
    </row>
    <row r="2546" spans="49:49" ht="25.25" customHeight="1">
      <c r="AW2546" s="35"/>
    </row>
    <row r="2547" spans="49:49" ht="25.25" customHeight="1">
      <c r="AW2547" s="35"/>
    </row>
    <row r="2548" spans="49:49" ht="25.25" customHeight="1">
      <c r="AW2548" s="35"/>
    </row>
    <row r="2549" spans="49:49" ht="25.25" customHeight="1">
      <c r="AW2549" s="35"/>
    </row>
    <row r="2550" spans="49:49" ht="25.25" customHeight="1">
      <c r="AW2550" s="35"/>
    </row>
    <row r="2551" spans="49:49" ht="25.25" customHeight="1">
      <c r="AW2551" s="35"/>
    </row>
    <row r="2552" spans="49:49" ht="25.25" customHeight="1">
      <c r="AW2552" s="35"/>
    </row>
    <row r="2553" spans="49:49" ht="25.25" customHeight="1">
      <c r="AW2553" s="35"/>
    </row>
    <row r="2554" spans="49:49" ht="25.25" customHeight="1">
      <c r="AW2554" s="35"/>
    </row>
    <row r="2555" spans="49:49" ht="25.25" customHeight="1">
      <c r="AW2555" s="35"/>
    </row>
    <row r="2556" spans="49:49" ht="25.25" customHeight="1">
      <c r="AW2556" s="35"/>
    </row>
    <row r="2557" spans="49:49" ht="25.25" customHeight="1">
      <c r="AW2557" s="35"/>
    </row>
    <row r="2558" spans="49:49" ht="25.25" customHeight="1">
      <c r="AW2558" s="35"/>
    </row>
    <row r="2559" spans="49:49" ht="25.25" customHeight="1">
      <c r="AW2559" s="35"/>
    </row>
    <row r="2560" spans="49:49" ht="25.25" customHeight="1">
      <c r="AW2560" s="35"/>
    </row>
    <row r="2561" spans="49:49" ht="25.25" customHeight="1">
      <c r="AW2561" s="35"/>
    </row>
    <row r="2562" spans="49:49" ht="25.25" customHeight="1">
      <c r="AW2562" s="35"/>
    </row>
    <row r="2563" spans="49:49" ht="25.25" customHeight="1">
      <c r="AW2563" s="35"/>
    </row>
    <row r="2564" spans="49:49" ht="25.25" customHeight="1">
      <c r="AW2564" s="35"/>
    </row>
    <row r="2565" spans="49:49" ht="25.25" customHeight="1">
      <c r="AW2565" s="35"/>
    </row>
    <row r="2566" spans="49:49" ht="25.25" customHeight="1">
      <c r="AW2566" s="35"/>
    </row>
    <row r="2567" spans="49:49" ht="25.25" customHeight="1">
      <c r="AW2567" s="35"/>
    </row>
    <row r="2568" spans="49:49" ht="25.25" customHeight="1">
      <c r="AW2568" s="35"/>
    </row>
    <row r="2569" spans="49:49" ht="25.25" customHeight="1">
      <c r="AW2569" s="35"/>
    </row>
    <row r="2570" spans="49:49" ht="25.25" customHeight="1">
      <c r="AW2570" s="35"/>
    </row>
    <row r="2571" spans="49:49" ht="25.25" customHeight="1">
      <c r="AW2571" s="35"/>
    </row>
    <row r="2572" spans="49:49" ht="25.25" customHeight="1">
      <c r="AW2572" s="35"/>
    </row>
    <row r="2573" spans="49:49" ht="25.25" customHeight="1">
      <c r="AW2573" s="35"/>
    </row>
    <row r="2574" spans="49:49" ht="25.25" customHeight="1">
      <c r="AW2574" s="35"/>
    </row>
    <row r="2575" spans="49:49" ht="25.25" customHeight="1">
      <c r="AW2575" s="35"/>
    </row>
    <row r="2576" spans="49:49" ht="25.25" customHeight="1">
      <c r="AW2576" s="35"/>
    </row>
    <row r="2577" spans="49:49" ht="25.25" customHeight="1">
      <c r="AW2577" s="35"/>
    </row>
    <row r="2578" spans="49:49" ht="25.25" customHeight="1">
      <c r="AW2578" s="35"/>
    </row>
    <row r="2579" spans="49:49" ht="25.25" customHeight="1">
      <c r="AW2579" s="35"/>
    </row>
    <row r="2580" spans="49:49" ht="25.25" customHeight="1">
      <c r="AW2580" s="35"/>
    </row>
    <row r="2581" spans="49:49" ht="25.25" customHeight="1">
      <c r="AW2581" s="35"/>
    </row>
    <row r="2582" spans="49:49" ht="25.25" customHeight="1">
      <c r="AW2582" s="35"/>
    </row>
    <row r="2583" spans="49:49" ht="25.25" customHeight="1">
      <c r="AW2583" s="35"/>
    </row>
    <row r="2584" spans="49:49" ht="25.25" customHeight="1">
      <c r="AW2584" s="35"/>
    </row>
    <row r="2585" spans="49:49" ht="25.25" customHeight="1">
      <c r="AW2585" s="35"/>
    </row>
    <row r="2586" spans="49:49" ht="25.25" customHeight="1">
      <c r="AW2586" s="35"/>
    </row>
    <row r="2587" spans="49:49" ht="25.25" customHeight="1">
      <c r="AW2587" s="35"/>
    </row>
    <row r="2588" spans="49:49" ht="25.25" customHeight="1">
      <c r="AW2588" s="35"/>
    </row>
    <row r="2589" spans="49:49" ht="25.25" customHeight="1">
      <c r="AW2589" s="35"/>
    </row>
    <row r="2590" spans="49:49" ht="25.25" customHeight="1">
      <c r="AW2590" s="35"/>
    </row>
    <row r="2591" spans="49:49" ht="25.25" customHeight="1">
      <c r="AW2591" s="35"/>
    </row>
    <row r="2592" spans="49:49" ht="25.25" customHeight="1">
      <c r="AW2592" s="35"/>
    </row>
    <row r="2593" spans="49:49" ht="25.25" customHeight="1">
      <c r="AW2593" s="35"/>
    </row>
    <row r="2594" spans="49:49" ht="25.25" customHeight="1">
      <c r="AW2594" s="35"/>
    </row>
    <row r="2595" spans="49:49" ht="25.25" customHeight="1">
      <c r="AW2595" s="35"/>
    </row>
    <row r="2596" spans="49:49" ht="25.25" customHeight="1">
      <c r="AW2596" s="35"/>
    </row>
    <row r="2597" spans="49:49" ht="25.25" customHeight="1">
      <c r="AW2597" s="35"/>
    </row>
    <row r="2598" spans="49:49" ht="25.25" customHeight="1">
      <c r="AW2598" s="35"/>
    </row>
    <row r="2599" spans="49:49" ht="25.25" customHeight="1">
      <c r="AW2599" s="35"/>
    </row>
    <row r="2600" spans="49:49" ht="25.25" customHeight="1">
      <c r="AW2600" s="35"/>
    </row>
    <row r="2601" spans="49:49" ht="25.25" customHeight="1">
      <c r="AW2601" s="35"/>
    </row>
    <row r="2602" spans="49:49" ht="25.25" customHeight="1">
      <c r="AW2602" s="35"/>
    </row>
    <row r="2603" spans="49:49" ht="25.25" customHeight="1">
      <c r="AW2603" s="35"/>
    </row>
    <row r="2604" spans="49:49" ht="25.25" customHeight="1">
      <c r="AW2604" s="35"/>
    </row>
    <row r="2605" spans="49:49" ht="25.25" customHeight="1">
      <c r="AW2605" s="35"/>
    </row>
    <row r="2606" spans="49:49" ht="25.25" customHeight="1">
      <c r="AW2606" s="35"/>
    </row>
    <row r="2607" spans="49:49" ht="25.25" customHeight="1">
      <c r="AW2607" s="35"/>
    </row>
    <row r="2608" spans="49:49" ht="25.25" customHeight="1">
      <c r="AW2608" s="35"/>
    </row>
    <row r="2609" spans="49:49" ht="25.25" customHeight="1">
      <c r="AW2609" s="35"/>
    </row>
    <row r="2610" spans="49:49" ht="25.25" customHeight="1">
      <c r="AW2610" s="35"/>
    </row>
    <row r="2611" spans="49:49" ht="25.25" customHeight="1">
      <c r="AW2611" s="35"/>
    </row>
    <row r="2612" spans="49:49" ht="25.25" customHeight="1">
      <c r="AW2612" s="35"/>
    </row>
    <row r="2613" spans="49:49" ht="25.25" customHeight="1">
      <c r="AW2613" s="35"/>
    </row>
    <row r="2614" spans="49:49" ht="25.25" customHeight="1">
      <c r="AW2614" s="35"/>
    </row>
    <row r="2615" spans="49:49" ht="25.25" customHeight="1">
      <c r="AW2615" s="35"/>
    </row>
    <row r="2616" spans="49:49" ht="25.25" customHeight="1">
      <c r="AW2616" s="35"/>
    </row>
    <row r="2617" spans="49:49" ht="25.25" customHeight="1">
      <c r="AW2617" s="35"/>
    </row>
    <row r="2618" spans="49:49" ht="25.25" customHeight="1">
      <c r="AW2618" s="35"/>
    </row>
    <row r="2619" spans="49:49" ht="25.25" customHeight="1">
      <c r="AW2619" s="35"/>
    </row>
    <row r="2620" spans="49:49" ht="25.25" customHeight="1">
      <c r="AW2620" s="35"/>
    </row>
    <row r="2621" spans="49:49" ht="25.25" customHeight="1">
      <c r="AW2621" s="35"/>
    </row>
    <row r="2622" spans="49:49" ht="25.25" customHeight="1">
      <c r="AW2622" s="35"/>
    </row>
    <row r="2623" spans="49:49" ht="25.25" customHeight="1">
      <c r="AW2623" s="35"/>
    </row>
    <row r="2624" spans="49:49" ht="25.25" customHeight="1">
      <c r="AW2624" s="35"/>
    </row>
    <row r="2625" spans="49:49" ht="25.25" customHeight="1">
      <c r="AW2625" s="35"/>
    </row>
    <row r="2626" spans="49:49" ht="25.25" customHeight="1">
      <c r="AW2626" s="35"/>
    </row>
    <row r="2627" spans="49:49" ht="25.25" customHeight="1">
      <c r="AW2627" s="35"/>
    </row>
    <row r="2628" spans="49:49" ht="25.25" customHeight="1">
      <c r="AW2628" s="35"/>
    </row>
    <row r="2629" spans="49:49" ht="25.25" customHeight="1">
      <c r="AW2629" s="35"/>
    </row>
    <row r="2630" spans="49:49" ht="25.25" customHeight="1">
      <c r="AW2630" s="35"/>
    </row>
    <row r="2631" spans="49:49" ht="25.25" customHeight="1">
      <c r="AW2631" s="35"/>
    </row>
    <row r="2632" spans="49:49" ht="25.25" customHeight="1">
      <c r="AW2632" s="35"/>
    </row>
    <row r="2633" spans="49:49" ht="25.25" customHeight="1">
      <c r="AW2633" s="35"/>
    </row>
    <row r="2634" spans="49:49" ht="25.25" customHeight="1">
      <c r="AW2634" s="35"/>
    </row>
    <row r="2635" spans="49:49" ht="25.25" customHeight="1">
      <c r="AW2635" s="35"/>
    </row>
    <row r="2636" spans="49:49" ht="25.25" customHeight="1">
      <c r="AW2636" s="35"/>
    </row>
    <row r="2637" spans="49:49" ht="25.25" customHeight="1">
      <c r="AW2637" s="35"/>
    </row>
    <row r="2638" spans="49:49" ht="25.25" customHeight="1">
      <c r="AW2638" s="35"/>
    </row>
    <row r="2639" spans="49:49" ht="25.25" customHeight="1">
      <c r="AW2639" s="35"/>
    </row>
    <row r="2640" spans="49:49" ht="25.25" customHeight="1">
      <c r="AW2640" s="35"/>
    </row>
    <row r="2641" spans="49:49" ht="25.25" customHeight="1">
      <c r="AW2641" s="35"/>
    </row>
    <row r="2642" spans="49:49" ht="25.25" customHeight="1">
      <c r="AW2642" s="35"/>
    </row>
    <row r="2643" spans="49:49" ht="25.25" customHeight="1">
      <c r="AW2643" s="35"/>
    </row>
    <row r="2644" spans="49:49" ht="25.25" customHeight="1">
      <c r="AW2644" s="35"/>
    </row>
    <row r="2645" spans="49:49" ht="25.25" customHeight="1">
      <c r="AW2645" s="35"/>
    </row>
    <row r="2646" spans="49:49" ht="25.25" customHeight="1">
      <c r="AW2646" s="35"/>
    </row>
    <row r="2647" spans="49:49" ht="25.25" customHeight="1">
      <c r="AW2647" s="35"/>
    </row>
    <row r="2648" spans="49:49" ht="25.25" customHeight="1">
      <c r="AW2648" s="35"/>
    </row>
    <row r="2649" spans="49:49" ht="25.25" customHeight="1">
      <c r="AW2649" s="35"/>
    </row>
    <row r="2650" spans="49:49" ht="25.25" customHeight="1">
      <c r="AW2650" s="35"/>
    </row>
    <row r="2651" spans="49:49" ht="25.25" customHeight="1">
      <c r="AW2651" s="35"/>
    </row>
    <row r="2652" spans="49:49" ht="25.25" customHeight="1">
      <c r="AW2652" s="35"/>
    </row>
    <row r="2653" spans="49:49" ht="25.25" customHeight="1">
      <c r="AW2653" s="35"/>
    </row>
    <row r="2654" spans="49:49" ht="25.25" customHeight="1">
      <c r="AW2654" s="35"/>
    </row>
    <row r="2655" spans="49:49" ht="25.25" customHeight="1">
      <c r="AW2655" s="35"/>
    </row>
    <row r="2656" spans="49:49" ht="25.25" customHeight="1">
      <c r="AW2656" s="35"/>
    </row>
    <row r="2657" spans="49:49" ht="25.25" customHeight="1">
      <c r="AW2657" s="35"/>
    </row>
    <row r="2658" spans="49:49" ht="25.25" customHeight="1">
      <c r="AW2658" s="35"/>
    </row>
    <row r="2659" spans="49:49" ht="25.25" customHeight="1">
      <c r="AW2659" s="35"/>
    </row>
    <row r="2660" spans="49:49" ht="25.25" customHeight="1">
      <c r="AW2660" s="35"/>
    </row>
    <row r="2661" spans="49:49" ht="25.25" customHeight="1">
      <c r="AW2661" s="35"/>
    </row>
    <row r="2662" spans="49:49" ht="25.25" customHeight="1">
      <c r="AW2662" s="35"/>
    </row>
    <row r="2663" spans="49:49" ht="25.25" customHeight="1">
      <c r="AW2663" s="35"/>
    </row>
    <row r="2664" spans="49:49" ht="25.25" customHeight="1">
      <c r="AW2664" s="35"/>
    </row>
    <row r="2665" spans="49:49" ht="25.25" customHeight="1">
      <c r="AW2665" s="35"/>
    </row>
    <row r="2666" spans="49:49" ht="25.25" customHeight="1">
      <c r="AW2666" s="35"/>
    </row>
    <row r="2667" spans="49:49" ht="25.25" customHeight="1">
      <c r="AW2667" s="35"/>
    </row>
    <row r="2668" spans="49:49" ht="25.25" customHeight="1">
      <c r="AW2668" s="35"/>
    </row>
    <row r="2669" spans="49:49" ht="25.25" customHeight="1">
      <c r="AW2669" s="35"/>
    </row>
    <row r="2670" spans="49:49" ht="25.25" customHeight="1">
      <c r="AW2670" s="35"/>
    </row>
    <row r="2671" spans="49:49" ht="25.25" customHeight="1">
      <c r="AW2671" s="35"/>
    </row>
    <row r="2672" spans="49:49" ht="25.25" customHeight="1">
      <c r="AW2672" s="35"/>
    </row>
    <row r="2673" spans="49:49" ht="25.25" customHeight="1">
      <c r="AW2673" s="35"/>
    </row>
    <row r="2674" spans="49:49" ht="25.25" customHeight="1">
      <c r="AW2674" s="35"/>
    </row>
    <row r="2675" spans="49:49" ht="25.25" customHeight="1">
      <c r="AW2675" s="35"/>
    </row>
    <row r="2676" spans="49:49" ht="25.25" customHeight="1">
      <c r="AW2676" s="35"/>
    </row>
    <row r="2677" spans="49:49" ht="25.25" customHeight="1">
      <c r="AW2677" s="35"/>
    </row>
    <row r="2678" spans="49:49" ht="25.25" customHeight="1">
      <c r="AW2678" s="35"/>
    </row>
    <row r="2679" spans="49:49" ht="25.25" customHeight="1">
      <c r="AW2679" s="35"/>
    </row>
    <row r="2680" spans="49:49" ht="25.25" customHeight="1">
      <c r="AW2680" s="35"/>
    </row>
    <row r="2681" spans="49:49" ht="25.25" customHeight="1">
      <c r="AW2681" s="35"/>
    </row>
    <row r="2682" spans="49:49" ht="25.25" customHeight="1">
      <c r="AW2682" s="35"/>
    </row>
    <row r="2683" spans="49:49" ht="25.25" customHeight="1">
      <c r="AW2683" s="35"/>
    </row>
    <row r="2684" spans="49:49" ht="25.25" customHeight="1">
      <c r="AW2684" s="35"/>
    </row>
    <row r="2685" spans="49:49" ht="25.25" customHeight="1">
      <c r="AW2685" s="35"/>
    </row>
    <row r="2686" spans="49:49" ht="25.25" customHeight="1">
      <c r="AW2686" s="35"/>
    </row>
    <row r="2687" spans="49:49" ht="25.25" customHeight="1">
      <c r="AW2687" s="35"/>
    </row>
    <row r="2688" spans="49:49" ht="25.25" customHeight="1">
      <c r="AW2688" s="35"/>
    </row>
    <row r="2689" spans="49:49" ht="25.25" customHeight="1">
      <c r="AW2689" s="35"/>
    </row>
    <row r="2690" spans="49:49" ht="25.25" customHeight="1">
      <c r="AW2690" s="35"/>
    </row>
    <row r="2691" spans="49:49" ht="25.25" customHeight="1">
      <c r="AW2691" s="35"/>
    </row>
    <row r="2692" spans="49:49" ht="25.25" customHeight="1">
      <c r="AW2692" s="35"/>
    </row>
    <row r="2693" spans="49:49" ht="25.25" customHeight="1">
      <c r="AW2693" s="35"/>
    </row>
    <row r="2694" spans="49:49" ht="25.25" customHeight="1">
      <c r="AW2694" s="35"/>
    </row>
    <row r="2695" spans="49:49" ht="25.25" customHeight="1">
      <c r="AW2695" s="35"/>
    </row>
    <row r="2696" spans="49:49" ht="25.25" customHeight="1">
      <c r="AW2696" s="35"/>
    </row>
    <row r="2697" spans="49:49" ht="25.25" customHeight="1">
      <c r="AW2697" s="35"/>
    </row>
    <row r="2698" spans="49:49" ht="25.25" customHeight="1">
      <c r="AW2698" s="35"/>
    </row>
    <row r="2699" spans="49:49" ht="25.25" customHeight="1">
      <c r="AW2699" s="35"/>
    </row>
    <row r="2700" spans="49:49" ht="25.25" customHeight="1">
      <c r="AW2700" s="35"/>
    </row>
    <row r="2701" spans="49:49" ht="25.25" customHeight="1">
      <c r="AW2701" s="35"/>
    </row>
    <row r="2702" spans="49:49" ht="25.25" customHeight="1">
      <c r="AW2702" s="35"/>
    </row>
    <row r="2703" spans="49:49" ht="25.25" customHeight="1">
      <c r="AW2703" s="35"/>
    </row>
    <row r="2704" spans="49:49" ht="25.25" customHeight="1">
      <c r="AW2704" s="35"/>
    </row>
    <row r="2705" spans="49:49" ht="25.25" customHeight="1">
      <c r="AW2705" s="35"/>
    </row>
    <row r="2706" spans="49:49" ht="25.25" customHeight="1">
      <c r="AW2706" s="35"/>
    </row>
    <row r="2707" spans="49:49" ht="25.25" customHeight="1">
      <c r="AW2707" s="35"/>
    </row>
    <row r="2708" spans="49:49" ht="25.25" customHeight="1">
      <c r="AW2708" s="35"/>
    </row>
    <row r="2709" spans="49:49" ht="25.25" customHeight="1">
      <c r="AW2709" s="35"/>
    </row>
    <row r="2710" spans="49:49" ht="25.25" customHeight="1">
      <c r="AW2710" s="35"/>
    </row>
    <row r="2711" spans="49:49" ht="25.25" customHeight="1">
      <c r="AW2711" s="35"/>
    </row>
    <row r="2712" spans="49:49" ht="25.25" customHeight="1">
      <c r="AW2712" s="35"/>
    </row>
    <row r="2713" spans="49:49" ht="25.25" customHeight="1">
      <c r="AW2713" s="35"/>
    </row>
    <row r="2714" spans="49:49" ht="25.25" customHeight="1">
      <c r="AW2714" s="35"/>
    </row>
    <row r="2715" spans="49:49" ht="25.25" customHeight="1">
      <c r="AW2715" s="35"/>
    </row>
    <row r="2716" spans="49:49" ht="25.25" customHeight="1">
      <c r="AW2716" s="35"/>
    </row>
    <row r="2717" spans="49:49" ht="25.25" customHeight="1">
      <c r="AW2717" s="35"/>
    </row>
    <row r="2718" spans="49:49" ht="25.25" customHeight="1">
      <c r="AW2718" s="35"/>
    </row>
    <row r="2719" spans="49:49" ht="25.25" customHeight="1">
      <c r="AW2719" s="35"/>
    </row>
    <row r="2720" spans="49:49" ht="25.25" customHeight="1">
      <c r="AW2720" s="35"/>
    </row>
    <row r="2721" spans="49:49" ht="25.25" customHeight="1">
      <c r="AW2721" s="35"/>
    </row>
    <row r="2722" spans="49:49" ht="25.25" customHeight="1">
      <c r="AW2722" s="35"/>
    </row>
    <row r="2723" spans="49:49" ht="25.25" customHeight="1">
      <c r="AW2723" s="35"/>
    </row>
    <row r="2724" spans="49:49" ht="25.25" customHeight="1">
      <c r="AW2724" s="35"/>
    </row>
    <row r="2725" spans="49:49" ht="25.25" customHeight="1">
      <c r="AW2725" s="35"/>
    </row>
    <row r="2726" spans="49:49" ht="25.25" customHeight="1">
      <c r="AW2726" s="35"/>
    </row>
    <row r="2727" spans="49:49" ht="25.25" customHeight="1">
      <c r="AW2727" s="35"/>
    </row>
    <row r="2728" spans="49:49" ht="25.25" customHeight="1">
      <c r="AW2728" s="35"/>
    </row>
    <row r="2729" spans="49:49" ht="25.25" customHeight="1">
      <c r="AW2729" s="35"/>
    </row>
    <row r="2730" spans="49:49" ht="25.25" customHeight="1">
      <c r="AW2730" s="35"/>
    </row>
    <row r="2731" spans="49:49" ht="25.25" customHeight="1">
      <c r="AW2731" s="35"/>
    </row>
    <row r="2732" spans="49:49" ht="25.25" customHeight="1">
      <c r="AW2732" s="35"/>
    </row>
    <row r="2733" spans="49:49" ht="25.25" customHeight="1">
      <c r="AW2733" s="35"/>
    </row>
    <row r="2734" spans="49:49" ht="25.25" customHeight="1">
      <c r="AW2734" s="35"/>
    </row>
    <row r="2735" spans="49:49" ht="25.25" customHeight="1">
      <c r="AW2735" s="35"/>
    </row>
    <row r="2736" spans="49:49" ht="25.25" customHeight="1">
      <c r="AW2736" s="35"/>
    </row>
    <row r="2737" spans="49:49" ht="25.25" customHeight="1">
      <c r="AW2737" s="35"/>
    </row>
    <row r="2738" spans="49:49" ht="25.25" customHeight="1">
      <c r="AW2738" s="35"/>
    </row>
    <row r="2739" spans="49:49" ht="25.25" customHeight="1">
      <c r="AW2739" s="35"/>
    </row>
    <row r="2740" spans="49:49" ht="25.25" customHeight="1">
      <c r="AW2740" s="35"/>
    </row>
    <row r="2741" spans="49:49" ht="25.25" customHeight="1">
      <c r="AW2741" s="35"/>
    </row>
    <row r="2742" spans="49:49" ht="25.25" customHeight="1">
      <c r="AW2742" s="35"/>
    </row>
    <row r="2743" spans="49:49" ht="25.25" customHeight="1">
      <c r="AW2743" s="35"/>
    </row>
    <row r="2744" spans="49:49" ht="25.25" customHeight="1">
      <c r="AW2744" s="35"/>
    </row>
    <row r="2745" spans="49:49" ht="25.25" customHeight="1">
      <c r="AW2745" s="35"/>
    </row>
    <row r="2746" spans="49:49" ht="25.25" customHeight="1">
      <c r="AW2746" s="35"/>
    </row>
    <row r="2747" spans="49:49" ht="25.25" customHeight="1">
      <c r="AW2747" s="35"/>
    </row>
    <row r="2748" spans="49:49" ht="25.25" customHeight="1">
      <c r="AW2748" s="35"/>
    </row>
    <row r="2749" spans="49:49" ht="25.25" customHeight="1">
      <c r="AW2749" s="35"/>
    </row>
    <row r="2750" spans="49:49" ht="25.25" customHeight="1">
      <c r="AW2750" s="35"/>
    </row>
    <row r="2751" spans="49:49" ht="25.25" customHeight="1">
      <c r="AW2751" s="35"/>
    </row>
    <row r="2752" spans="49:49" ht="25.25" customHeight="1">
      <c r="AW2752" s="35"/>
    </row>
    <row r="2753" spans="49:49" ht="25.25" customHeight="1">
      <c r="AW2753" s="35"/>
    </row>
    <row r="2754" spans="49:49" ht="25.25" customHeight="1">
      <c r="AW2754" s="35"/>
    </row>
    <row r="2755" spans="49:49" ht="25.25" customHeight="1">
      <c r="AW2755" s="35"/>
    </row>
    <row r="2756" spans="49:49" ht="25.25" customHeight="1">
      <c r="AW2756" s="35"/>
    </row>
    <row r="2757" spans="49:49" ht="25.25" customHeight="1">
      <c r="AW2757" s="35"/>
    </row>
    <row r="2758" spans="49:49" ht="25.25" customHeight="1">
      <c r="AW2758" s="35"/>
    </row>
    <row r="2759" spans="49:49" ht="25.25" customHeight="1">
      <c r="AW2759" s="35"/>
    </row>
    <row r="2760" spans="49:49" ht="25.25" customHeight="1">
      <c r="AW2760" s="35"/>
    </row>
    <row r="2761" spans="49:49" ht="25.25" customHeight="1">
      <c r="AW2761" s="35"/>
    </row>
    <row r="2762" spans="49:49" ht="25.25" customHeight="1">
      <c r="AW2762" s="35"/>
    </row>
    <row r="2763" spans="49:49" ht="25.25" customHeight="1">
      <c r="AW2763" s="35"/>
    </row>
    <row r="2764" spans="49:49" ht="25.25" customHeight="1">
      <c r="AW2764" s="35"/>
    </row>
    <row r="2765" spans="49:49" ht="25.25" customHeight="1">
      <c r="AW2765" s="35"/>
    </row>
    <row r="2766" spans="49:49" ht="25.25" customHeight="1">
      <c r="AW2766" s="35"/>
    </row>
    <row r="2767" spans="49:49" ht="25.25" customHeight="1">
      <c r="AW2767" s="35"/>
    </row>
    <row r="2768" spans="49:49" ht="25.25" customHeight="1">
      <c r="AW2768" s="35"/>
    </row>
    <row r="2769" spans="49:49" ht="25.25" customHeight="1">
      <c r="AW2769" s="35"/>
    </row>
    <row r="2770" spans="49:49" ht="25.25" customHeight="1">
      <c r="AW2770" s="35"/>
    </row>
    <row r="2771" spans="49:49" ht="25.25" customHeight="1">
      <c r="AW2771" s="35"/>
    </row>
    <row r="2772" spans="49:49" ht="25.25" customHeight="1">
      <c r="AW2772" s="35"/>
    </row>
    <row r="2773" spans="49:49" ht="25.25" customHeight="1">
      <c r="AW2773" s="35"/>
    </row>
    <row r="2774" spans="49:49" ht="25.25" customHeight="1">
      <c r="AW2774" s="35"/>
    </row>
    <row r="2775" spans="49:49" ht="25.25" customHeight="1">
      <c r="AW2775" s="35"/>
    </row>
    <row r="2776" spans="49:49" ht="25.25" customHeight="1">
      <c r="AW2776" s="35"/>
    </row>
    <row r="2777" spans="49:49" ht="25.25" customHeight="1">
      <c r="AW2777" s="35"/>
    </row>
    <row r="2778" spans="49:49" ht="25.25" customHeight="1">
      <c r="AW2778" s="35"/>
    </row>
    <row r="2779" spans="49:49" ht="25.25" customHeight="1">
      <c r="AW2779" s="35"/>
    </row>
    <row r="2780" spans="49:49" ht="25.25" customHeight="1">
      <c r="AW2780" s="35"/>
    </row>
    <row r="2781" spans="49:49" ht="25.25" customHeight="1">
      <c r="AW2781" s="35"/>
    </row>
    <row r="2782" spans="49:49" ht="25.25" customHeight="1">
      <c r="AW2782" s="35"/>
    </row>
    <row r="2783" spans="49:49" ht="25.25" customHeight="1">
      <c r="AW2783" s="35"/>
    </row>
    <row r="2784" spans="49:49" ht="25.25" customHeight="1">
      <c r="AW2784" s="35"/>
    </row>
    <row r="2785" spans="49:49" ht="25.25" customHeight="1">
      <c r="AW2785" s="35"/>
    </row>
    <row r="2786" spans="49:49" ht="25.25" customHeight="1">
      <c r="AW2786" s="35"/>
    </row>
    <row r="2787" spans="49:49" ht="25.25" customHeight="1">
      <c r="AW2787" s="35"/>
    </row>
    <row r="2788" spans="49:49" ht="25.25" customHeight="1">
      <c r="AW2788" s="35"/>
    </row>
    <row r="2789" spans="49:49" ht="25.25" customHeight="1">
      <c r="AW2789" s="35"/>
    </row>
    <row r="2790" spans="49:49" ht="25.25" customHeight="1">
      <c r="AW2790" s="35"/>
    </row>
    <row r="2791" spans="49:49" ht="25.25" customHeight="1">
      <c r="AW2791" s="35"/>
    </row>
    <row r="2792" spans="49:49" ht="25.25" customHeight="1">
      <c r="AW2792" s="35"/>
    </row>
    <row r="2793" spans="49:49" ht="25.25" customHeight="1">
      <c r="AW2793" s="35"/>
    </row>
    <row r="2794" spans="49:49" ht="25.25" customHeight="1">
      <c r="AW2794" s="35"/>
    </row>
    <row r="2795" spans="49:49" ht="25.25" customHeight="1">
      <c r="AW2795" s="35"/>
    </row>
    <row r="2796" spans="49:49" ht="25.25" customHeight="1">
      <c r="AW2796" s="35"/>
    </row>
    <row r="2797" spans="49:49" ht="25.25" customHeight="1">
      <c r="AW2797" s="35"/>
    </row>
    <row r="2798" spans="49:49" ht="25.25" customHeight="1">
      <c r="AW2798" s="35"/>
    </row>
    <row r="2799" spans="49:49" ht="25.25" customHeight="1">
      <c r="AW2799" s="35"/>
    </row>
    <row r="2800" spans="49:49" ht="25.25" customHeight="1">
      <c r="AW2800" s="35"/>
    </row>
    <row r="2801" spans="49:49" ht="25.25" customHeight="1">
      <c r="AW2801" s="35"/>
    </row>
    <row r="2802" spans="49:49" ht="25.25" customHeight="1">
      <c r="AW2802" s="35"/>
    </row>
    <row r="2803" spans="49:49" ht="25.25" customHeight="1">
      <c r="AW2803" s="35"/>
    </row>
    <row r="2804" spans="49:49" ht="25.25" customHeight="1">
      <c r="AW2804" s="35"/>
    </row>
    <row r="2805" spans="49:49" ht="25.25" customHeight="1">
      <c r="AW2805" s="35"/>
    </row>
    <row r="2806" spans="49:49" ht="25.25" customHeight="1">
      <c r="AW2806" s="35"/>
    </row>
    <row r="2807" spans="49:49" ht="25.25" customHeight="1">
      <c r="AW2807" s="35"/>
    </row>
    <row r="2808" spans="49:49" ht="25.25" customHeight="1">
      <c r="AW2808" s="35"/>
    </row>
    <row r="2809" spans="49:49" ht="25.25" customHeight="1">
      <c r="AW2809" s="35"/>
    </row>
    <row r="2810" spans="49:49" ht="25.25" customHeight="1">
      <c r="AW2810" s="35"/>
    </row>
    <row r="2811" spans="49:49" ht="25.25" customHeight="1">
      <c r="AW2811" s="35"/>
    </row>
    <row r="2812" spans="49:49" ht="25.25" customHeight="1">
      <c r="AW2812" s="35"/>
    </row>
    <row r="2813" spans="49:49" ht="25.25" customHeight="1">
      <c r="AW2813" s="35"/>
    </row>
    <row r="2814" spans="49:49" ht="25.25" customHeight="1">
      <c r="AW2814" s="35"/>
    </row>
    <row r="2815" spans="49:49" ht="25.25" customHeight="1">
      <c r="AW2815" s="35"/>
    </row>
    <row r="2816" spans="49:49" ht="25.25" customHeight="1">
      <c r="AW2816" s="35"/>
    </row>
    <row r="2817" spans="49:49" ht="25.25" customHeight="1">
      <c r="AW2817" s="35"/>
    </row>
    <row r="2818" spans="49:49" ht="25.25" customHeight="1">
      <c r="AW2818" s="35"/>
    </row>
    <row r="2819" spans="49:49" ht="25.25" customHeight="1">
      <c r="AW2819" s="35"/>
    </row>
    <row r="2820" spans="49:49" ht="25.25" customHeight="1">
      <c r="AW2820" s="35"/>
    </row>
    <row r="2821" spans="49:49" ht="25.25" customHeight="1">
      <c r="AW2821" s="35"/>
    </row>
    <row r="2822" spans="49:49" ht="25.25" customHeight="1">
      <c r="AW2822" s="35"/>
    </row>
    <row r="2823" spans="49:49" ht="25.25" customHeight="1">
      <c r="AW2823" s="35"/>
    </row>
    <row r="2824" spans="49:49" ht="25.25" customHeight="1">
      <c r="AW2824" s="35"/>
    </row>
    <row r="2825" spans="49:49" ht="25.25" customHeight="1">
      <c r="AW2825" s="35"/>
    </row>
    <row r="2826" spans="49:49" ht="25.25" customHeight="1">
      <c r="AW2826" s="35"/>
    </row>
    <row r="2827" spans="49:49" ht="25.25" customHeight="1">
      <c r="AW2827" s="35"/>
    </row>
    <row r="2828" spans="49:49" ht="25.25" customHeight="1">
      <c r="AW2828" s="35"/>
    </row>
    <row r="2829" spans="49:49" ht="25.25" customHeight="1">
      <c r="AW2829" s="35"/>
    </row>
    <row r="2830" spans="49:49" ht="25.25" customHeight="1">
      <c r="AW2830" s="35"/>
    </row>
    <row r="2831" spans="49:49" ht="25.25" customHeight="1">
      <c r="AW2831" s="35"/>
    </row>
    <row r="2832" spans="49:49" ht="25.25" customHeight="1">
      <c r="AW2832" s="35"/>
    </row>
    <row r="2833" spans="49:49" ht="25.25" customHeight="1">
      <c r="AW2833" s="35"/>
    </row>
    <row r="2834" spans="49:49" ht="25.25" customHeight="1">
      <c r="AW2834" s="35"/>
    </row>
    <row r="2835" spans="49:49" ht="25.25" customHeight="1">
      <c r="AW2835" s="35"/>
    </row>
    <row r="2836" spans="49:49" ht="25.25" customHeight="1">
      <c r="AW2836" s="35"/>
    </row>
    <row r="2837" spans="49:49" ht="25.25" customHeight="1">
      <c r="AW2837" s="35"/>
    </row>
    <row r="2838" spans="49:49" ht="25.25" customHeight="1">
      <c r="AW2838" s="35"/>
    </row>
    <row r="2839" spans="49:49" ht="25.25" customHeight="1">
      <c r="AW2839" s="35"/>
    </row>
    <row r="2840" spans="49:49" ht="25.25" customHeight="1">
      <c r="AW2840" s="35"/>
    </row>
    <row r="2841" spans="49:49" ht="25.25" customHeight="1">
      <c r="AW2841" s="35"/>
    </row>
    <row r="2842" spans="49:49" ht="25.25" customHeight="1">
      <c r="AW2842" s="35"/>
    </row>
    <row r="2843" spans="49:49" ht="25.25" customHeight="1">
      <c r="AW2843" s="35"/>
    </row>
    <row r="2844" spans="49:49" ht="25.25" customHeight="1">
      <c r="AW2844" s="35"/>
    </row>
    <row r="2845" spans="49:49" ht="25.25" customHeight="1">
      <c r="AW2845" s="35"/>
    </row>
    <row r="2846" spans="49:49" ht="25.25" customHeight="1">
      <c r="AW2846" s="35"/>
    </row>
    <row r="2847" spans="49:49" ht="25.25" customHeight="1">
      <c r="AW2847" s="35"/>
    </row>
    <row r="2848" spans="49:49" ht="25.25" customHeight="1">
      <c r="AW2848" s="35"/>
    </row>
    <row r="2849" spans="49:49" ht="25.25" customHeight="1">
      <c r="AW2849" s="35"/>
    </row>
    <row r="2850" spans="49:49" ht="25.25" customHeight="1">
      <c r="AW2850" s="35"/>
    </row>
    <row r="2851" spans="49:49" ht="25.25" customHeight="1">
      <c r="AW2851" s="35"/>
    </row>
    <row r="2852" spans="49:49" ht="25.25" customHeight="1">
      <c r="AW2852" s="35"/>
    </row>
    <row r="2853" spans="49:49" ht="25.25" customHeight="1">
      <c r="AW2853" s="35"/>
    </row>
    <row r="2854" spans="49:49" ht="25.25" customHeight="1">
      <c r="AW2854" s="35"/>
    </row>
    <row r="2855" spans="49:49" ht="25.25" customHeight="1">
      <c r="AW2855" s="35"/>
    </row>
    <row r="2856" spans="49:49" ht="25.25" customHeight="1">
      <c r="AW2856" s="35"/>
    </row>
    <row r="2857" spans="49:49" ht="25.25" customHeight="1">
      <c r="AW2857" s="35"/>
    </row>
    <row r="2858" spans="49:49" ht="25.25" customHeight="1">
      <c r="AW2858" s="35"/>
    </row>
    <row r="2859" spans="49:49" ht="25.25" customHeight="1">
      <c r="AW2859" s="35"/>
    </row>
    <row r="2860" spans="49:49" ht="25.25" customHeight="1">
      <c r="AW2860" s="35"/>
    </row>
    <row r="2861" spans="49:49" ht="25.25" customHeight="1">
      <c r="AW2861" s="35"/>
    </row>
    <row r="2862" spans="49:49" ht="25.25" customHeight="1">
      <c r="AW2862" s="35"/>
    </row>
    <row r="2863" spans="49:49" ht="25.25" customHeight="1">
      <c r="AW2863" s="35"/>
    </row>
    <row r="2864" spans="49:49" ht="25.25" customHeight="1">
      <c r="AW2864" s="35"/>
    </row>
    <row r="2865" spans="49:49" ht="25.25" customHeight="1">
      <c r="AW2865" s="35"/>
    </row>
    <row r="2866" spans="49:49" ht="25.25" customHeight="1">
      <c r="AW2866" s="35"/>
    </row>
    <row r="2867" spans="49:49" ht="25.25" customHeight="1">
      <c r="AW2867" s="35"/>
    </row>
    <row r="2868" spans="49:49" ht="25.25" customHeight="1">
      <c r="AW2868" s="35"/>
    </row>
    <row r="2869" spans="49:49" ht="25.25" customHeight="1">
      <c r="AW2869" s="35"/>
    </row>
    <row r="2870" spans="49:49" ht="25.25" customHeight="1">
      <c r="AW2870" s="35"/>
    </row>
    <row r="2871" spans="49:49" ht="25.25" customHeight="1">
      <c r="AW2871" s="35"/>
    </row>
    <row r="2872" spans="49:49" ht="25.25" customHeight="1">
      <c r="AW2872" s="35"/>
    </row>
    <row r="2873" spans="49:49" ht="25.25" customHeight="1">
      <c r="AW2873" s="35"/>
    </row>
    <row r="2874" spans="49:49" ht="25.25" customHeight="1">
      <c r="AW2874" s="35"/>
    </row>
    <row r="2875" spans="49:49" ht="25.25" customHeight="1">
      <c r="AW2875" s="35"/>
    </row>
    <row r="2876" spans="49:49" ht="25.25" customHeight="1">
      <c r="AW2876" s="35"/>
    </row>
    <row r="2877" spans="49:49" ht="25.25" customHeight="1">
      <c r="AW2877" s="35"/>
    </row>
    <row r="2878" spans="49:49" ht="25.25" customHeight="1">
      <c r="AW2878" s="35"/>
    </row>
    <row r="2879" spans="49:49" ht="25.25" customHeight="1">
      <c r="AW2879" s="35"/>
    </row>
    <row r="2880" spans="49:49" ht="25.25" customHeight="1">
      <c r="AW2880" s="35"/>
    </row>
    <row r="2881" spans="49:49" ht="25.25" customHeight="1">
      <c r="AW2881" s="35"/>
    </row>
    <row r="2882" spans="49:49" ht="25.25" customHeight="1">
      <c r="AW2882" s="35"/>
    </row>
    <row r="2883" spans="49:49" ht="25.25" customHeight="1">
      <c r="AW2883" s="35"/>
    </row>
    <row r="2884" spans="49:49" ht="25.25" customHeight="1">
      <c r="AW2884" s="35"/>
    </row>
    <row r="2885" spans="49:49" ht="25.25" customHeight="1">
      <c r="AW2885" s="35"/>
    </row>
    <row r="2886" spans="49:49" ht="25.25" customHeight="1">
      <c r="AW2886" s="35"/>
    </row>
    <row r="2887" spans="49:49" ht="25.25" customHeight="1">
      <c r="AW2887" s="35"/>
    </row>
    <row r="2888" spans="49:49" ht="25.25" customHeight="1">
      <c r="AW2888" s="35"/>
    </row>
    <row r="2889" spans="49:49" ht="25.25" customHeight="1">
      <c r="AW2889" s="35"/>
    </row>
    <row r="2890" spans="49:49" ht="25.25" customHeight="1">
      <c r="AW2890" s="35"/>
    </row>
    <row r="2891" spans="49:49" ht="25.25" customHeight="1">
      <c r="AW2891" s="35"/>
    </row>
    <row r="2892" spans="49:49" ht="25.25" customHeight="1">
      <c r="AW2892" s="35"/>
    </row>
    <row r="2893" spans="49:49" ht="25.25" customHeight="1">
      <c r="AW2893" s="35"/>
    </row>
    <row r="2894" spans="49:49" ht="25.25" customHeight="1">
      <c r="AW2894" s="35"/>
    </row>
    <row r="2895" spans="49:49" ht="25.25" customHeight="1">
      <c r="AW2895" s="35"/>
    </row>
    <row r="2896" spans="49:49" ht="25.25" customHeight="1">
      <c r="AW2896" s="35"/>
    </row>
    <row r="2897" spans="49:49" ht="25.25" customHeight="1">
      <c r="AW2897" s="35"/>
    </row>
    <row r="2898" spans="49:49" ht="25.25" customHeight="1">
      <c r="AW2898" s="35"/>
    </row>
    <row r="2899" spans="49:49" ht="25.25" customHeight="1">
      <c r="AW2899" s="35"/>
    </row>
    <row r="2900" spans="49:49" ht="25.25" customHeight="1">
      <c r="AW2900" s="35"/>
    </row>
    <row r="2901" spans="49:49" ht="25.25" customHeight="1">
      <c r="AW2901" s="35"/>
    </row>
    <row r="2902" spans="49:49" ht="25.25" customHeight="1">
      <c r="AW2902" s="35"/>
    </row>
    <row r="2903" spans="49:49" ht="25.25" customHeight="1">
      <c r="AW2903" s="35"/>
    </row>
    <row r="2904" spans="49:49" ht="25.25" customHeight="1">
      <c r="AW2904" s="35"/>
    </row>
    <row r="2905" spans="49:49" ht="25.25" customHeight="1">
      <c r="AW2905" s="35"/>
    </row>
    <row r="2906" spans="49:49" ht="25.25" customHeight="1">
      <c r="AW2906" s="35"/>
    </row>
    <row r="2907" spans="49:49" ht="25.25" customHeight="1">
      <c r="AW2907" s="35"/>
    </row>
    <row r="2908" spans="49:49" ht="25.25" customHeight="1">
      <c r="AW2908" s="35"/>
    </row>
    <row r="2909" spans="49:49" ht="25.25" customHeight="1">
      <c r="AW2909" s="35"/>
    </row>
    <row r="2910" spans="49:49" ht="25.25" customHeight="1">
      <c r="AW2910" s="35"/>
    </row>
    <row r="2911" spans="49:49" ht="25.25" customHeight="1">
      <c r="AW2911" s="35"/>
    </row>
    <row r="2912" spans="49:49" ht="25.25" customHeight="1">
      <c r="AW2912" s="35"/>
    </row>
    <row r="2913" spans="49:49" ht="25.25" customHeight="1">
      <c r="AW2913" s="35"/>
    </row>
    <row r="2914" spans="49:49" ht="25.25" customHeight="1">
      <c r="AW2914" s="35"/>
    </row>
    <row r="2915" spans="49:49" ht="25.25" customHeight="1">
      <c r="AW2915" s="35"/>
    </row>
    <row r="2916" spans="49:49" ht="25.25" customHeight="1">
      <c r="AW2916" s="35"/>
    </row>
    <row r="2917" spans="49:49" ht="25.25" customHeight="1">
      <c r="AW2917" s="35"/>
    </row>
    <row r="2918" spans="49:49" ht="25.25" customHeight="1">
      <c r="AW2918" s="35"/>
    </row>
    <row r="2919" spans="49:49" ht="25.25" customHeight="1">
      <c r="AW2919" s="35"/>
    </row>
    <row r="2920" spans="49:49" ht="25.25" customHeight="1">
      <c r="AW2920" s="35"/>
    </row>
    <row r="2921" spans="49:49" ht="25.25" customHeight="1">
      <c r="AW2921" s="35"/>
    </row>
    <row r="2922" spans="49:49" ht="25.25" customHeight="1">
      <c r="AW2922" s="35"/>
    </row>
    <row r="2923" spans="49:49" ht="25.25" customHeight="1">
      <c r="AW2923" s="35"/>
    </row>
    <row r="2924" spans="49:49" ht="25.25" customHeight="1">
      <c r="AW2924" s="35"/>
    </row>
    <row r="2925" spans="49:49" ht="25.25" customHeight="1">
      <c r="AW2925" s="35"/>
    </row>
    <row r="2926" spans="49:49" ht="25.25" customHeight="1">
      <c r="AW2926" s="35"/>
    </row>
    <row r="2927" spans="49:49" ht="25.25" customHeight="1">
      <c r="AW2927" s="35"/>
    </row>
    <row r="2928" spans="49:49" ht="25.25" customHeight="1">
      <c r="AW2928" s="35"/>
    </row>
    <row r="2929" spans="49:49" ht="25.25" customHeight="1">
      <c r="AW2929" s="35"/>
    </row>
    <row r="2930" spans="49:49" ht="25.25" customHeight="1">
      <c r="AW2930" s="35"/>
    </row>
    <row r="2931" spans="49:49" ht="25.25" customHeight="1">
      <c r="AW2931" s="35"/>
    </row>
    <row r="2932" spans="49:49" ht="25.25" customHeight="1">
      <c r="AW2932" s="35"/>
    </row>
    <row r="2933" spans="49:49" ht="25.25" customHeight="1">
      <c r="AW2933" s="35"/>
    </row>
    <row r="2934" spans="49:49" ht="25.25" customHeight="1">
      <c r="AW2934" s="35"/>
    </row>
    <row r="2935" spans="49:49" ht="25.25" customHeight="1">
      <c r="AW2935" s="35"/>
    </row>
    <row r="2936" spans="49:49" ht="25.25" customHeight="1">
      <c r="AW2936" s="35"/>
    </row>
    <row r="2937" spans="49:49" ht="25.25" customHeight="1">
      <c r="AW2937" s="35"/>
    </row>
    <row r="2938" spans="49:49" ht="25.25" customHeight="1">
      <c r="AW2938" s="35"/>
    </row>
    <row r="2939" spans="49:49" ht="25.25" customHeight="1">
      <c r="AW2939" s="35"/>
    </row>
    <row r="2940" spans="49:49" ht="25.25" customHeight="1">
      <c r="AW2940" s="35"/>
    </row>
    <row r="2941" spans="49:49" ht="25.25" customHeight="1">
      <c r="AW2941" s="35"/>
    </row>
    <row r="2942" spans="49:49" ht="25.25" customHeight="1">
      <c r="AW2942" s="35"/>
    </row>
    <row r="2943" spans="49:49" ht="25.25" customHeight="1">
      <c r="AW2943" s="35"/>
    </row>
    <row r="2944" spans="49:49" ht="25.25" customHeight="1">
      <c r="AW2944" s="35"/>
    </row>
    <row r="2945" spans="49:49" ht="25.25" customHeight="1">
      <c r="AW2945" s="35"/>
    </row>
    <row r="2946" spans="49:49" ht="25.25" customHeight="1">
      <c r="AW2946" s="35"/>
    </row>
    <row r="2947" spans="49:49" ht="25.25" customHeight="1">
      <c r="AW2947" s="35"/>
    </row>
    <row r="2948" spans="49:49" ht="25.25" customHeight="1">
      <c r="AW2948" s="35"/>
    </row>
    <row r="2949" spans="49:49" ht="25.25" customHeight="1">
      <c r="AW2949" s="35"/>
    </row>
    <row r="2950" spans="49:49" ht="25.25" customHeight="1">
      <c r="AW2950" s="35"/>
    </row>
    <row r="2951" spans="49:49" ht="25.25" customHeight="1">
      <c r="AW2951" s="35"/>
    </row>
    <row r="2952" spans="49:49" ht="25.25" customHeight="1">
      <c r="AW2952" s="35"/>
    </row>
    <row r="2953" spans="49:49" ht="25.25" customHeight="1">
      <c r="AW2953" s="35"/>
    </row>
    <row r="2954" spans="49:49" ht="25.25" customHeight="1">
      <c r="AW2954" s="35"/>
    </row>
    <row r="2955" spans="49:49" ht="25.25" customHeight="1">
      <c r="AW2955" s="35"/>
    </row>
    <row r="2956" spans="49:49" ht="25.25" customHeight="1">
      <c r="AW2956" s="35"/>
    </row>
    <row r="2957" spans="49:49" ht="25.25" customHeight="1">
      <c r="AW2957" s="35"/>
    </row>
    <row r="2958" spans="49:49" ht="25.25" customHeight="1">
      <c r="AW2958" s="35"/>
    </row>
    <row r="2959" spans="49:49" ht="25.25" customHeight="1">
      <c r="AW2959" s="35"/>
    </row>
    <row r="2960" spans="49:49" ht="25.25" customHeight="1">
      <c r="AW2960" s="35"/>
    </row>
    <row r="2961" spans="49:49" ht="25.25" customHeight="1">
      <c r="AW2961" s="35"/>
    </row>
    <row r="2962" spans="49:49" ht="25.25" customHeight="1">
      <c r="AW2962" s="35"/>
    </row>
    <row r="2963" spans="49:49" ht="25.25" customHeight="1">
      <c r="AW2963" s="35"/>
    </row>
    <row r="2964" spans="49:49" ht="25.25" customHeight="1">
      <c r="AW2964" s="35"/>
    </row>
    <row r="2965" spans="49:49" ht="25.25" customHeight="1">
      <c r="AW2965" s="35"/>
    </row>
    <row r="2966" spans="49:49" ht="25.25" customHeight="1">
      <c r="AW2966" s="35"/>
    </row>
    <row r="2967" spans="49:49" ht="25.25" customHeight="1">
      <c r="AW2967" s="35"/>
    </row>
    <row r="2968" spans="49:49" ht="25.25" customHeight="1">
      <c r="AW2968" s="35"/>
    </row>
    <row r="2969" spans="49:49" ht="25.25" customHeight="1">
      <c r="AW2969" s="35"/>
    </row>
    <row r="2970" spans="49:49" ht="25.25" customHeight="1">
      <c r="AW2970" s="35"/>
    </row>
    <row r="2971" spans="49:49" ht="25.25" customHeight="1">
      <c r="AW2971" s="35"/>
    </row>
    <row r="2972" spans="49:49" ht="25.25" customHeight="1">
      <c r="AW2972" s="35"/>
    </row>
    <row r="2973" spans="49:49" ht="25.25" customHeight="1">
      <c r="AW2973" s="35"/>
    </row>
    <row r="2974" spans="49:49" ht="25.25" customHeight="1">
      <c r="AW2974" s="35"/>
    </row>
    <row r="2975" spans="49:49" ht="25.25" customHeight="1">
      <c r="AW2975" s="35"/>
    </row>
    <row r="2976" spans="49:49" ht="25.25" customHeight="1">
      <c r="AW2976" s="35"/>
    </row>
    <row r="2977" spans="49:49" ht="25.25" customHeight="1">
      <c r="AW2977" s="35"/>
    </row>
    <row r="2978" spans="49:49" ht="25.25" customHeight="1">
      <c r="AW2978" s="35"/>
    </row>
    <row r="2979" spans="49:49" ht="25.25" customHeight="1">
      <c r="AW2979" s="35"/>
    </row>
    <row r="2980" spans="49:49" ht="25.25" customHeight="1">
      <c r="AW2980" s="35"/>
    </row>
    <row r="2981" spans="49:49" ht="25.25" customHeight="1">
      <c r="AW2981" s="35"/>
    </row>
    <row r="2982" spans="49:49" ht="25.25" customHeight="1">
      <c r="AW2982" s="35"/>
    </row>
    <row r="2983" spans="49:49" ht="25.25" customHeight="1">
      <c r="AW2983" s="35"/>
    </row>
    <row r="2984" spans="49:49" ht="25.25" customHeight="1">
      <c r="AW2984" s="35"/>
    </row>
    <row r="2985" spans="49:49" ht="25.25" customHeight="1">
      <c r="AW2985" s="35"/>
    </row>
    <row r="2986" spans="49:49" ht="25.25" customHeight="1">
      <c r="AW2986" s="35"/>
    </row>
    <row r="2987" spans="49:49" ht="25.25" customHeight="1">
      <c r="AW2987" s="35"/>
    </row>
    <row r="2988" spans="49:49" ht="25.25" customHeight="1">
      <c r="AW2988" s="35"/>
    </row>
    <row r="2989" spans="49:49" ht="25.25" customHeight="1">
      <c r="AW2989" s="35"/>
    </row>
    <row r="2990" spans="49:49" ht="25.25" customHeight="1">
      <c r="AW2990" s="35"/>
    </row>
    <row r="2991" spans="49:49" ht="25.25" customHeight="1">
      <c r="AW2991" s="35"/>
    </row>
    <row r="2992" spans="49:49" ht="25.25" customHeight="1">
      <c r="AW2992" s="35"/>
    </row>
    <row r="2993" spans="49:49" ht="25.25" customHeight="1">
      <c r="AW2993" s="35"/>
    </row>
    <row r="2994" spans="49:49" ht="25.25" customHeight="1">
      <c r="AW2994" s="35"/>
    </row>
    <row r="2995" spans="49:49" ht="25.25" customHeight="1">
      <c r="AW2995" s="35"/>
    </row>
    <row r="2996" spans="49:49" ht="25.25" customHeight="1">
      <c r="AW2996" s="35"/>
    </row>
    <row r="2997" spans="49:49" ht="25.25" customHeight="1">
      <c r="AW2997" s="35"/>
    </row>
    <row r="2998" spans="49:49" ht="25.25" customHeight="1">
      <c r="AW2998" s="35"/>
    </row>
    <row r="2999" spans="49:49" ht="25.25" customHeight="1">
      <c r="AW2999" s="35"/>
    </row>
    <row r="3000" spans="49:49" ht="25.25" customHeight="1">
      <c r="AW3000" s="35"/>
    </row>
    <row r="3001" spans="49:49" ht="25.25" customHeight="1">
      <c r="AW3001" s="35"/>
    </row>
    <row r="3002" spans="49:49" ht="25.25" customHeight="1">
      <c r="AW3002" s="35"/>
    </row>
    <row r="3003" spans="49:49" ht="25.25" customHeight="1">
      <c r="AW3003" s="35"/>
    </row>
    <row r="3004" spans="49:49" ht="25.25" customHeight="1">
      <c r="AW3004" s="35"/>
    </row>
    <row r="3005" spans="49:49" ht="25.25" customHeight="1">
      <c r="AW3005" s="35"/>
    </row>
    <row r="3006" spans="49:49" ht="25.25" customHeight="1">
      <c r="AW3006" s="35"/>
    </row>
    <row r="3007" spans="49:49" ht="25.25" customHeight="1">
      <c r="AW3007" s="35"/>
    </row>
    <row r="3008" spans="49:49" ht="25.25" customHeight="1">
      <c r="AW3008" s="35"/>
    </row>
    <row r="3009" spans="49:49" ht="25.25" customHeight="1">
      <c r="AW3009" s="35"/>
    </row>
    <row r="3010" spans="49:49" ht="25.25" customHeight="1">
      <c r="AW3010" s="35"/>
    </row>
    <row r="3011" spans="49:49" ht="25.25" customHeight="1">
      <c r="AW3011" s="35"/>
    </row>
    <row r="3012" spans="49:49" ht="25.25" customHeight="1">
      <c r="AW3012" s="35"/>
    </row>
    <row r="3013" spans="49:49" ht="25.25" customHeight="1">
      <c r="AW3013" s="35"/>
    </row>
    <row r="3014" spans="49:49" ht="25.25" customHeight="1">
      <c r="AW3014" s="35"/>
    </row>
    <row r="3015" spans="49:49" ht="25.25" customHeight="1">
      <c r="AW3015" s="35"/>
    </row>
    <row r="3016" spans="49:49" ht="25.25" customHeight="1">
      <c r="AW3016" s="35"/>
    </row>
    <row r="3017" spans="49:49" ht="25.25" customHeight="1">
      <c r="AW3017" s="35"/>
    </row>
    <row r="3018" spans="49:49" ht="25.25" customHeight="1">
      <c r="AW3018" s="35"/>
    </row>
    <row r="3019" spans="49:49" ht="25.25" customHeight="1">
      <c r="AW3019" s="35"/>
    </row>
    <row r="3020" spans="49:49" ht="25.25" customHeight="1">
      <c r="AW3020" s="35"/>
    </row>
    <row r="3021" spans="49:49" ht="25.25" customHeight="1">
      <c r="AW3021" s="35"/>
    </row>
    <row r="3022" spans="49:49" ht="25.25" customHeight="1">
      <c r="AW3022" s="35"/>
    </row>
    <row r="3023" spans="49:49" ht="25.25" customHeight="1">
      <c r="AW3023" s="35"/>
    </row>
    <row r="3024" spans="49:49" ht="25.25" customHeight="1">
      <c r="AW3024" s="35"/>
    </row>
    <row r="3025" spans="49:49" ht="25.25" customHeight="1">
      <c r="AW3025" s="35"/>
    </row>
    <row r="3026" spans="49:49" ht="25.25" customHeight="1">
      <c r="AW3026" s="35"/>
    </row>
    <row r="3027" spans="49:49" ht="25.25" customHeight="1">
      <c r="AW3027" s="35"/>
    </row>
    <row r="3028" spans="49:49" ht="25.25" customHeight="1">
      <c r="AW3028" s="35"/>
    </row>
    <row r="3029" spans="49:49" ht="25.25" customHeight="1">
      <c r="AW3029" s="35"/>
    </row>
    <row r="3030" spans="49:49" ht="25.25" customHeight="1">
      <c r="AW3030" s="35"/>
    </row>
    <row r="3031" spans="49:49" ht="25.25" customHeight="1">
      <c r="AW3031" s="35"/>
    </row>
    <row r="3032" spans="49:49" ht="25.25" customHeight="1">
      <c r="AW3032" s="35"/>
    </row>
    <row r="3033" spans="49:49" ht="25.25" customHeight="1">
      <c r="AW3033" s="35"/>
    </row>
    <row r="3034" spans="49:49" ht="25.25" customHeight="1">
      <c r="AW3034" s="35"/>
    </row>
    <row r="3035" spans="49:49" ht="25.25" customHeight="1">
      <c r="AW3035" s="35"/>
    </row>
    <row r="3036" spans="49:49" ht="25.25" customHeight="1">
      <c r="AW3036" s="35"/>
    </row>
    <row r="3037" spans="49:49" ht="25.25" customHeight="1">
      <c r="AW3037" s="35"/>
    </row>
    <row r="3038" spans="49:49" ht="25.25" customHeight="1">
      <c r="AW3038" s="35"/>
    </row>
    <row r="3039" spans="49:49" ht="25.25" customHeight="1">
      <c r="AW3039" s="35"/>
    </row>
    <row r="3040" spans="49:49" ht="25.25" customHeight="1">
      <c r="AW3040" s="35"/>
    </row>
    <row r="3041" spans="49:49" ht="25.25" customHeight="1">
      <c r="AW3041" s="35"/>
    </row>
    <row r="3042" spans="49:49" ht="25.25" customHeight="1">
      <c r="AW3042" s="35"/>
    </row>
    <row r="3043" spans="49:49" ht="25.25" customHeight="1">
      <c r="AW3043" s="35"/>
    </row>
    <row r="3044" spans="49:49" ht="25.25" customHeight="1">
      <c r="AW3044" s="35"/>
    </row>
    <row r="3045" spans="49:49" ht="25.25" customHeight="1">
      <c r="AW3045" s="35"/>
    </row>
    <row r="3046" spans="49:49" ht="25.25" customHeight="1">
      <c r="AW3046" s="35"/>
    </row>
    <row r="3047" spans="49:49" ht="25.25" customHeight="1">
      <c r="AW3047" s="35"/>
    </row>
    <row r="3048" spans="49:49" ht="25.25" customHeight="1">
      <c r="AW3048" s="35"/>
    </row>
    <row r="3049" spans="49:49" ht="25.25" customHeight="1">
      <c r="AW3049" s="35"/>
    </row>
    <row r="3050" spans="49:49" ht="25.25" customHeight="1">
      <c r="AW3050" s="35"/>
    </row>
    <row r="3051" spans="49:49" ht="25.25" customHeight="1">
      <c r="AW3051" s="35"/>
    </row>
    <row r="3052" spans="49:49" ht="25.25" customHeight="1">
      <c r="AW3052" s="35"/>
    </row>
    <row r="3053" spans="49:49" ht="25.25" customHeight="1">
      <c r="AW3053" s="35"/>
    </row>
    <row r="3054" spans="49:49" ht="25.25" customHeight="1">
      <c r="AW3054" s="35"/>
    </row>
    <row r="3055" spans="49:49" ht="25.25" customHeight="1">
      <c r="AW3055" s="35"/>
    </row>
    <row r="3056" spans="49:49" ht="25.25" customHeight="1">
      <c r="AW3056" s="35"/>
    </row>
    <row r="3057" spans="49:49" ht="25.25" customHeight="1">
      <c r="AW3057" s="35"/>
    </row>
    <row r="3058" spans="49:49" ht="25.25" customHeight="1">
      <c r="AW3058" s="35"/>
    </row>
    <row r="3059" spans="49:49" ht="25.25" customHeight="1">
      <c r="AW3059" s="35"/>
    </row>
    <row r="3060" spans="49:49" ht="25.25" customHeight="1">
      <c r="AW3060" s="35"/>
    </row>
    <row r="3061" spans="49:49" ht="25.25" customHeight="1">
      <c r="AW3061" s="35"/>
    </row>
    <row r="3062" spans="49:49" ht="25.25" customHeight="1">
      <c r="AW3062" s="35"/>
    </row>
    <row r="3063" spans="49:49" ht="25.25" customHeight="1">
      <c r="AW3063" s="35"/>
    </row>
    <row r="3064" spans="49:49" ht="25.25" customHeight="1">
      <c r="AW3064" s="35"/>
    </row>
    <row r="3065" spans="49:49" ht="25.25" customHeight="1">
      <c r="AW3065" s="35"/>
    </row>
    <row r="3066" spans="49:49" ht="25.25" customHeight="1">
      <c r="AW3066" s="35"/>
    </row>
    <row r="3067" spans="49:49" ht="25.25" customHeight="1">
      <c r="AW3067" s="35"/>
    </row>
    <row r="3068" spans="49:49" ht="25.25" customHeight="1">
      <c r="AW3068" s="35"/>
    </row>
    <row r="3069" spans="49:49" ht="25.25" customHeight="1">
      <c r="AW3069" s="35"/>
    </row>
    <row r="3070" spans="49:49" ht="25.25" customHeight="1">
      <c r="AW3070" s="35"/>
    </row>
    <row r="3071" spans="49:49" ht="25.25" customHeight="1">
      <c r="AW3071" s="35"/>
    </row>
    <row r="3072" spans="49:49" ht="25.25" customHeight="1">
      <c r="AW3072" s="35"/>
    </row>
    <row r="3073" spans="49:49" ht="25.25" customHeight="1">
      <c r="AW3073" s="35"/>
    </row>
    <row r="3074" spans="49:49" ht="25.25" customHeight="1">
      <c r="AW3074" s="35"/>
    </row>
    <row r="3075" spans="49:49" ht="25.25" customHeight="1">
      <c r="AW3075" s="35"/>
    </row>
    <row r="3076" spans="49:49" ht="25.25" customHeight="1">
      <c r="AW3076" s="35"/>
    </row>
    <row r="3077" spans="49:49" ht="25.25" customHeight="1">
      <c r="AW3077" s="35"/>
    </row>
    <row r="3078" spans="49:49" ht="25.25" customHeight="1">
      <c r="AW3078" s="35"/>
    </row>
    <row r="3079" spans="49:49" ht="25.25" customHeight="1">
      <c r="AW3079" s="35"/>
    </row>
    <row r="3080" spans="49:49" ht="25.25" customHeight="1">
      <c r="AW3080" s="35"/>
    </row>
    <row r="3081" spans="49:49" ht="25.25" customHeight="1">
      <c r="AW3081" s="35"/>
    </row>
    <row r="3082" spans="49:49" ht="25.25" customHeight="1">
      <c r="AW3082" s="35"/>
    </row>
    <row r="3083" spans="49:49" ht="25.25" customHeight="1">
      <c r="AW3083" s="35"/>
    </row>
    <row r="3084" spans="49:49" ht="25.25" customHeight="1">
      <c r="AW3084" s="35"/>
    </row>
    <row r="3085" spans="49:49" ht="25.25" customHeight="1">
      <c r="AW3085" s="35"/>
    </row>
    <row r="3086" spans="49:49" ht="25.25" customHeight="1">
      <c r="AW3086" s="35"/>
    </row>
    <row r="3087" spans="49:49" ht="25.25" customHeight="1">
      <c r="AW3087" s="35"/>
    </row>
    <row r="3088" spans="49:49" ht="25.25" customHeight="1">
      <c r="AW3088" s="35"/>
    </row>
    <row r="3089" spans="49:49" ht="25.25" customHeight="1">
      <c r="AW3089" s="35"/>
    </row>
    <row r="3090" spans="49:49" ht="25.25" customHeight="1">
      <c r="AW3090" s="35"/>
    </row>
    <row r="3091" spans="49:49" ht="25.25" customHeight="1">
      <c r="AW3091" s="35"/>
    </row>
    <row r="3092" spans="49:49" ht="25.25" customHeight="1">
      <c r="AW3092" s="35"/>
    </row>
    <row r="3093" spans="49:49" ht="25.25" customHeight="1">
      <c r="AW3093" s="35"/>
    </row>
    <row r="3094" spans="49:49" ht="25.25" customHeight="1">
      <c r="AW3094" s="35"/>
    </row>
    <row r="3095" spans="49:49" ht="25.25" customHeight="1">
      <c r="AW3095" s="35"/>
    </row>
    <row r="3096" spans="49:49" ht="25.25" customHeight="1">
      <c r="AW3096" s="35"/>
    </row>
    <row r="3097" spans="49:49" ht="25.25" customHeight="1">
      <c r="AW3097" s="35"/>
    </row>
    <row r="3098" spans="49:49" ht="25.25" customHeight="1">
      <c r="AW3098" s="35"/>
    </row>
    <row r="3099" spans="49:49" ht="25.25" customHeight="1">
      <c r="AW3099" s="35"/>
    </row>
    <row r="3100" spans="49:49" ht="25.25" customHeight="1">
      <c r="AW3100" s="35"/>
    </row>
    <row r="3101" spans="49:49" ht="25.25" customHeight="1">
      <c r="AW3101" s="35"/>
    </row>
    <row r="3102" spans="49:49" ht="25.25" customHeight="1">
      <c r="AW3102" s="35"/>
    </row>
    <row r="3103" spans="49:49" ht="25.25" customHeight="1">
      <c r="AW3103" s="35"/>
    </row>
    <row r="3104" spans="49:49" ht="25.25" customHeight="1">
      <c r="AW3104" s="35"/>
    </row>
    <row r="3105" spans="49:49" ht="25.25" customHeight="1">
      <c r="AW3105" s="35"/>
    </row>
    <row r="3106" spans="49:49" ht="25.25" customHeight="1">
      <c r="AW3106" s="35"/>
    </row>
    <row r="3107" spans="49:49" ht="25.25" customHeight="1">
      <c r="AW3107" s="35"/>
    </row>
    <row r="3108" spans="49:49" ht="25.25" customHeight="1">
      <c r="AW3108" s="35"/>
    </row>
    <row r="3109" spans="49:49" ht="25.25" customHeight="1">
      <c r="AW3109" s="35"/>
    </row>
    <row r="3110" spans="49:49" ht="25.25" customHeight="1">
      <c r="AW3110" s="35"/>
    </row>
    <row r="3111" spans="49:49" ht="25.25" customHeight="1">
      <c r="AW3111" s="35"/>
    </row>
    <row r="3112" spans="49:49" ht="25.25" customHeight="1">
      <c r="AW3112" s="35"/>
    </row>
    <row r="3113" spans="49:49" ht="25.25" customHeight="1">
      <c r="AW3113" s="35"/>
    </row>
    <row r="3114" spans="49:49" ht="25.25" customHeight="1">
      <c r="AW3114" s="35"/>
    </row>
    <row r="3115" spans="49:49" ht="25.25" customHeight="1">
      <c r="AW3115" s="35"/>
    </row>
    <row r="3116" spans="49:49" ht="25.25" customHeight="1">
      <c r="AW3116" s="35"/>
    </row>
    <row r="3117" spans="49:49" ht="25.25" customHeight="1">
      <c r="AW3117" s="35"/>
    </row>
    <row r="3118" spans="49:49" ht="25.25" customHeight="1">
      <c r="AW3118" s="35"/>
    </row>
    <row r="3119" spans="49:49" ht="25.25" customHeight="1">
      <c r="AW3119" s="35"/>
    </row>
    <row r="3120" spans="49:49" ht="25.25" customHeight="1">
      <c r="AW3120" s="35"/>
    </row>
    <row r="3121" spans="49:49" ht="25.25" customHeight="1">
      <c r="AW3121" s="35"/>
    </row>
    <row r="3122" spans="49:49" ht="25.25" customHeight="1">
      <c r="AW3122" s="35"/>
    </row>
    <row r="3123" spans="49:49" ht="25.25" customHeight="1">
      <c r="AW3123" s="35"/>
    </row>
    <row r="3124" spans="49:49" ht="25.25" customHeight="1">
      <c r="AW3124" s="35"/>
    </row>
    <row r="3125" spans="49:49" ht="25.25" customHeight="1">
      <c r="AW3125" s="35"/>
    </row>
    <row r="3126" spans="49:49" ht="25.25" customHeight="1">
      <c r="AW3126" s="35"/>
    </row>
    <row r="3127" spans="49:49" ht="25.25" customHeight="1">
      <c r="AW3127" s="35"/>
    </row>
    <row r="3128" spans="49:49" ht="25.25" customHeight="1">
      <c r="AW3128" s="35"/>
    </row>
    <row r="3129" spans="49:49" ht="25.25" customHeight="1">
      <c r="AW3129" s="35"/>
    </row>
    <row r="3130" spans="49:49" ht="25.25" customHeight="1">
      <c r="AW3130" s="35"/>
    </row>
    <row r="3131" spans="49:49" ht="25.25" customHeight="1">
      <c r="AW3131" s="35"/>
    </row>
    <row r="3132" spans="49:49" ht="25.25" customHeight="1">
      <c r="AW3132" s="35"/>
    </row>
    <row r="3133" spans="49:49" ht="25.25" customHeight="1">
      <c r="AW3133" s="35"/>
    </row>
    <row r="3134" spans="49:49" ht="25.25" customHeight="1">
      <c r="AW3134" s="35"/>
    </row>
    <row r="3135" spans="49:49" ht="25.25" customHeight="1">
      <c r="AW3135" s="35"/>
    </row>
    <row r="3136" spans="49:49" ht="25.25" customHeight="1">
      <c r="AW3136" s="35"/>
    </row>
    <row r="3137" spans="49:49" ht="25.25" customHeight="1">
      <c r="AW3137" s="35"/>
    </row>
    <row r="3138" spans="49:49" ht="25.25" customHeight="1">
      <c r="AW3138" s="35"/>
    </row>
    <row r="3139" spans="49:49" ht="25.25" customHeight="1">
      <c r="AW3139" s="35"/>
    </row>
    <row r="3140" spans="49:49" ht="25.25" customHeight="1">
      <c r="AW3140" s="35"/>
    </row>
    <row r="3141" spans="49:49" ht="25.25" customHeight="1">
      <c r="AW3141" s="35"/>
    </row>
    <row r="3142" spans="49:49" ht="25.25" customHeight="1">
      <c r="AW3142" s="35"/>
    </row>
    <row r="3143" spans="49:49" ht="25.25" customHeight="1">
      <c r="AW3143" s="35"/>
    </row>
    <row r="3144" spans="49:49" ht="25.25" customHeight="1">
      <c r="AW3144" s="35"/>
    </row>
    <row r="3145" spans="49:49" ht="25.25" customHeight="1">
      <c r="AW3145" s="35"/>
    </row>
    <row r="3146" spans="49:49" ht="25.25" customHeight="1">
      <c r="AW3146" s="35"/>
    </row>
    <row r="3147" spans="49:49" ht="25.25" customHeight="1">
      <c r="AW3147" s="35"/>
    </row>
    <row r="3148" spans="49:49" ht="25.25" customHeight="1">
      <c r="AW3148" s="35"/>
    </row>
    <row r="3149" spans="49:49" ht="25.25" customHeight="1">
      <c r="AW3149" s="35"/>
    </row>
    <row r="3150" spans="49:49" ht="25.25" customHeight="1">
      <c r="AW3150" s="35"/>
    </row>
    <row r="3151" spans="49:49" ht="25.25" customHeight="1">
      <c r="AW3151" s="35"/>
    </row>
    <row r="3152" spans="49:49" ht="25.25" customHeight="1">
      <c r="AW3152" s="35"/>
    </row>
    <row r="3153" spans="49:49" ht="25.25" customHeight="1">
      <c r="AW3153" s="35"/>
    </row>
    <row r="3154" spans="49:49" ht="25.25" customHeight="1">
      <c r="AW3154" s="35"/>
    </row>
    <row r="3155" spans="49:49" ht="25.25" customHeight="1">
      <c r="AW3155" s="35"/>
    </row>
    <row r="3156" spans="49:49" ht="25.25" customHeight="1">
      <c r="AW3156" s="35"/>
    </row>
    <row r="3157" spans="49:49" ht="25.25" customHeight="1">
      <c r="AW3157" s="35"/>
    </row>
    <row r="3158" spans="49:49" ht="25.25" customHeight="1">
      <c r="AW3158" s="35"/>
    </row>
    <row r="3159" spans="49:49" ht="25.25" customHeight="1">
      <c r="AW3159" s="35"/>
    </row>
    <row r="3160" spans="49:49" ht="25.25" customHeight="1">
      <c r="AW3160" s="35"/>
    </row>
    <row r="3161" spans="49:49" ht="25.25" customHeight="1">
      <c r="AW3161" s="35"/>
    </row>
    <row r="3162" spans="49:49" ht="25.25" customHeight="1">
      <c r="AW3162" s="35"/>
    </row>
    <row r="3163" spans="49:49" ht="25.25" customHeight="1">
      <c r="AW3163" s="35"/>
    </row>
    <row r="3164" spans="49:49" ht="25.25" customHeight="1">
      <c r="AW3164" s="35"/>
    </row>
    <row r="3165" spans="49:49" ht="25.25" customHeight="1">
      <c r="AW3165" s="35"/>
    </row>
    <row r="3166" spans="49:49" ht="25.25" customHeight="1">
      <c r="AW3166" s="35"/>
    </row>
    <row r="3167" spans="49:49" ht="25.25" customHeight="1">
      <c r="AW3167" s="35"/>
    </row>
    <row r="3168" spans="49:49" ht="25.25" customHeight="1">
      <c r="AW3168" s="35"/>
    </row>
    <row r="3169" spans="49:49" ht="25.25" customHeight="1">
      <c r="AW3169" s="35"/>
    </row>
    <row r="3170" spans="49:49" ht="25.25" customHeight="1">
      <c r="AW3170" s="35"/>
    </row>
    <row r="3171" spans="49:49" ht="25.25" customHeight="1">
      <c r="AW3171" s="35"/>
    </row>
    <row r="3172" spans="49:49" ht="25.25" customHeight="1">
      <c r="AW3172" s="35"/>
    </row>
    <row r="3173" spans="49:49" ht="25.25" customHeight="1">
      <c r="AW3173" s="35"/>
    </row>
    <row r="3174" spans="49:49" ht="25.25" customHeight="1">
      <c r="AW3174" s="35"/>
    </row>
    <row r="3175" spans="49:49" ht="25.25" customHeight="1">
      <c r="AW3175" s="35"/>
    </row>
    <row r="3176" spans="49:49" ht="25.25" customHeight="1">
      <c r="AW3176" s="35"/>
    </row>
    <row r="3177" spans="49:49" ht="25.25" customHeight="1">
      <c r="AW3177" s="35"/>
    </row>
    <row r="3178" spans="49:49" ht="25.25" customHeight="1">
      <c r="AW3178" s="35"/>
    </row>
    <row r="3179" spans="49:49" ht="25.25" customHeight="1">
      <c r="AW3179" s="35"/>
    </row>
    <row r="3180" spans="49:49" ht="25.25" customHeight="1">
      <c r="AW3180" s="35"/>
    </row>
    <row r="3181" spans="49:49" ht="25.25" customHeight="1">
      <c r="AW3181" s="35"/>
    </row>
    <row r="3182" spans="49:49" ht="25.25" customHeight="1">
      <c r="AW3182" s="35"/>
    </row>
    <row r="3183" spans="49:49" ht="25.25" customHeight="1">
      <c r="AW3183" s="35"/>
    </row>
    <row r="3184" spans="49:49" ht="25.25" customHeight="1">
      <c r="AW3184" s="35"/>
    </row>
    <row r="3185" spans="49:49" ht="25.25" customHeight="1">
      <c r="AW3185" s="35"/>
    </row>
    <row r="3186" spans="49:49" ht="25.25" customHeight="1">
      <c r="AW3186" s="35"/>
    </row>
    <row r="3187" spans="49:49" ht="25.25" customHeight="1">
      <c r="AW3187" s="35"/>
    </row>
    <row r="3188" spans="49:49" ht="25.25" customHeight="1">
      <c r="AW3188" s="35"/>
    </row>
    <row r="3189" spans="49:49" ht="25.25" customHeight="1">
      <c r="AW3189" s="35"/>
    </row>
    <row r="3190" spans="49:49" ht="25.25" customHeight="1">
      <c r="AW3190" s="35"/>
    </row>
    <row r="3191" spans="49:49" ht="25.25" customHeight="1">
      <c r="AW3191" s="35"/>
    </row>
    <row r="3192" spans="49:49" ht="25.25" customHeight="1">
      <c r="AW3192" s="35"/>
    </row>
    <row r="3193" spans="49:49" ht="25.25" customHeight="1">
      <c r="AW3193" s="35"/>
    </row>
    <row r="3194" spans="49:49" ht="25.25" customHeight="1">
      <c r="AW3194" s="35"/>
    </row>
    <row r="3195" spans="49:49" ht="25.25" customHeight="1">
      <c r="AW3195" s="35"/>
    </row>
    <row r="3196" spans="49:49" ht="25.25" customHeight="1">
      <c r="AW3196" s="35"/>
    </row>
    <row r="3197" spans="49:49" ht="25.25" customHeight="1">
      <c r="AW3197" s="35"/>
    </row>
    <row r="3198" spans="49:49" ht="25.25" customHeight="1">
      <c r="AW3198" s="35"/>
    </row>
    <row r="3199" spans="49:49" ht="25.25" customHeight="1">
      <c r="AW3199" s="35"/>
    </row>
    <row r="3200" spans="49:49" ht="25.25" customHeight="1">
      <c r="AW3200" s="35"/>
    </row>
    <row r="3201" spans="49:49" ht="25.25" customHeight="1">
      <c r="AW3201" s="35"/>
    </row>
    <row r="3202" spans="49:49" ht="25.25" customHeight="1">
      <c r="AW3202" s="35"/>
    </row>
    <row r="3203" spans="49:49" ht="25.25" customHeight="1">
      <c r="AW3203" s="35"/>
    </row>
    <row r="3204" spans="49:49" ht="25.25" customHeight="1">
      <c r="AW3204" s="35"/>
    </row>
    <row r="3205" spans="49:49" ht="25.25" customHeight="1">
      <c r="AW3205" s="35"/>
    </row>
    <row r="3206" spans="49:49" ht="25.25" customHeight="1">
      <c r="AW3206" s="35"/>
    </row>
    <row r="3207" spans="49:49" ht="25.25" customHeight="1">
      <c r="AW3207" s="35"/>
    </row>
    <row r="3208" spans="49:49" ht="25.25" customHeight="1">
      <c r="AW3208" s="35"/>
    </row>
    <row r="3209" spans="49:49" ht="25.25" customHeight="1">
      <c r="AW3209" s="35"/>
    </row>
    <row r="3210" spans="49:49" ht="25.25" customHeight="1">
      <c r="AW3210" s="35"/>
    </row>
    <row r="3211" spans="49:49" ht="25.25" customHeight="1">
      <c r="AW3211" s="35"/>
    </row>
    <row r="3212" spans="49:49" ht="25.25" customHeight="1">
      <c r="AW3212" s="35"/>
    </row>
    <row r="3213" spans="49:49" ht="25.25" customHeight="1">
      <c r="AW3213" s="35"/>
    </row>
    <row r="3214" spans="49:49" ht="25.25" customHeight="1">
      <c r="AW3214" s="35"/>
    </row>
    <row r="3215" spans="49:49" ht="25.25" customHeight="1">
      <c r="AW3215" s="35"/>
    </row>
    <row r="3216" spans="49:49" ht="25.25" customHeight="1">
      <c r="AW3216" s="35"/>
    </row>
    <row r="3217" spans="49:49" ht="25.25" customHeight="1">
      <c r="AW3217" s="35"/>
    </row>
    <row r="3218" spans="49:49" ht="25.25" customHeight="1">
      <c r="AW3218" s="35"/>
    </row>
    <row r="3219" spans="49:49" ht="25.25" customHeight="1">
      <c r="AW3219" s="35"/>
    </row>
    <row r="3220" spans="49:49" ht="25.25" customHeight="1">
      <c r="AW3220" s="35"/>
    </row>
    <row r="3221" spans="49:49" ht="25.25" customHeight="1">
      <c r="AW3221" s="35"/>
    </row>
    <row r="3222" spans="49:49" ht="25.25" customHeight="1">
      <c r="AW3222" s="35"/>
    </row>
    <row r="3223" spans="49:49" ht="25.25" customHeight="1">
      <c r="AW3223" s="35"/>
    </row>
    <row r="3224" spans="49:49" ht="25.25" customHeight="1">
      <c r="AW3224" s="35"/>
    </row>
    <row r="3225" spans="49:49" ht="25.25" customHeight="1">
      <c r="AW3225" s="35"/>
    </row>
    <row r="3226" spans="49:49" ht="25.25" customHeight="1">
      <c r="AW3226" s="35"/>
    </row>
    <row r="3227" spans="49:49" ht="25.25" customHeight="1">
      <c r="AW3227" s="35"/>
    </row>
    <row r="3228" spans="49:49" ht="25.25" customHeight="1">
      <c r="AW3228" s="35"/>
    </row>
    <row r="3229" spans="49:49" ht="25.25" customHeight="1">
      <c r="AW3229" s="35"/>
    </row>
    <row r="3230" spans="49:49" ht="25.25" customHeight="1">
      <c r="AW3230" s="35"/>
    </row>
    <row r="3231" spans="49:49" ht="25.25" customHeight="1">
      <c r="AW3231" s="35"/>
    </row>
    <row r="3232" spans="49:49" ht="25.25" customHeight="1">
      <c r="AW3232" s="35"/>
    </row>
    <row r="3233" spans="49:49" ht="25.25" customHeight="1">
      <c r="AW3233" s="35"/>
    </row>
    <row r="3234" spans="49:49" ht="25.25" customHeight="1">
      <c r="AW3234" s="35"/>
    </row>
    <row r="3235" spans="49:49" ht="25.25" customHeight="1">
      <c r="AW3235" s="35"/>
    </row>
    <row r="3236" spans="49:49" ht="25.25" customHeight="1">
      <c r="AW3236" s="35"/>
    </row>
    <row r="3237" spans="49:49" ht="25.25" customHeight="1">
      <c r="AW3237" s="35"/>
    </row>
    <row r="3238" spans="49:49" ht="25.25" customHeight="1">
      <c r="AW3238" s="35"/>
    </row>
    <row r="3239" spans="49:49" ht="25.25" customHeight="1">
      <c r="AW3239" s="35"/>
    </row>
    <row r="3240" spans="49:49" ht="25.25" customHeight="1">
      <c r="AW3240" s="35"/>
    </row>
    <row r="3241" spans="49:49" ht="25.25" customHeight="1">
      <c r="AW3241" s="35"/>
    </row>
    <row r="3242" spans="49:49" ht="25.25" customHeight="1">
      <c r="AW3242" s="35"/>
    </row>
    <row r="3243" spans="49:49" ht="25.25" customHeight="1">
      <c r="AW3243" s="35"/>
    </row>
    <row r="3244" spans="49:49" ht="25.25" customHeight="1">
      <c r="AW3244" s="35"/>
    </row>
    <row r="3245" spans="49:49" ht="25.25" customHeight="1">
      <c r="AW3245" s="35"/>
    </row>
    <row r="3246" spans="49:49" ht="25.25" customHeight="1">
      <c r="AW3246" s="35"/>
    </row>
    <row r="3247" spans="49:49" ht="25.25" customHeight="1">
      <c r="AW3247" s="35"/>
    </row>
    <row r="3248" spans="49:49" ht="25.25" customHeight="1">
      <c r="AW3248" s="35"/>
    </row>
    <row r="3249" spans="49:49" ht="25.25" customHeight="1">
      <c r="AW3249" s="35"/>
    </row>
    <row r="3250" spans="49:49" ht="25.25" customHeight="1">
      <c r="AW3250" s="35"/>
    </row>
    <row r="3251" spans="49:49" ht="25.25" customHeight="1">
      <c r="AW3251" s="35"/>
    </row>
    <row r="3252" spans="49:49" ht="25.25" customHeight="1">
      <c r="AW3252" s="35"/>
    </row>
    <row r="3253" spans="49:49" ht="25.25" customHeight="1">
      <c r="AW3253" s="35"/>
    </row>
    <row r="3254" spans="49:49" ht="25.25" customHeight="1">
      <c r="AW3254" s="35"/>
    </row>
    <row r="3255" spans="49:49" ht="25.25" customHeight="1">
      <c r="AW3255" s="35"/>
    </row>
    <row r="3256" spans="49:49" ht="25.25" customHeight="1">
      <c r="AW3256" s="35"/>
    </row>
    <row r="3257" spans="49:49" ht="25.25" customHeight="1">
      <c r="AW3257" s="35"/>
    </row>
    <row r="3258" spans="49:49" ht="25.25" customHeight="1">
      <c r="AW3258" s="35"/>
    </row>
    <row r="3259" spans="49:49" ht="25.25" customHeight="1">
      <c r="AW3259" s="35"/>
    </row>
    <row r="3260" spans="49:49" ht="25.25" customHeight="1">
      <c r="AW3260" s="35"/>
    </row>
    <row r="3261" spans="49:49" ht="25.25" customHeight="1">
      <c r="AW3261" s="35"/>
    </row>
    <row r="3262" spans="49:49" ht="25.25" customHeight="1">
      <c r="AW3262" s="35"/>
    </row>
    <row r="3263" spans="49:49" ht="25.25" customHeight="1">
      <c r="AW3263" s="35"/>
    </row>
    <row r="3264" spans="49:49" ht="25.25" customHeight="1">
      <c r="AW3264" s="35"/>
    </row>
    <row r="3265" spans="49:49" ht="25.25" customHeight="1">
      <c r="AW3265" s="35"/>
    </row>
    <row r="3266" spans="49:49" ht="25.25" customHeight="1">
      <c r="AW3266" s="35"/>
    </row>
    <row r="3267" spans="49:49" ht="25.25" customHeight="1">
      <c r="AW3267" s="35"/>
    </row>
    <row r="3268" spans="49:49" ht="25.25" customHeight="1">
      <c r="AW3268" s="35"/>
    </row>
    <row r="3269" spans="49:49" ht="25.25" customHeight="1">
      <c r="AW3269" s="35"/>
    </row>
    <row r="3270" spans="49:49" ht="25.25" customHeight="1">
      <c r="AW3270" s="35"/>
    </row>
    <row r="3271" spans="49:49" ht="25.25" customHeight="1">
      <c r="AW3271" s="35"/>
    </row>
    <row r="3272" spans="49:49" ht="25.25" customHeight="1">
      <c r="AW3272" s="35"/>
    </row>
    <row r="3273" spans="49:49" ht="25.25" customHeight="1">
      <c r="AW3273" s="35"/>
    </row>
    <row r="3274" spans="49:49" ht="25.25" customHeight="1">
      <c r="AW3274" s="35"/>
    </row>
    <row r="3275" spans="49:49" ht="25.25" customHeight="1">
      <c r="AW3275" s="35"/>
    </row>
    <row r="3276" spans="49:49" ht="25.25" customHeight="1">
      <c r="AW3276" s="35"/>
    </row>
    <row r="3277" spans="49:49" ht="25.25" customHeight="1">
      <c r="AW3277" s="35"/>
    </row>
    <row r="3278" spans="49:49" ht="25.25" customHeight="1">
      <c r="AW3278" s="35"/>
    </row>
    <row r="3279" spans="49:49" ht="25.25" customHeight="1">
      <c r="AW3279" s="35"/>
    </row>
    <row r="3280" spans="49:49" ht="25.25" customHeight="1">
      <c r="AW3280" s="35"/>
    </row>
    <row r="3281" spans="49:49" ht="25.25" customHeight="1">
      <c r="AW3281" s="35"/>
    </row>
    <row r="3282" spans="49:49" ht="25.25" customHeight="1">
      <c r="AW3282" s="35"/>
    </row>
    <row r="3283" spans="49:49" ht="25.25" customHeight="1">
      <c r="AW3283" s="35"/>
    </row>
    <row r="3284" spans="49:49" ht="25.25" customHeight="1">
      <c r="AW3284" s="35"/>
    </row>
    <row r="3285" spans="49:49" ht="25.25" customHeight="1">
      <c r="AW3285" s="35"/>
    </row>
    <row r="3286" spans="49:49" ht="25.25" customHeight="1">
      <c r="AW3286" s="35"/>
    </row>
    <row r="3287" spans="49:49" ht="25.25" customHeight="1">
      <c r="AW3287" s="35"/>
    </row>
    <row r="3288" spans="49:49" ht="25.25" customHeight="1">
      <c r="AW3288" s="35"/>
    </row>
    <row r="3289" spans="49:49" ht="25.25" customHeight="1">
      <c r="AW3289" s="35"/>
    </row>
    <row r="3290" spans="49:49" ht="25.25" customHeight="1">
      <c r="AW3290" s="35"/>
    </row>
    <row r="3291" spans="49:49" ht="25.25" customHeight="1">
      <c r="AW3291" s="35"/>
    </row>
    <row r="3292" spans="49:49" ht="25.25" customHeight="1">
      <c r="AW3292" s="35"/>
    </row>
    <row r="3293" spans="49:49" ht="25.25" customHeight="1">
      <c r="AW3293" s="35"/>
    </row>
    <row r="3294" spans="49:49" ht="25.25" customHeight="1">
      <c r="AW3294" s="35"/>
    </row>
    <row r="3295" spans="49:49" ht="25.25" customHeight="1">
      <c r="AW3295" s="35"/>
    </row>
    <row r="3296" spans="49:49" ht="25.25" customHeight="1">
      <c r="AW3296" s="35"/>
    </row>
    <row r="3297" spans="49:49" ht="25.25" customHeight="1">
      <c r="AW3297" s="35"/>
    </row>
    <row r="3298" spans="49:49" ht="25.25" customHeight="1">
      <c r="AW3298" s="35"/>
    </row>
    <row r="3299" spans="49:49" ht="25.25" customHeight="1">
      <c r="AW3299" s="35"/>
    </row>
    <row r="3300" spans="49:49" ht="25.25" customHeight="1">
      <c r="AW3300" s="35"/>
    </row>
    <row r="3301" spans="49:49" ht="25.25" customHeight="1">
      <c r="AW3301" s="35"/>
    </row>
    <row r="3302" spans="49:49" ht="25.25" customHeight="1">
      <c r="AW3302" s="35"/>
    </row>
    <row r="3303" spans="49:49" ht="25.25" customHeight="1">
      <c r="AW3303" s="35"/>
    </row>
    <row r="3304" spans="49:49" ht="25.25" customHeight="1">
      <c r="AW3304" s="35"/>
    </row>
    <row r="3305" spans="49:49" ht="25.25" customHeight="1">
      <c r="AW3305" s="35"/>
    </row>
    <row r="3306" spans="49:49" ht="25.25" customHeight="1">
      <c r="AW3306" s="35"/>
    </row>
    <row r="3307" spans="49:49" ht="25.25" customHeight="1">
      <c r="AW3307" s="35"/>
    </row>
    <row r="3308" spans="49:49" ht="25.25" customHeight="1">
      <c r="AW3308" s="35"/>
    </row>
    <row r="3309" spans="49:49" ht="25.25" customHeight="1">
      <c r="AW3309" s="35"/>
    </row>
    <row r="3310" spans="49:49" ht="25.25" customHeight="1">
      <c r="AW3310" s="35"/>
    </row>
    <row r="3311" spans="49:49" ht="25.25" customHeight="1">
      <c r="AW3311" s="35"/>
    </row>
    <row r="3312" spans="49:49" ht="25.25" customHeight="1">
      <c r="AW3312" s="35"/>
    </row>
    <row r="3313" spans="49:49" ht="25.25" customHeight="1">
      <c r="AW3313" s="35"/>
    </row>
    <row r="3314" spans="49:49" ht="25.25" customHeight="1">
      <c r="AW3314" s="35"/>
    </row>
    <row r="3315" spans="49:49" ht="25.25" customHeight="1">
      <c r="AW3315" s="35"/>
    </row>
    <row r="3316" spans="49:49" ht="25.25" customHeight="1">
      <c r="AW3316" s="35"/>
    </row>
    <row r="3317" spans="49:49" ht="25.25" customHeight="1">
      <c r="AW3317" s="35"/>
    </row>
    <row r="3318" spans="49:49" ht="25.25" customHeight="1">
      <c r="AW3318" s="35"/>
    </row>
    <row r="3319" spans="49:49" ht="25.25" customHeight="1">
      <c r="AW3319" s="35"/>
    </row>
    <row r="3320" spans="49:49" ht="25.25" customHeight="1">
      <c r="AW3320" s="35"/>
    </row>
    <row r="3321" spans="49:49" ht="25.25" customHeight="1">
      <c r="AW3321" s="35"/>
    </row>
    <row r="3322" spans="49:49" ht="25.25" customHeight="1">
      <c r="AW3322" s="35"/>
    </row>
    <row r="3323" spans="49:49" ht="25.25" customHeight="1">
      <c r="AW3323" s="35"/>
    </row>
    <row r="3324" spans="49:49" ht="25.25" customHeight="1">
      <c r="AW3324" s="35"/>
    </row>
    <row r="3325" spans="49:49" ht="25.25" customHeight="1">
      <c r="AW3325" s="35"/>
    </row>
    <row r="3326" spans="49:49" ht="25.25" customHeight="1">
      <c r="AW3326" s="35"/>
    </row>
    <row r="3327" spans="49:49" ht="25.25" customHeight="1">
      <c r="AW3327" s="35"/>
    </row>
    <row r="3328" spans="49:49" ht="25.25" customHeight="1">
      <c r="AW3328" s="35"/>
    </row>
    <row r="3329" spans="49:49" ht="25.25" customHeight="1">
      <c r="AW3329" s="35"/>
    </row>
    <row r="3330" spans="49:49" ht="25.25" customHeight="1">
      <c r="AW3330" s="35"/>
    </row>
    <row r="3331" spans="49:49" ht="25.25" customHeight="1">
      <c r="AW3331" s="35"/>
    </row>
    <row r="3332" spans="49:49" ht="25.25" customHeight="1">
      <c r="AW3332" s="35"/>
    </row>
    <row r="3333" spans="49:49" ht="25.25" customHeight="1">
      <c r="AW3333" s="35"/>
    </row>
    <row r="3334" spans="49:49" ht="25.25" customHeight="1">
      <c r="AW3334" s="35"/>
    </row>
    <row r="3335" spans="49:49" ht="25.25" customHeight="1">
      <c r="AW3335" s="35"/>
    </row>
    <row r="3336" spans="49:49" ht="25.25" customHeight="1">
      <c r="AW3336" s="35"/>
    </row>
    <row r="3337" spans="49:49" ht="25.25" customHeight="1">
      <c r="AW3337" s="35"/>
    </row>
    <row r="3338" spans="49:49" ht="25.25" customHeight="1">
      <c r="AW3338" s="35"/>
    </row>
    <row r="3339" spans="49:49" ht="25.25" customHeight="1">
      <c r="AW3339" s="35"/>
    </row>
    <row r="3340" spans="49:49" ht="25.25" customHeight="1">
      <c r="AW3340" s="35"/>
    </row>
    <row r="3341" spans="49:49" ht="25.25" customHeight="1">
      <c r="AW3341" s="35"/>
    </row>
    <row r="3342" spans="49:49" ht="25.25" customHeight="1">
      <c r="AW3342" s="35"/>
    </row>
    <row r="3343" spans="49:49" ht="25.25" customHeight="1">
      <c r="AW3343" s="35"/>
    </row>
    <row r="3344" spans="49:49" ht="25.25" customHeight="1">
      <c r="AW3344" s="35"/>
    </row>
    <row r="3345" spans="49:49" ht="25.25" customHeight="1">
      <c r="AW3345" s="35"/>
    </row>
    <row r="3346" spans="49:49" ht="25.25" customHeight="1">
      <c r="AW3346" s="35"/>
    </row>
    <row r="3347" spans="49:49" ht="25.25" customHeight="1">
      <c r="AW3347" s="35"/>
    </row>
    <row r="3348" spans="49:49" ht="25.25" customHeight="1">
      <c r="AW3348" s="35"/>
    </row>
    <row r="3349" spans="49:49" ht="25.25" customHeight="1">
      <c r="AW3349" s="35"/>
    </row>
    <row r="3350" spans="49:49" ht="25.25" customHeight="1">
      <c r="AW3350" s="35"/>
    </row>
    <row r="3351" spans="49:49" ht="25.25" customHeight="1">
      <c r="AW3351" s="35"/>
    </row>
    <row r="3352" spans="49:49" ht="25.25" customHeight="1">
      <c r="AW3352" s="35"/>
    </row>
    <row r="3353" spans="49:49" ht="25.25" customHeight="1">
      <c r="AW3353" s="35"/>
    </row>
    <row r="3354" spans="49:49" ht="25.25" customHeight="1">
      <c r="AW3354" s="35"/>
    </row>
    <row r="3355" spans="49:49" ht="25.25" customHeight="1">
      <c r="AW3355" s="35"/>
    </row>
    <row r="3356" spans="49:49" ht="25.25" customHeight="1">
      <c r="AW3356" s="35"/>
    </row>
    <row r="3357" spans="49:49" ht="25.25" customHeight="1">
      <c r="AW3357" s="35"/>
    </row>
    <row r="3358" spans="49:49" ht="25.25" customHeight="1">
      <c r="AW3358" s="35"/>
    </row>
    <row r="3359" spans="49:49" ht="25.25" customHeight="1">
      <c r="AW3359" s="35"/>
    </row>
    <row r="3360" spans="49:49" ht="25.25" customHeight="1">
      <c r="AW3360" s="35"/>
    </row>
    <row r="3361" spans="49:49" ht="25.25" customHeight="1">
      <c r="AW3361" s="35"/>
    </row>
    <row r="3362" spans="49:49" ht="25.25" customHeight="1">
      <c r="AW3362" s="35"/>
    </row>
    <row r="3363" spans="49:49" ht="25.25" customHeight="1">
      <c r="AW3363" s="35"/>
    </row>
    <row r="3364" spans="49:49" ht="25.25" customHeight="1">
      <c r="AW3364" s="35"/>
    </row>
    <row r="3365" spans="49:49" ht="25.25" customHeight="1">
      <c r="AW3365" s="35"/>
    </row>
    <row r="3366" spans="49:49" ht="25.25" customHeight="1">
      <c r="AW3366" s="35"/>
    </row>
    <row r="3367" spans="49:49" ht="25.25" customHeight="1">
      <c r="AW3367" s="35"/>
    </row>
    <row r="3368" spans="49:49" ht="25.25" customHeight="1">
      <c r="AW3368" s="35"/>
    </row>
    <row r="3369" spans="49:49" ht="25.25" customHeight="1">
      <c r="AW3369" s="35"/>
    </row>
    <row r="3370" spans="49:49" ht="25.25" customHeight="1">
      <c r="AW3370" s="35"/>
    </row>
    <row r="3371" spans="49:49" ht="25.25" customHeight="1">
      <c r="AW3371" s="35"/>
    </row>
    <row r="3372" spans="49:49" ht="25.25" customHeight="1">
      <c r="AW3372" s="35"/>
    </row>
    <row r="3373" spans="49:49" ht="25.25" customHeight="1">
      <c r="AW3373" s="35"/>
    </row>
    <row r="3374" spans="49:49" ht="25.25" customHeight="1">
      <c r="AW3374" s="35"/>
    </row>
    <row r="3375" spans="49:49" ht="25.25" customHeight="1">
      <c r="AW3375" s="35"/>
    </row>
    <row r="3376" spans="49:49" ht="25.25" customHeight="1">
      <c r="AW3376" s="35"/>
    </row>
    <row r="3377" spans="49:49" ht="25.25" customHeight="1">
      <c r="AW3377" s="35"/>
    </row>
    <row r="3378" spans="49:49" ht="25.25" customHeight="1">
      <c r="AW3378" s="35"/>
    </row>
    <row r="3379" spans="49:49" ht="25.25" customHeight="1">
      <c r="AW3379" s="35"/>
    </row>
    <row r="3380" spans="49:49" ht="25.25" customHeight="1">
      <c r="AW3380" s="35"/>
    </row>
    <row r="3381" spans="49:49" ht="25.25" customHeight="1">
      <c r="AW3381" s="35"/>
    </row>
    <row r="3382" spans="49:49" ht="25.25" customHeight="1">
      <c r="AW3382" s="35"/>
    </row>
    <row r="3383" spans="49:49" ht="25.25" customHeight="1">
      <c r="AW3383" s="35"/>
    </row>
    <row r="3384" spans="49:49" ht="25.25" customHeight="1">
      <c r="AW3384" s="35"/>
    </row>
    <row r="3385" spans="49:49" ht="25.25" customHeight="1">
      <c r="AW3385" s="35"/>
    </row>
    <row r="3386" spans="49:49" ht="25.25" customHeight="1">
      <c r="AW3386" s="35"/>
    </row>
    <row r="3387" spans="49:49" ht="25.25" customHeight="1">
      <c r="AW3387" s="35"/>
    </row>
    <row r="3388" spans="49:49" ht="25.25" customHeight="1">
      <c r="AW3388" s="35"/>
    </row>
    <row r="3389" spans="49:49" ht="25.25" customHeight="1">
      <c r="AW3389" s="35"/>
    </row>
    <row r="3390" spans="49:49" ht="25.25" customHeight="1">
      <c r="AW3390" s="35"/>
    </row>
    <row r="3391" spans="49:49" ht="25.25" customHeight="1">
      <c r="AW3391" s="35"/>
    </row>
    <row r="3392" spans="49:49" ht="25.25" customHeight="1">
      <c r="AW3392" s="35"/>
    </row>
    <row r="3393" spans="49:49" ht="25.25" customHeight="1">
      <c r="AW3393" s="35"/>
    </row>
    <row r="3394" spans="49:49" ht="25.25" customHeight="1">
      <c r="AW3394" s="35"/>
    </row>
    <row r="3395" spans="49:49" ht="25.25" customHeight="1">
      <c r="AW3395" s="35"/>
    </row>
    <row r="3396" spans="49:49" ht="25.25" customHeight="1">
      <c r="AW3396" s="35"/>
    </row>
    <row r="3397" spans="49:49" ht="25.25" customHeight="1">
      <c r="AW3397" s="35"/>
    </row>
    <row r="3398" spans="49:49" ht="25.25" customHeight="1">
      <c r="AW3398" s="35"/>
    </row>
    <row r="3399" spans="49:49" ht="25.25" customHeight="1">
      <c r="AW3399" s="35"/>
    </row>
    <row r="3400" spans="49:49" ht="25.25" customHeight="1">
      <c r="AW3400" s="35"/>
    </row>
    <row r="3401" spans="49:49" ht="25.25" customHeight="1">
      <c r="AW3401" s="35"/>
    </row>
    <row r="3402" spans="49:49" ht="25.25" customHeight="1">
      <c r="AW3402" s="35"/>
    </row>
    <row r="3403" spans="49:49" ht="25.25" customHeight="1">
      <c r="AW3403" s="35"/>
    </row>
    <row r="3404" spans="49:49" ht="25.25" customHeight="1">
      <c r="AW3404" s="35"/>
    </row>
    <row r="3405" spans="49:49" ht="25.25" customHeight="1">
      <c r="AW3405" s="35"/>
    </row>
    <row r="3406" spans="49:49" ht="25.25" customHeight="1">
      <c r="AW3406" s="35"/>
    </row>
    <row r="3407" spans="49:49" ht="25.25" customHeight="1">
      <c r="AW3407" s="35"/>
    </row>
    <row r="3408" spans="49:49" ht="25.25" customHeight="1">
      <c r="AW3408" s="35"/>
    </row>
    <row r="3409" spans="49:49" ht="25.25" customHeight="1">
      <c r="AW3409" s="35"/>
    </row>
    <row r="3410" spans="49:49" ht="25.25" customHeight="1">
      <c r="AW3410" s="35"/>
    </row>
    <row r="3411" spans="49:49" ht="25.25" customHeight="1">
      <c r="AW3411" s="35"/>
    </row>
    <row r="3412" spans="49:49" ht="25.25" customHeight="1">
      <c r="AW3412" s="35"/>
    </row>
    <row r="3413" spans="49:49" ht="25.25" customHeight="1">
      <c r="AW3413" s="35"/>
    </row>
    <row r="3414" spans="49:49" ht="25.25" customHeight="1">
      <c r="AW3414" s="35"/>
    </row>
    <row r="3415" spans="49:49" ht="25.25" customHeight="1">
      <c r="AW3415" s="35"/>
    </row>
    <row r="3416" spans="49:49" ht="25.25" customHeight="1">
      <c r="AW3416" s="35"/>
    </row>
    <row r="3417" spans="49:49" ht="25.25" customHeight="1">
      <c r="AW3417" s="35"/>
    </row>
    <row r="3418" spans="49:49" ht="25.25" customHeight="1">
      <c r="AW3418" s="35"/>
    </row>
    <row r="3419" spans="49:49" ht="25.25" customHeight="1">
      <c r="AW3419" s="35"/>
    </row>
    <row r="3420" spans="49:49" ht="25.25" customHeight="1">
      <c r="AW3420" s="35"/>
    </row>
    <row r="3421" spans="49:49" ht="25.25" customHeight="1">
      <c r="AW3421" s="35"/>
    </row>
    <row r="3422" spans="49:49" ht="25.25" customHeight="1">
      <c r="AW3422" s="35"/>
    </row>
    <row r="3423" spans="49:49" ht="25.25" customHeight="1">
      <c r="AW3423" s="35"/>
    </row>
    <row r="3424" spans="49:49" ht="25.25" customHeight="1">
      <c r="AW3424" s="35"/>
    </row>
    <row r="3425" spans="49:49" ht="25.25" customHeight="1">
      <c r="AW3425" s="35"/>
    </row>
    <row r="3426" spans="49:49" ht="25.25" customHeight="1">
      <c r="AW3426" s="35"/>
    </row>
    <row r="3427" spans="49:49" ht="25.25" customHeight="1">
      <c r="AW3427" s="35"/>
    </row>
    <row r="3428" spans="49:49" ht="25.25" customHeight="1">
      <c r="AW3428" s="35"/>
    </row>
    <row r="3429" spans="49:49" ht="25.25" customHeight="1">
      <c r="AW3429" s="35"/>
    </row>
    <row r="3430" spans="49:49" ht="25.25" customHeight="1">
      <c r="AW3430" s="35"/>
    </row>
    <row r="3431" spans="49:49" ht="25.25" customHeight="1">
      <c r="AW3431" s="35"/>
    </row>
    <row r="3432" spans="49:49" ht="25.25" customHeight="1">
      <c r="AW3432" s="35"/>
    </row>
    <row r="3433" spans="49:49" ht="25.25" customHeight="1">
      <c r="AW3433" s="35"/>
    </row>
    <row r="3434" spans="49:49" ht="25.25" customHeight="1">
      <c r="AW3434" s="35"/>
    </row>
    <row r="3435" spans="49:49" ht="25.25" customHeight="1">
      <c r="AW3435" s="35"/>
    </row>
    <row r="3436" spans="49:49" ht="25.25" customHeight="1">
      <c r="AW3436" s="35"/>
    </row>
    <row r="3437" spans="49:49" ht="25.25" customHeight="1">
      <c r="AW3437" s="35"/>
    </row>
    <row r="3438" spans="49:49" ht="25.25" customHeight="1">
      <c r="AW3438" s="35"/>
    </row>
    <row r="3439" spans="49:49" ht="25.25" customHeight="1">
      <c r="AW3439" s="35"/>
    </row>
    <row r="3440" spans="49:49" ht="25.25" customHeight="1">
      <c r="AW3440" s="35"/>
    </row>
    <row r="3441" spans="49:49" ht="25.25" customHeight="1">
      <c r="AW3441" s="35"/>
    </row>
    <row r="3442" spans="49:49" ht="25.25" customHeight="1">
      <c r="AW3442" s="35"/>
    </row>
    <row r="3443" spans="49:49" ht="25.25" customHeight="1">
      <c r="AW3443" s="35"/>
    </row>
    <row r="3444" spans="49:49" ht="25.25" customHeight="1">
      <c r="AW3444" s="35"/>
    </row>
    <row r="3445" spans="49:49" ht="25.25" customHeight="1">
      <c r="AW3445" s="35"/>
    </row>
    <row r="3446" spans="49:49" ht="25.25" customHeight="1">
      <c r="AW3446" s="35"/>
    </row>
    <row r="3447" spans="49:49" ht="25.25" customHeight="1">
      <c r="AW3447" s="35"/>
    </row>
    <row r="3448" spans="49:49" ht="25.25" customHeight="1">
      <c r="AW3448" s="35"/>
    </row>
    <row r="3449" spans="49:49" ht="25.25" customHeight="1">
      <c r="AW3449" s="35"/>
    </row>
    <row r="3450" spans="49:49" ht="25.25" customHeight="1">
      <c r="AW3450" s="35"/>
    </row>
    <row r="3451" spans="49:49" ht="25.25" customHeight="1">
      <c r="AW3451" s="35"/>
    </row>
    <row r="3452" spans="49:49" ht="25.25" customHeight="1">
      <c r="AW3452" s="35"/>
    </row>
    <row r="3453" spans="49:49" ht="25.25" customHeight="1">
      <c r="AW3453" s="35"/>
    </row>
    <row r="3454" spans="49:49" ht="25.25" customHeight="1">
      <c r="AW3454" s="35"/>
    </row>
    <row r="3455" spans="49:49" ht="25.25" customHeight="1">
      <c r="AW3455" s="35"/>
    </row>
    <row r="3456" spans="49:49" ht="25.25" customHeight="1">
      <c r="AW3456" s="35"/>
    </row>
    <row r="3457" spans="49:49" ht="25.25" customHeight="1">
      <c r="AW3457" s="35"/>
    </row>
    <row r="3458" spans="49:49" ht="25.25" customHeight="1">
      <c r="AW3458" s="35"/>
    </row>
    <row r="3459" spans="49:49" ht="25.25" customHeight="1">
      <c r="AW3459" s="35"/>
    </row>
    <row r="3460" spans="49:49" ht="25.25" customHeight="1">
      <c r="AW3460" s="35"/>
    </row>
    <row r="3461" spans="49:49" ht="25.25" customHeight="1">
      <c r="AW3461" s="35"/>
    </row>
    <row r="3462" spans="49:49" ht="25.25" customHeight="1">
      <c r="AW3462" s="35"/>
    </row>
    <row r="3463" spans="49:49" ht="25.25" customHeight="1">
      <c r="AW3463" s="35"/>
    </row>
    <row r="3464" spans="49:49" ht="25.25" customHeight="1">
      <c r="AW3464" s="35"/>
    </row>
    <row r="3465" spans="49:49" ht="25.25" customHeight="1">
      <c r="AW3465" s="35"/>
    </row>
    <row r="3466" spans="49:49" ht="25.25" customHeight="1">
      <c r="AW3466" s="35"/>
    </row>
    <row r="3467" spans="49:49" ht="25.25" customHeight="1">
      <c r="AW3467" s="35"/>
    </row>
    <row r="3468" spans="49:49" ht="25.25" customHeight="1">
      <c r="AW3468" s="35"/>
    </row>
    <row r="3469" spans="49:49" ht="25.25" customHeight="1">
      <c r="AW3469" s="35"/>
    </row>
    <row r="3470" spans="49:49" ht="25.25" customHeight="1">
      <c r="AW3470" s="35"/>
    </row>
    <row r="3471" spans="49:49" ht="25.25" customHeight="1">
      <c r="AW3471" s="35"/>
    </row>
    <row r="3472" spans="49:49" ht="25.25" customHeight="1">
      <c r="AW3472" s="35"/>
    </row>
    <row r="3473" spans="49:49" ht="25.25" customHeight="1">
      <c r="AW3473" s="35"/>
    </row>
    <row r="3474" spans="49:49" ht="25.25" customHeight="1">
      <c r="AW3474" s="35"/>
    </row>
    <row r="3475" spans="49:49" ht="25.25" customHeight="1">
      <c r="AW3475" s="35"/>
    </row>
    <row r="3476" spans="49:49" ht="25.25" customHeight="1">
      <c r="AW3476" s="35"/>
    </row>
    <row r="3477" spans="49:49" ht="25.25" customHeight="1">
      <c r="AW3477" s="35"/>
    </row>
    <row r="3478" spans="49:49" ht="25.25" customHeight="1">
      <c r="AW3478" s="35"/>
    </row>
    <row r="3479" spans="49:49" ht="25.25" customHeight="1">
      <c r="AW3479" s="35"/>
    </row>
    <row r="3480" spans="49:49" ht="25.25" customHeight="1">
      <c r="AW3480" s="35"/>
    </row>
    <row r="3481" spans="49:49" ht="25.25" customHeight="1">
      <c r="AW3481" s="35"/>
    </row>
    <row r="3482" spans="49:49" ht="25.25" customHeight="1">
      <c r="AW3482" s="35"/>
    </row>
    <row r="3483" spans="49:49" ht="25.25" customHeight="1">
      <c r="AW3483" s="35"/>
    </row>
    <row r="3484" spans="49:49" ht="25.25" customHeight="1">
      <c r="AW3484" s="35"/>
    </row>
    <row r="3485" spans="49:49" ht="25.25" customHeight="1">
      <c r="AW3485" s="35"/>
    </row>
    <row r="3486" spans="49:49" ht="25.25" customHeight="1">
      <c r="AW3486" s="35"/>
    </row>
    <row r="3487" spans="49:49" ht="25.25" customHeight="1">
      <c r="AW3487" s="35"/>
    </row>
    <row r="3488" spans="49:49" ht="25.25" customHeight="1">
      <c r="AW3488" s="35"/>
    </row>
    <row r="3489" spans="49:49" ht="25.25" customHeight="1">
      <c r="AW3489" s="35"/>
    </row>
    <row r="3490" spans="49:49" ht="25.25" customHeight="1">
      <c r="AW3490" s="35"/>
    </row>
    <row r="3491" spans="49:49" ht="25.25" customHeight="1">
      <c r="AW3491" s="35"/>
    </row>
    <row r="3492" spans="49:49" ht="25.25" customHeight="1">
      <c r="AW3492" s="35"/>
    </row>
    <row r="3493" spans="49:49" ht="25.25" customHeight="1">
      <c r="AW3493" s="35"/>
    </row>
    <row r="3494" spans="49:49" ht="25.25" customHeight="1">
      <c r="AW3494" s="35"/>
    </row>
    <row r="3495" spans="49:49" ht="25.25" customHeight="1">
      <c r="AW3495" s="35"/>
    </row>
    <row r="3496" spans="49:49" ht="25.25" customHeight="1">
      <c r="AW3496" s="35"/>
    </row>
    <row r="3497" spans="49:49" ht="25.25" customHeight="1">
      <c r="AW3497" s="35"/>
    </row>
    <row r="3498" spans="49:49" ht="25.25" customHeight="1">
      <c r="AW3498" s="35"/>
    </row>
    <row r="3499" spans="49:49" ht="25.25" customHeight="1">
      <c r="AW3499" s="35"/>
    </row>
    <row r="3500" spans="49:49" ht="25.25" customHeight="1">
      <c r="AW3500" s="35"/>
    </row>
    <row r="3501" spans="49:49" ht="25.25" customHeight="1">
      <c r="AW3501" s="35"/>
    </row>
    <row r="3502" spans="49:49" ht="25.25" customHeight="1">
      <c r="AW3502" s="35"/>
    </row>
    <row r="3503" spans="49:49" ht="25.25" customHeight="1">
      <c r="AW3503" s="35"/>
    </row>
    <row r="3504" spans="49:49" ht="25.25" customHeight="1">
      <c r="AW3504" s="35"/>
    </row>
    <row r="3505" spans="49:49" ht="25.25" customHeight="1">
      <c r="AW3505" s="35"/>
    </row>
    <row r="3506" spans="49:49" ht="25.25" customHeight="1">
      <c r="AW3506" s="35"/>
    </row>
    <row r="3507" spans="49:49" ht="25.25" customHeight="1">
      <c r="AW3507" s="35"/>
    </row>
    <row r="3508" spans="49:49" ht="25.25" customHeight="1">
      <c r="AW3508" s="35"/>
    </row>
    <row r="3509" spans="49:49" ht="25.25" customHeight="1">
      <c r="AW3509" s="35"/>
    </row>
    <row r="3510" spans="49:49" ht="25.25" customHeight="1">
      <c r="AW3510" s="35"/>
    </row>
    <row r="3511" spans="49:49" ht="25.25" customHeight="1">
      <c r="AW3511" s="35"/>
    </row>
    <row r="3512" spans="49:49" ht="25.25" customHeight="1">
      <c r="AW3512" s="35"/>
    </row>
    <row r="3513" spans="49:49" ht="25.25" customHeight="1">
      <c r="AW3513" s="35"/>
    </row>
    <row r="3514" spans="49:49" ht="25.25" customHeight="1">
      <c r="AW3514" s="35"/>
    </row>
    <row r="3515" spans="49:49" ht="25.25" customHeight="1">
      <c r="AW3515" s="35"/>
    </row>
    <row r="3516" spans="49:49" ht="25.25" customHeight="1">
      <c r="AW3516" s="35"/>
    </row>
    <row r="3517" spans="49:49" ht="25.25" customHeight="1">
      <c r="AW3517" s="35"/>
    </row>
    <row r="3518" spans="49:49" ht="25.25" customHeight="1">
      <c r="AW3518" s="35"/>
    </row>
    <row r="3519" spans="49:49" ht="25.25" customHeight="1">
      <c r="AW3519" s="35"/>
    </row>
    <row r="3520" spans="49:49" ht="25.25" customHeight="1">
      <c r="AW3520" s="35"/>
    </row>
    <row r="3521" spans="49:49" ht="25.25" customHeight="1">
      <c r="AW3521" s="35"/>
    </row>
    <row r="3522" spans="49:49" ht="25.25" customHeight="1">
      <c r="AW3522" s="35"/>
    </row>
    <row r="3523" spans="49:49" ht="25.25" customHeight="1">
      <c r="AW3523" s="35"/>
    </row>
    <row r="3524" spans="49:49" ht="25.25" customHeight="1">
      <c r="AW3524" s="35"/>
    </row>
    <row r="3525" spans="49:49" ht="25.25" customHeight="1">
      <c r="AW3525" s="35"/>
    </row>
    <row r="3526" spans="49:49" ht="25.25" customHeight="1">
      <c r="AW3526" s="35"/>
    </row>
    <row r="3527" spans="49:49" ht="25.25" customHeight="1">
      <c r="AW3527" s="35"/>
    </row>
    <row r="3528" spans="49:49" ht="25.25" customHeight="1">
      <c r="AW3528" s="35"/>
    </row>
    <row r="3529" spans="49:49" ht="25.25" customHeight="1">
      <c r="AW3529" s="35"/>
    </row>
    <row r="3530" spans="49:49" ht="25.25" customHeight="1">
      <c r="AW3530" s="35"/>
    </row>
    <row r="3531" spans="49:49" ht="25.25" customHeight="1">
      <c r="AW3531" s="35"/>
    </row>
    <row r="3532" spans="49:49" ht="25.25" customHeight="1">
      <c r="AW3532" s="35"/>
    </row>
    <row r="3533" spans="49:49" ht="25.25" customHeight="1">
      <c r="AW3533" s="35"/>
    </row>
    <row r="3534" spans="49:49" ht="25.25" customHeight="1">
      <c r="AW3534" s="35"/>
    </row>
    <row r="3535" spans="49:49" ht="25.25" customHeight="1">
      <c r="AW3535" s="35"/>
    </row>
    <row r="3536" spans="49:49" ht="25.25" customHeight="1">
      <c r="AW3536" s="35"/>
    </row>
    <row r="3537" spans="49:49" ht="25.25" customHeight="1">
      <c r="AW3537" s="35"/>
    </row>
    <row r="3538" spans="49:49" ht="25.25" customHeight="1">
      <c r="AW3538" s="35"/>
    </row>
    <row r="3539" spans="49:49" ht="25.25" customHeight="1">
      <c r="AW3539" s="35"/>
    </row>
    <row r="3540" spans="49:49" ht="25.25" customHeight="1">
      <c r="AW3540" s="35"/>
    </row>
    <row r="3541" spans="49:49" ht="25.25" customHeight="1">
      <c r="AW3541" s="35"/>
    </row>
    <row r="3542" spans="49:49" ht="25.25" customHeight="1">
      <c r="AW3542" s="35"/>
    </row>
    <row r="3543" spans="49:49" ht="25.25" customHeight="1">
      <c r="AW3543" s="35"/>
    </row>
    <row r="3544" spans="49:49" ht="25.25" customHeight="1">
      <c r="AW3544" s="35"/>
    </row>
    <row r="3545" spans="49:49" ht="25.25" customHeight="1">
      <c r="AW3545" s="35"/>
    </row>
    <row r="3546" spans="49:49" ht="25.25" customHeight="1">
      <c r="AW3546" s="35"/>
    </row>
    <row r="3547" spans="49:49" ht="25.25" customHeight="1">
      <c r="AW3547" s="35"/>
    </row>
    <row r="3548" spans="49:49" ht="25.25" customHeight="1">
      <c r="AW3548" s="35"/>
    </row>
    <row r="3549" spans="49:49" ht="25.25" customHeight="1">
      <c r="AW3549" s="35"/>
    </row>
    <row r="3550" spans="49:49" ht="25.25" customHeight="1">
      <c r="AW3550" s="35"/>
    </row>
    <row r="3551" spans="49:49" ht="25.25" customHeight="1">
      <c r="AW3551" s="35"/>
    </row>
    <row r="3552" spans="49:49" ht="25.25" customHeight="1">
      <c r="AW3552" s="35"/>
    </row>
    <row r="3553" spans="49:49" ht="25.25" customHeight="1">
      <c r="AW3553" s="35"/>
    </row>
    <row r="3554" spans="49:49" ht="25.25" customHeight="1">
      <c r="AW3554" s="35"/>
    </row>
    <row r="3555" spans="49:49" ht="25.25" customHeight="1">
      <c r="AW3555" s="35"/>
    </row>
    <row r="3556" spans="49:49" ht="25.25" customHeight="1">
      <c r="AW3556" s="35"/>
    </row>
    <row r="3557" spans="49:49" ht="25.25" customHeight="1">
      <c r="AW3557" s="35"/>
    </row>
    <row r="3558" spans="49:49" ht="25.25" customHeight="1">
      <c r="AW3558" s="35"/>
    </row>
    <row r="3559" spans="49:49" ht="25.25" customHeight="1">
      <c r="AW3559" s="35"/>
    </row>
    <row r="3560" spans="49:49" ht="25.25" customHeight="1">
      <c r="AW3560" s="35"/>
    </row>
    <row r="3561" spans="49:49" ht="25.25" customHeight="1">
      <c r="AW3561" s="35"/>
    </row>
    <row r="3562" spans="49:49" ht="25.25" customHeight="1">
      <c r="AW3562" s="35"/>
    </row>
    <row r="3563" spans="49:49" ht="25.25" customHeight="1">
      <c r="AW3563" s="35"/>
    </row>
    <row r="3564" spans="49:49" ht="25.25" customHeight="1">
      <c r="AW3564" s="35"/>
    </row>
    <row r="3565" spans="49:49" ht="25.25" customHeight="1">
      <c r="AW3565" s="35"/>
    </row>
    <row r="3566" spans="49:49" ht="25.25" customHeight="1">
      <c r="AW3566" s="35"/>
    </row>
    <row r="3567" spans="49:49" ht="25.25" customHeight="1">
      <c r="AW3567" s="35"/>
    </row>
    <row r="3568" spans="49:49" ht="25.25" customHeight="1">
      <c r="AW3568" s="35"/>
    </row>
    <row r="3569" spans="49:49" ht="25.25" customHeight="1">
      <c r="AW3569" s="35"/>
    </row>
    <row r="3570" spans="49:49" ht="25.25" customHeight="1">
      <c r="AW3570" s="35"/>
    </row>
    <row r="3571" spans="49:49" ht="25.25" customHeight="1">
      <c r="AW3571" s="35"/>
    </row>
    <row r="3572" spans="49:49" ht="25.25" customHeight="1">
      <c r="AW3572" s="35"/>
    </row>
    <row r="3573" spans="49:49" ht="25.25" customHeight="1">
      <c r="AW3573" s="35"/>
    </row>
    <row r="3574" spans="49:49" ht="25.25" customHeight="1">
      <c r="AW3574" s="35"/>
    </row>
    <row r="3575" spans="49:49" ht="25.25" customHeight="1">
      <c r="AW3575" s="35"/>
    </row>
    <row r="3576" spans="49:49" ht="25.25" customHeight="1">
      <c r="AW3576" s="35"/>
    </row>
    <row r="3577" spans="49:49" ht="25.25" customHeight="1">
      <c r="AW3577" s="35"/>
    </row>
    <row r="3578" spans="49:49" ht="25.25" customHeight="1">
      <c r="AW3578" s="35"/>
    </row>
    <row r="3579" spans="49:49" ht="25.25" customHeight="1">
      <c r="AW3579" s="35"/>
    </row>
    <row r="3580" spans="49:49" ht="25.25" customHeight="1">
      <c r="AW3580" s="35"/>
    </row>
    <row r="3581" spans="49:49" ht="25.25" customHeight="1">
      <c r="AW3581" s="35"/>
    </row>
    <row r="3582" spans="49:49" ht="25.25" customHeight="1">
      <c r="AW3582" s="35"/>
    </row>
    <row r="3583" spans="49:49" ht="25.25" customHeight="1">
      <c r="AW3583" s="35"/>
    </row>
    <row r="3584" spans="49:49" ht="25.25" customHeight="1">
      <c r="AW3584" s="35"/>
    </row>
    <row r="3585" spans="49:49" ht="25.25" customHeight="1">
      <c r="AW3585" s="35"/>
    </row>
    <row r="3586" spans="49:49" ht="25.25" customHeight="1">
      <c r="AW3586" s="35"/>
    </row>
    <row r="3587" spans="49:49" ht="25.25" customHeight="1">
      <c r="AW3587" s="35"/>
    </row>
    <row r="3588" spans="49:49" ht="25.25" customHeight="1">
      <c r="AW3588" s="35"/>
    </row>
    <row r="3589" spans="49:49" ht="25.25" customHeight="1">
      <c r="AW3589" s="35"/>
    </row>
    <row r="3590" spans="49:49" ht="25.25" customHeight="1">
      <c r="AW3590" s="35"/>
    </row>
    <row r="3591" spans="49:49" ht="25.25" customHeight="1">
      <c r="AW3591" s="35"/>
    </row>
    <row r="3592" spans="49:49" ht="25.25" customHeight="1">
      <c r="AW3592" s="35"/>
    </row>
    <row r="3593" spans="49:49" ht="25.25" customHeight="1">
      <c r="AW3593" s="35"/>
    </row>
    <row r="3594" spans="49:49" ht="25.25" customHeight="1">
      <c r="AW3594" s="35"/>
    </row>
    <row r="3595" spans="49:49" ht="25.25" customHeight="1">
      <c r="AW3595" s="35"/>
    </row>
    <row r="3596" spans="49:49" ht="25.25" customHeight="1">
      <c r="AW3596" s="35"/>
    </row>
    <row r="3597" spans="49:49" ht="25.25" customHeight="1">
      <c r="AW3597" s="35"/>
    </row>
    <row r="3598" spans="49:49" ht="25.25" customHeight="1">
      <c r="AW3598" s="35"/>
    </row>
    <row r="3599" spans="49:49" ht="25.25" customHeight="1">
      <c r="AW3599" s="35"/>
    </row>
    <row r="3600" spans="49:49" ht="25.25" customHeight="1">
      <c r="AW3600" s="35"/>
    </row>
    <row r="3601" spans="49:49" ht="25.25" customHeight="1">
      <c r="AW3601" s="35"/>
    </row>
    <row r="3602" spans="49:49" ht="25.25" customHeight="1">
      <c r="AW3602" s="35"/>
    </row>
    <row r="3603" spans="49:49" ht="25.25" customHeight="1">
      <c r="AW3603" s="35"/>
    </row>
    <row r="3604" spans="49:49" ht="25.25" customHeight="1">
      <c r="AW3604" s="35"/>
    </row>
    <row r="3605" spans="49:49" ht="25.25" customHeight="1">
      <c r="AW3605" s="35"/>
    </row>
    <row r="3606" spans="49:49" ht="25.25" customHeight="1">
      <c r="AW3606" s="35"/>
    </row>
    <row r="3607" spans="49:49" ht="25.25" customHeight="1">
      <c r="AW3607" s="35"/>
    </row>
    <row r="3608" spans="49:49" ht="25.25" customHeight="1">
      <c r="AW3608" s="35"/>
    </row>
    <row r="3609" spans="49:49" ht="25.25" customHeight="1">
      <c r="AW3609" s="35"/>
    </row>
    <row r="3610" spans="49:49" ht="25.25" customHeight="1">
      <c r="AW3610" s="35"/>
    </row>
    <row r="3611" spans="49:49" ht="25.25" customHeight="1">
      <c r="AW3611" s="35"/>
    </row>
    <row r="3612" spans="49:49" ht="25.25" customHeight="1">
      <c r="AW3612" s="35"/>
    </row>
    <row r="3613" spans="49:49" ht="25.25" customHeight="1">
      <c r="AW3613" s="35"/>
    </row>
    <row r="3614" spans="49:49" ht="25.25" customHeight="1">
      <c r="AW3614" s="35"/>
    </row>
    <row r="3615" spans="49:49" ht="25.25" customHeight="1">
      <c r="AW3615" s="35"/>
    </row>
    <row r="3616" spans="49:49" ht="25.25" customHeight="1">
      <c r="AW3616" s="35"/>
    </row>
    <row r="3617" spans="49:49" ht="25.25" customHeight="1">
      <c r="AW3617" s="35"/>
    </row>
    <row r="3618" spans="49:49" ht="25.25" customHeight="1">
      <c r="AW3618" s="35"/>
    </row>
    <row r="3619" spans="49:49" ht="25.25" customHeight="1">
      <c r="AW3619" s="35"/>
    </row>
    <row r="3620" spans="49:49" ht="25.25" customHeight="1">
      <c r="AW3620" s="35"/>
    </row>
    <row r="3621" spans="49:49" ht="25.25" customHeight="1">
      <c r="AW3621" s="35"/>
    </row>
    <row r="3622" spans="49:49" ht="25.25" customHeight="1">
      <c r="AW3622" s="35"/>
    </row>
    <row r="3623" spans="49:49" ht="25.25" customHeight="1">
      <c r="AW3623" s="35"/>
    </row>
    <row r="3624" spans="49:49" ht="25.25" customHeight="1">
      <c r="AW3624" s="35"/>
    </row>
    <row r="3625" spans="49:49" ht="25.25" customHeight="1">
      <c r="AW3625" s="35"/>
    </row>
    <row r="3626" spans="49:49" ht="25.25" customHeight="1">
      <c r="AW3626" s="35"/>
    </row>
    <row r="3627" spans="49:49" ht="25.25" customHeight="1">
      <c r="AW3627" s="35"/>
    </row>
    <row r="3628" spans="49:49" ht="25.25" customHeight="1">
      <c r="AW3628" s="35"/>
    </row>
    <row r="3629" spans="49:49" ht="25.25" customHeight="1">
      <c r="AW3629" s="35"/>
    </row>
    <row r="3630" spans="49:49" ht="25.25" customHeight="1">
      <c r="AW3630" s="35"/>
    </row>
    <row r="3631" spans="49:49" ht="25.25" customHeight="1">
      <c r="AW3631" s="35"/>
    </row>
    <row r="3632" spans="49:49" ht="25.25" customHeight="1">
      <c r="AW3632" s="35"/>
    </row>
    <row r="3633" spans="49:49" ht="25.25" customHeight="1">
      <c r="AW3633" s="35"/>
    </row>
    <row r="3634" spans="49:49" ht="25.25" customHeight="1">
      <c r="AW3634" s="35"/>
    </row>
    <row r="3635" spans="49:49" ht="25.25" customHeight="1">
      <c r="AW3635" s="35"/>
    </row>
    <row r="3636" spans="49:49" ht="25.25" customHeight="1">
      <c r="AW3636" s="35"/>
    </row>
    <row r="3637" spans="49:49" ht="25.25" customHeight="1">
      <c r="AW3637" s="35"/>
    </row>
    <row r="3638" spans="49:49" ht="25.25" customHeight="1">
      <c r="AW3638" s="35"/>
    </row>
    <row r="3639" spans="49:49" ht="25.25" customHeight="1">
      <c r="AW3639" s="35"/>
    </row>
    <row r="3640" spans="49:49" ht="25.25" customHeight="1">
      <c r="AW3640" s="35"/>
    </row>
    <row r="3641" spans="49:49" ht="25.25" customHeight="1">
      <c r="AW3641" s="35"/>
    </row>
    <row r="3642" spans="49:49" ht="25.25" customHeight="1">
      <c r="AW3642" s="35"/>
    </row>
    <row r="3643" spans="49:49" ht="25.25" customHeight="1">
      <c r="AW3643" s="35"/>
    </row>
    <row r="3644" spans="49:49" ht="25.25" customHeight="1">
      <c r="AW3644" s="35"/>
    </row>
    <row r="3645" spans="49:49" ht="25.25" customHeight="1">
      <c r="AW3645" s="35"/>
    </row>
    <row r="3646" spans="49:49" ht="25.25" customHeight="1">
      <c r="AW3646" s="35"/>
    </row>
    <row r="3647" spans="49:49" ht="25.25" customHeight="1">
      <c r="AW3647" s="35"/>
    </row>
    <row r="3648" spans="49:49" ht="25.25" customHeight="1">
      <c r="AW3648" s="35"/>
    </row>
    <row r="3649" spans="49:49" ht="25.25" customHeight="1">
      <c r="AW3649" s="35"/>
    </row>
    <row r="3650" spans="49:49" ht="25.25" customHeight="1">
      <c r="AW3650" s="35"/>
    </row>
    <row r="3651" spans="49:49" ht="25.25" customHeight="1">
      <c r="AW3651" s="35"/>
    </row>
    <row r="3652" spans="49:49" ht="25.25" customHeight="1">
      <c r="AW3652" s="35"/>
    </row>
    <row r="3653" spans="49:49" ht="25.25" customHeight="1">
      <c r="AW3653" s="35"/>
    </row>
    <row r="3654" spans="49:49" ht="25.25" customHeight="1">
      <c r="AW3654" s="35"/>
    </row>
    <row r="3655" spans="49:49" ht="25.25" customHeight="1">
      <c r="AW3655" s="35"/>
    </row>
    <row r="3656" spans="49:49" ht="25.25" customHeight="1">
      <c r="AW3656" s="35"/>
    </row>
    <row r="3657" spans="49:49" ht="25.25" customHeight="1">
      <c r="AW3657" s="35"/>
    </row>
    <row r="3658" spans="49:49" ht="25.25" customHeight="1">
      <c r="AW3658" s="35"/>
    </row>
    <row r="3659" spans="49:49" ht="25.25" customHeight="1">
      <c r="AW3659" s="35"/>
    </row>
    <row r="3660" spans="49:49" ht="25.25" customHeight="1">
      <c r="AW3660" s="35"/>
    </row>
    <row r="3661" spans="49:49" ht="25.25" customHeight="1">
      <c r="AW3661" s="35"/>
    </row>
    <row r="3662" spans="49:49" ht="25.25" customHeight="1">
      <c r="AW3662" s="35"/>
    </row>
    <row r="3663" spans="49:49" ht="25.25" customHeight="1">
      <c r="AW3663" s="35"/>
    </row>
    <row r="3664" spans="49:49" ht="25.25" customHeight="1">
      <c r="AW3664" s="35"/>
    </row>
    <row r="3665" spans="49:49" ht="25.25" customHeight="1">
      <c r="AW3665" s="35"/>
    </row>
    <row r="3666" spans="49:49" ht="25.25" customHeight="1">
      <c r="AW3666" s="35"/>
    </row>
    <row r="3667" spans="49:49" ht="25.25" customHeight="1">
      <c r="AW3667" s="35"/>
    </row>
    <row r="3668" spans="49:49" ht="25.25" customHeight="1">
      <c r="AW3668" s="35"/>
    </row>
    <row r="3669" spans="49:49" ht="25.25" customHeight="1">
      <c r="AW3669" s="35"/>
    </row>
    <row r="3670" spans="49:49" ht="25.25" customHeight="1">
      <c r="AW3670" s="35"/>
    </row>
    <row r="3671" spans="49:49" ht="25.25" customHeight="1">
      <c r="AW3671" s="35"/>
    </row>
    <row r="3672" spans="49:49" ht="25.25" customHeight="1">
      <c r="AW3672" s="35"/>
    </row>
    <row r="3673" spans="49:49" ht="25.25" customHeight="1">
      <c r="AW3673" s="35"/>
    </row>
    <row r="3674" spans="49:49" ht="25.25" customHeight="1">
      <c r="AW3674" s="35"/>
    </row>
    <row r="3675" spans="49:49" ht="25.25" customHeight="1">
      <c r="AW3675" s="35"/>
    </row>
    <row r="3676" spans="49:49" ht="25.25" customHeight="1">
      <c r="AW3676" s="35"/>
    </row>
    <row r="3677" spans="49:49" ht="25.25" customHeight="1">
      <c r="AW3677" s="35"/>
    </row>
    <row r="3678" spans="49:49" ht="25.25" customHeight="1">
      <c r="AW3678" s="35"/>
    </row>
    <row r="3679" spans="49:49" ht="25.25" customHeight="1">
      <c r="AW3679" s="35"/>
    </row>
    <row r="3680" spans="49:49" ht="25.25" customHeight="1">
      <c r="AW3680" s="35"/>
    </row>
    <row r="3681" spans="49:49" ht="25.25" customHeight="1">
      <c r="AW3681" s="35"/>
    </row>
    <row r="3682" spans="49:49" ht="25.25" customHeight="1">
      <c r="AW3682" s="35"/>
    </row>
    <row r="3683" spans="49:49" ht="25.25" customHeight="1">
      <c r="AW3683" s="35"/>
    </row>
    <row r="3684" spans="49:49" ht="25.25" customHeight="1">
      <c r="AW3684" s="35"/>
    </row>
    <row r="3685" spans="49:49" ht="25.25" customHeight="1">
      <c r="AW3685" s="35"/>
    </row>
    <row r="3686" spans="49:49" ht="25.25" customHeight="1">
      <c r="AW3686" s="35"/>
    </row>
    <row r="3687" spans="49:49" ht="25.25" customHeight="1">
      <c r="AW3687" s="35"/>
    </row>
    <row r="3688" spans="49:49" ht="25.25" customHeight="1">
      <c r="AW3688" s="35"/>
    </row>
    <row r="3689" spans="49:49" ht="25.25" customHeight="1">
      <c r="AW3689" s="35"/>
    </row>
    <row r="3690" spans="49:49" ht="25.25" customHeight="1">
      <c r="AW3690" s="35"/>
    </row>
    <row r="3691" spans="49:49" ht="25.25" customHeight="1">
      <c r="AW3691" s="35"/>
    </row>
    <row r="3692" spans="49:49" ht="25.25" customHeight="1">
      <c r="AW3692" s="35"/>
    </row>
    <row r="3693" spans="49:49" ht="25.25" customHeight="1">
      <c r="AW3693" s="35"/>
    </row>
    <row r="3694" spans="49:49" ht="25.25" customHeight="1">
      <c r="AW3694" s="35"/>
    </row>
    <row r="3695" spans="49:49" ht="25.25" customHeight="1">
      <c r="AW3695" s="35"/>
    </row>
    <row r="3696" spans="49:49" ht="25.25" customHeight="1">
      <c r="AW3696" s="35"/>
    </row>
    <row r="3697" spans="49:49" ht="25.25" customHeight="1">
      <c r="AW3697" s="35"/>
    </row>
    <row r="3698" spans="49:49" ht="25.25" customHeight="1">
      <c r="AW3698" s="35"/>
    </row>
    <row r="3699" spans="49:49" ht="25.25" customHeight="1">
      <c r="AW3699" s="35"/>
    </row>
    <row r="3700" spans="49:49" ht="25.25" customHeight="1">
      <c r="AW3700" s="35"/>
    </row>
    <row r="3701" spans="49:49" ht="25.25" customHeight="1">
      <c r="AW3701" s="35"/>
    </row>
    <row r="3702" spans="49:49" ht="25.25" customHeight="1">
      <c r="AW3702" s="35"/>
    </row>
    <row r="3703" spans="49:49" ht="25.25" customHeight="1">
      <c r="AW3703" s="35"/>
    </row>
    <row r="3704" spans="49:49" ht="25.25" customHeight="1">
      <c r="AW3704" s="35"/>
    </row>
    <row r="3705" spans="49:49" ht="25.25" customHeight="1">
      <c r="AW3705" s="35"/>
    </row>
    <row r="3706" spans="49:49" ht="25.25" customHeight="1">
      <c r="AW3706" s="35"/>
    </row>
    <row r="3707" spans="49:49" ht="25.25" customHeight="1">
      <c r="AW3707" s="35"/>
    </row>
    <row r="3708" spans="49:49" ht="25.25" customHeight="1">
      <c r="AW3708" s="35"/>
    </row>
    <row r="3709" spans="49:49" ht="25.25" customHeight="1">
      <c r="AW3709" s="35"/>
    </row>
    <row r="3710" spans="49:49" ht="25.25" customHeight="1">
      <c r="AW3710" s="35"/>
    </row>
    <row r="3711" spans="49:49" ht="25.25" customHeight="1">
      <c r="AW3711" s="35"/>
    </row>
    <row r="3712" spans="49:49" ht="25.25" customHeight="1">
      <c r="AW3712" s="35"/>
    </row>
    <row r="3713" spans="49:49" ht="25.25" customHeight="1">
      <c r="AW3713" s="35"/>
    </row>
    <row r="3714" spans="49:49" ht="25.25" customHeight="1">
      <c r="AW3714" s="35"/>
    </row>
    <row r="3715" spans="49:49" ht="25.25" customHeight="1">
      <c r="AW3715" s="35"/>
    </row>
    <row r="3716" spans="49:49" ht="25.25" customHeight="1">
      <c r="AW3716" s="35"/>
    </row>
    <row r="3717" spans="49:49" ht="25.25" customHeight="1">
      <c r="AW3717" s="35"/>
    </row>
    <row r="3718" spans="49:49" ht="25.25" customHeight="1">
      <c r="AW3718" s="35"/>
    </row>
    <row r="3719" spans="49:49" ht="25.25" customHeight="1">
      <c r="AW3719" s="35"/>
    </row>
    <row r="3720" spans="49:49" ht="25.25" customHeight="1">
      <c r="AW3720" s="35"/>
    </row>
    <row r="3721" spans="49:49" ht="25.25" customHeight="1">
      <c r="AW3721" s="35"/>
    </row>
    <row r="3722" spans="49:49" ht="25.25" customHeight="1">
      <c r="AW3722" s="35"/>
    </row>
    <row r="3723" spans="49:49" ht="25.25" customHeight="1">
      <c r="AW3723" s="35"/>
    </row>
    <row r="3724" spans="49:49" ht="25.25" customHeight="1">
      <c r="AW3724" s="35"/>
    </row>
    <row r="3725" spans="49:49" ht="25.25" customHeight="1">
      <c r="AW3725" s="35"/>
    </row>
    <row r="3726" spans="49:49" ht="25.25" customHeight="1">
      <c r="AW3726" s="35"/>
    </row>
    <row r="3727" spans="49:49" ht="25.25" customHeight="1">
      <c r="AW3727" s="35"/>
    </row>
    <row r="3728" spans="49:49" ht="25.25" customHeight="1">
      <c r="AW3728" s="35"/>
    </row>
    <row r="3729" spans="49:49" ht="25.25" customHeight="1">
      <c r="AW3729" s="35"/>
    </row>
    <row r="3730" spans="49:49" ht="25.25" customHeight="1">
      <c r="AW3730" s="35"/>
    </row>
    <row r="3731" spans="49:49" ht="25.25" customHeight="1">
      <c r="AW3731" s="35"/>
    </row>
    <row r="3732" spans="49:49" ht="25.25" customHeight="1">
      <c r="AW3732" s="35"/>
    </row>
    <row r="3733" spans="49:49" ht="25.25" customHeight="1">
      <c r="AW3733" s="35"/>
    </row>
    <row r="3734" spans="49:49" ht="25.25" customHeight="1">
      <c r="AW3734" s="35"/>
    </row>
    <row r="3735" spans="49:49" ht="25.25" customHeight="1">
      <c r="AW3735" s="35"/>
    </row>
    <row r="3736" spans="49:49" ht="25.25" customHeight="1">
      <c r="AW3736" s="35"/>
    </row>
    <row r="3737" spans="49:49" ht="25.25" customHeight="1">
      <c r="AW3737" s="35"/>
    </row>
    <row r="3738" spans="49:49" ht="25.25" customHeight="1">
      <c r="AW3738" s="35"/>
    </row>
    <row r="3739" spans="49:49" ht="25.25" customHeight="1">
      <c r="AW3739" s="35"/>
    </row>
    <row r="3740" spans="49:49" ht="25.25" customHeight="1">
      <c r="AW3740" s="35"/>
    </row>
    <row r="3741" spans="49:49" ht="25.25" customHeight="1">
      <c r="AW3741" s="35"/>
    </row>
    <row r="3742" spans="49:49" ht="25.25" customHeight="1">
      <c r="AW3742" s="35"/>
    </row>
    <row r="3743" spans="49:49" ht="25.25" customHeight="1">
      <c r="AW3743" s="35"/>
    </row>
    <row r="3744" spans="49:49" ht="25.25" customHeight="1">
      <c r="AW3744" s="35"/>
    </row>
    <row r="3745" spans="49:49" ht="25.25" customHeight="1">
      <c r="AW3745" s="35"/>
    </row>
    <row r="3746" spans="49:49" ht="25.25" customHeight="1">
      <c r="AW3746" s="35"/>
    </row>
    <row r="3747" spans="49:49" ht="25.25" customHeight="1">
      <c r="AW3747" s="35"/>
    </row>
    <row r="3748" spans="49:49" ht="25.25" customHeight="1">
      <c r="AW3748" s="35"/>
    </row>
    <row r="3749" spans="49:49" ht="25.25" customHeight="1">
      <c r="AW3749" s="35"/>
    </row>
    <row r="3750" spans="49:49" ht="25.25" customHeight="1">
      <c r="AW3750" s="35"/>
    </row>
    <row r="3751" spans="49:49" ht="25.25" customHeight="1">
      <c r="AW3751" s="35"/>
    </row>
    <row r="3752" spans="49:49" ht="25.25" customHeight="1">
      <c r="AW3752" s="35"/>
    </row>
    <row r="3753" spans="49:49" ht="25.25" customHeight="1">
      <c r="AW3753" s="35"/>
    </row>
    <row r="3754" spans="49:49" ht="25.25" customHeight="1">
      <c r="AW3754" s="35"/>
    </row>
    <row r="3755" spans="49:49" ht="25.25" customHeight="1">
      <c r="AW3755" s="35"/>
    </row>
    <row r="3756" spans="49:49" ht="25.25" customHeight="1">
      <c r="AW3756" s="35"/>
    </row>
    <row r="3757" spans="49:49" ht="25.25" customHeight="1">
      <c r="AW3757" s="35"/>
    </row>
    <row r="3758" spans="49:49" ht="25.25" customHeight="1">
      <c r="AW3758" s="35"/>
    </row>
    <row r="3759" spans="49:49" ht="25.25" customHeight="1">
      <c r="AW3759" s="35"/>
    </row>
    <row r="3760" spans="49:49" ht="25.25" customHeight="1">
      <c r="AW3760" s="35"/>
    </row>
    <row r="3761" spans="49:49" ht="25.25" customHeight="1">
      <c r="AW3761" s="35"/>
    </row>
    <row r="3762" spans="49:49" ht="25.25" customHeight="1">
      <c r="AW3762" s="35"/>
    </row>
    <row r="3763" spans="49:49" ht="25.25" customHeight="1">
      <c r="AW3763" s="35"/>
    </row>
    <row r="3764" spans="49:49" ht="25.25" customHeight="1">
      <c r="AW3764" s="35"/>
    </row>
    <row r="3765" spans="49:49" ht="25.25" customHeight="1">
      <c r="AW3765" s="35"/>
    </row>
    <row r="3766" spans="49:49" ht="25.25" customHeight="1">
      <c r="AW3766" s="35"/>
    </row>
    <row r="3767" spans="49:49" ht="25.25" customHeight="1">
      <c r="AW3767" s="35"/>
    </row>
    <row r="3768" spans="49:49" ht="25.25" customHeight="1">
      <c r="AW3768" s="35"/>
    </row>
    <row r="3769" spans="49:49" ht="25.25" customHeight="1">
      <c r="AW3769" s="35"/>
    </row>
    <row r="3770" spans="49:49" ht="25.25" customHeight="1">
      <c r="AW3770" s="35"/>
    </row>
    <row r="3771" spans="49:49" ht="25.25" customHeight="1">
      <c r="AW3771" s="35"/>
    </row>
    <row r="3772" spans="49:49" ht="25.25" customHeight="1">
      <c r="AW3772" s="35"/>
    </row>
    <row r="3773" spans="49:49" ht="25.25" customHeight="1">
      <c r="AW3773" s="35"/>
    </row>
    <row r="3774" spans="49:49" ht="25.25" customHeight="1">
      <c r="AW3774" s="35"/>
    </row>
    <row r="3775" spans="49:49" ht="25.25" customHeight="1">
      <c r="AW3775" s="35"/>
    </row>
    <row r="3776" spans="49:49" ht="25.25" customHeight="1">
      <c r="AW3776" s="35"/>
    </row>
    <row r="3777" spans="49:49" ht="25.25" customHeight="1">
      <c r="AW3777" s="35"/>
    </row>
    <row r="3778" spans="49:49" ht="25.25" customHeight="1">
      <c r="AW3778" s="35"/>
    </row>
    <row r="3779" spans="49:49" ht="25.25" customHeight="1">
      <c r="AW3779" s="35"/>
    </row>
    <row r="3780" spans="49:49" ht="25.25" customHeight="1">
      <c r="AW3780" s="35"/>
    </row>
    <row r="3781" spans="49:49" ht="25.25" customHeight="1">
      <c r="AW3781" s="35"/>
    </row>
    <row r="3782" spans="49:49" ht="25.25" customHeight="1">
      <c r="AW3782" s="35"/>
    </row>
    <row r="3783" spans="49:49" ht="25.25" customHeight="1">
      <c r="AW3783" s="35"/>
    </row>
    <row r="3784" spans="49:49" ht="25.25" customHeight="1">
      <c r="AW3784" s="35"/>
    </row>
    <row r="3785" spans="49:49" ht="25.25" customHeight="1">
      <c r="AW3785" s="35"/>
    </row>
    <row r="3786" spans="49:49" ht="25.25" customHeight="1">
      <c r="AW3786" s="35"/>
    </row>
    <row r="3787" spans="49:49" ht="25.25" customHeight="1">
      <c r="AW3787" s="35"/>
    </row>
    <row r="3788" spans="49:49" ht="25.25" customHeight="1">
      <c r="AW3788" s="35"/>
    </row>
    <row r="3789" spans="49:49" ht="25.25" customHeight="1">
      <c r="AW3789" s="35"/>
    </row>
    <row r="3790" spans="49:49" ht="25.25" customHeight="1">
      <c r="AW3790" s="35"/>
    </row>
    <row r="3791" spans="49:49" ht="25.25" customHeight="1">
      <c r="AW3791" s="35"/>
    </row>
    <row r="3792" spans="49:49" ht="25.25" customHeight="1">
      <c r="AW3792" s="35"/>
    </row>
    <row r="3793" spans="49:49" ht="25.25" customHeight="1">
      <c r="AW3793" s="35"/>
    </row>
    <row r="3794" spans="49:49" ht="25.25" customHeight="1">
      <c r="AW3794" s="35"/>
    </row>
    <row r="3795" spans="49:49" ht="25.25" customHeight="1">
      <c r="AW3795" s="35"/>
    </row>
    <row r="3796" spans="49:49" ht="25.25" customHeight="1">
      <c r="AW3796" s="35"/>
    </row>
    <row r="3797" spans="49:49" ht="25.25" customHeight="1">
      <c r="AW3797" s="35"/>
    </row>
    <row r="3798" spans="49:49" ht="25.25" customHeight="1">
      <c r="AW3798" s="35"/>
    </row>
    <row r="3799" spans="49:49" ht="25.25" customHeight="1">
      <c r="AW3799" s="35"/>
    </row>
    <row r="3800" spans="49:49" ht="25.25" customHeight="1">
      <c r="AW3800" s="35"/>
    </row>
    <row r="3801" spans="49:49" ht="25.25" customHeight="1">
      <c r="AW3801" s="35"/>
    </row>
    <row r="3802" spans="49:49" ht="25.25" customHeight="1">
      <c r="AW3802" s="35"/>
    </row>
    <row r="3803" spans="49:49" ht="25.25" customHeight="1">
      <c r="AW3803" s="35"/>
    </row>
    <row r="3804" spans="49:49" ht="25.25" customHeight="1">
      <c r="AW3804" s="35"/>
    </row>
    <row r="3805" spans="49:49" ht="25.25" customHeight="1">
      <c r="AW3805" s="35"/>
    </row>
    <row r="3806" spans="49:49" ht="25.25" customHeight="1">
      <c r="AW3806" s="35"/>
    </row>
    <row r="3807" spans="49:49" ht="25.25" customHeight="1">
      <c r="AW3807" s="35"/>
    </row>
    <row r="3808" spans="49:49" ht="25.25" customHeight="1">
      <c r="AW3808" s="35"/>
    </row>
    <row r="3809" spans="49:49" ht="25.25" customHeight="1">
      <c r="AW3809" s="35"/>
    </row>
    <row r="3810" spans="49:49" ht="25.25" customHeight="1">
      <c r="AW3810" s="35"/>
    </row>
    <row r="3811" spans="49:49" ht="25.25" customHeight="1">
      <c r="AW3811" s="35"/>
    </row>
    <row r="3812" spans="49:49" ht="25.25" customHeight="1">
      <c r="AW3812" s="35"/>
    </row>
    <row r="3813" spans="49:49" ht="25.25" customHeight="1">
      <c r="AW3813" s="35"/>
    </row>
    <row r="3814" spans="49:49" ht="25.25" customHeight="1">
      <c r="AW3814" s="35"/>
    </row>
    <row r="3815" spans="49:49" ht="25.25" customHeight="1">
      <c r="AW3815" s="35"/>
    </row>
    <row r="3816" spans="49:49" ht="25.25" customHeight="1">
      <c r="AW3816" s="35"/>
    </row>
    <row r="3817" spans="49:49" ht="25.25" customHeight="1">
      <c r="AW3817" s="35"/>
    </row>
    <row r="3818" spans="49:49" ht="25.25" customHeight="1">
      <c r="AW3818" s="35"/>
    </row>
    <row r="3819" spans="49:49" ht="25.25" customHeight="1">
      <c r="AW3819" s="35"/>
    </row>
    <row r="3820" spans="49:49" ht="25.25" customHeight="1">
      <c r="AW3820" s="35"/>
    </row>
    <row r="3821" spans="49:49" ht="25.25" customHeight="1">
      <c r="AW3821" s="35"/>
    </row>
    <row r="3822" spans="49:49" ht="25.25" customHeight="1">
      <c r="AW3822" s="35"/>
    </row>
    <row r="3823" spans="49:49" ht="25.25" customHeight="1">
      <c r="AW3823" s="35"/>
    </row>
    <row r="3824" spans="49:49" ht="25.25" customHeight="1">
      <c r="AW3824" s="35"/>
    </row>
    <row r="3825" spans="49:49" ht="25.25" customHeight="1">
      <c r="AW3825" s="35"/>
    </row>
    <row r="3826" spans="49:49" ht="25.25" customHeight="1">
      <c r="AW3826" s="35"/>
    </row>
    <row r="3827" spans="49:49" ht="25.25" customHeight="1">
      <c r="AW3827" s="35"/>
    </row>
    <row r="3828" spans="49:49" ht="25.25" customHeight="1">
      <c r="AW3828" s="35"/>
    </row>
    <row r="3829" spans="49:49" ht="25.25" customHeight="1">
      <c r="AW3829" s="35"/>
    </row>
    <row r="3830" spans="49:49" ht="25.25" customHeight="1">
      <c r="AW3830" s="35"/>
    </row>
    <row r="3831" spans="49:49" ht="25.25" customHeight="1">
      <c r="AW3831" s="35"/>
    </row>
    <row r="3832" spans="49:49" ht="25.25" customHeight="1">
      <c r="AW3832" s="35"/>
    </row>
    <row r="3833" spans="49:49" ht="25.25" customHeight="1">
      <c r="AW3833" s="35"/>
    </row>
    <row r="3834" spans="49:49" ht="25.25" customHeight="1">
      <c r="AW3834" s="35"/>
    </row>
    <row r="3835" spans="49:49" ht="25.25" customHeight="1">
      <c r="AW3835" s="35"/>
    </row>
    <row r="3836" spans="49:49" ht="25.25" customHeight="1">
      <c r="AW3836" s="35"/>
    </row>
    <row r="3837" spans="49:49" ht="25.25" customHeight="1">
      <c r="AW3837" s="35"/>
    </row>
    <row r="3838" spans="49:49" ht="25.25" customHeight="1">
      <c r="AW3838" s="35"/>
    </row>
    <row r="3839" spans="49:49" ht="25.25" customHeight="1">
      <c r="AW3839" s="35"/>
    </row>
    <row r="3840" spans="49:49" ht="25.25" customHeight="1">
      <c r="AW3840" s="35"/>
    </row>
    <row r="3841" spans="49:49" ht="25.25" customHeight="1">
      <c r="AW3841" s="35"/>
    </row>
    <row r="3842" spans="49:49" ht="25.25" customHeight="1">
      <c r="AW3842" s="35"/>
    </row>
    <row r="3843" spans="49:49" ht="25.25" customHeight="1">
      <c r="AW3843" s="35"/>
    </row>
    <row r="3844" spans="49:49" ht="25.25" customHeight="1">
      <c r="AW3844" s="35"/>
    </row>
    <row r="3845" spans="49:49" ht="25.25" customHeight="1">
      <c r="AW3845" s="35"/>
    </row>
    <row r="3846" spans="49:49" ht="25.25" customHeight="1">
      <c r="AW3846" s="35"/>
    </row>
    <row r="3847" spans="49:49" ht="25.25" customHeight="1">
      <c r="AW3847" s="35"/>
    </row>
    <row r="3848" spans="49:49" ht="25.25" customHeight="1">
      <c r="AW3848" s="35"/>
    </row>
    <row r="3849" spans="49:49" ht="25.25" customHeight="1">
      <c r="AW3849" s="35"/>
    </row>
    <row r="3850" spans="49:49" ht="25.25" customHeight="1">
      <c r="AW3850" s="35"/>
    </row>
    <row r="3851" spans="49:49" ht="25.25" customHeight="1">
      <c r="AW3851" s="35"/>
    </row>
    <row r="3852" spans="49:49" ht="25.25" customHeight="1">
      <c r="AW3852" s="35"/>
    </row>
    <row r="3853" spans="49:49" ht="25.25" customHeight="1">
      <c r="AW3853" s="35"/>
    </row>
    <row r="3854" spans="49:49" ht="25.25" customHeight="1">
      <c r="AW3854" s="35"/>
    </row>
    <row r="3855" spans="49:49" ht="25.25" customHeight="1">
      <c r="AW3855" s="35"/>
    </row>
    <row r="3856" spans="49:49" ht="25.25" customHeight="1">
      <c r="AW3856" s="35"/>
    </row>
    <row r="3857" spans="49:49" ht="25.25" customHeight="1">
      <c r="AW3857" s="35"/>
    </row>
    <row r="3858" spans="49:49" ht="25.25" customHeight="1">
      <c r="AW3858" s="35"/>
    </row>
    <row r="3859" spans="49:49" ht="25.25" customHeight="1">
      <c r="AW3859" s="35"/>
    </row>
    <row r="3860" spans="49:49" ht="25.25" customHeight="1">
      <c r="AW3860" s="35"/>
    </row>
    <row r="3861" spans="49:49" ht="25.25" customHeight="1">
      <c r="AW3861" s="35"/>
    </row>
    <row r="3862" spans="49:49" ht="25.25" customHeight="1">
      <c r="AW3862" s="35"/>
    </row>
    <row r="3863" spans="49:49" ht="25.25" customHeight="1">
      <c r="AW3863" s="35"/>
    </row>
    <row r="3864" spans="49:49" ht="25.25" customHeight="1">
      <c r="AW3864" s="35"/>
    </row>
    <row r="3865" spans="49:49" ht="25.25" customHeight="1">
      <c r="AW3865" s="35"/>
    </row>
    <row r="3866" spans="49:49" ht="25.25" customHeight="1">
      <c r="AW3866" s="35"/>
    </row>
    <row r="3867" spans="49:49" ht="25.25" customHeight="1">
      <c r="AW3867" s="35"/>
    </row>
    <row r="3868" spans="49:49" ht="25.25" customHeight="1">
      <c r="AW3868" s="35"/>
    </row>
    <row r="3869" spans="49:49" ht="25.25" customHeight="1">
      <c r="AW3869" s="35"/>
    </row>
    <row r="3870" spans="49:49" ht="25.25" customHeight="1">
      <c r="AW3870" s="35"/>
    </row>
    <row r="3871" spans="49:49" ht="25.25" customHeight="1">
      <c r="AW3871" s="35"/>
    </row>
    <row r="3872" spans="49:49" ht="25.25" customHeight="1">
      <c r="AW3872" s="35"/>
    </row>
    <row r="3873" spans="49:49" ht="25.25" customHeight="1">
      <c r="AW3873" s="35"/>
    </row>
    <row r="3874" spans="49:49" ht="25.25" customHeight="1">
      <c r="AW3874" s="35"/>
    </row>
    <row r="3875" spans="49:49" ht="25.25" customHeight="1">
      <c r="AW3875" s="35"/>
    </row>
    <row r="3876" spans="49:49" ht="25.25" customHeight="1">
      <c r="AW3876" s="35"/>
    </row>
    <row r="3877" spans="49:49" ht="25.25" customHeight="1">
      <c r="AW3877" s="35"/>
    </row>
    <row r="3878" spans="49:49" ht="25.25" customHeight="1">
      <c r="AW3878" s="35"/>
    </row>
    <row r="3879" spans="49:49" ht="25.25" customHeight="1">
      <c r="AW3879" s="35"/>
    </row>
    <row r="3880" spans="49:49" ht="25.25" customHeight="1">
      <c r="AW3880" s="35"/>
    </row>
    <row r="3881" spans="49:49" ht="25.25" customHeight="1">
      <c r="AW3881" s="35"/>
    </row>
    <row r="3882" spans="49:49" ht="25.25" customHeight="1">
      <c r="AW3882" s="35"/>
    </row>
    <row r="3883" spans="49:49" ht="25.25" customHeight="1">
      <c r="AW3883" s="35"/>
    </row>
    <row r="3884" spans="49:49" ht="25.25" customHeight="1">
      <c r="AW3884" s="35"/>
    </row>
    <row r="3885" spans="49:49" ht="25.25" customHeight="1">
      <c r="AW3885" s="35"/>
    </row>
    <row r="3886" spans="49:49" ht="25.25" customHeight="1">
      <c r="AW3886" s="35"/>
    </row>
    <row r="3887" spans="49:49" ht="25.25" customHeight="1">
      <c r="AW3887" s="35"/>
    </row>
    <row r="3888" spans="49:49" ht="25.25" customHeight="1">
      <c r="AW3888" s="35"/>
    </row>
    <row r="3889" spans="49:49" ht="25.25" customHeight="1">
      <c r="AW3889" s="35"/>
    </row>
    <row r="3890" spans="49:49" ht="25.25" customHeight="1">
      <c r="AW3890" s="35"/>
    </row>
    <row r="3891" spans="49:49" ht="25.25" customHeight="1">
      <c r="AW3891" s="35"/>
    </row>
    <row r="3892" spans="49:49" ht="25.25" customHeight="1">
      <c r="AW3892" s="35"/>
    </row>
    <row r="3893" spans="49:49" ht="25.25" customHeight="1">
      <c r="AW3893" s="35"/>
    </row>
    <row r="3894" spans="49:49" ht="25.25" customHeight="1">
      <c r="AW3894" s="35"/>
    </row>
    <row r="3895" spans="49:49" ht="25.25" customHeight="1">
      <c r="AW3895" s="35"/>
    </row>
    <row r="3896" spans="49:49" ht="25.25" customHeight="1">
      <c r="AW3896" s="35"/>
    </row>
    <row r="3897" spans="49:49" ht="25.25" customHeight="1">
      <c r="AW3897" s="35"/>
    </row>
    <row r="3898" spans="49:49" ht="25.25" customHeight="1">
      <c r="AW3898" s="35"/>
    </row>
    <row r="3899" spans="49:49" ht="25.25" customHeight="1">
      <c r="AW3899" s="35"/>
    </row>
    <row r="3900" spans="49:49" ht="25.25" customHeight="1">
      <c r="AW3900" s="35"/>
    </row>
    <row r="3901" spans="49:49" ht="25.25" customHeight="1">
      <c r="AW3901" s="35"/>
    </row>
    <row r="3902" spans="49:49" ht="25.25" customHeight="1">
      <c r="AW3902" s="35"/>
    </row>
    <row r="3903" spans="49:49" ht="25.25" customHeight="1">
      <c r="AW3903" s="35"/>
    </row>
    <row r="3904" spans="49:49" ht="25.25" customHeight="1">
      <c r="AW3904" s="35"/>
    </row>
    <row r="3905" spans="49:49" ht="25.25" customHeight="1">
      <c r="AW3905" s="35"/>
    </row>
    <row r="3906" spans="49:49" ht="25.25" customHeight="1">
      <c r="AW3906" s="35"/>
    </row>
    <row r="3907" spans="49:49" ht="25.25" customHeight="1">
      <c r="AW3907" s="35"/>
    </row>
    <row r="3908" spans="49:49" ht="25.25" customHeight="1">
      <c r="AW3908" s="35"/>
    </row>
    <row r="3909" spans="49:49" ht="25.25" customHeight="1">
      <c r="AW3909" s="35"/>
    </row>
    <row r="3910" spans="49:49" ht="25.25" customHeight="1">
      <c r="AW3910" s="35"/>
    </row>
    <row r="3911" spans="49:49" ht="25.25" customHeight="1">
      <c r="AW3911" s="35"/>
    </row>
    <row r="3912" spans="49:49" ht="25.25" customHeight="1">
      <c r="AW3912" s="35"/>
    </row>
    <row r="3913" spans="49:49" ht="25.25" customHeight="1">
      <c r="AW3913" s="35"/>
    </row>
    <row r="3914" spans="49:49" ht="25.25" customHeight="1">
      <c r="AW3914" s="35"/>
    </row>
    <row r="3915" spans="49:49" ht="25.25" customHeight="1">
      <c r="AW3915" s="35"/>
    </row>
    <row r="3916" spans="49:49" ht="25.25" customHeight="1">
      <c r="AW3916" s="35"/>
    </row>
    <row r="3917" spans="49:49" ht="25.25" customHeight="1">
      <c r="AW3917" s="35"/>
    </row>
    <row r="3918" spans="49:49" ht="25.25" customHeight="1">
      <c r="AW3918" s="35"/>
    </row>
    <row r="3919" spans="49:49" ht="25.25" customHeight="1">
      <c r="AW3919" s="35"/>
    </row>
    <row r="3920" spans="49:49" ht="25.25" customHeight="1">
      <c r="AW3920" s="35"/>
    </row>
    <row r="3921" spans="49:49" ht="25.25" customHeight="1">
      <c r="AW3921" s="35"/>
    </row>
    <row r="3922" spans="49:49" ht="25.25" customHeight="1">
      <c r="AW3922" s="35"/>
    </row>
    <row r="3923" spans="49:49" ht="25.25" customHeight="1">
      <c r="AW3923" s="35"/>
    </row>
    <row r="3924" spans="49:49" ht="25.25" customHeight="1">
      <c r="AW3924" s="35"/>
    </row>
    <row r="3925" spans="49:49" ht="25.25" customHeight="1">
      <c r="AW3925" s="35"/>
    </row>
    <row r="3926" spans="49:49" ht="25.25" customHeight="1">
      <c r="AW3926" s="35"/>
    </row>
    <row r="3927" spans="49:49" ht="25.25" customHeight="1">
      <c r="AW3927" s="35"/>
    </row>
    <row r="3928" spans="49:49" ht="25.25" customHeight="1">
      <c r="AW3928" s="35"/>
    </row>
    <row r="3929" spans="49:49" ht="25.25" customHeight="1">
      <c r="AW3929" s="35"/>
    </row>
    <row r="3930" spans="49:49" ht="25.25" customHeight="1">
      <c r="AW3930" s="35"/>
    </row>
    <row r="3931" spans="49:49" ht="25.25" customHeight="1">
      <c r="AW3931" s="35"/>
    </row>
    <row r="3932" spans="49:49" ht="25.25" customHeight="1">
      <c r="AW3932" s="35"/>
    </row>
    <row r="3933" spans="49:49" ht="25.25" customHeight="1">
      <c r="AW3933" s="35"/>
    </row>
    <row r="3934" spans="49:49" ht="25.25" customHeight="1">
      <c r="AW3934" s="35"/>
    </row>
    <row r="3935" spans="49:49" ht="25.25" customHeight="1">
      <c r="AW3935" s="35"/>
    </row>
    <row r="3936" spans="49:49" ht="25.25" customHeight="1">
      <c r="AW3936" s="35"/>
    </row>
    <row r="3937" spans="49:49" ht="25.25" customHeight="1">
      <c r="AW3937" s="35"/>
    </row>
    <row r="3938" spans="49:49" ht="25.25" customHeight="1">
      <c r="AW3938" s="35"/>
    </row>
    <row r="3939" spans="49:49" ht="25.25" customHeight="1">
      <c r="AW3939" s="35"/>
    </row>
    <row r="3940" spans="49:49" ht="25.25" customHeight="1">
      <c r="AW3940" s="35"/>
    </row>
    <row r="3941" spans="49:49" ht="25.25" customHeight="1">
      <c r="AW3941" s="35"/>
    </row>
    <row r="3942" spans="49:49" ht="25.25" customHeight="1">
      <c r="AW3942" s="35"/>
    </row>
    <row r="3943" spans="49:49" ht="25.25" customHeight="1">
      <c r="AW3943" s="35"/>
    </row>
    <row r="3944" spans="49:49" ht="25.25" customHeight="1">
      <c r="AW3944" s="35"/>
    </row>
    <row r="3945" spans="49:49" ht="25.25" customHeight="1">
      <c r="AW3945" s="35"/>
    </row>
    <row r="3946" spans="49:49" ht="25.25" customHeight="1">
      <c r="AW3946" s="35"/>
    </row>
    <row r="3947" spans="49:49" ht="25.25" customHeight="1">
      <c r="AW3947" s="35"/>
    </row>
    <row r="3948" spans="49:49" ht="25.25" customHeight="1">
      <c r="AW3948" s="35"/>
    </row>
    <row r="3949" spans="49:49" ht="25.25" customHeight="1">
      <c r="AW3949" s="35"/>
    </row>
    <row r="3950" spans="49:49" ht="25.25" customHeight="1">
      <c r="AW3950" s="35"/>
    </row>
    <row r="3951" spans="49:49" ht="25.25" customHeight="1">
      <c r="AW3951" s="35"/>
    </row>
    <row r="3952" spans="49:49" ht="25.25" customHeight="1">
      <c r="AW3952" s="35"/>
    </row>
    <row r="3953" spans="49:49" ht="25.25" customHeight="1">
      <c r="AW3953" s="35"/>
    </row>
    <row r="3954" spans="49:49" ht="25.25" customHeight="1">
      <c r="AW3954" s="35"/>
    </row>
    <row r="3955" spans="49:49" ht="25.25" customHeight="1">
      <c r="AW3955" s="35"/>
    </row>
    <row r="3956" spans="49:49" ht="25.25" customHeight="1">
      <c r="AW3956" s="35"/>
    </row>
    <row r="3957" spans="49:49" ht="25.25" customHeight="1">
      <c r="AW3957" s="35"/>
    </row>
    <row r="3958" spans="49:49" ht="25.25" customHeight="1">
      <c r="AW3958" s="35"/>
    </row>
    <row r="3959" spans="49:49" ht="25.25" customHeight="1">
      <c r="AW3959" s="35"/>
    </row>
    <row r="3960" spans="49:49" ht="25.25" customHeight="1">
      <c r="AW3960" s="35"/>
    </row>
    <row r="3961" spans="49:49" ht="25.25" customHeight="1">
      <c r="AW3961" s="35"/>
    </row>
    <row r="3962" spans="49:49" ht="25.25" customHeight="1">
      <c r="AW3962" s="35"/>
    </row>
    <row r="3963" spans="49:49" ht="25.25" customHeight="1">
      <c r="AW3963" s="35"/>
    </row>
    <row r="3964" spans="49:49" ht="25.25" customHeight="1">
      <c r="AW3964" s="35"/>
    </row>
    <row r="3965" spans="49:49" ht="25.25" customHeight="1">
      <c r="AW3965" s="35"/>
    </row>
    <row r="3966" spans="49:49" ht="25.25" customHeight="1">
      <c r="AW3966" s="35"/>
    </row>
    <row r="3967" spans="49:49" ht="25.25" customHeight="1">
      <c r="AW3967" s="35"/>
    </row>
    <row r="3968" spans="49:49" ht="25.25" customHeight="1">
      <c r="AW3968" s="35"/>
    </row>
    <row r="3969" spans="49:49" ht="25.25" customHeight="1">
      <c r="AW3969" s="35"/>
    </row>
    <row r="3970" spans="49:49" ht="25.25" customHeight="1">
      <c r="AW3970" s="35"/>
    </row>
    <row r="3971" spans="49:49" ht="25.25" customHeight="1">
      <c r="AW3971" s="35"/>
    </row>
    <row r="3972" spans="49:49" ht="25.25" customHeight="1">
      <c r="AW3972" s="35"/>
    </row>
    <row r="3973" spans="49:49" ht="25.25" customHeight="1">
      <c r="AW3973" s="35"/>
    </row>
    <row r="3974" spans="49:49" ht="25.25" customHeight="1">
      <c r="AW3974" s="35"/>
    </row>
    <row r="3975" spans="49:49" ht="25.25" customHeight="1">
      <c r="AW3975" s="35"/>
    </row>
    <row r="3976" spans="49:49" ht="25.25" customHeight="1">
      <c r="AW3976" s="35"/>
    </row>
    <row r="3977" spans="49:49" ht="25.25" customHeight="1">
      <c r="AW3977" s="35"/>
    </row>
    <row r="3978" spans="49:49" ht="25.25" customHeight="1">
      <c r="AW3978" s="35"/>
    </row>
    <row r="3979" spans="49:49" ht="25.25" customHeight="1">
      <c r="AW3979" s="35"/>
    </row>
    <row r="3980" spans="49:49" ht="25.25" customHeight="1">
      <c r="AW3980" s="35"/>
    </row>
    <row r="3981" spans="49:49" ht="25.25" customHeight="1">
      <c r="AW3981" s="35"/>
    </row>
    <row r="3982" spans="49:49" ht="25.25" customHeight="1">
      <c r="AW3982" s="35"/>
    </row>
    <row r="3983" spans="49:49" ht="25.25" customHeight="1">
      <c r="AW3983" s="35"/>
    </row>
    <row r="3984" spans="49:49" ht="25.25" customHeight="1">
      <c r="AW3984" s="35"/>
    </row>
    <row r="3985" spans="49:49" ht="25.25" customHeight="1">
      <c r="AW3985" s="35"/>
    </row>
    <row r="3986" spans="49:49" ht="25.25" customHeight="1">
      <c r="AW3986" s="35"/>
    </row>
    <row r="3987" spans="49:49" ht="25.25" customHeight="1">
      <c r="AW3987" s="35"/>
    </row>
    <row r="3988" spans="49:49" ht="25.25" customHeight="1">
      <c r="AW3988" s="35"/>
    </row>
    <row r="3989" spans="49:49" ht="25.25" customHeight="1">
      <c r="AW3989" s="35"/>
    </row>
    <row r="3990" spans="49:49" ht="25.25" customHeight="1">
      <c r="AW3990" s="35"/>
    </row>
    <row r="3991" spans="49:49" ht="25.25" customHeight="1">
      <c r="AW3991" s="35"/>
    </row>
    <row r="3992" spans="49:49" ht="25.25" customHeight="1">
      <c r="AW3992" s="35"/>
    </row>
    <row r="3993" spans="49:49" ht="25.25" customHeight="1">
      <c r="AW3993" s="35"/>
    </row>
    <row r="3994" spans="49:49" ht="25.25" customHeight="1">
      <c r="AW3994" s="35"/>
    </row>
    <row r="3995" spans="49:49" ht="25.25" customHeight="1">
      <c r="AW3995" s="35"/>
    </row>
    <row r="3996" spans="49:49" ht="25.25" customHeight="1">
      <c r="AW3996" s="35"/>
    </row>
    <row r="3997" spans="49:49" ht="25.25" customHeight="1">
      <c r="AW3997" s="35"/>
    </row>
    <row r="3998" spans="49:49" ht="25.25" customHeight="1">
      <c r="AW3998" s="35"/>
    </row>
    <row r="3999" spans="49:49" ht="25.25" customHeight="1">
      <c r="AW3999" s="35"/>
    </row>
    <row r="4000" spans="49:49" ht="25.25" customHeight="1">
      <c r="AW4000" s="35"/>
    </row>
    <row r="4001" spans="49:49" ht="25.25" customHeight="1">
      <c r="AW4001" s="35"/>
    </row>
    <row r="4002" spans="49:49" ht="25.25" customHeight="1">
      <c r="AW4002" s="35"/>
    </row>
    <row r="4003" spans="49:49" ht="25.25" customHeight="1">
      <c r="AW4003" s="35"/>
    </row>
    <row r="4004" spans="49:49" ht="25.25" customHeight="1">
      <c r="AW4004" s="35"/>
    </row>
    <row r="4005" spans="49:49" ht="25.25" customHeight="1">
      <c r="AW4005" s="35"/>
    </row>
    <row r="4006" spans="49:49" ht="25.25" customHeight="1">
      <c r="AW4006" s="35"/>
    </row>
    <row r="4007" spans="49:49" ht="25.25" customHeight="1">
      <c r="AW4007" s="35"/>
    </row>
    <row r="4008" spans="49:49" ht="25.25" customHeight="1">
      <c r="AW4008" s="35"/>
    </row>
    <row r="4009" spans="49:49" ht="25.25" customHeight="1">
      <c r="AW4009" s="35"/>
    </row>
    <row r="4010" spans="49:49" ht="25.25" customHeight="1">
      <c r="AW4010" s="35"/>
    </row>
    <row r="4011" spans="49:49" ht="25.25" customHeight="1">
      <c r="AW4011" s="35"/>
    </row>
    <row r="4012" spans="49:49" ht="25.25" customHeight="1">
      <c r="AW4012" s="35"/>
    </row>
    <row r="4013" spans="49:49" ht="25.25" customHeight="1">
      <c r="AW4013" s="35"/>
    </row>
    <row r="4014" spans="49:49" ht="25.25" customHeight="1">
      <c r="AW4014" s="35"/>
    </row>
    <row r="4015" spans="49:49" ht="25.25" customHeight="1">
      <c r="AW4015" s="35"/>
    </row>
    <row r="4016" spans="49:49" ht="25.25" customHeight="1">
      <c r="AW4016" s="35"/>
    </row>
    <row r="4017" spans="49:49" ht="25.25" customHeight="1">
      <c r="AW4017" s="35"/>
    </row>
    <row r="4018" spans="49:49" ht="25.25" customHeight="1">
      <c r="AW4018" s="35"/>
    </row>
    <row r="4019" spans="49:49" ht="25.25" customHeight="1">
      <c r="AW4019" s="35"/>
    </row>
    <row r="4020" spans="49:49" ht="25.25" customHeight="1">
      <c r="AW4020" s="35"/>
    </row>
    <row r="4021" spans="49:49" ht="25.25" customHeight="1">
      <c r="AW4021" s="35"/>
    </row>
    <row r="4022" spans="49:49" ht="25.25" customHeight="1">
      <c r="AW4022" s="35"/>
    </row>
    <row r="4023" spans="49:49" ht="25.25" customHeight="1">
      <c r="AW4023" s="35"/>
    </row>
    <row r="4024" spans="49:49" ht="25.25" customHeight="1">
      <c r="AW4024" s="35"/>
    </row>
    <row r="4025" spans="49:49" ht="25.25" customHeight="1">
      <c r="AW4025" s="35"/>
    </row>
    <row r="4026" spans="49:49" ht="25.25" customHeight="1">
      <c r="AW4026" s="35"/>
    </row>
    <row r="4027" spans="49:49" ht="25.25" customHeight="1">
      <c r="AW4027" s="35"/>
    </row>
    <row r="4028" spans="49:49" ht="25.25" customHeight="1">
      <c r="AW4028" s="35"/>
    </row>
    <row r="4029" spans="49:49" ht="25.25" customHeight="1">
      <c r="AW4029" s="35"/>
    </row>
    <row r="4030" spans="49:49" ht="25.25" customHeight="1">
      <c r="AW4030" s="35"/>
    </row>
    <row r="4031" spans="49:49" ht="25.25" customHeight="1">
      <c r="AW4031" s="35"/>
    </row>
    <row r="4032" spans="49:49" ht="25.25" customHeight="1">
      <c r="AW4032" s="35"/>
    </row>
    <row r="4033" spans="49:49" ht="25.25" customHeight="1">
      <c r="AW4033" s="35"/>
    </row>
    <row r="4034" spans="49:49" ht="25.25" customHeight="1">
      <c r="AW4034" s="35"/>
    </row>
    <row r="4035" spans="49:49" ht="25.25" customHeight="1">
      <c r="AW4035" s="35"/>
    </row>
    <row r="4036" spans="49:49" ht="25.25" customHeight="1">
      <c r="AW4036" s="35"/>
    </row>
    <row r="4037" spans="49:49" ht="25.25" customHeight="1">
      <c r="AW4037" s="35"/>
    </row>
    <row r="4038" spans="49:49" ht="25.25" customHeight="1">
      <c r="AW4038" s="35"/>
    </row>
    <row r="4039" spans="49:49" ht="25.25" customHeight="1">
      <c r="AW4039" s="35"/>
    </row>
    <row r="4040" spans="49:49" ht="25.25" customHeight="1">
      <c r="AW4040" s="35"/>
    </row>
    <row r="4041" spans="49:49" ht="25.25" customHeight="1">
      <c r="AW4041" s="35"/>
    </row>
    <row r="4042" spans="49:49" ht="25.25" customHeight="1">
      <c r="AW4042" s="35"/>
    </row>
    <row r="4043" spans="49:49" ht="25.25" customHeight="1">
      <c r="AW4043" s="35"/>
    </row>
    <row r="4044" spans="49:49" ht="25.25" customHeight="1">
      <c r="AW4044" s="35"/>
    </row>
    <row r="4045" spans="49:49" ht="25.25" customHeight="1">
      <c r="AW4045" s="35"/>
    </row>
    <row r="4046" spans="49:49" ht="25.25" customHeight="1">
      <c r="AW4046" s="35"/>
    </row>
    <row r="4047" spans="49:49" ht="25.25" customHeight="1">
      <c r="AW4047" s="35"/>
    </row>
    <row r="4048" spans="49:49" ht="25.25" customHeight="1">
      <c r="AW4048" s="35"/>
    </row>
    <row r="4049" spans="49:49" ht="25.25" customHeight="1">
      <c r="AW4049" s="35"/>
    </row>
    <row r="4050" spans="49:49" ht="25.25" customHeight="1">
      <c r="AW4050" s="35"/>
    </row>
    <row r="4051" spans="49:49" ht="25.25" customHeight="1">
      <c r="AW4051" s="35"/>
    </row>
    <row r="4052" spans="49:49" ht="25.25" customHeight="1">
      <c r="AW4052" s="35"/>
    </row>
    <row r="4053" spans="49:49" ht="25.25" customHeight="1">
      <c r="AW4053" s="35"/>
    </row>
    <row r="4054" spans="49:49" ht="25.25" customHeight="1">
      <c r="AW4054" s="35"/>
    </row>
    <row r="4055" spans="49:49" ht="25.25" customHeight="1">
      <c r="AW4055" s="35"/>
    </row>
    <row r="4056" spans="49:49" ht="25.25" customHeight="1">
      <c r="AW4056" s="35"/>
    </row>
    <row r="4057" spans="49:49" ht="25.25" customHeight="1">
      <c r="AW4057" s="35"/>
    </row>
    <row r="4058" spans="49:49" ht="25.25" customHeight="1">
      <c r="AW4058" s="35"/>
    </row>
    <row r="4059" spans="49:49" ht="25.25" customHeight="1">
      <c r="AW4059" s="35"/>
    </row>
    <row r="4060" spans="49:49" ht="25.25" customHeight="1">
      <c r="AW4060" s="35"/>
    </row>
    <row r="4061" spans="49:49" ht="25.25" customHeight="1">
      <c r="AW4061" s="35"/>
    </row>
    <row r="4062" spans="49:49" ht="25.25" customHeight="1">
      <c r="AW4062" s="35"/>
    </row>
    <row r="4063" spans="49:49" ht="25.25" customHeight="1">
      <c r="AW4063" s="35"/>
    </row>
    <row r="4064" spans="49:49" ht="25.25" customHeight="1">
      <c r="AW4064" s="35"/>
    </row>
    <row r="4065" spans="49:49" ht="25.25" customHeight="1">
      <c r="AW4065" s="35"/>
    </row>
    <row r="4066" spans="49:49" ht="25.25" customHeight="1">
      <c r="AW4066" s="35"/>
    </row>
    <row r="4067" spans="49:49" ht="25.25" customHeight="1">
      <c r="AW4067" s="35"/>
    </row>
    <row r="4068" spans="49:49" ht="25.25" customHeight="1">
      <c r="AW4068" s="35"/>
    </row>
    <row r="4069" spans="49:49" ht="25.25" customHeight="1">
      <c r="AW4069" s="35"/>
    </row>
    <row r="4070" spans="49:49" ht="25.25" customHeight="1">
      <c r="AW4070" s="35"/>
    </row>
    <row r="4071" spans="49:49" ht="25.25" customHeight="1">
      <c r="AW4071" s="35"/>
    </row>
    <row r="4072" spans="49:49" ht="25.25" customHeight="1">
      <c r="AW4072" s="35"/>
    </row>
    <row r="4073" spans="49:49" ht="25.25" customHeight="1">
      <c r="AW4073" s="35"/>
    </row>
    <row r="4074" spans="49:49" ht="25.25" customHeight="1">
      <c r="AW4074" s="35"/>
    </row>
    <row r="4075" spans="49:49" ht="25.25" customHeight="1">
      <c r="AW4075" s="35"/>
    </row>
    <row r="4076" spans="49:49" ht="25.25" customHeight="1">
      <c r="AW4076" s="35"/>
    </row>
    <row r="4077" spans="49:49" ht="25.25" customHeight="1">
      <c r="AW4077" s="35"/>
    </row>
    <row r="4078" spans="49:49" ht="25.25" customHeight="1">
      <c r="AW4078" s="35"/>
    </row>
    <row r="4079" spans="49:49" ht="25.25" customHeight="1">
      <c r="AW4079" s="35"/>
    </row>
    <row r="4080" spans="49:49" ht="25.25" customHeight="1">
      <c r="AW4080" s="35"/>
    </row>
    <row r="4081" spans="49:49" ht="25.25" customHeight="1">
      <c r="AW4081" s="35"/>
    </row>
    <row r="4082" spans="49:49" ht="25.25" customHeight="1">
      <c r="AW4082" s="35"/>
    </row>
    <row r="4083" spans="49:49" ht="25.25" customHeight="1">
      <c r="AW4083" s="35"/>
    </row>
    <row r="4084" spans="49:49" ht="25.25" customHeight="1">
      <c r="AW4084" s="35"/>
    </row>
    <row r="4085" spans="49:49" ht="25.25" customHeight="1">
      <c r="AW4085" s="35"/>
    </row>
    <row r="4086" spans="49:49" ht="25.25" customHeight="1">
      <c r="AW4086" s="35"/>
    </row>
    <row r="4087" spans="49:49" ht="25.25" customHeight="1">
      <c r="AW4087" s="35"/>
    </row>
    <row r="4088" spans="49:49" ht="25.25" customHeight="1">
      <c r="AW4088" s="35"/>
    </row>
    <row r="4089" spans="49:49" ht="25.25" customHeight="1">
      <c r="AW4089" s="35"/>
    </row>
    <row r="4090" spans="49:49" ht="25.25" customHeight="1">
      <c r="AW4090" s="35"/>
    </row>
    <row r="4091" spans="49:49" ht="25.25" customHeight="1">
      <c r="AW4091" s="35"/>
    </row>
    <row r="4092" spans="49:49" ht="25.25" customHeight="1">
      <c r="AW4092" s="35"/>
    </row>
    <row r="4093" spans="49:49" ht="25.25" customHeight="1">
      <c r="AW4093" s="35"/>
    </row>
    <row r="4094" spans="49:49" ht="25.25" customHeight="1">
      <c r="AW4094" s="35"/>
    </row>
    <row r="4095" spans="49:49" ht="25.25" customHeight="1">
      <c r="AW4095" s="35"/>
    </row>
    <row r="4096" spans="49:49" ht="25.25" customHeight="1">
      <c r="AW4096" s="35"/>
    </row>
    <row r="4097" spans="49:49" ht="25.25" customHeight="1">
      <c r="AW4097" s="35"/>
    </row>
    <row r="4098" spans="49:49" ht="25.25" customHeight="1">
      <c r="AW4098" s="35"/>
    </row>
    <row r="4099" spans="49:49" ht="25.25" customHeight="1">
      <c r="AW4099" s="35"/>
    </row>
    <row r="4100" spans="49:49" ht="25.25" customHeight="1">
      <c r="AW4100" s="35"/>
    </row>
    <row r="4101" spans="49:49" ht="25.25" customHeight="1">
      <c r="AW4101" s="35"/>
    </row>
    <row r="4102" spans="49:49" ht="25.25" customHeight="1">
      <c r="AW4102" s="35"/>
    </row>
    <row r="4103" spans="49:49" ht="25.25" customHeight="1">
      <c r="AW4103" s="35"/>
    </row>
    <row r="4104" spans="49:49" ht="25.25" customHeight="1">
      <c r="AW4104" s="35"/>
    </row>
    <row r="4105" spans="49:49" ht="25.25" customHeight="1">
      <c r="AW4105" s="35"/>
    </row>
    <row r="4106" spans="49:49" ht="25.25" customHeight="1">
      <c r="AW4106" s="35"/>
    </row>
    <row r="4107" spans="49:49" ht="25.25" customHeight="1">
      <c r="AW4107" s="35"/>
    </row>
    <row r="4108" spans="49:49" ht="25.25" customHeight="1">
      <c r="AW4108" s="35"/>
    </row>
    <row r="4109" spans="49:49" ht="25.25" customHeight="1">
      <c r="AW4109" s="35"/>
    </row>
    <row r="4110" spans="49:49" ht="25.25" customHeight="1">
      <c r="AW4110" s="35"/>
    </row>
    <row r="4111" spans="49:49" ht="25.25" customHeight="1">
      <c r="AW4111" s="35"/>
    </row>
    <row r="4112" spans="49:49" ht="25.25" customHeight="1">
      <c r="AW4112" s="35"/>
    </row>
    <row r="4113" spans="49:49" ht="25.25" customHeight="1">
      <c r="AW4113" s="35"/>
    </row>
    <row r="4114" spans="49:49" ht="25.25" customHeight="1">
      <c r="AW4114" s="35"/>
    </row>
    <row r="4115" spans="49:49" ht="25.25" customHeight="1">
      <c r="AW4115" s="35"/>
    </row>
    <row r="4116" spans="49:49" ht="25.25" customHeight="1">
      <c r="AW4116" s="35"/>
    </row>
    <row r="4117" spans="49:49" ht="25.25" customHeight="1">
      <c r="AW4117" s="35"/>
    </row>
    <row r="4118" spans="49:49" ht="25.25" customHeight="1">
      <c r="AW4118" s="35"/>
    </row>
    <row r="4119" spans="49:49" ht="25.25" customHeight="1">
      <c r="AW4119" s="35"/>
    </row>
    <row r="4120" spans="49:49" ht="25.25" customHeight="1">
      <c r="AW4120" s="35"/>
    </row>
    <row r="4121" spans="49:49" ht="25.25" customHeight="1">
      <c r="AW4121" s="35"/>
    </row>
    <row r="4122" spans="49:49" ht="25.25" customHeight="1">
      <c r="AW4122" s="35"/>
    </row>
    <row r="4123" spans="49:49" ht="25.25" customHeight="1">
      <c r="AW4123" s="35"/>
    </row>
    <row r="4124" spans="49:49" ht="25.25" customHeight="1">
      <c r="AW4124" s="35"/>
    </row>
    <row r="4125" spans="49:49" ht="25.25" customHeight="1">
      <c r="AW4125" s="35"/>
    </row>
    <row r="4126" spans="49:49" ht="25.25" customHeight="1">
      <c r="AW4126" s="35"/>
    </row>
    <row r="4127" spans="49:49" ht="25.25" customHeight="1">
      <c r="AW4127" s="35"/>
    </row>
    <row r="4128" spans="49:49" ht="25.25" customHeight="1">
      <c r="AW4128" s="35"/>
    </row>
    <row r="4129" spans="49:49" ht="25.25" customHeight="1">
      <c r="AW4129" s="35"/>
    </row>
    <row r="4130" spans="49:49" ht="25.25" customHeight="1">
      <c r="AW4130" s="35"/>
    </row>
    <row r="4131" spans="49:49" ht="25.25" customHeight="1">
      <c r="AW4131" s="35"/>
    </row>
    <row r="4132" spans="49:49" ht="25.25" customHeight="1">
      <c r="AW4132" s="35"/>
    </row>
    <row r="4133" spans="49:49" ht="25.25" customHeight="1">
      <c r="AW4133" s="35"/>
    </row>
    <row r="4134" spans="49:49" ht="25.25" customHeight="1">
      <c r="AW4134" s="35"/>
    </row>
    <row r="4135" spans="49:49" ht="25.25" customHeight="1">
      <c r="AW4135" s="35"/>
    </row>
    <row r="4136" spans="49:49" ht="25.25" customHeight="1">
      <c r="AW4136" s="35"/>
    </row>
    <row r="4137" spans="49:49" ht="25.25" customHeight="1">
      <c r="AW4137" s="35"/>
    </row>
    <row r="4138" spans="49:49" ht="25.25" customHeight="1">
      <c r="AW4138" s="35"/>
    </row>
    <row r="4139" spans="49:49" ht="25.25" customHeight="1">
      <c r="AW4139" s="35"/>
    </row>
    <row r="4140" spans="49:49" ht="25.25" customHeight="1">
      <c r="AW4140" s="35"/>
    </row>
    <row r="4141" spans="49:49" ht="25.25" customHeight="1">
      <c r="AW4141" s="35"/>
    </row>
    <row r="4142" spans="49:49" ht="25.25" customHeight="1">
      <c r="AW4142" s="35"/>
    </row>
    <row r="4143" spans="49:49" ht="25.25" customHeight="1">
      <c r="AW4143" s="35"/>
    </row>
    <row r="4144" spans="49:49" ht="25.25" customHeight="1">
      <c r="AW4144" s="35"/>
    </row>
    <row r="4145" spans="49:49" ht="25.25" customHeight="1">
      <c r="AW4145" s="35"/>
    </row>
    <row r="4146" spans="49:49" ht="25.25" customHeight="1">
      <c r="AW4146" s="35"/>
    </row>
    <row r="4147" spans="49:49" ht="25.25" customHeight="1">
      <c r="AW4147" s="35"/>
    </row>
    <row r="4148" spans="49:49" ht="25.25" customHeight="1">
      <c r="AW4148" s="35"/>
    </row>
    <row r="4149" spans="49:49" ht="25.25" customHeight="1">
      <c r="AW4149" s="35"/>
    </row>
    <row r="4150" spans="49:49" ht="25.25" customHeight="1">
      <c r="AW4150" s="35"/>
    </row>
    <row r="4151" spans="49:49" ht="25.25" customHeight="1">
      <c r="AW4151" s="35"/>
    </row>
    <row r="4152" spans="49:49" ht="25.25" customHeight="1">
      <c r="AW4152" s="35"/>
    </row>
    <row r="4153" spans="49:49" ht="25.25" customHeight="1">
      <c r="AW4153" s="35"/>
    </row>
    <row r="4154" spans="49:49" ht="25.25" customHeight="1">
      <c r="AW4154" s="35"/>
    </row>
    <row r="4155" spans="49:49" ht="25.25" customHeight="1">
      <c r="AW4155" s="35"/>
    </row>
    <row r="4156" spans="49:49" ht="25.25" customHeight="1">
      <c r="AW4156" s="35"/>
    </row>
    <row r="4157" spans="49:49" ht="25.25" customHeight="1">
      <c r="AW4157" s="35"/>
    </row>
    <row r="4158" spans="49:49" ht="25.25" customHeight="1">
      <c r="AW4158" s="35"/>
    </row>
    <row r="4159" spans="49:49" ht="25.25" customHeight="1">
      <c r="AW4159" s="35"/>
    </row>
    <row r="4160" spans="49:49" ht="25.25" customHeight="1">
      <c r="AW4160" s="35"/>
    </row>
    <row r="4161" spans="49:49" ht="25.25" customHeight="1">
      <c r="AW4161" s="35"/>
    </row>
    <row r="4162" spans="49:49" ht="25.25" customHeight="1">
      <c r="AW4162" s="35"/>
    </row>
    <row r="4163" spans="49:49" ht="25.25" customHeight="1">
      <c r="AW4163" s="35"/>
    </row>
    <row r="4164" spans="49:49" ht="25.25" customHeight="1">
      <c r="AW4164" s="35"/>
    </row>
    <row r="4165" spans="49:49" ht="25.25" customHeight="1">
      <c r="AW4165" s="35"/>
    </row>
    <row r="4166" spans="49:49" ht="25.25" customHeight="1">
      <c r="AW4166" s="35"/>
    </row>
    <row r="4167" spans="49:49" ht="25.25" customHeight="1">
      <c r="AW4167" s="35"/>
    </row>
    <row r="4168" spans="49:49" ht="25.25" customHeight="1">
      <c r="AW4168" s="35"/>
    </row>
    <row r="4169" spans="49:49" ht="25.25" customHeight="1">
      <c r="AW4169" s="35"/>
    </row>
    <row r="4170" spans="49:49" ht="25.25" customHeight="1">
      <c r="AW4170" s="35"/>
    </row>
    <row r="4171" spans="49:49" ht="25.25" customHeight="1">
      <c r="AW4171" s="35"/>
    </row>
    <row r="4172" spans="49:49" ht="25.25" customHeight="1">
      <c r="AW4172" s="35"/>
    </row>
    <row r="4173" spans="49:49" ht="25.25" customHeight="1">
      <c r="AW4173" s="35"/>
    </row>
    <row r="4174" spans="49:49" ht="25.25" customHeight="1">
      <c r="AW4174" s="35"/>
    </row>
    <row r="4175" spans="49:49" ht="25.25" customHeight="1">
      <c r="AW4175" s="35"/>
    </row>
    <row r="4176" spans="49:49" ht="25.25" customHeight="1">
      <c r="AW4176" s="35"/>
    </row>
    <row r="4177" spans="49:49" ht="25.25" customHeight="1">
      <c r="AW4177" s="35"/>
    </row>
    <row r="4178" spans="49:49" ht="25.25" customHeight="1">
      <c r="AW4178" s="35"/>
    </row>
    <row r="4179" spans="49:49" ht="25.25" customHeight="1">
      <c r="AW4179" s="35"/>
    </row>
    <row r="4180" spans="49:49" ht="25.25" customHeight="1">
      <c r="AW4180" s="35"/>
    </row>
    <row r="4181" spans="49:49" ht="25.25" customHeight="1">
      <c r="AW4181" s="35"/>
    </row>
    <row r="4182" spans="49:49" ht="25.25" customHeight="1">
      <c r="AW4182" s="35"/>
    </row>
    <row r="4183" spans="49:49" ht="25.25" customHeight="1">
      <c r="AW4183" s="35"/>
    </row>
    <row r="4184" spans="49:49" ht="25.25" customHeight="1">
      <c r="AW4184" s="35"/>
    </row>
    <row r="4185" spans="49:49" ht="25.25" customHeight="1">
      <c r="AW4185" s="35"/>
    </row>
    <row r="4186" spans="49:49" ht="25.25" customHeight="1">
      <c r="AW4186" s="35"/>
    </row>
    <row r="4187" spans="49:49" ht="25.25" customHeight="1">
      <c r="AW4187" s="35"/>
    </row>
    <row r="4188" spans="49:49" ht="25.25" customHeight="1">
      <c r="AW4188" s="35"/>
    </row>
    <row r="4189" spans="49:49" ht="25.25" customHeight="1">
      <c r="AW4189" s="35"/>
    </row>
    <row r="4190" spans="49:49" ht="25.25" customHeight="1">
      <c r="AW4190" s="35"/>
    </row>
    <row r="4191" spans="49:49" ht="25.25" customHeight="1">
      <c r="AW4191" s="35"/>
    </row>
    <row r="4192" spans="49:49" ht="25.25" customHeight="1">
      <c r="AW4192" s="35"/>
    </row>
    <row r="4193" spans="49:49" ht="25.25" customHeight="1">
      <c r="AW4193" s="35"/>
    </row>
    <row r="4194" spans="49:49" ht="25.25" customHeight="1">
      <c r="AW4194" s="35"/>
    </row>
    <row r="4195" spans="49:49" ht="25.25" customHeight="1">
      <c r="AW4195" s="35"/>
    </row>
    <row r="4196" spans="49:49" ht="25.25" customHeight="1">
      <c r="AW4196" s="35"/>
    </row>
    <row r="4197" spans="49:49" ht="25.25" customHeight="1">
      <c r="AW4197" s="35"/>
    </row>
    <row r="4198" spans="49:49" ht="25.25" customHeight="1">
      <c r="AW4198" s="35"/>
    </row>
    <row r="4199" spans="49:49" ht="25.25" customHeight="1">
      <c r="AW4199" s="35"/>
    </row>
    <row r="4200" spans="49:49" ht="25.25" customHeight="1">
      <c r="AW4200" s="35"/>
    </row>
    <row r="4201" spans="49:49" ht="25.25" customHeight="1">
      <c r="AW4201" s="35"/>
    </row>
    <row r="4202" spans="49:49" ht="25.25" customHeight="1">
      <c r="AW4202" s="35"/>
    </row>
    <row r="4203" spans="49:49" ht="25.25" customHeight="1">
      <c r="AW4203" s="35"/>
    </row>
    <row r="4204" spans="49:49" ht="25.25" customHeight="1">
      <c r="AW4204" s="35"/>
    </row>
    <row r="4205" spans="49:49" ht="25.25" customHeight="1">
      <c r="AW4205" s="35"/>
    </row>
    <row r="4206" spans="49:49" ht="25.25" customHeight="1">
      <c r="AW4206" s="35"/>
    </row>
    <row r="4207" spans="49:49" ht="25.25" customHeight="1">
      <c r="AW4207" s="35"/>
    </row>
    <row r="4208" spans="49:49" ht="25.25" customHeight="1">
      <c r="AW4208" s="35"/>
    </row>
    <row r="4209" spans="49:49" ht="25.25" customHeight="1">
      <c r="AW4209" s="35"/>
    </row>
    <row r="4210" spans="49:49" ht="25.25" customHeight="1">
      <c r="AW4210" s="35"/>
    </row>
    <row r="4211" spans="49:49" ht="25.25" customHeight="1">
      <c r="AW4211" s="35"/>
    </row>
    <row r="4212" spans="49:49" ht="25.25" customHeight="1">
      <c r="AW4212" s="35"/>
    </row>
    <row r="4213" spans="49:49" ht="25.25" customHeight="1">
      <c r="AW4213" s="35"/>
    </row>
    <row r="4214" spans="49:49" ht="25.25" customHeight="1">
      <c r="AW4214" s="35"/>
    </row>
    <row r="4215" spans="49:49" ht="25.25" customHeight="1">
      <c r="AW4215" s="35"/>
    </row>
    <row r="4216" spans="49:49" ht="25.25" customHeight="1">
      <c r="AW4216" s="35"/>
    </row>
    <row r="4217" spans="49:49" ht="25.25" customHeight="1">
      <c r="AW4217" s="35"/>
    </row>
    <row r="4218" spans="49:49" ht="25.25" customHeight="1">
      <c r="AW4218" s="35"/>
    </row>
    <row r="4219" spans="49:49" ht="25.25" customHeight="1">
      <c r="AW4219" s="35"/>
    </row>
    <row r="4220" spans="49:49" ht="25.25" customHeight="1">
      <c r="AW4220" s="35"/>
    </row>
    <row r="4221" spans="49:49" ht="25.25" customHeight="1">
      <c r="AW4221" s="35"/>
    </row>
    <row r="4222" spans="49:49" ht="25.25" customHeight="1">
      <c r="AW4222" s="35"/>
    </row>
    <row r="4223" spans="49:49" ht="25.25" customHeight="1">
      <c r="AW4223" s="35"/>
    </row>
    <row r="4224" spans="49:49" ht="25.25" customHeight="1">
      <c r="AW4224" s="35"/>
    </row>
    <row r="4225" spans="49:49" ht="25.25" customHeight="1">
      <c r="AW4225" s="35"/>
    </row>
    <row r="4226" spans="49:49" ht="25.25" customHeight="1">
      <c r="AW4226" s="35"/>
    </row>
    <row r="4227" spans="49:49" ht="25.25" customHeight="1">
      <c r="AW4227" s="35"/>
    </row>
    <row r="4228" spans="49:49" ht="25.25" customHeight="1">
      <c r="AW4228" s="35"/>
    </row>
    <row r="4229" spans="49:49" ht="25.25" customHeight="1">
      <c r="AW4229" s="35"/>
    </row>
    <row r="4230" spans="49:49" ht="25.25" customHeight="1">
      <c r="AW4230" s="35"/>
    </row>
    <row r="4231" spans="49:49" ht="25.25" customHeight="1">
      <c r="AW4231" s="35"/>
    </row>
    <row r="4232" spans="49:49" ht="25.25" customHeight="1">
      <c r="AW4232" s="35"/>
    </row>
    <row r="4233" spans="49:49" ht="25.25" customHeight="1">
      <c r="AW4233" s="35"/>
    </row>
    <row r="4234" spans="49:49" ht="25.25" customHeight="1">
      <c r="AW4234" s="35"/>
    </row>
    <row r="4235" spans="49:49" ht="25.25" customHeight="1">
      <c r="AW4235" s="35"/>
    </row>
    <row r="4236" spans="49:49" ht="25.25" customHeight="1">
      <c r="AW4236" s="35"/>
    </row>
    <row r="4237" spans="49:49" ht="25.25" customHeight="1">
      <c r="AW4237" s="35"/>
    </row>
    <row r="4238" spans="49:49" ht="25.25" customHeight="1">
      <c r="AW4238" s="35"/>
    </row>
    <row r="4239" spans="49:49" ht="25.25" customHeight="1">
      <c r="AW4239" s="35"/>
    </row>
    <row r="4240" spans="49:49" ht="25.25" customHeight="1">
      <c r="AW4240" s="35"/>
    </row>
    <row r="4241" spans="49:49" ht="25.25" customHeight="1">
      <c r="AW4241" s="35"/>
    </row>
    <row r="4242" spans="49:49" ht="25.25" customHeight="1">
      <c r="AW4242" s="35"/>
    </row>
    <row r="4243" spans="49:49" ht="25.25" customHeight="1">
      <c r="AW4243" s="35"/>
    </row>
    <row r="4244" spans="49:49" ht="25.25" customHeight="1">
      <c r="AW4244" s="35"/>
    </row>
    <row r="4245" spans="49:49" ht="25.25" customHeight="1">
      <c r="AW4245" s="35"/>
    </row>
    <row r="4246" spans="49:49" ht="25.25" customHeight="1">
      <c r="AW4246" s="35"/>
    </row>
    <row r="4247" spans="49:49" ht="25.25" customHeight="1">
      <c r="AW4247" s="35"/>
    </row>
    <row r="4248" spans="49:49" ht="25.25" customHeight="1">
      <c r="AW4248" s="35"/>
    </row>
    <row r="4249" spans="49:49" ht="25.25" customHeight="1">
      <c r="AW4249" s="35"/>
    </row>
    <row r="4250" spans="49:49" ht="25.25" customHeight="1">
      <c r="AW4250" s="35"/>
    </row>
    <row r="4251" spans="49:49" ht="25.25" customHeight="1">
      <c r="AW4251" s="35"/>
    </row>
    <row r="4252" spans="49:49" ht="25.25" customHeight="1">
      <c r="AW4252" s="35"/>
    </row>
    <row r="4253" spans="49:49" ht="25.25" customHeight="1">
      <c r="AW4253" s="35"/>
    </row>
    <row r="4254" spans="49:49" ht="25.25" customHeight="1">
      <c r="AW4254" s="35"/>
    </row>
    <row r="4255" spans="49:49" ht="25.25" customHeight="1">
      <c r="AW4255" s="35"/>
    </row>
    <row r="4256" spans="49:49" ht="25.25" customHeight="1">
      <c r="AW4256" s="35"/>
    </row>
    <row r="4257" spans="49:49" ht="25.25" customHeight="1">
      <c r="AW4257" s="35"/>
    </row>
    <row r="4258" spans="49:49" ht="25.25" customHeight="1">
      <c r="AW4258" s="35"/>
    </row>
    <row r="4259" spans="49:49" ht="25.25" customHeight="1">
      <c r="AW4259" s="35"/>
    </row>
    <row r="4260" spans="49:49" ht="25.25" customHeight="1">
      <c r="AW4260" s="35"/>
    </row>
    <row r="4261" spans="49:49" ht="25.25" customHeight="1">
      <c r="AW4261" s="35"/>
    </row>
    <row r="4262" spans="49:49" ht="25.25" customHeight="1">
      <c r="AW4262" s="35"/>
    </row>
    <row r="4263" spans="49:49" ht="25.25" customHeight="1">
      <c r="AW4263" s="35"/>
    </row>
    <row r="4264" spans="49:49" ht="25.25" customHeight="1">
      <c r="AW4264" s="35"/>
    </row>
    <row r="4265" spans="49:49" ht="25.25" customHeight="1">
      <c r="AW4265" s="35"/>
    </row>
    <row r="4266" spans="49:49" ht="25.25" customHeight="1">
      <c r="AW4266" s="35"/>
    </row>
    <row r="4267" spans="49:49" ht="25.25" customHeight="1">
      <c r="AW4267" s="35"/>
    </row>
    <row r="4268" spans="49:49" ht="25.25" customHeight="1">
      <c r="AW4268" s="35"/>
    </row>
    <row r="4269" spans="49:49" ht="25.25" customHeight="1">
      <c r="AW4269" s="35"/>
    </row>
    <row r="4270" spans="49:49" ht="25.25" customHeight="1">
      <c r="AW4270" s="35"/>
    </row>
    <row r="4271" spans="49:49" ht="25.25" customHeight="1">
      <c r="AW4271" s="35"/>
    </row>
    <row r="4272" spans="49:49" ht="25.25" customHeight="1">
      <c r="AW4272" s="35"/>
    </row>
    <row r="4273" spans="49:49" ht="25.25" customHeight="1">
      <c r="AW4273" s="35"/>
    </row>
    <row r="4274" spans="49:49" ht="25.25" customHeight="1">
      <c r="AW4274" s="35"/>
    </row>
    <row r="4275" spans="49:49" ht="25.25" customHeight="1">
      <c r="AW4275" s="35"/>
    </row>
    <row r="4276" spans="49:49" ht="25.25" customHeight="1">
      <c r="AW4276" s="35"/>
    </row>
    <row r="4277" spans="49:49" ht="25.25" customHeight="1">
      <c r="AW4277" s="35"/>
    </row>
    <row r="4278" spans="49:49" ht="25.25" customHeight="1">
      <c r="AW4278" s="35"/>
    </row>
    <row r="4279" spans="49:49" ht="25.25" customHeight="1">
      <c r="AW4279" s="35"/>
    </row>
    <row r="4280" spans="49:49" ht="25.25" customHeight="1">
      <c r="AW4280" s="35"/>
    </row>
    <row r="4281" spans="49:49" ht="25.25" customHeight="1">
      <c r="AW4281" s="35"/>
    </row>
    <row r="4282" spans="49:49" ht="25.25" customHeight="1">
      <c r="AW4282" s="35"/>
    </row>
    <row r="4283" spans="49:49" ht="25.25" customHeight="1">
      <c r="AW4283" s="35"/>
    </row>
    <row r="4284" spans="49:49" ht="25.25" customHeight="1">
      <c r="AW4284" s="35"/>
    </row>
    <row r="4285" spans="49:49" ht="25.25" customHeight="1">
      <c r="AW4285" s="35"/>
    </row>
    <row r="4286" spans="49:49" ht="25.25" customHeight="1">
      <c r="AW4286" s="35"/>
    </row>
    <row r="4287" spans="49:49" ht="25.25" customHeight="1">
      <c r="AW4287" s="35"/>
    </row>
    <row r="4288" spans="49:49" ht="25.25" customHeight="1">
      <c r="AW4288" s="35"/>
    </row>
    <row r="4289" spans="49:49" ht="25.25" customHeight="1">
      <c r="AW4289" s="35"/>
    </row>
    <row r="4290" spans="49:49" ht="25.25" customHeight="1">
      <c r="AW4290" s="35"/>
    </row>
    <row r="4291" spans="49:49" ht="25.25" customHeight="1">
      <c r="AW4291" s="35"/>
    </row>
    <row r="4292" spans="49:49" ht="25.25" customHeight="1">
      <c r="AW4292" s="35"/>
    </row>
    <row r="4293" spans="49:49" ht="25.25" customHeight="1">
      <c r="AW4293" s="35"/>
    </row>
    <row r="4294" spans="49:49" ht="25.25" customHeight="1">
      <c r="AW4294" s="35"/>
    </row>
    <row r="4295" spans="49:49" ht="25.25" customHeight="1">
      <c r="AW4295" s="35"/>
    </row>
    <row r="4296" spans="49:49" ht="25.25" customHeight="1">
      <c r="AW4296" s="35"/>
    </row>
    <row r="4297" spans="49:49" ht="25.25" customHeight="1">
      <c r="AW4297" s="35"/>
    </row>
    <row r="4298" spans="49:49" ht="25.25" customHeight="1">
      <c r="AW4298" s="35"/>
    </row>
    <row r="4299" spans="49:49" ht="25.25" customHeight="1">
      <c r="AW4299" s="35"/>
    </row>
    <row r="4300" spans="49:49" ht="25.25" customHeight="1">
      <c r="AW4300" s="35"/>
    </row>
    <row r="4301" spans="49:49" ht="25.25" customHeight="1">
      <c r="AW4301" s="35"/>
    </row>
    <row r="4302" spans="49:49" ht="25.25" customHeight="1">
      <c r="AW4302" s="35"/>
    </row>
    <row r="4303" spans="49:49" ht="25.25" customHeight="1">
      <c r="AW4303" s="35"/>
    </row>
    <row r="4304" spans="49:49" ht="25.25" customHeight="1">
      <c r="AW4304" s="35"/>
    </row>
    <row r="4305" spans="49:49" ht="25.25" customHeight="1">
      <c r="AW4305" s="35"/>
    </row>
    <row r="4306" spans="49:49" ht="25.25" customHeight="1">
      <c r="AW4306" s="35"/>
    </row>
    <row r="4307" spans="49:49" ht="25.25" customHeight="1">
      <c r="AW4307" s="35"/>
    </row>
    <row r="4308" spans="49:49" ht="25.25" customHeight="1">
      <c r="AW4308" s="35"/>
    </row>
    <row r="4309" spans="49:49" ht="25.25" customHeight="1">
      <c r="AW4309" s="35"/>
    </row>
    <row r="4310" spans="49:49" ht="25.25" customHeight="1">
      <c r="AW4310" s="35"/>
    </row>
    <row r="4311" spans="49:49" ht="25.25" customHeight="1">
      <c r="AW4311" s="35"/>
    </row>
    <row r="4312" spans="49:49" ht="25.25" customHeight="1">
      <c r="AW4312" s="35"/>
    </row>
    <row r="4313" spans="49:49" ht="25.25" customHeight="1">
      <c r="AW4313" s="35"/>
    </row>
    <row r="4314" spans="49:49" ht="25.25" customHeight="1">
      <c r="AW4314" s="35"/>
    </row>
    <row r="4315" spans="49:49" ht="25.25" customHeight="1">
      <c r="AW4315" s="35"/>
    </row>
    <row r="4316" spans="49:49" ht="25.25" customHeight="1">
      <c r="AW4316" s="35"/>
    </row>
    <row r="4317" spans="49:49" ht="25.25" customHeight="1">
      <c r="AW4317" s="35"/>
    </row>
    <row r="4318" spans="49:49" ht="25.25" customHeight="1">
      <c r="AW4318" s="35"/>
    </row>
    <row r="4319" spans="49:49" ht="25.25" customHeight="1">
      <c r="AW4319" s="35"/>
    </row>
    <row r="4320" spans="49:49" ht="25.25" customHeight="1">
      <c r="AW4320" s="35"/>
    </row>
    <row r="4321" spans="49:49" ht="25.25" customHeight="1">
      <c r="AW4321" s="35"/>
    </row>
    <row r="4322" spans="49:49" ht="25.25" customHeight="1">
      <c r="AW4322" s="35"/>
    </row>
    <row r="4323" spans="49:49" ht="25.25" customHeight="1">
      <c r="AW4323" s="35"/>
    </row>
    <row r="4324" spans="49:49" ht="25.25" customHeight="1">
      <c r="AW4324" s="35"/>
    </row>
    <row r="4325" spans="49:49" ht="25.25" customHeight="1">
      <c r="AW4325" s="35"/>
    </row>
    <row r="4326" spans="49:49" ht="25.25" customHeight="1">
      <c r="AW4326" s="35"/>
    </row>
    <row r="4327" spans="49:49" ht="25.25" customHeight="1">
      <c r="AW4327" s="35"/>
    </row>
    <row r="4328" spans="49:49" ht="25.25" customHeight="1">
      <c r="AW4328" s="35"/>
    </row>
    <row r="4329" spans="49:49" ht="25.25" customHeight="1">
      <c r="AW4329" s="35"/>
    </row>
    <row r="4330" spans="49:49" ht="25.25" customHeight="1">
      <c r="AW4330" s="35"/>
    </row>
    <row r="4331" spans="49:49" ht="25.25" customHeight="1">
      <c r="AW4331" s="35"/>
    </row>
    <row r="4332" spans="49:49" ht="25.25" customHeight="1">
      <c r="AW4332" s="35"/>
    </row>
    <row r="4333" spans="49:49" ht="25.25" customHeight="1">
      <c r="AW4333" s="35"/>
    </row>
    <row r="4334" spans="49:49" ht="25.25" customHeight="1">
      <c r="AW4334" s="35"/>
    </row>
    <row r="4335" spans="49:49" ht="25.25" customHeight="1">
      <c r="AW4335" s="35"/>
    </row>
    <row r="4336" spans="49:49" ht="25.25" customHeight="1">
      <c r="AW4336" s="35"/>
    </row>
    <row r="4337" spans="49:49" ht="25.25" customHeight="1">
      <c r="AW4337" s="35"/>
    </row>
    <row r="4338" spans="49:49" ht="25.25" customHeight="1">
      <c r="AW4338" s="35"/>
    </row>
    <row r="4339" spans="49:49" ht="25.25" customHeight="1">
      <c r="AW4339" s="35"/>
    </row>
    <row r="4340" spans="49:49" ht="25.25" customHeight="1">
      <c r="AW4340" s="35"/>
    </row>
    <row r="4341" spans="49:49" ht="25.25" customHeight="1">
      <c r="AW4341" s="35"/>
    </row>
    <row r="4342" spans="49:49" ht="25.25" customHeight="1">
      <c r="AW4342" s="35"/>
    </row>
    <row r="4343" spans="49:49" ht="25.25" customHeight="1">
      <c r="AW4343" s="35"/>
    </row>
    <row r="4344" spans="49:49" ht="25.25" customHeight="1">
      <c r="AW4344" s="35"/>
    </row>
    <row r="4345" spans="49:49" ht="25.25" customHeight="1">
      <c r="AW4345" s="35"/>
    </row>
    <row r="4346" spans="49:49" ht="25.25" customHeight="1">
      <c r="AW4346" s="35"/>
    </row>
    <row r="4347" spans="49:49" ht="25.25" customHeight="1">
      <c r="AW4347" s="35"/>
    </row>
    <row r="4348" spans="49:49" ht="25.25" customHeight="1">
      <c r="AW4348" s="35"/>
    </row>
    <row r="4349" spans="49:49" ht="25.25" customHeight="1">
      <c r="AW4349" s="35"/>
    </row>
    <row r="4350" spans="49:49" ht="25.25" customHeight="1">
      <c r="AW4350" s="35"/>
    </row>
    <row r="4351" spans="49:49" ht="25.25" customHeight="1">
      <c r="AW4351" s="35"/>
    </row>
    <row r="4352" spans="49:49" ht="25.25" customHeight="1">
      <c r="AW4352" s="35"/>
    </row>
    <row r="4353" spans="49:49" ht="25.25" customHeight="1">
      <c r="AW4353" s="35"/>
    </row>
    <row r="4354" spans="49:49" ht="25.25" customHeight="1">
      <c r="AW4354" s="35"/>
    </row>
    <row r="4355" spans="49:49" ht="25.25" customHeight="1">
      <c r="AW4355" s="35"/>
    </row>
    <row r="4356" spans="49:49" ht="25.25" customHeight="1">
      <c r="AW4356" s="35"/>
    </row>
    <row r="4357" spans="49:49" ht="25.25" customHeight="1">
      <c r="AW4357" s="35"/>
    </row>
    <row r="4358" spans="49:49" ht="25.25" customHeight="1">
      <c r="AW4358" s="35"/>
    </row>
    <row r="4359" spans="49:49" ht="25.25" customHeight="1">
      <c r="AW4359" s="35"/>
    </row>
    <row r="4360" spans="49:49" ht="25.25" customHeight="1">
      <c r="AW4360" s="35"/>
    </row>
    <row r="4361" spans="49:49" ht="25.25" customHeight="1">
      <c r="AW4361" s="35"/>
    </row>
    <row r="4362" spans="49:49" ht="25.25" customHeight="1">
      <c r="AW4362" s="35"/>
    </row>
    <row r="4363" spans="49:49" ht="25.25" customHeight="1">
      <c r="AW4363" s="35"/>
    </row>
    <row r="4364" spans="49:49" ht="25.25" customHeight="1">
      <c r="AW4364" s="35"/>
    </row>
    <row r="4365" spans="49:49" ht="25.25" customHeight="1">
      <c r="AW4365" s="35"/>
    </row>
    <row r="4366" spans="49:49" ht="25.25" customHeight="1">
      <c r="AW4366" s="35"/>
    </row>
    <row r="4367" spans="49:49" ht="25.25" customHeight="1">
      <c r="AW4367" s="35"/>
    </row>
    <row r="4368" spans="49:49" ht="25.25" customHeight="1">
      <c r="AW4368" s="35"/>
    </row>
    <row r="4369" spans="49:49" ht="25.25" customHeight="1">
      <c r="AW4369" s="35"/>
    </row>
    <row r="4370" spans="49:49" ht="25.25" customHeight="1">
      <c r="AW4370" s="35"/>
    </row>
    <row r="4371" spans="49:49" ht="25.25" customHeight="1">
      <c r="AW4371" s="35"/>
    </row>
    <row r="4372" spans="49:49" ht="25.25" customHeight="1">
      <c r="AW4372" s="35"/>
    </row>
    <row r="4373" spans="49:49" ht="25.25" customHeight="1">
      <c r="AW4373" s="35"/>
    </row>
    <row r="4374" spans="49:49" ht="25.25" customHeight="1">
      <c r="AW4374" s="35"/>
    </row>
    <row r="4375" spans="49:49" ht="25.25" customHeight="1">
      <c r="AW4375" s="35"/>
    </row>
    <row r="4376" spans="49:49" ht="25.25" customHeight="1">
      <c r="AW4376" s="35"/>
    </row>
    <row r="4377" spans="49:49" ht="25.25" customHeight="1">
      <c r="AW4377" s="35"/>
    </row>
    <row r="4378" spans="49:49" ht="25.25" customHeight="1">
      <c r="AW4378" s="35"/>
    </row>
    <row r="4379" spans="49:49" ht="25.25" customHeight="1">
      <c r="AW4379" s="35"/>
    </row>
    <row r="4380" spans="49:49" ht="25.25" customHeight="1">
      <c r="AW4380" s="35"/>
    </row>
    <row r="4381" spans="49:49" ht="25.25" customHeight="1">
      <c r="AW4381" s="35"/>
    </row>
    <row r="4382" spans="49:49" ht="25.25" customHeight="1">
      <c r="AW4382" s="35"/>
    </row>
    <row r="4383" spans="49:49" ht="25.25" customHeight="1">
      <c r="AW4383" s="35"/>
    </row>
    <row r="4384" spans="49:49" ht="25.25" customHeight="1">
      <c r="AW4384" s="35"/>
    </row>
    <row r="4385" spans="49:49" ht="25.25" customHeight="1">
      <c r="AW4385" s="35"/>
    </row>
    <row r="4386" spans="49:49" ht="25.25" customHeight="1">
      <c r="AW4386" s="35"/>
    </row>
    <row r="4387" spans="49:49" ht="25.25" customHeight="1">
      <c r="AW4387" s="35"/>
    </row>
    <row r="4388" spans="49:49" ht="25.25" customHeight="1">
      <c r="AW4388" s="35"/>
    </row>
    <row r="4389" spans="49:49" ht="25.25" customHeight="1">
      <c r="AW4389" s="35"/>
    </row>
    <row r="4390" spans="49:49" ht="25.25" customHeight="1">
      <c r="AW4390" s="35"/>
    </row>
    <row r="4391" spans="49:49" ht="25.25" customHeight="1">
      <c r="AW4391" s="35"/>
    </row>
    <row r="4392" spans="49:49" ht="25.25" customHeight="1">
      <c r="AW4392" s="35"/>
    </row>
    <row r="4393" spans="49:49" ht="25.25" customHeight="1">
      <c r="AW4393" s="35"/>
    </row>
    <row r="4394" spans="49:49" ht="25.25" customHeight="1">
      <c r="AW4394" s="35"/>
    </row>
    <row r="4395" spans="49:49" ht="25.25" customHeight="1">
      <c r="AW4395" s="35"/>
    </row>
    <row r="4396" spans="49:49" ht="25.25" customHeight="1">
      <c r="AW4396" s="35"/>
    </row>
    <row r="4397" spans="49:49" ht="25.25" customHeight="1">
      <c r="AW4397" s="35"/>
    </row>
    <row r="4398" spans="49:49" ht="25.25" customHeight="1">
      <c r="AW4398" s="35"/>
    </row>
    <row r="4399" spans="49:49" ht="25.25" customHeight="1">
      <c r="AW4399" s="35"/>
    </row>
    <row r="4400" spans="49:49" ht="25.25" customHeight="1">
      <c r="AW4400" s="35"/>
    </row>
    <row r="4401" spans="49:49" ht="25.25" customHeight="1">
      <c r="AW4401" s="35"/>
    </row>
    <row r="4402" spans="49:49" ht="25.25" customHeight="1">
      <c r="AW4402" s="35"/>
    </row>
    <row r="4403" spans="49:49" ht="25.25" customHeight="1">
      <c r="AW4403" s="35"/>
    </row>
    <row r="4404" spans="49:49" ht="25.25" customHeight="1">
      <c r="AW4404" s="35"/>
    </row>
    <row r="4405" spans="49:49" ht="25.25" customHeight="1">
      <c r="AW4405" s="35"/>
    </row>
    <row r="4406" spans="49:49" ht="25.25" customHeight="1">
      <c r="AW4406" s="35"/>
    </row>
    <row r="4407" spans="49:49" ht="25.25" customHeight="1">
      <c r="AW4407" s="35"/>
    </row>
    <row r="4408" spans="49:49" ht="25.25" customHeight="1">
      <c r="AW4408" s="35"/>
    </row>
    <row r="4409" spans="49:49" ht="25.25" customHeight="1">
      <c r="AW4409" s="35"/>
    </row>
    <row r="4410" spans="49:49" ht="25.25" customHeight="1">
      <c r="AW4410" s="35"/>
    </row>
    <row r="4411" spans="49:49" ht="25.25" customHeight="1">
      <c r="AW4411" s="35"/>
    </row>
    <row r="4412" spans="49:49" ht="25.25" customHeight="1">
      <c r="AW4412" s="35"/>
    </row>
    <row r="4413" spans="49:49" ht="25.25" customHeight="1">
      <c r="AW4413" s="35"/>
    </row>
    <row r="4414" spans="49:49" ht="25.25" customHeight="1">
      <c r="AW4414" s="35"/>
    </row>
    <row r="4415" spans="49:49" ht="25.25" customHeight="1">
      <c r="AW4415" s="35"/>
    </row>
    <row r="4416" spans="49:49" ht="25.25" customHeight="1">
      <c r="AW4416" s="35"/>
    </row>
    <row r="4417" spans="49:49" ht="25.25" customHeight="1">
      <c r="AW4417" s="35"/>
    </row>
    <row r="4418" spans="49:49" ht="25.25" customHeight="1">
      <c r="AW4418" s="35"/>
    </row>
    <row r="4419" spans="49:49" ht="25.25" customHeight="1">
      <c r="AW4419" s="35"/>
    </row>
    <row r="4420" spans="49:49" ht="25.25" customHeight="1">
      <c r="AW4420" s="35"/>
    </row>
    <row r="4421" spans="49:49" ht="25.25" customHeight="1">
      <c r="AW4421" s="35"/>
    </row>
    <row r="4422" spans="49:49" ht="25.25" customHeight="1">
      <c r="AW4422" s="35"/>
    </row>
    <row r="4423" spans="49:49" ht="25.25" customHeight="1">
      <c r="AW4423" s="35"/>
    </row>
    <row r="4424" spans="49:49" ht="25.25" customHeight="1">
      <c r="AW4424" s="35"/>
    </row>
    <row r="4425" spans="49:49" ht="25.25" customHeight="1">
      <c r="AW4425" s="35"/>
    </row>
    <row r="4426" spans="49:49" ht="25.25" customHeight="1">
      <c r="AW4426" s="35"/>
    </row>
    <row r="4427" spans="49:49" ht="25.25" customHeight="1">
      <c r="AW4427" s="35"/>
    </row>
    <row r="4428" spans="49:49" ht="25.25" customHeight="1">
      <c r="AW4428" s="35"/>
    </row>
    <row r="4429" spans="49:49" ht="25.25" customHeight="1">
      <c r="AW4429" s="35"/>
    </row>
    <row r="4430" spans="49:49" ht="25.25" customHeight="1">
      <c r="AW4430" s="35"/>
    </row>
    <row r="4431" spans="49:49" ht="25.25" customHeight="1">
      <c r="AW4431" s="35"/>
    </row>
    <row r="4432" spans="49:49" ht="25.25" customHeight="1">
      <c r="AW4432" s="35"/>
    </row>
    <row r="4433" spans="49:49" ht="25.25" customHeight="1">
      <c r="AW4433" s="35"/>
    </row>
    <row r="4434" spans="49:49" ht="25.25" customHeight="1">
      <c r="AW4434" s="35"/>
    </row>
    <row r="4435" spans="49:49" ht="25.25" customHeight="1">
      <c r="AW4435" s="35"/>
    </row>
    <row r="4436" spans="49:49" ht="25.25" customHeight="1">
      <c r="AW4436" s="35"/>
    </row>
    <row r="4437" spans="49:49" ht="25.25" customHeight="1">
      <c r="AW4437" s="35"/>
    </row>
    <row r="4438" spans="49:49" ht="25.25" customHeight="1">
      <c r="AW4438" s="35"/>
    </row>
    <row r="4439" spans="49:49" ht="25.25" customHeight="1">
      <c r="AW4439" s="35"/>
    </row>
    <row r="4440" spans="49:49" ht="25.25" customHeight="1">
      <c r="AW4440" s="35"/>
    </row>
    <row r="4441" spans="49:49" ht="25.25" customHeight="1">
      <c r="AW4441" s="35"/>
    </row>
    <row r="4442" spans="49:49" ht="25.25" customHeight="1">
      <c r="AW4442" s="35"/>
    </row>
    <row r="4443" spans="49:49" ht="25.25" customHeight="1">
      <c r="AW4443" s="35"/>
    </row>
    <row r="4444" spans="49:49" ht="25.25" customHeight="1">
      <c r="AW4444" s="35"/>
    </row>
    <row r="4445" spans="49:49" ht="25.25" customHeight="1">
      <c r="AW4445" s="35"/>
    </row>
    <row r="4446" spans="49:49" ht="25.25" customHeight="1">
      <c r="AW4446" s="35"/>
    </row>
    <row r="4447" spans="49:49" ht="25.25" customHeight="1">
      <c r="AW4447" s="35"/>
    </row>
    <row r="4448" spans="49:49" ht="25.25" customHeight="1">
      <c r="AW4448" s="35"/>
    </row>
    <row r="4449" spans="49:49" ht="25.25" customHeight="1">
      <c r="AW4449" s="35"/>
    </row>
    <row r="4450" spans="49:49" ht="25.25" customHeight="1">
      <c r="AW4450" s="35"/>
    </row>
    <row r="4451" spans="49:49" ht="25.25" customHeight="1">
      <c r="AW4451" s="35"/>
    </row>
    <row r="4452" spans="49:49" ht="25.25" customHeight="1">
      <c r="AW4452" s="35"/>
    </row>
    <row r="4453" spans="49:49" ht="25.25" customHeight="1">
      <c r="AW4453" s="35"/>
    </row>
    <row r="4454" spans="49:49" ht="25.25" customHeight="1">
      <c r="AW4454" s="35"/>
    </row>
    <row r="4455" spans="49:49" ht="25.25" customHeight="1">
      <c r="AW4455" s="35"/>
    </row>
    <row r="4456" spans="49:49" ht="25.25" customHeight="1">
      <c r="AW4456" s="35"/>
    </row>
    <row r="4457" spans="49:49" ht="25.25" customHeight="1">
      <c r="AW4457" s="35"/>
    </row>
    <row r="4458" spans="49:49" ht="25.25" customHeight="1">
      <c r="AW4458" s="35"/>
    </row>
    <row r="4459" spans="49:49" ht="25.25" customHeight="1">
      <c r="AW4459" s="35"/>
    </row>
    <row r="4460" spans="49:49" ht="25.25" customHeight="1">
      <c r="AW4460" s="35"/>
    </row>
    <row r="4461" spans="49:49" ht="25.25" customHeight="1">
      <c r="AW4461" s="35"/>
    </row>
    <row r="4462" spans="49:49" ht="25.25" customHeight="1">
      <c r="AW4462" s="35"/>
    </row>
    <row r="4463" spans="49:49" ht="25.25" customHeight="1">
      <c r="AW4463" s="35"/>
    </row>
    <row r="4464" spans="49:49" ht="25.25" customHeight="1">
      <c r="AW4464" s="35"/>
    </row>
    <row r="4465" spans="49:49" ht="25.25" customHeight="1">
      <c r="AW4465" s="35"/>
    </row>
    <row r="4466" spans="49:49" ht="25.25" customHeight="1">
      <c r="AW4466" s="35"/>
    </row>
    <row r="4467" spans="49:49" ht="25.25" customHeight="1">
      <c r="AW4467" s="35"/>
    </row>
    <row r="4468" spans="49:49" ht="25.25" customHeight="1">
      <c r="AW4468" s="35"/>
    </row>
    <row r="4469" spans="49:49" ht="25.25" customHeight="1">
      <c r="AW4469" s="35"/>
    </row>
    <row r="4470" spans="49:49" ht="25.25" customHeight="1">
      <c r="AW4470" s="35"/>
    </row>
    <row r="4471" spans="49:49" ht="25.25" customHeight="1">
      <c r="AW4471" s="35"/>
    </row>
    <row r="4472" spans="49:49" ht="25.25" customHeight="1">
      <c r="AW4472" s="35"/>
    </row>
    <row r="4473" spans="49:49" ht="25.25" customHeight="1">
      <c r="AW4473" s="35"/>
    </row>
    <row r="4474" spans="49:49" ht="25.25" customHeight="1">
      <c r="AW4474" s="35"/>
    </row>
    <row r="4475" spans="49:49" ht="25.25" customHeight="1">
      <c r="AW4475" s="35"/>
    </row>
    <row r="4476" spans="49:49" ht="25.25" customHeight="1">
      <c r="AW4476" s="35"/>
    </row>
    <row r="4477" spans="49:49" ht="25.25" customHeight="1">
      <c r="AW4477" s="35"/>
    </row>
    <row r="4478" spans="49:49" ht="25.25" customHeight="1">
      <c r="AW4478" s="35"/>
    </row>
    <row r="4479" spans="49:49" ht="25.25" customHeight="1">
      <c r="AW4479" s="35"/>
    </row>
    <row r="4480" spans="49:49" ht="25.25" customHeight="1">
      <c r="AW4480" s="35"/>
    </row>
    <row r="4481" spans="49:49" ht="25.25" customHeight="1">
      <c r="AW4481" s="35"/>
    </row>
    <row r="4482" spans="49:49" ht="25.25" customHeight="1">
      <c r="AW4482" s="35"/>
    </row>
    <row r="4483" spans="49:49" ht="25.25" customHeight="1">
      <c r="AW4483" s="35"/>
    </row>
    <row r="4484" spans="49:49" ht="25.25" customHeight="1">
      <c r="AW4484" s="35"/>
    </row>
    <row r="4485" spans="49:49" ht="25.25" customHeight="1">
      <c r="AW4485" s="35"/>
    </row>
    <row r="4486" spans="49:49" ht="25.25" customHeight="1">
      <c r="AW4486" s="35"/>
    </row>
    <row r="4487" spans="49:49" ht="25.25" customHeight="1">
      <c r="AW4487" s="35"/>
    </row>
    <row r="4488" spans="49:49" ht="25.25" customHeight="1">
      <c r="AW4488" s="35"/>
    </row>
    <row r="4489" spans="49:49" ht="25.25" customHeight="1">
      <c r="AW4489" s="35"/>
    </row>
    <row r="4490" spans="49:49" ht="25.25" customHeight="1">
      <c r="AW4490" s="35"/>
    </row>
    <row r="4491" spans="49:49" ht="25.25" customHeight="1">
      <c r="AW4491" s="35"/>
    </row>
    <row r="4492" spans="49:49" ht="25.25" customHeight="1">
      <c r="AW4492" s="35"/>
    </row>
    <row r="4493" spans="49:49" ht="25.25" customHeight="1">
      <c r="AW4493" s="35"/>
    </row>
    <row r="4494" spans="49:49" ht="25.25" customHeight="1">
      <c r="AW4494" s="35"/>
    </row>
    <row r="4495" spans="49:49" ht="25.25" customHeight="1">
      <c r="AW4495" s="35"/>
    </row>
    <row r="4496" spans="49:49" ht="25.25" customHeight="1">
      <c r="AW4496" s="35"/>
    </row>
    <row r="4497" spans="49:49" ht="25.25" customHeight="1">
      <c r="AW4497" s="35"/>
    </row>
    <row r="4498" spans="49:49" ht="25.25" customHeight="1">
      <c r="AW4498" s="35"/>
    </row>
    <row r="4499" spans="49:49" ht="25.25" customHeight="1">
      <c r="AW4499" s="35"/>
    </row>
    <row r="4500" spans="49:49" ht="25.25" customHeight="1">
      <c r="AW4500" s="35"/>
    </row>
    <row r="4501" spans="49:49" ht="25.25" customHeight="1">
      <c r="AW4501" s="35"/>
    </row>
    <row r="4502" spans="49:49" ht="25.25" customHeight="1">
      <c r="AW4502" s="35"/>
    </row>
    <row r="4503" spans="49:49" ht="25.25" customHeight="1">
      <c r="AW4503" s="35"/>
    </row>
    <row r="4504" spans="49:49" ht="25.25" customHeight="1">
      <c r="AW4504" s="35"/>
    </row>
    <row r="4505" spans="49:49" ht="25.25" customHeight="1">
      <c r="AW4505" s="35"/>
    </row>
    <row r="4506" spans="49:49" ht="25.25" customHeight="1">
      <c r="AW4506" s="35"/>
    </row>
    <row r="4507" spans="49:49" ht="25.25" customHeight="1">
      <c r="AW4507" s="35"/>
    </row>
    <row r="4508" spans="49:49" ht="25.25" customHeight="1">
      <c r="AW4508" s="35"/>
    </row>
    <row r="4509" spans="49:49" ht="25.25" customHeight="1">
      <c r="AW4509" s="35"/>
    </row>
    <row r="4510" spans="49:49" ht="25.25" customHeight="1">
      <c r="AW4510" s="35"/>
    </row>
    <row r="4511" spans="49:49" ht="25.25" customHeight="1">
      <c r="AW4511" s="35"/>
    </row>
    <row r="4512" spans="49:49" ht="25.25" customHeight="1">
      <c r="AW4512" s="35"/>
    </row>
    <row r="4513" spans="49:49" ht="25.25" customHeight="1">
      <c r="AW4513" s="35"/>
    </row>
    <row r="4514" spans="49:49" ht="25.25" customHeight="1">
      <c r="AW4514" s="35"/>
    </row>
    <row r="4515" spans="49:49" ht="25.25" customHeight="1">
      <c r="AW4515" s="35"/>
    </row>
    <row r="4516" spans="49:49" ht="25.25" customHeight="1">
      <c r="AW4516" s="35"/>
    </row>
    <row r="4517" spans="49:49" ht="25.25" customHeight="1">
      <c r="AW4517" s="35"/>
    </row>
    <row r="4518" spans="49:49" ht="25.25" customHeight="1">
      <c r="AW4518" s="35"/>
    </row>
    <row r="4519" spans="49:49" ht="25.25" customHeight="1">
      <c r="AW4519" s="35"/>
    </row>
    <row r="4520" spans="49:49" ht="25.25" customHeight="1">
      <c r="AW4520" s="35"/>
    </row>
    <row r="4521" spans="49:49" ht="25.25" customHeight="1">
      <c r="AW4521" s="35"/>
    </row>
    <row r="4522" spans="49:49" ht="25.25" customHeight="1">
      <c r="AW4522" s="35"/>
    </row>
    <row r="4523" spans="49:49" ht="25.25" customHeight="1">
      <c r="AW4523" s="35"/>
    </row>
    <row r="4524" spans="49:49" ht="25.25" customHeight="1">
      <c r="AW4524" s="35"/>
    </row>
    <row r="4525" spans="49:49" ht="25.25" customHeight="1">
      <c r="AW4525" s="35"/>
    </row>
    <row r="4526" spans="49:49" ht="25.25" customHeight="1">
      <c r="AW4526" s="35"/>
    </row>
    <row r="4527" spans="49:49" ht="25.25" customHeight="1">
      <c r="AW4527" s="35"/>
    </row>
    <row r="4528" spans="49:49" ht="25.25" customHeight="1">
      <c r="AW4528" s="35"/>
    </row>
    <row r="4529" spans="49:49" ht="25.25" customHeight="1">
      <c r="AW4529" s="35"/>
    </row>
    <row r="4530" spans="49:49" ht="25.25" customHeight="1">
      <c r="AW4530" s="35"/>
    </row>
    <row r="4531" spans="49:49" ht="25.25" customHeight="1">
      <c r="AW4531" s="35"/>
    </row>
    <row r="4532" spans="49:49" ht="25.25" customHeight="1">
      <c r="AW4532" s="35"/>
    </row>
    <row r="4533" spans="49:49" ht="25.25" customHeight="1">
      <c r="AW4533" s="35"/>
    </row>
    <row r="4534" spans="49:49" ht="25.25" customHeight="1">
      <c r="AW4534" s="35"/>
    </row>
    <row r="4535" spans="49:49" ht="25.25" customHeight="1">
      <c r="AW4535" s="35"/>
    </row>
    <row r="4536" spans="49:49" ht="25.25" customHeight="1">
      <c r="AW4536" s="35"/>
    </row>
    <row r="4537" spans="49:49" ht="25.25" customHeight="1">
      <c r="AW4537" s="35"/>
    </row>
    <row r="4538" spans="49:49" ht="25.25" customHeight="1">
      <c r="AW4538" s="35"/>
    </row>
    <row r="4539" spans="49:49" ht="25.25" customHeight="1">
      <c r="AW4539" s="35"/>
    </row>
    <row r="4540" spans="49:49" ht="25.25" customHeight="1">
      <c r="AW4540" s="35"/>
    </row>
    <row r="4541" spans="49:49" ht="25.25" customHeight="1">
      <c r="AW4541" s="35"/>
    </row>
    <row r="4542" spans="49:49" ht="25.25" customHeight="1">
      <c r="AW4542" s="35"/>
    </row>
    <row r="4543" spans="49:49" ht="25.25" customHeight="1">
      <c r="AW4543" s="35"/>
    </row>
    <row r="4544" spans="49:49" ht="25.25" customHeight="1">
      <c r="AW4544" s="35"/>
    </row>
    <row r="4545" spans="49:49" ht="25.25" customHeight="1">
      <c r="AW4545" s="35"/>
    </row>
    <row r="4546" spans="49:49" ht="25.25" customHeight="1">
      <c r="AW4546" s="35"/>
    </row>
    <row r="4547" spans="49:49" ht="25.25" customHeight="1">
      <c r="AW4547" s="35"/>
    </row>
    <row r="4548" spans="49:49" ht="25.25" customHeight="1">
      <c r="AW4548" s="35"/>
    </row>
    <row r="4549" spans="49:49" ht="25.25" customHeight="1">
      <c r="AW4549" s="35"/>
    </row>
    <row r="4550" spans="49:49" ht="25.25" customHeight="1">
      <c r="AW4550" s="35"/>
    </row>
    <row r="4551" spans="49:49" ht="25.25" customHeight="1">
      <c r="AW4551" s="35"/>
    </row>
    <row r="4552" spans="49:49" ht="25.25" customHeight="1">
      <c r="AW4552" s="35"/>
    </row>
    <row r="4553" spans="49:49" ht="25.25" customHeight="1">
      <c r="AW4553" s="35"/>
    </row>
    <row r="4554" spans="49:49" ht="25.25" customHeight="1">
      <c r="AW4554" s="35"/>
    </row>
    <row r="4555" spans="49:49" ht="25.25" customHeight="1">
      <c r="AW4555" s="35"/>
    </row>
    <row r="4556" spans="49:49" ht="25.25" customHeight="1">
      <c r="AW4556" s="35"/>
    </row>
    <row r="4557" spans="49:49" ht="25.25" customHeight="1">
      <c r="AW4557" s="35"/>
    </row>
    <row r="4558" spans="49:49" ht="25.25" customHeight="1">
      <c r="AW4558" s="35"/>
    </row>
    <row r="4559" spans="49:49" ht="25.25" customHeight="1">
      <c r="AW4559" s="35"/>
    </row>
    <row r="4560" spans="49:49" ht="25.25" customHeight="1">
      <c r="AW4560" s="35"/>
    </row>
    <row r="4561" spans="49:49" ht="25.25" customHeight="1">
      <c r="AW4561" s="35"/>
    </row>
    <row r="4562" spans="49:49" ht="25.25" customHeight="1">
      <c r="AW4562" s="35"/>
    </row>
    <row r="4563" spans="49:49" ht="25.25" customHeight="1">
      <c r="AW4563" s="35"/>
    </row>
    <row r="4564" spans="49:49" ht="25.25" customHeight="1">
      <c r="AW4564" s="35"/>
    </row>
    <row r="4565" spans="49:49" ht="25.25" customHeight="1">
      <c r="AW4565" s="35"/>
    </row>
    <row r="4566" spans="49:49" ht="25.25" customHeight="1">
      <c r="AW4566" s="35"/>
    </row>
    <row r="4567" spans="49:49" ht="25.25" customHeight="1">
      <c r="AW4567" s="35"/>
    </row>
    <row r="4568" spans="49:49" ht="25.25" customHeight="1">
      <c r="AW4568" s="35"/>
    </row>
    <row r="4569" spans="49:49" ht="25.25" customHeight="1">
      <c r="AW4569" s="35"/>
    </row>
    <row r="4570" spans="49:49" ht="25.25" customHeight="1">
      <c r="AW4570" s="35"/>
    </row>
    <row r="4571" spans="49:49" ht="25.25" customHeight="1">
      <c r="AW4571" s="35"/>
    </row>
    <row r="4572" spans="49:49" ht="25.25" customHeight="1">
      <c r="AW4572" s="35"/>
    </row>
    <row r="4573" spans="49:49" ht="25.25" customHeight="1">
      <c r="AW4573" s="35"/>
    </row>
    <row r="4574" spans="49:49" ht="25.25" customHeight="1">
      <c r="AW4574" s="35"/>
    </row>
    <row r="4575" spans="49:49" ht="25.25" customHeight="1">
      <c r="AW4575" s="35"/>
    </row>
    <row r="4576" spans="49:49" ht="25.25" customHeight="1">
      <c r="AW4576" s="35"/>
    </row>
    <row r="4577" spans="49:49" ht="25.25" customHeight="1">
      <c r="AW4577" s="35"/>
    </row>
    <row r="4578" spans="49:49" ht="25.25" customHeight="1">
      <c r="AW4578" s="35"/>
    </row>
    <row r="4579" spans="49:49" ht="25.25" customHeight="1">
      <c r="AW4579" s="35"/>
    </row>
    <row r="4580" spans="49:49" ht="25.25" customHeight="1">
      <c r="AW4580" s="35"/>
    </row>
    <row r="4581" spans="49:49" ht="25.25" customHeight="1">
      <c r="AW4581" s="35"/>
    </row>
    <row r="4582" spans="49:49" ht="25.25" customHeight="1">
      <c r="AW4582" s="35"/>
    </row>
    <row r="4583" spans="49:49" ht="25.25" customHeight="1">
      <c r="AW4583" s="35"/>
    </row>
    <row r="4584" spans="49:49" ht="25.25" customHeight="1">
      <c r="AW4584" s="35"/>
    </row>
    <row r="4585" spans="49:49" ht="25.25" customHeight="1">
      <c r="AW4585" s="35"/>
    </row>
    <row r="4586" spans="49:49" ht="25.25" customHeight="1">
      <c r="AW4586" s="35"/>
    </row>
    <row r="4587" spans="49:49" ht="25.25" customHeight="1">
      <c r="AW4587" s="35"/>
    </row>
    <row r="4588" spans="49:49" ht="25.25" customHeight="1">
      <c r="AW4588" s="35"/>
    </row>
    <row r="4589" spans="49:49" ht="25.25" customHeight="1">
      <c r="AW4589" s="35"/>
    </row>
    <row r="4590" spans="49:49" ht="25.25" customHeight="1">
      <c r="AW4590" s="35"/>
    </row>
    <row r="4591" spans="49:49" ht="25.25" customHeight="1">
      <c r="AW4591" s="35"/>
    </row>
    <row r="4592" spans="49:49" ht="25.25" customHeight="1">
      <c r="AW4592" s="35"/>
    </row>
    <row r="4593" spans="49:49" ht="25.25" customHeight="1">
      <c r="AW4593" s="35"/>
    </row>
    <row r="4594" spans="49:49" ht="25.25" customHeight="1">
      <c r="AW4594" s="35"/>
    </row>
    <row r="4595" spans="49:49" ht="25.25" customHeight="1">
      <c r="AW4595" s="35"/>
    </row>
    <row r="4596" spans="49:49" ht="25.25" customHeight="1">
      <c r="AW4596" s="35"/>
    </row>
    <row r="4597" spans="49:49" ht="25.25" customHeight="1">
      <c r="AW4597" s="35"/>
    </row>
    <row r="4598" spans="49:49" ht="25.25" customHeight="1">
      <c r="AW4598" s="35"/>
    </row>
    <row r="4599" spans="49:49" ht="25.25" customHeight="1">
      <c r="AW4599" s="35"/>
    </row>
    <row r="4600" spans="49:49" ht="25.25" customHeight="1">
      <c r="AW4600" s="35"/>
    </row>
    <row r="4601" spans="49:49" ht="25.25" customHeight="1">
      <c r="AW4601" s="35"/>
    </row>
    <row r="4602" spans="49:49" ht="25.25" customHeight="1">
      <c r="AW4602" s="35"/>
    </row>
    <row r="4603" spans="49:49" ht="25.25" customHeight="1">
      <c r="AW4603" s="35"/>
    </row>
    <row r="4604" spans="49:49" ht="25.25" customHeight="1">
      <c r="AW4604" s="35"/>
    </row>
    <row r="4605" spans="49:49" ht="25.25" customHeight="1">
      <c r="AW4605" s="35"/>
    </row>
    <row r="4606" spans="49:49" ht="25.25" customHeight="1">
      <c r="AW4606" s="35"/>
    </row>
    <row r="4607" spans="49:49" ht="25.25" customHeight="1">
      <c r="AW4607" s="35"/>
    </row>
    <row r="4608" spans="49:49" ht="25.25" customHeight="1">
      <c r="AW4608" s="35"/>
    </row>
    <row r="4609" spans="49:49" ht="25.25" customHeight="1">
      <c r="AW4609" s="35"/>
    </row>
    <row r="4610" spans="49:49" ht="25.25" customHeight="1">
      <c r="AW4610" s="35"/>
    </row>
    <row r="4611" spans="49:49" ht="25.25" customHeight="1">
      <c r="AW4611" s="35"/>
    </row>
    <row r="4612" spans="49:49" ht="25.25" customHeight="1">
      <c r="AW4612" s="35"/>
    </row>
    <row r="4613" spans="49:49" ht="25.25" customHeight="1">
      <c r="AW4613" s="35"/>
    </row>
    <row r="4614" spans="49:49" ht="25.25" customHeight="1">
      <c r="AW4614" s="35"/>
    </row>
    <row r="4615" spans="49:49" ht="25.25" customHeight="1">
      <c r="AW4615" s="35"/>
    </row>
    <row r="4616" spans="49:49" ht="25.25" customHeight="1">
      <c r="AW4616" s="35"/>
    </row>
    <row r="4617" spans="49:49" ht="25.25" customHeight="1">
      <c r="AW4617" s="35"/>
    </row>
    <row r="4618" spans="49:49" ht="25.25" customHeight="1">
      <c r="AW4618" s="35"/>
    </row>
    <row r="4619" spans="49:49" ht="25.25" customHeight="1">
      <c r="AW4619" s="35"/>
    </row>
    <row r="4620" spans="49:49" ht="25.25" customHeight="1">
      <c r="AW4620" s="35"/>
    </row>
    <row r="4621" spans="49:49" ht="25.25" customHeight="1">
      <c r="AW4621" s="35"/>
    </row>
    <row r="4622" spans="49:49" ht="25.25" customHeight="1">
      <c r="AW4622" s="35"/>
    </row>
    <row r="4623" spans="49:49" ht="25.25" customHeight="1">
      <c r="AW4623" s="35"/>
    </row>
    <row r="4624" spans="49:49" ht="25.25" customHeight="1">
      <c r="AW4624" s="35"/>
    </row>
    <row r="4625" spans="49:49" ht="25.25" customHeight="1">
      <c r="AW4625" s="35"/>
    </row>
    <row r="4626" spans="49:49" ht="25.25" customHeight="1">
      <c r="AW4626" s="35"/>
    </row>
    <row r="4627" spans="49:49" ht="25.25" customHeight="1">
      <c r="AW4627" s="35"/>
    </row>
    <row r="4628" spans="49:49" ht="25.25" customHeight="1">
      <c r="AW4628" s="35"/>
    </row>
    <row r="4629" spans="49:49" ht="25.25" customHeight="1">
      <c r="AW4629" s="35"/>
    </row>
    <row r="4630" spans="49:49" ht="25.25" customHeight="1">
      <c r="AW4630" s="35"/>
    </row>
    <row r="4631" spans="49:49" ht="25.25" customHeight="1">
      <c r="AW4631" s="35"/>
    </row>
    <row r="4632" spans="49:49" ht="25.25" customHeight="1">
      <c r="AW4632" s="35"/>
    </row>
    <row r="4633" spans="49:49" ht="25.25" customHeight="1">
      <c r="AW4633" s="35"/>
    </row>
    <row r="4634" spans="49:49" ht="25.25" customHeight="1">
      <c r="AW4634" s="35"/>
    </row>
    <row r="4635" spans="49:49" ht="25.25" customHeight="1">
      <c r="AW4635" s="35"/>
    </row>
    <row r="4636" spans="49:49" ht="25.25" customHeight="1">
      <c r="AW4636" s="35"/>
    </row>
    <row r="4637" spans="49:49" ht="25.25" customHeight="1">
      <c r="AW4637" s="35"/>
    </row>
    <row r="4638" spans="49:49" ht="25.25" customHeight="1">
      <c r="AW4638" s="35"/>
    </row>
    <row r="4639" spans="49:49" ht="25.25" customHeight="1">
      <c r="AW4639" s="35"/>
    </row>
    <row r="4640" spans="49:49" ht="25.25" customHeight="1">
      <c r="AW4640" s="35"/>
    </row>
    <row r="4641" spans="49:49" ht="25.25" customHeight="1">
      <c r="AW4641" s="35"/>
    </row>
    <row r="4642" spans="49:49" ht="25.25" customHeight="1">
      <c r="AW4642" s="35"/>
    </row>
    <row r="4643" spans="49:49" ht="25.25" customHeight="1">
      <c r="AW4643" s="35"/>
    </row>
    <row r="4644" spans="49:49" ht="25.25" customHeight="1">
      <c r="AW4644" s="35"/>
    </row>
    <row r="4645" spans="49:49" ht="25.25" customHeight="1">
      <c r="AW4645" s="35"/>
    </row>
    <row r="4646" spans="49:49" ht="25.25" customHeight="1">
      <c r="AW4646" s="35"/>
    </row>
    <row r="4647" spans="49:49" ht="25.25" customHeight="1">
      <c r="AW4647" s="35"/>
    </row>
    <row r="4648" spans="49:49" ht="25.25" customHeight="1">
      <c r="AW4648" s="35"/>
    </row>
    <row r="4649" spans="49:49" ht="25.25" customHeight="1">
      <c r="AW4649" s="35"/>
    </row>
    <row r="4650" spans="49:49" ht="25.25" customHeight="1">
      <c r="AW4650" s="35"/>
    </row>
    <row r="4651" spans="49:49" ht="25.25" customHeight="1">
      <c r="AW4651" s="35"/>
    </row>
    <row r="4652" spans="49:49" ht="25.25" customHeight="1">
      <c r="AW4652" s="35"/>
    </row>
    <row r="4653" spans="49:49" ht="25.25" customHeight="1">
      <c r="AW4653" s="35"/>
    </row>
    <row r="4654" spans="49:49" ht="25.25" customHeight="1">
      <c r="AW4654" s="35"/>
    </row>
    <row r="4655" spans="49:49" ht="25.25" customHeight="1">
      <c r="AW4655" s="35"/>
    </row>
    <row r="4656" spans="49:49" ht="25.25" customHeight="1">
      <c r="AW4656" s="35"/>
    </row>
    <row r="4657" spans="49:49" ht="25.25" customHeight="1">
      <c r="AW4657" s="35"/>
    </row>
    <row r="4658" spans="49:49" ht="25.25" customHeight="1">
      <c r="AW4658" s="35"/>
    </row>
    <row r="4659" spans="49:49" ht="25.25" customHeight="1">
      <c r="AW4659" s="35"/>
    </row>
    <row r="4660" spans="49:49" ht="25.25" customHeight="1">
      <c r="AW4660" s="35"/>
    </row>
    <row r="4661" spans="49:49" ht="25.25" customHeight="1">
      <c r="AW4661" s="35"/>
    </row>
    <row r="4662" spans="49:49" ht="25.25" customHeight="1">
      <c r="AW4662" s="35"/>
    </row>
    <row r="4663" spans="49:49" ht="25.25" customHeight="1">
      <c r="AW4663" s="35"/>
    </row>
    <row r="4664" spans="49:49" ht="25.25" customHeight="1">
      <c r="AW4664" s="35"/>
    </row>
    <row r="4665" spans="49:49" ht="25.25" customHeight="1">
      <c r="AW4665" s="35"/>
    </row>
    <row r="4666" spans="49:49" ht="25.25" customHeight="1">
      <c r="AW4666" s="35"/>
    </row>
    <row r="4667" spans="49:49" ht="25.25" customHeight="1">
      <c r="AW4667" s="35"/>
    </row>
    <row r="4668" spans="49:49" ht="25.25" customHeight="1">
      <c r="AW4668" s="35"/>
    </row>
    <row r="4669" spans="49:49" ht="25.25" customHeight="1">
      <c r="AW4669" s="35"/>
    </row>
    <row r="4670" spans="49:49" ht="25.25" customHeight="1">
      <c r="AW4670" s="35"/>
    </row>
    <row r="4671" spans="49:49" ht="25.25" customHeight="1">
      <c r="AW4671" s="35"/>
    </row>
    <row r="4672" spans="49:49" ht="25.25" customHeight="1">
      <c r="AW4672" s="35"/>
    </row>
    <row r="4673" spans="49:49" ht="25.25" customHeight="1">
      <c r="AW4673" s="35"/>
    </row>
    <row r="4674" spans="49:49" ht="25.25" customHeight="1">
      <c r="AW4674" s="35"/>
    </row>
    <row r="4675" spans="49:49" ht="25.25" customHeight="1">
      <c r="AW4675" s="35"/>
    </row>
    <row r="4676" spans="49:49" ht="25.25" customHeight="1">
      <c r="AW4676" s="35"/>
    </row>
    <row r="4677" spans="49:49" ht="25.25" customHeight="1">
      <c r="AW4677" s="35"/>
    </row>
    <row r="4678" spans="49:49" ht="25.25" customHeight="1">
      <c r="AW4678" s="35"/>
    </row>
    <row r="4679" spans="49:49" ht="25.25" customHeight="1">
      <c r="AW4679" s="35"/>
    </row>
    <row r="4680" spans="49:49" ht="25.25" customHeight="1">
      <c r="AW4680" s="35"/>
    </row>
    <row r="4681" spans="49:49" ht="25.25" customHeight="1">
      <c r="AW4681" s="35"/>
    </row>
    <row r="4682" spans="49:49" ht="25.25" customHeight="1">
      <c r="AW4682" s="35"/>
    </row>
    <row r="4683" spans="49:49" ht="25.25" customHeight="1">
      <c r="AW4683" s="35"/>
    </row>
    <row r="4684" spans="49:49" ht="25.25" customHeight="1">
      <c r="AW4684" s="35"/>
    </row>
    <row r="4685" spans="49:49" ht="25.25" customHeight="1">
      <c r="AW4685" s="35"/>
    </row>
    <row r="4686" spans="49:49" ht="25.25" customHeight="1">
      <c r="AW4686" s="35"/>
    </row>
    <row r="4687" spans="49:49" ht="25.25" customHeight="1">
      <c r="AW4687" s="35"/>
    </row>
    <row r="4688" spans="49:49" ht="25.25" customHeight="1">
      <c r="AW4688" s="35"/>
    </row>
    <row r="4689" spans="49:49" ht="25.25" customHeight="1">
      <c r="AW4689" s="35"/>
    </row>
    <row r="4690" spans="49:49" ht="25.25" customHeight="1">
      <c r="AW4690" s="35"/>
    </row>
    <row r="4691" spans="49:49" ht="25.25" customHeight="1">
      <c r="AW4691" s="35"/>
    </row>
    <row r="4692" spans="49:49" ht="25.25" customHeight="1">
      <c r="AW4692" s="35"/>
    </row>
    <row r="4693" spans="49:49" ht="25.25" customHeight="1">
      <c r="AW4693" s="35"/>
    </row>
    <row r="4694" spans="49:49" ht="25.25" customHeight="1">
      <c r="AW4694" s="35"/>
    </row>
    <row r="4695" spans="49:49" ht="25.25" customHeight="1">
      <c r="AW4695" s="35"/>
    </row>
    <row r="4696" spans="49:49" ht="25.25" customHeight="1">
      <c r="AW4696" s="35"/>
    </row>
    <row r="4697" spans="49:49" ht="25.25" customHeight="1">
      <c r="AW4697" s="35"/>
    </row>
    <row r="4698" spans="49:49" ht="25.25" customHeight="1">
      <c r="AW4698" s="35"/>
    </row>
    <row r="4699" spans="49:49" ht="25.25" customHeight="1">
      <c r="AW4699" s="35"/>
    </row>
    <row r="4700" spans="49:49" ht="25.25" customHeight="1">
      <c r="AW4700" s="35"/>
    </row>
    <row r="4701" spans="49:49" ht="25.25" customHeight="1">
      <c r="AW4701" s="35"/>
    </row>
    <row r="4702" spans="49:49" ht="25.25" customHeight="1">
      <c r="AW4702" s="35"/>
    </row>
    <row r="4703" spans="49:49" ht="25.25" customHeight="1">
      <c r="AW4703" s="35"/>
    </row>
    <row r="4704" spans="49:49" ht="25.25" customHeight="1">
      <c r="AW4704" s="35"/>
    </row>
    <row r="4705" spans="49:49" ht="25.25" customHeight="1">
      <c r="AW4705" s="35"/>
    </row>
    <row r="4706" spans="49:49" ht="25.25" customHeight="1">
      <c r="AW4706" s="35"/>
    </row>
    <row r="4707" spans="49:49" ht="25.25" customHeight="1">
      <c r="AW4707" s="35"/>
    </row>
    <row r="4708" spans="49:49" ht="25.25" customHeight="1">
      <c r="AW4708" s="35"/>
    </row>
    <row r="4709" spans="49:49" ht="25.25" customHeight="1">
      <c r="AW4709" s="35"/>
    </row>
    <row r="4710" spans="49:49" ht="25.25" customHeight="1">
      <c r="AW4710" s="35"/>
    </row>
    <row r="4711" spans="49:49" ht="25.25" customHeight="1">
      <c r="AW4711" s="35"/>
    </row>
    <row r="4712" spans="49:49" ht="25.25" customHeight="1">
      <c r="AW4712" s="35"/>
    </row>
    <row r="4713" spans="49:49" ht="25.25" customHeight="1">
      <c r="AW4713" s="35"/>
    </row>
    <row r="4714" spans="49:49" ht="25.25" customHeight="1">
      <c r="AW4714" s="35"/>
    </row>
    <row r="4715" spans="49:49" ht="25.25" customHeight="1">
      <c r="AW4715" s="35"/>
    </row>
    <row r="4716" spans="49:49" ht="25.25" customHeight="1">
      <c r="AW4716" s="35"/>
    </row>
    <row r="4717" spans="49:49" ht="25.25" customHeight="1">
      <c r="AW4717" s="35"/>
    </row>
    <row r="4718" spans="49:49" ht="25.25" customHeight="1">
      <c r="AW4718" s="35"/>
    </row>
    <row r="4719" spans="49:49" ht="25.25" customHeight="1">
      <c r="AW4719" s="35"/>
    </row>
    <row r="4720" spans="49:49" ht="25.25" customHeight="1">
      <c r="AW4720" s="35"/>
    </row>
    <row r="4721" spans="49:49" ht="25.25" customHeight="1">
      <c r="AW4721" s="35"/>
    </row>
    <row r="4722" spans="49:49" ht="25.25" customHeight="1">
      <c r="AW4722" s="35"/>
    </row>
    <row r="4723" spans="49:49" ht="25.25" customHeight="1">
      <c r="AW4723" s="35"/>
    </row>
    <row r="4724" spans="49:49" ht="25.25" customHeight="1">
      <c r="AW4724" s="35"/>
    </row>
    <row r="4725" spans="49:49" ht="25.25" customHeight="1">
      <c r="AW4725" s="35"/>
    </row>
    <row r="4726" spans="49:49" ht="25.25" customHeight="1">
      <c r="AW4726" s="35"/>
    </row>
    <row r="4727" spans="49:49" ht="25.25" customHeight="1">
      <c r="AW4727" s="35"/>
    </row>
    <row r="4728" spans="49:49" ht="25.25" customHeight="1">
      <c r="AW4728" s="35"/>
    </row>
    <row r="4729" spans="49:49" ht="25.25" customHeight="1">
      <c r="AW4729" s="35"/>
    </row>
    <row r="4730" spans="49:49" ht="25.25" customHeight="1">
      <c r="AW4730" s="35"/>
    </row>
    <row r="4731" spans="49:49" ht="25.25" customHeight="1">
      <c r="AW4731" s="35"/>
    </row>
    <row r="4732" spans="49:49" ht="25.25" customHeight="1">
      <c r="AW4732" s="35"/>
    </row>
    <row r="4733" spans="49:49" ht="25.25" customHeight="1">
      <c r="AW4733" s="35"/>
    </row>
    <row r="4734" spans="49:49" ht="25.25" customHeight="1">
      <c r="AW4734" s="35"/>
    </row>
    <row r="4735" spans="49:49" ht="25.25" customHeight="1">
      <c r="AW4735" s="35"/>
    </row>
    <row r="4736" spans="49:49" ht="25.25" customHeight="1">
      <c r="AW4736" s="35"/>
    </row>
    <row r="4737" spans="49:49" ht="25.25" customHeight="1">
      <c r="AW4737" s="35"/>
    </row>
    <row r="4738" spans="49:49" ht="25.25" customHeight="1">
      <c r="AW4738" s="35"/>
    </row>
    <row r="4739" spans="49:49" ht="25.25" customHeight="1">
      <c r="AW4739" s="35"/>
    </row>
    <row r="4740" spans="49:49" ht="25.25" customHeight="1">
      <c r="AW4740" s="35"/>
    </row>
    <row r="4741" spans="49:49" ht="25.25" customHeight="1">
      <c r="AW4741" s="35"/>
    </row>
    <row r="4742" spans="49:49" ht="25.25" customHeight="1">
      <c r="AW4742" s="35"/>
    </row>
    <row r="4743" spans="49:49" ht="25.25" customHeight="1">
      <c r="AW4743" s="35"/>
    </row>
    <row r="4744" spans="49:49" ht="25.25" customHeight="1">
      <c r="AW4744" s="35"/>
    </row>
    <row r="4745" spans="49:49" ht="25.25" customHeight="1">
      <c r="AW4745" s="35"/>
    </row>
    <row r="4746" spans="49:49" ht="25.25" customHeight="1">
      <c r="AW4746" s="35"/>
    </row>
    <row r="4747" spans="49:49" ht="25.25" customHeight="1">
      <c r="AW4747" s="35"/>
    </row>
    <row r="4748" spans="49:49" ht="25.25" customHeight="1">
      <c r="AW4748" s="35"/>
    </row>
    <row r="4749" spans="49:49" ht="25.25" customHeight="1">
      <c r="AW4749" s="35"/>
    </row>
    <row r="4750" spans="49:49" ht="25.25" customHeight="1">
      <c r="AW4750" s="35"/>
    </row>
    <row r="4751" spans="49:49" ht="25.25" customHeight="1">
      <c r="AW4751" s="35"/>
    </row>
    <row r="4752" spans="49:49" ht="25.25" customHeight="1">
      <c r="AW4752" s="35"/>
    </row>
    <row r="4753" spans="49:49" ht="25.25" customHeight="1">
      <c r="AW4753" s="35"/>
    </row>
    <row r="4754" spans="49:49" ht="25.25" customHeight="1">
      <c r="AW4754" s="35"/>
    </row>
    <row r="4755" spans="49:49" ht="25.25" customHeight="1">
      <c r="AW4755" s="35"/>
    </row>
    <row r="4756" spans="49:49" ht="25.25" customHeight="1">
      <c r="AW4756" s="35"/>
    </row>
    <row r="4757" spans="49:49" ht="25.25" customHeight="1">
      <c r="AW4757" s="35"/>
    </row>
    <row r="4758" spans="49:49" ht="25.25" customHeight="1">
      <c r="AW4758" s="35"/>
    </row>
    <row r="4759" spans="49:49" ht="25.25" customHeight="1">
      <c r="AW4759" s="35"/>
    </row>
    <row r="4760" spans="49:49" ht="25.25" customHeight="1">
      <c r="AW4760" s="35"/>
    </row>
    <row r="4761" spans="49:49" ht="25.25" customHeight="1">
      <c r="AW4761" s="35"/>
    </row>
    <row r="4762" spans="49:49" ht="25.25" customHeight="1">
      <c r="AW4762" s="35"/>
    </row>
    <row r="4763" spans="49:49" ht="25.25" customHeight="1">
      <c r="AW4763" s="35"/>
    </row>
    <row r="4764" spans="49:49" ht="25.25" customHeight="1">
      <c r="AW4764" s="35"/>
    </row>
    <row r="4765" spans="49:49" ht="25.25" customHeight="1">
      <c r="AW4765" s="35"/>
    </row>
    <row r="4766" spans="49:49" ht="25.25" customHeight="1">
      <c r="AW4766" s="35"/>
    </row>
    <row r="4767" spans="49:49" ht="25.25" customHeight="1">
      <c r="AW4767" s="35"/>
    </row>
    <row r="4768" spans="49:49" ht="25.25" customHeight="1">
      <c r="AW4768" s="35"/>
    </row>
    <row r="4769" spans="49:49" ht="25.25" customHeight="1">
      <c r="AW4769" s="35"/>
    </row>
    <row r="4770" spans="49:49" ht="25.25" customHeight="1">
      <c r="AW4770" s="35"/>
    </row>
    <row r="4771" spans="49:49" ht="25.25" customHeight="1">
      <c r="AW4771" s="35"/>
    </row>
    <row r="4772" spans="49:49" ht="25.25" customHeight="1">
      <c r="AW4772" s="35"/>
    </row>
    <row r="4773" spans="49:49" ht="25.25" customHeight="1">
      <c r="AW4773" s="35"/>
    </row>
    <row r="4774" spans="49:49" ht="25.25" customHeight="1">
      <c r="AW4774" s="35"/>
    </row>
    <row r="4775" spans="49:49" ht="25.25" customHeight="1">
      <c r="AW4775" s="35"/>
    </row>
    <row r="4776" spans="49:49" ht="25.25" customHeight="1">
      <c r="AW4776" s="35"/>
    </row>
    <row r="4777" spans="49:49" ht="25.25" customHeight="1">
      <c r="AW4777" s="35"/>
    </row>
    <row r="4778" spans="49:49" ht="25.25" customHeight="1">
      <c r="AW4778" s="35"/>
    </row>
    <row r="4779" spans="49:49" ht="25.25" customHeight="1">
      <c r="AW4779" s="35"/>
    </row>
    <row r="4780" spans="49:49" ht="25.25" customHeight="1">
      <c r="AW4780" s="35"/>
    </row>
    <row r="4781" spans="49:49" ht="25.25" customHeight="1">
      <c r="AW4781" s="35"/>
    </row>
    <row r="4782" spans="49:49" ht="25.25" customHeight="1">
      <c r="AW4782" s="35"/>
    </row>
    <row r="4783" spans="49:49" ht="25.25" customHeight="1">
      <c r="AW4783" s="35"/>
    </row>
    <row r="4784" spans="49:49" ht="25.25" customHeight="1">
      <c r="AW4784" s="35"/>
    </row>
    <row r="4785" spans="49:49" ht="25.25" customHeight="1">
      <c r="AW4785" s="35"/>
    </row>
    <row r="4786" spans="49:49" ht="25.25" customHeight="1">
      <c r="AW4786" s="35"/>
    </row>
    <row r="4787" spans="49:49" ht="25.25" customHeight="1">
      <c r="AW4787" s="35"/>
    </row>
    <row r="4788" spans="49:49" ht="25.25" customHeight="1">
      <c r="AW4788" s="35"/>
    </row>
    <row r="4789" spans="49:49" ht="25.25" customHeight="1">
      <c r="AW4789" s="35"/>
    </row>
    <row r="4790" spans="49:49" ht="25.25" customHeight="1">
      <c r="AW4790" s="35"/>
    </row>
    <row r="4791" spans="49:49" ht="25.25" customHeight="1">
      <c r="AW4791" s="35"/>
    </row>
    <row r="4792" spans="49:49" ht="25.25" customHeight="1">
      <c r="AW4792" s="35"/>
    </row>
    <row r="4793" spans="49:49" ht="25.25" customHeight="1">
      <c r="AW4793" s="35"/>
    </row>
    <row r="4794" spans="49:49" ht="25.25" customHeight="1">
      <c r="AW4794" s="35"/>
    </row>
    <row r="4795" spans="49:49" ht="25.25" customHeight="1">
      <c r="AW4795" s="35"/>
    </row>
    <row r="4796" spans="49:49" ht="25.25" customHeight="1">
      <c r="AW4796" s="35"/>
    </row>
    <row r="4797" spans="49:49" ht="25.25" customHeight="1">
      <c r="AW4797" s="35"/>
    </row>
    <row r="4798" spans="49:49" ht="25.25" customHeight="1">
      <c r="AW4798" s="35"/>
    </row>
    <row r="4799" spans="49:49" ht="25.25" customHeight="1">
      <c r="AW4799" s="35"/>
    </row>
    <row r="4800" spans="49:49" ht="25.25" customHeight="1">
      <c r="AW4800" s="35"/>
    </row>
    <row r="4801" spans="49:49" ht="25.25" customHeight="1">
      <c r="AW4801" s="35"/>
    </row>
    <row r="4802" spans="49:49" ht="25.25" customHeight="1">
      <c r="AW4802" s="35"/>
    </row>
    <row r="4803" spans="49:49" ht="25.25" customHeight="1">
      <c r="AW4803" s="35"/>
    </row>
    <row r="4804" spans="49:49" ht="25.25" customHeight="1">
      <c r="AW4804" s="35"/>
    </row>
    <row r="4805" spans="49:49" ht="25.25" customHeight="1">
      <c r="AW4805" s="35"/>
    </row>
    <row r="4806" spans="49:49" ht="25.25" customHeight="1">
      <c r="AW4806" s="35"/>
    </row>
    <row r="4807" spans="49:49" ht="25.25" customHeight="1">
      <c r="AW4807" s="35"/>
    </row>
    <row r="4808" spans="49:49" ht="25.25" customHeight="1">
      <c r="AW4808" s="35"/>
    </row>
    <row r="4809" spans="49:49" ht="25.25" customHeight="1">
      <c r="AW4809" s="35"/>
    </row>
    <row r="4810" spans="49:49" ht="25.25" customHeight="1">
      <c r="AW4810" s="35"/>
    </row>
    <row r="4811" spans="49:49" ht="25.25" customHeight="1">
      <c r="AW4811" s="35"/>
    </row>
    <row r="4812" spans="49:49" ht="25.25" customHeight="1">
      <c r="AW4812" s="35"/>
    </row>
    <row r="4813" spans="49:49" ht="25.25" customHeight="1">
      <c r="AW4813" s="35"/>
    </row>
    <row r="4814" spans="49:49" ht="25.25" customHeight="1">
      <c r="AW4814" s="35"/>
    </row>
    <row r="4815" spans="49:49" ht="25.25" customHeight="1">
      <c r="AW4815" s="35"/>
    </row>
    <row r="4816" spans="49:49" ht="25.25" customHeight="1">
      <c r="AW4816" s="35"/>
    </row>
    <row r="4817" spans="49:49" ht="25.25" customHeight="1">
      <c r="AW4817" s="35"/>
    </row>
    <row r="4818" spans="49:49" ht="25.25" customHeight="1">
      <c r="AW4818" s="35"/>
    </row>
    <row r="4819" spans="49:49" ht="25.25" customHeight="1">
      <c r="AW4819" s="35"/>
    </row>
    <row r="4820" spans="49:49" ht="25.25" customHeight="1">
      <c r="AW4820" s="35"/>
    </row>
    <row r="4821" spans="49:49" ht="25.25" customHeight="1">
      <c r="AW4821" s="35"/>
    </row>
    <row r="4822" spans="49:49" ht="25.25" customHeight="1">
      <c r="AW4822" s="35"/>
    </row>
    <row r="4823" spans="49:49" ht="25.25" customHeight="1">
      <c r="AW4823" s="35"/>
    </row>
    <row r="4824" spans="49:49" ht="25.25" customHeight="1">
      <c r="AW4824" s="35"/>
    </row>
    <row r="4825" spans="49:49" ht="25.25" customHeight="1">
      <c r="AW4825" s="35"/>
    </row>
    <row r="4826" spans="49:49" ht="25.25" customHeight="1">
      <c r="AW4826" s="35"/>
    </row>
    <row r="4827" spans="49:49" ht="25.25" customHeight="1">
      <c r="AW4827" s="35"/>
    </row>
    <row r="4828" spans="49:49" ht="25.25" customHeight="1">
      <c r="AW4828" s="35"/>
    </row>
    <row r="4829" spans="49:49" ht="25.25" customHeight="1">
      <c r="AW4829" s="35"/>
    </row>
    <row r="4830" spans="49:49" ht="25.25" customHeight="1">
      <c r="AW4830" s="35"/>
    </row>
    <row r="4831" spans="49:49" ht="25.25" customHeight="1">
      <c r="AW4831" s="35"/>
    </row>
    <row r="4832" spans="49:49" ht="25.25" customHeight="1">
      <c r="AW4832" s="35"/>
    </row>
    <row r="4833" spans="49:49" ht="25.25" customHeight="1">
      <c r="AW4833" s="35"/>
    </row>
    <row r="4834" spans="49:49" ht="25.25" customHeight="1">
      <c r="AW4834" s="35"/>
    </row>
    <row r="4835" spans="49:49" ht="25.25" customHeight="1">
      <c r="AW4835" s="35"/>
    </row>
    <row r="4836" spans="49:49" ht="25.25" customHeight="1">
      <c r="AW4836" s="35"/>
    </row>
    <row r="4837" spans="49:49" ht="25.25" customHeight="1">
      <c r="AW4837" s="35"/>
    </row>
    <row r="4838" spans="49:49" ht="25.25" customHeight="1">
      <c r="AW4838" s="35"/>
    </row>
    <row r="4839" spans="49:49" ht="25.25" customHeight="1">
      <c r="AW4839" s="35"/>
    </row>
    <row r="4840" spans="49:49" ht="25.25" customHeight="1">
      <c r="AW4840" s="35"/>
    </row>
    <row r="4841" spans="49:49" ht="25.25" customHeight="1">
      <c r="AW4841" s="35"/>
    </row>
    <row r="4842" spans="49:49" ht="25.25" customHeight="1">
      <c r="AW4842" s="35"/>
    </row>
    <row r="4843" spans="49:49" ht="25.25" customHeight="1">
      <c r="AW4843" s="35"/>
    </row>
    <row r="4844" spans="49:49" ht="25.25" customHeight="1">
      <c r="AW4844" s="35"/>
    </row>
    <row r="4845" spans="49:49" ht="25.25" customHeight="1">
      <c r="AW4845" s="35"/>
    </row>
    <row r="4846" spans="49:49" ht="25.25" customHeight="1">
      <c r="AW4846" s="35"/>
    </row>
    <row r="4847" spans="49:49" ht="25.25" customHeight="1">
      <c r="AW4847" s="35"/>
    </row>
    <row r="4848" spans="49:49" ht="25.25" customHeight="1">
      <c r="AW4848" s="35"/>
    </row>
    <row r="4849" spans="49:49" ht="25.25" customHeight="1">
      <c r="AW4849" s="35"/>
    </row>
    <row r="4850" spans="49:49" ht="25.25" customHeight="1">
      <c r="AW4850" s="35"/>
    </row>
    <row r="4851" spans="49:49" ht="25.25" customHeight="1">
      <c r="AW4851" s="35"/>
    </row>
    <row r="4852" spans="49:49" ht="25.25" customHeight="1">
      <c r="AW4852" s="35"/>
    </row>
    <row r="4853" spans="49:49" ht="25.25" customHeight="1">
      <c r="AW4853" s="35"/>
    </row>
    <row r="4854" spans="49:49" ht="25.25" customHeight="1">
      <c r="AW4854" s="35"/>
    </row>
    <row r="4855" spans="49:49" ht="25.25" customHeight="1">
      <c r="AW4855" s="35"/>
    </row>
    <row r="4856" spans="49:49" ht="25.25" customHeight="1">
      <c r="AW4856" s="35"/>
    </row>
    <row r="4857" spans="49:49" ht="25.25" customHeight="1">
      <c r="AW4857" s="35"/>
    </row>
    <row r="4858" spans="49:49" ht="25.25" customHeight="1">
      <c r="AW4858" s="35"/>
    </row>
    <row r="4859" spans="49:49" ht="25.25" customHeight="1">
      <c r="AW4859" s="35"/>
    </row>
    <row r="4860" spans="49:49" ht="25.25" customHeight="1">
      <c r="AW4860" s="35"/>
    </row>
    <row r="4861" spans="49:49" ht="25.25" customHeight="1">
      <c r="AW4861" s="35"/>
    </row>
    <row r="4862" spans="49:49" ht="25.25" customHeight="1">
      <c r="AW4862" s="35"/>
    </row>
    <row r="4863" spans="49:49" ht="25.25" customHeight="1">
      <c r="AW4863" s="35"/>
    </row>
    <row r="4864" spans="49:49" ht="25.25" customHeight="1">
      <c r="AW4864" s="35"/>
    </row>
    <row r="4865" spans="49:49" ht="25.25" customHeight="1">
      <c r="AW4865" s="35"/>
    </row>
    <row r="4866" spans="49:49" ht="25.25" customHeight="1">
      <c r="AW4866" s="35"/>
    </row>
    <row r="4867" spans="49:49" ht="25.25" customHeight="1">
      <c r="AW4867" s="35"/>
    </row>
    <row r="4868" spans="49:49" ht="25.25" customHeight="1">
      <c r="AW4868" s="35"/>
    </row>
    <row r="4869" spans="49:49" ht="25.25" customHeight="1">
      <c r="AW4869" s="35"/>
    </row>
    <row r="4870" spans="49:49" ht="25.25" customHeight="1">
      <c r="AW4870" s="35"/>
    </row>
    <row r="4871" spans="49:49" ht="25.25" customHeight="1">
      <c r="AW4871" s="35"/>
    </row>
    <row r="4872" spans="49:49" ht="25.25" customHeight="1">
      <c r="AW4872" s="35"/>
    </row>
    <row r="4873" spans="49:49" ht="25.25" customHeight="1">
      <c r="AW4873" s="35"/>
    </row>
    <row r="4874" spans="49:49" ht="25.25" customHeight="1">
      <c r="AW4874" s="35"/>
    </row>
    <row r="4875" spans="49:49" ht="25.25" customHeight="1">
      <c r="AW4875" s="35"/>
    </row>
    <row r="4876" spans="49:49" ht="25.25" customHeight="1">
      <c r="AW4876" s="35"/>
    </row>
    <row r="4877" spans="49:49" ht="25.25" customHeight="1">
      <c r="AW4877" s="35"/>
    </row>
    <row r="4878" spans="49:49" ht="25.25" customHeight="1">
      <c r="AW4878" s="35"/>
    </row>
    <row r="4879" spans="49:49" ht="25.25" customHeight="1">
      <c r="AW4879" s="35"/>
    </row>
    <row r="4880" spans="49:49" ht="25.25" customHeight="1">
      <c r="AW4880" s="35"/>
    </row>
    <row r="4881" spans="49:49" ht="25.25" customHeight="1">
      <c r="AW4881" s="35"/>
    </row>
    <row r="4882" spans="49:49" ht="25.25" customHeight="1">
      <c r="AW4882" s="35"/>
    </row>
    <row r="4883" spans="49:49" ht="25.25" customHeight="1">
      <c r="AW4883" s="35"/>
    </row>
    <row r="4884" spans="49:49" ht="25.25" customHeight="1">
      <c r="AW4884" s="35"/>
    </row>
    <row r="4885" spans="49:49" ht="25.25" customHeight="1">
      <c r="AW4885" s="35"/>
    </row>
    <row r="4886" spans="49:49" ht="25.25" customHeight="1">
      <c r="AW4886" s="35"/>
    </row>
    <row r="4887" spans="49:49" ht="25.25" customHeight="1">
      <c r="AW4887" s="35"/>
    </row>
    <row r="4888" spans="49:49" ht="25.25" customHeight="1">
      <c r="AW4888" s="35"/>
    </row>
    <row r="4889" spans="49:49" ht="25.25" customHeight="1">
      <c r="AW4889" s="35"/>
    </row>
    <row r="4890" spans="49:49" ht="25.25" customHeight="1">
      <c r="AW4890" s="35"/>
    </row>
    <row r="4891" spans="49:49" ht="25.25" customHeight="1">
      <c r="AW4891" s="35"/>
    </row>
    <row r="4892" spans="49:49" ht="25.25" customHeight="1">
      <c r="AW4892" s="35"/>
    </row>
    <row r="4893" spans="49:49" ht="25.25" customHeight="1">
      <c r="AW4893" s="35"/>
    </row>
    <row r="4894" spans="49:49" ht="25.25" customHeight="1">
      <c r="AW4894" s="35"/>
    </row>
    <row r="4895" spans="49:49" ht="25.25" customHeight="1">
      <c r="AW4895" s="35"/>
    </row>
    <row r="4896" spans="49:49" ht="25.25" customHeight="1">
      <c r="AW4896" s="35"/>
    </row>
    <row r="4897" spans="49:49" ht="25.25" customHeight="1">
      <c r="AW4897" s="35"/>
    </row>
    <row r="4898" spans="49:49" ht="25.25" customHeight="1">
      <c r="AW4898" s="35"/>
    </row>
    <row r="4899" spans="49:49" ht="25.25" customHeight="1">
      <c r="AW4899" s="35"/>
    </row>
    <row r="4900" spans="49:49" ht="25.25" customHeight="1">
      <c r="AW4900" s="35"/>
    </row>
    <row r="4901" spans="49:49" ht="25.25" customHeight="1">
      <c r="AW4901" s="35"/>
    </row>
    <row r="4902" spans="49:49" ht="25.25" customHeight="1">
      <c r="AW4902" s="35"/>
    </row>
    <row r="4903" spans="49:49" ht="25.25" customHeight="1">
      <c r="AW4903" s="35"/>
    </row>
    <row r="4904" spans="49:49" ht="25.25" customHeight="1">
      <c r="AW4904" s="35"/>
    </row>
    <row r="4905" spans="49:49" ht="25.25" customHeight="1">
      <c r="AW4905" s="35"/>
    </row>
    <row r="4906" spans="49:49" ht="25.25" customHeight="1">
      <c r="AW4906" s="35"/>
    </row>
    <row r="4907" spans="49:49" ht="25.25" customHeight="1">
      <c r="AW4907" s="35"/>
    </row>
    <row r="4908" spans="49:49" ht="25.25" customHeight="1">
      <c r="AW4908" s="35"/>
    </row>
    <row r="4909" spans="49:49" ht="25.25" customHeight="1">
      <c r="AW4909" s="35"/>
    </row>
    <row r="4910" spans="49:49" ht="25.25" customHeight="1">
      <c r="AW4910" s="35"/>
    </row>
    <row r="4911" spans="49:49" ht="25.25" customHeight="1">
      <c r="AW4911" s="35"/>
    </row>
    <row r="4912" spans="49:49" ht="25.25" customHeight="1">
      <c r="AW4912" s="35"/>
    </row>
    <row r="4913" spans="49:49" ht="25.25" customHeight="1">
      <c r="AW4913" s="35"/>
    </row>
    <row r="4914" spans="49:49" ht="25.25" customHeight="1">
      <c r="AW4914" s="35"/>
    </row>
    <row r="4915" spans="49:49" ht="25.25" customHeight="1">
      <c r="AW4915" s="35"/>
    </row>
    <row r="4916" spans="49:49" ht="25.25" customHeight="1">
      <c r="AW4916" s="35"/>
    </row>
    <row r="4917" spans="49:49" ht="25.25" customHeight="1">
      <c r="AW4917" s="35"/>
    </row>
    <row r="4918" spans="49:49" ht="25.25" customHeight="1">
      <c r="AW4918" s="35"/>
    </row>
    <row r="4919" spans="49:49" ht="25.25" customHeight="1">
      <c r="AW4919" s="35"/>
    </row>
    <row r="4920" spans="49:49" ht="25.25" customHeight="1">
      <c r="AW4920" s="35"/>
    </row>
    <row r="4921" spans="49:49" ht="25.25" customHeight="1">
      <c r="AW4921" s="35"/>
    </row>
    <row r="4922" spans="49:49" ht="25.25" customHeight="1">
      <c r="AW4922" s="35"/>
    </row>
    <row r="4923" spans="49:49" ht="25.25" customHeight="1">
      <c r="AW4923" s="35"/>
    </row>
    <row r="4924" spans="49:49" ht="25.25" customHeight="1">
      <c r="AW4924" s="35"/>
    </row>
    <row r="4925" spans="49:49" ht="25.25" customHeight="1">
      <c r="AW4925" s="35"/>
    </row>
    <row r="4926" spans="49:49" ht="25.25" customHeight="1">
      <c r="AW4926" s="35"/>
    </row>
    <row r="4927" spans="49:49" ht="25.25" customHeight="1">
      <c r="AW4927" s="35"/>
    </row>
    <row r="4928" spans="49:49" ht="25.25" customHeight="1">
      <c r="AW4928" s="35"/>
    </row>
    <row r="4929" spans="49:49" ht="25.25" customHeight="1">
      <c r="AW4929" s="35"/>
    </row>
    <row r="4930" spans="49:49" ht="25.25" customHeight="1">
      <c r="AW4930" s="35"/>
    </row>
    <row r="4931" spans="49:49" ht="25.25" customHeight="1">
      <c r="AW4931" s="35"/>
    </row>
    <row r="4932" spans="49:49" ht="25.25" customHeight="1">
      <c r="AW4932" s="35"/>
    </row>
    <row r="4933" spans="49:49" ht="25.25" customHeight="1">
      <c r="AW4933" s="35"/>
    </row>
    <row r="4934" spans="49:49" ht="25.25" customHeight="1">
      <c r="AW4934" s="35"/>
    </row>
    <row r="4935" spans="49:49" ht="25.25" customHeight="1">
      <c r="AW4935" s="35"/>
    </row>
    <row r="4936" spans="49:49" ht="25.25" customHeight="1">
      <c r="AW4936" s="35"/>
    </row>
    <row r="4937" spans="49:49" ht="25.25" customHeight="1">
      <c r="AW4937" s="35"/>
    </row>
    <row r="4938" spans="49:49" ht="25.25" customHeight="1">
      <c r="AW4938" s="35"/>
    </row>
    <row r="4939" spans="49:49" ht="25.25" customHeight="1">
      <c r="AW4939" s="35"/>
    </row>
    <row r="4940" spans="49:49" ht="25.25" customHeight="1">
      <c r="AW4940" s="35"/>
    </row>
    <row r="4941" spans="49:49" ht="25.25" customHeight="1">
      <c r="AW4941" s="35"/>
    </row>
    <row r="4942" spans="49:49" ht="25.25" customHeight="1">
      <c r="AW4942" s="35"/>
    </row>
    <row r="4943" spans="49:49" ht="25.25" customHeight="1">
      <c r="AW4943" s="35"/>
    </row>
    <row r="4944" spans="49:49" ht="25.25" customHeight="1">
      <c r="AW4944" s="35"/>
    </row>
    <row r="4945" spans="49:49" ht="25.25" customHeight="1">
      <c r="AW4945" s="35"/>
    </row>
    <row r="4946" spans="49:49" ht="25.25" customHeight="1">
      <c r="AW4946" s="35"/>
    </row>
    <row r="4947" spans="49:49" ht="25.25" customHeight="1">
      <c r="AW4947" s="35"/>
    </row>
    <row r="4948" spans="49:49" ht="25.25" customHeight="1">
      <c r="AW4948" s="35"/>
    </row>
    <row r="4949" spans="49:49" ht="25.25" customHeight="1">
      <c r="AW4949" s="35"/>
    </row>
    <row r="4950" spans="49:49" ht="25.25" customHeight="1">
      <c r="AW4950" s="35"/>
    </row>
    <row r="4951" spans="49:49" ht="25.25" customHeight="1">
      <c r="AW4951" s="35"/>
    </row>
    <row r="4952" spans="49:49" ht="25.25" customHeight="1">
      <c r="AW4952" s="35"/>
    </row>
    <row r="4953" spans="49:49" ht="25.25" customHeight="1">
      <c r="AW4953" s="35"/>
    </row>
    <row r="4954" spans="49:49" ht="25.25" customHeight="1">
      <c r="AW4954" s="35"/>
    </row>
    <row r="4955" spans="49:49" ht="25.25" customHeight="1">
      <c r="AW4955" s="35"/>
    </row>
    <row r="4956" spans="49:49" ht="25.25" customHeight="1">
      <c r="AW4956" s="35"/>
    </row>
    <row r="4957" spans="49:49" ht="25.25" customHeight="1">
      <c r="AW4957" s="35"/>
    </row>
    <row r="4958" spans="49:49" ht="25.25" customHeight="1">
      <c r="AW4958" s="35"/>
    </row>
    <row r="4959" spans="49:49" ht="25.25" customHeight="1">
      <c r="AW4959" s="35"/>
    </row>
    <row r="4960" spans="49:49" ht="25.25" customHeight="1">
      <c r="AW4960" s="35"/>
    </row>
    <row r="4961" spans="49:49" ht="25.25" customHeight="1">
      <c r="AW4961" s="35"/>
    </row>
    <row r="4962" spans="49:49" ht="25.25" customHeight="1">
      <c r="AW4962" s="35"/>
    </row>
    <row r="4963" spans="49:49" ht="25.25" customHeight="1">
      <c r="AW4963" s="35"/>
    </row>
    <row r="4964" spans="49:49" ht="25.25" customHeight="1">
      <c r="AW4964" s="35"/>
    </row>
    <row r="4965" spans="49:49" ht="25.25" customHeight="1">
      <c r="AW4965" s="35"/>
    </row>
    <row r="4966" spans="49:49" ht="25.25" customHeight="1">
      <c r="AW4966" s="35"/>
    </row>
    <row r="4967" spans="49:49" ht="25.25" customHeight="1">
      <c r="AW4967" s="35"/>
    </row>
    <row r="4968" spans="49:49" ht="25.25" customHeight="1">
      <c r="AW4968" s="35"/>
    </row>
    <row r="4969" spans="49:49" ht="25.25" customHeight="1">
      <c r="AW4969" s="35"/>
    </row>
    <row r="4970" spans="49:49" ht="25.25" customHeight="1">
      <c r="AW4970" s="35"/>
    </row>
    <row r="4971" spans="49:49" ht="25.25" customHeight="1">
      <c r="AW4971" s="35"/>
    </row>
    <row r="4972" spans="49:49" ht="25.25" customHeight="1">
      <c r="AW4972" s="35"/>
    </row>
    <row r="4973" spans="49:49" ht="25.25" customHeight="1">
      <c r="AW4973" s="35"/>
    </row>
    <row r="4974" spans="49:49" ht="25.25" customHeight="1">
      <c r="AW4974" s="35"/>
    </row>
    <row r="4975" spans="49:49" ht="25.25" customHeight="1">
      <c r="AW4975" s="35"/>
    </row>
    <row r="4976" spans="49:49" ht="25.25" customHeight="1">
      <c r="AW4976" s="35"/>
    </row>
    <row r="4977" spans="49:49" ht="25.25" customHeight="1">
      <c r="AW4977" s="35"/>
    </row>
    <row r="4978" spans="49:49" ht="25.25" customHeight="1">
      <c r="AW4978" s="35"/>
    </row>
    <row r="4979" spans="49:49" ht="25.25" customHeight="1">
      <c r="AW4979" s="35"/>
    </row>
    <row r="4980" spans="49:49" ht="25.25" customHeight="1">
      <c r="AW4980" s="35"/>
    </row>
    <row r="4981" spans="49:49" ht="25.25" customHeight="1">
      <c r="AW4981" s="35"/>
    </row>
    <row r="4982" spans="49:49" ht="25.25" customHeight="1">
      <c r="AW4982" s="35"/>
    </row>
    <row r="4983" spans="49:49" ht="25.25" customHeight="1">
      <c r="AW4983" s="35"/>
    </row>
    <row r="4984" spans="49:49" ht="25.25" customHeight="1">
      <c r="AW4984" s="35"/>
    </row>
    <row r="4985" spans="49:49" ht="25.25" customHeight="1">
      <c r="AW4985" s="35"/>
    </row>
    <row r="4986" spans="49:49" ht="25.25" customHeight="1">
      <c r="AW4986" s="35"/>
    </row>
    <row r="4987" spans="49:49" ht="25.25" customHeight="1">
      <c r="AW4987" s="35"/>
    </row>
    <row r="4988" spans="49:49" ht="25.25" customHeight="1">
      <c r="AW4988" s="35"/>
    </row>
    <row r="4989" spans="49:49" ht="25.25" customHeight="1">
      <c r="AW4989" s="35"/>
    </row>
    <row r="4990" spans="49:49" ht="25.25" customHeight="1">
      <c r="AW4990" s="35"/>
    </row>
    <row r="4991" spans="49:49" ht="25.25" customHeight="1">
      <c r="AW4991" s="35"/>
    </row>
    <row r="4992" spans="49:49" ht="25.25" customHeight="1">
      <c r="AW4992" s="35"/>
    </row>
    <row r="4993" spans="49:49" ht="25.25" customHeight="1">
      <c r="AW4993" s="35"/>
    </row>
    <row r="4994" spans="49:49" ht="25.25" customHeight="1">
      <c r="AW4994" s="35"/>
    </row>
    <row r="4995" spans="49:49" ht="25.25" customHeight="1">
      <c r="AW4995" s="35"/>
    </row>
    <row r="4996" spans="49:49" ht="25.25" customHeight="1">
      <c r="AW4996" s="35"/>
    </row>
    <row r="4997" spans="49:49" ht="25.25" customHeight="1">
      <c r="AW4997" s="35"/>
    </row>
    <row r="4998" spans="49:49" ht="25.25" customHeight="1">
      <c r="AW4998" s="35"/>
    </row>
    <row r="4999" spans="49:49" ht="25.25" customHeight="1">
      <c r="AW4999" s="35"/>
    </row>
    <row r="5000" spans="49:49" ht="25.25" customHeight="1">
      <c r="AW5000" s="35"/>
    </row>
    <row r="5001" spans="49:49" ht="25.25" customHeight="1">
      <c r="AW5001" s="35"/>
    </row>
    <row r="5002" spans="49:49" ht="25.25" customHeight="1">
      <c r="AW5002" s="35"/>
    </row>
    <row r="5003" spans="49:49" ht="25.25" customHeight="1">
      <c r="AW5003" s="35"/>
    </row>
    <row r="5004" spans="49:49" ht="25.25" customHeight="1">
      <c r="AW5004" s="35"/>
    </row>
    <row r="5005" spans="49:49" ht="25.25" customHeight="1">
      <c r="AW5005" s="35"/>
    </row>
    <row r="5006" spans="49:49" ht="25.25" customHeight="1">
      <c r="AW5006" s="35"/>
    </row>
    <row r="5007" spans="49:49" ht="25.25" customHeight="1">
      <c r="AW5007" s="35"/>
    </row>
    <row r="5008" spans="49:49" ht="25.25" customHeight="1">
      <c r="AW5008" s="35"/>
    </row>
    <row r="5009" spans="49:49" ht="25.25" customHeight="1">
      <c r="AW5009" s="35"/>
    </row>
    <row r="5010" spans="49:49" ht="25.25" customHeight="1">
      <c r="AW5010" s="35"/>
    </row>
    <row r="5011" spans="49:49" ht="25.25" customHeight="1">
      <c r="AW5011" s="35"/>
    </row>
    <row r="5012" spans="49:49" ht="25.25" customHeight="1">
      <c r="AW5012" s="35"/>
    </row>
    <row r="5013" spans="49:49" ht="25.25" customHeight="1">
      <c r="AW5013" s="35"/>
    </row>
    <row r="5014" spans="49:49" ht="25.25" customHeight="1">
      <c r="AW5014" s="35"/>
    </row>
    <row r="5015" spans="49:49" ht="25.25" customHeight="1">
      <c r="AW5015" s="35"/>
    </row>
    <row r="5016" spans="49:49" ht="25.25" customHeight="1">
      <c r="AW5016" s="35"/>
    </row>
    <row r="5017" spans="49:49" ht="25.25" customHeight="1">
      <c r="AW5017" s="35"/>
    </row>
    <row r="5018" spans="49:49" ht="25.25" customHeight="1">
      <c r="AW5018" s="35"/>
    </row>
    <row r="5019" spans="49:49" ht="25.25" customHeight="1">
      <c r="AW5019" s="35"/>
    </row>
    <row r="5020" spans="49:49" ht="25.25" customHeight="1">
      <c r="AW5020" s="35"/>
    </row>
    <row r="5021" spans="49:49" ht="25.25" customHeight="1">
      <c r="AW5021" s="35"/>
    </row>
    <row r="5022" spans="49:49" ht="25.25" customHeight="1">
      <c r="AW5022" s="35"/>
    </row>
    <row r="5023" spans="49:49" ht="25.25" customHeight="1">
      <c r="AW5023" s="35"/>
    </row>
    <row r="5024" spans="49:49" ht="25.25" customHeight="1">
      <c r="AW5024" s="35"/>
    </row>
    <row r="5025" spans="1:96" ht="25.25" customHeight="1">
      <c r="AW5025" s="35"/>
    </row>
    <row r="5026" spans="1:96" ht="25.25" customHeight="1">
      <c r="AW5026" s="35"/>
    </row>
    <row r="5027" spans="1:96" ht="25.25" customHeight="1">
      <c r="AW5027" s="35"/>
    </row>
    <row r="5028" spans="1:96" ht="25.25" customHeight="1">
      <c r="AW5028" s="35"/>
    </row>
    <row r="5029" spans="1:96" ht="25.25" customHeight="1">
      <c r="AW5029" s="35"/>
    </row>
    <row r="5030" spans="1:96" ht="25.25" customHeight="1">
      <c r="AW5030" s="35"/>
    </row>
    <row r="5031" spans="1:96" ht="25.25" customHeight="1">
      <c r="AW5031" s="35"/>
    </row>
    <row r="5032" spans="1:96" ht="25.25" customHeight="1">
      <c r="AW5032" s="35"/>
    </row>
    <row r="5033" spans="1:96" ht="25.25" customHeight="1">
      <c r="A5033" s="2701" t="s">
        <v>25</v>
      </c>
      <c r="B5033" s="2620"/>
      <c r="E5033" s="163"/>
      <c r="F5033" s="35"/>
      <c r="G5033" s="35"/>
      <c r="H5033" s="35"/>
      <c r="I5033" s="32"/>
      <c r="J5033" s="32"/>
      <c r="K5033" s="32"/>
      <c r="L5033" s="32"/>
      <c r="M5033" s="32"/>
      <c r="N5033" s="32"/>
      <c r="X5033" s="32"/>
      <c r="AW5033" s="35"/>
      <c r="CH5033" s="35"/>
      <c r="CI5033" s="35"/>
      <c r="CJ5033" s="35"/>
      <c r="CK5033" s="35"/>
      <c r="CM5033" s="35"/>
      <c r="CR5033" s="35"/>
    </row>
    <row r="5034" spans="1:96" ht="25.25" customHeight="1">
      <c r="A5034" s="2702" t="s">
        <v>27</v>
      </c>
      <c r="B5034" s="2620"/>
      <c r="E5034" s="163"/>
      <c r="F5034" s="35"/>
      <c r="G5034" s="35"/>
      <c r="H5034" s="35"/>
      <c r="I5034" s="32"/>
      <c r="J5034" s="32"/>
      <c r="K5034" s="32"/>
      <c r="L5034" s="32"/>
      <c r="M5034" s="32"/>
      <c r="N5034" s="32"/>
      <c r="X5034" s="32"/>
      <c r="AW5034" s="35"/>
      <c r="CH5034" s="35"/>
      <c r="CI5034" s="35"/>
      <c r="CJ5034" s="35"/>
      <c r="CK5034" s="35"/>
      <c r="CM5034" s="35"/>
      <c r="CR5034" s="35"/>
    </row>
    <row r="5035" spans="1:96" ht="25.25" customHeight="1">
      <c r="A5035" s="2702" t="s">
        <v>28</v>
      </c>
      <c r="B5035" s="2620"/>
      <c r="E5035" s="163"/>
      <c r="F5035" s="35"/>
      <c r="G5035" s="35"/>
      <c r="H5035" s="35"/>
      <c r="I5035" s="32"/>
      <c r="J5035" s="32"/>
      <c r="K5035" s="32"/>
      <c r="L5035" s="32"/>
      <c r="M5035" s="32"/>
      <c r="N5035" s="32"/>
      <c r="X5035" s="32"/>
      <c r="AW5035" s="35"/>
      <c r="CH5035" s="35"/>
      <c r="CI5035" s="35"/>
      <c r="CJ5035" s="35"/>
      <c r="CK5035" s="35"/>
      <c r="CM5035" s="35"/>
      <c r="CR5035" s="35"/>
    </row>
    <row r="5036" spans="1:96" ht="25.25" customHeight="1">
      <c r="A5036" s="2702" t="s">
        <v>26</v>
      </c>
      <c r="B5036" s="2620"/>
      <c r="E5036" s="163"/>
      <c r="F5036" s="35"/>
      <c r="G5036" s="35"/>
      <c r="H5036" s="35"/>
      <c r="I5036" s="32"/>
      <c r="J5036" s="32"/>
      <c r="K5036" s="32"/>
      <c r="L5036" s="32"/>
      <c r="M5036" s="32"/>
      <c r="N5036" s="32"/>
      <c r="X5036" s="32"/>
      <c r="AW5036" s="35"/>
      <c r="CH5036" s="35"/>
      <c r="CI5036" s="35"/>
      <c r="CJ5036" s="35"/>
      <c r="CK5036" s="35"/>
      <c r="CM5036" s="35"/>
      <c r="CR5036" s="35"/>
    </row>
    <row r="5037" spans="1:96" ht="25.25" customHeight="1">
      <c r="A5037" s="2703" t="s">
        <v>29</v>
      </c>
      <c r="B5037" s="2620"/>
      <c r="E5037" s="163"/>
      <c r="F5037" s="35"/>
      <c r="G5037" s="35"/>
      <c r="H5037" s="35"/>
      <c r="I5037" s="32"/>
      <c r="J5037" s="32"/>
      <c r="K5037" s="32"/>
      <c r="L5037" s="32"/>
      <c r="M5037" s="32"/>
      <c r="N5037" s="32"/>
      <c r="X5037" s="32"/>
      <c r="AW5037" s="35"/>
      <c r="CH5037" s="35"/>
      <c r="CI5037" s="35"/>
      <c r="CJ5037" s="35"/>
      <c r="CK5037" s="35"/>
      <c r="CM5037" s="35"/>
      <c r="CR5037" s="35"/>
    </row>
    <row r="5038" spans="1:96" ht="25.25" customHeight="1">
      <c r="A5038" s="2703"/>
      <c r="B5038" s="2620"/>
      <c r="E5038" s="163"/>
      <c r="F5038" s="35"/>
      <c r="G5038" s="35"/>
      <c r="H5038" s="35"/>
      <c r="I5038" s="32"/>
      <c r="J5038" s="32"/>
      <c r="K5038" s="32"/>
      <c r="L5038" s="32"/>
      <c r="M5038" s="32"/>
      <c r="N5038" s="32"/>
      <c r="X5038" s="32"/>
      <c r="AW5038" s="35"/>
      <c r="CH5038" s="35"/>
      <c r="CI5038" s="35"/>
      <c r="CJ5038" s="35"/>
      <c r="CK5038" s="35"/>
      <c r="CM5038" s="35"/>
      <c r="CR5038" s="35"/>
    </row>
    <row r="5039" spans="1:96" ht="25.25" customHeight="1">
      <c r="AX5039" s="35" t="s">
        <v>85</v>
      </c>
    </row>
    <row r="5040" spans="1:96" ht="25.25" customHeight="1">
      <c r="AV5040" s="32"/>
      <c r="AX5040" s="239"/>
      <c r="AZ5040" s="32"/>
    </row>
    <row r="5041" spans="29:51" ht="25.25" customHeight="1">
      <c r="AI5041" s="32"/>
      <c r="AX5041" s="239"/>
    </row>
    <row r="5042" spans="29:51" ht="25.25" customHeight="1">
      <c r="AC5042" s="1429" t="s">
        <v>85</v>
      </c>
      <c r="AD5042" s="2108"/>
      <c r="AL5042" s="2074"/>
      <c r="AM5042" s="2074"/>
      <c r="AV5042" s="32"/>
      <c r="AW5042" s="32"/>
      <c r="AX5042" s="239"/>
    </row>
    <row r="5043" spans="29:51" ht="25.25" customHeight="1">
      <c r="AL5043" s="32"/>
      <c r="AM5043" s="32"/>
      <c r="AV5043" s="32"/>
      <c r="AX5043" s="239" t="s">
        <v>505</v>
      </c>
      <c r="AY5043" s="2074"/>
    </row>
    <row r="5044" spans="29:51" ht="25.25" customHeight="1">
      <c r="AF5044" s="32"/>
      <c r="AX5044" s="239"/>
      <c r="AY5044" s="32"/>
    </row>
    <row r="5045" spans="29:51" ht="25.25" customHeight="1">
      <c r="AI5045" s="32"/>
      <c r="AX5045" s="239"/>
      <c r="AY5045" s="32"/>
    </row>
    <row r="5046" spans="29:51" ht="25.25" customHeight="1">
      <c r="AJ5046" s="32"/>
      <c r="AK5046" s="32"/>
      <c r="AX5046" s="239"/>
    </row>
    <row r="5047" spans="29:51" ht="25.25" customHeight="1">
      <c r="AJ5047" s="2071"/>
      <c r="AK5047" s="2071"/>
      <c r="AV5047" s="32"/>
      <c r="AX5047" s="239"/>
    </row>
    <row r="5048" spans="29:51" ht="25.25" customHeight="1">
      <c r="AX5048" s="239"/>
    </row>
    <row r="5049" spans="29:51" ht="25.25" customHeight="1">
      <c r="AI5049" s="32"/>
      <c r="AV5049" s="32"/>
      <c r="AX5049" s="239"/>
    </row>
    <row r="5050" spans="29:51" ht="25.25" customHeight="1">
      <c r="AJ5050" s="32"/>
      <c r="AK5050" s="32"/>
      <c r="AV5050" s="32"/>
      <c r="AX5050" s="239"/>
    </row>
    <row r="5051" spans="29:51" ht="25.25" customHeight="1">
      <c r="AJ5051" s="32"/>
      <c r="AK5051" s="32"/>
      <c r="AV5051" s="32"/>
    </row>
    <row r="5052" spans="29:51" ht="25.25" customHeight="1">
      <c r="AJ5052" s="32"/>
      <c r="AK5052" s="32"/>
      <c r="AV5052" s="32"/>
    </row>
    <row r="5053" spans="29:51" ht="25.25" customHeight="1">
      <c r="AJ5053" s="32"/>
      <c r="AK5053" s="32"/>
      <c r="AV5053" s="32"/>
    </row>
    <row r="5054" spans="29:51" ht="25.25" customHeight="1">
      <c r="AJ5054" s="32"/>
      <c r="AK5054" s="32"/>
      <c r="AV5054" s="32"/>
    </row>
    <row r="5055" spans="29:51" ht="25.25" customHeight="1">
      <c r="AV5055" s="32"/>
      <c r="AX5055" s="35" t="s">
        <v>85</v>
      </c>
    </row>
    <row r="5056" spans="29:51" ht="25.25" customHeight="1">
      <c r="AJ5056" s="32"/>
      <c r="AK5056" s="32"/>
      <c r="AV5056" s="32"/>
    </row>
    <row r="5057" spans="36:48" ht="25.25" customHeight="1">
      <c r="AJ5057" s="32"/>
      <c r="AK5057" s="32"/>
      <c r="AV5057" s="32"/>
    </row>
    <row r="5058" spans="36:48" ht="25.25" customHeight="1">
      <c r="AJ5058" s="32"/>
      <c r="AK5058" s="32"/>
      <c r="AV5058" s="32"/>
    </row>
    <row r="5059" spans="36:48" ht="25.25" customHeight="1">
      <c r="AJ5059" s="32"/>
      <c r="AK5059" s="32"/>
    </row>
    <row r="5060" spans="36:48" ht="25.25" customHeight="1">
      <c r="AJ5060" s="32"/>
      <c r="AK5060" s="32"/>
      <c r="AV5060" s="32"/>
    </row>
    <row r="5061" spans="36:48" ht="25.25" customHeight="1">
      <c r="AV5061" s="32"/>
    </row>
    <row r="5062" spans="36:48" ht="25.25" customHeight="1">
      <c r="AJ5062" s="2081"/>
      <c r="AK5062" s="2081"/>
      <c r="AV5062" s="2082"/>
    </row>
  </sheetData>
  <autoFilter ref="A1:EP5038" xr:uid="{00000000-0001-0000-0000-000000000000}">
    <filterColumn colId="6" showButton="0"/>
    <filterColumn colId="7" showButton="0"/>
    <filterColumn colId="8" showButton="0"/>
    <filterColumn colId="9" showButton="0"/>
    <filterColumn colId="10" showButton="0"/>
    <filterColumn colId="11" showButton="0"/>
    <filterColumn colId="12" showButton="0"/>
    <filterColumn colId="13" showButton="0"/>
  </autoFilter>
  <mergeCells count="45">
    <mergeCell ref="AR508:AR511"/>
    <mergeCell ref="AQ498:AY498"/>
    <mergeCell ref="AN506:AP506"/>
    <mergeCell ref="AW497:AY497"/>
    <mergeCell ref="AQ506:AS506"/>
    <mergeCell ref="AQ507:AY507"/>
    <mergeCell ref="AT506:AV506"/>
    <mergeCell ref="AR499:AR502"/>
    <mergeCell ref="AN498:AP498"/>
    <mergeCell ref="AW506:AY506"/>
    <mergeCell ref="AN507:AP507"/>
    <mergeCell ref="AT497:AV497"/>
    <mergeCell ref="A482:W482"/>
    <mergeCell ref="A497:W497"/>
    <mergeCell ref="W480:AB480"/>
    <mergeCell ref="W481:AB481"/>
    <mergeCell ref="AQ497:AS497"/>
    <mergeCell ref="AN497:AP497"/>
    <mergeCell ref="G1:O1"/>
    <mergeCell ref="K3:R3"/>
    <mergeCell ref="Y463:AA463"/>
    <mergeCell ref="AN4:AO4"/>
    <mergeCell ref="K4:R4"/>
    <mergeCell ref="I14:I25"/>
    <mergeCell ref="I27:I37"/>
    <mergeCell ref="I130:I140"/>
    <mergeCell ref="I40:I129"/>
    <mergeCell ref="I144:I159"/>
    <mergeCell ref="I161:I182"/>
    <mergeCell ref="I258:I275"/>
    <mergeCell ref="I186:I231"/>
    <mergeCell ref="I232:I256"/>
    <mergeCell ref="I315:I318"/>
    <mergeCell ref="AZ9:BK9"/>
    <mergeCell ref="A8:A9"/>
    <mergeCell ref="AI8:CG8"/>
    <mergeCell ref="H8:I9"/>
    <mergeCell ref="AC8:AH9"/>
    <mergeCell ref="BL9:BT9"/>
    <mergeCell ref="P9:S9"/>
    <mergeCell ref="T9:W9"/>
    <mergeCell ref="J8:W8"/>
    <mergeCell ref="X8:AB9"/>
    <mergeCell ref="J9:O9"/>
    <mergeCell ref="AN9:AY9"/>
  </mergeCells>
  <phoneticPr fontId="146" type="noConversion"/>
  <conditionalFormatting sqref="CD432:CD438 CD161:CD183 CD236:CD249 CD251:CD256 CD280:CD282 CQ278 CD277:CD278 CD144:CD159 CD258:CD275 CD51:CD52 CD40:CD49 CD54:CD92 CD291:CD424 CD186:CD203">
    <cfRule type="cellIs" dxfId="3" priority="577" stopIfTrue="1" operator="lessThan">
      <formula>0</formula>
    </cfRule>
  </conditionalFormatting>
  <conditionalFormatting sqref="CD290">
    <cfRule type="cellIs" dxfId="2" priority="286" stopIfTrue="1" operator="lessThan">
      <formula>0</formula>
    </cfRule>
  </conditionalFormatting>
  <dataValidations disablePrompts="1" count="3">
    <dataValidation type="list" allowBlank="1" showInputMessage="1" showErrorMessage="1" sqref="A5033:B5038" xr:uid="{00000000-0002-0000-0000-000000000000}">
      <formula1>Pozycja</formula1>
    </dataValidation>
    <dataValidation type="list" allowBlank="1" showInputMessage="1" showErrorMessage="1" sqref="H14:H38 H304:H313 J40:J184 H280:H282 J27:J38 J14:J25 X304:X313 H40:H278 J280:J282 J186:J278" xr:uid="{00000000-0002-0000-0000-000007000000}">
      <formula1>$A$5034:$A$5039</formula1>
    </dataValidation>
    <dataValidation type="list" allowBlank="1" showInputMessage="1" showErrorMessage="1" sqref="X280:X282 X27:X37 X14:X25 X40:X142 X144:X278" xr:uid="{00000000-0002-0000-0000-000002000000}">
      <formula1>$A$5033:$A$5038</formula1>
    </dataValidation>
  </dataValidations>
  <printOptions horizontalCentered="1"/>
  <pageMargins left="1.8897637795275593" right="0.31496062992125984" top="0.35433070866141736" bottom="0.55118110236220474" header="0.11811023622047245" footer="0.11811023622047245"/>
  <pageSetup paperSize="8" scale="10" orientation="portrait" cellComments="asDisplayed" r:id="rId1"/>
  <headerFooter scaleWithDoc="0" alignWithMargins="0"/>
  <colBreaks count="3" manualBreakCount="3">
    <brk id="23" max="398" man="1"/>
    <brk id="27" max="1048575" man="1"/>
    <brk id="89" max="236" man="1"/>
  </colBreaks>
  <ignoredErrors>
    <ignoredError sqref="O293 O284 O314 AB405 AB257 N287 W287 O405 AB185 BB111 BD111 AV212" formula="1"/>
    <ignoredError sqref="A16" twoDigitTextYear="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C8F26-12B4-416C-BABD-667EBCB23221}">
  <dimension ref="D10:J25"/>
  <sheetViews>
    <sheetView workbookViewId="0">
      <selection activeCell="E25" sqref="E25"/>
    </sheetView>
  </sheetViews>
  <sheetFormatPr defaultRowHeight="13.5"/>
  <cols>
    <col min="4" max="4" width="12.375" bestFit="1" customWidth="1"/>
    <col min="7" max="7" width="11.875" bestFit="1" customWidth="1"/>
    <col min="8" max="8" width="12.375" bestFit="1" customWidth="1"/>
    <col min="9" max="9" width="11.375" bestFit="1" customWidth="1"/>
  </cols>
  <sheetData>
    <row r="10" spans="9:10">
      <c r="I10" s="2000">
        <v>48000</v>
      </c>
      <c r="J10" s="2707">
        <f>I10*J11/I11</f>
        <v>2.896976892957881E-2</v>
      </c>
    </row>
    <row r="11" spans="9:10">
      <c r="I11" s="2000">
        <v>1656899.65</v>
      </c>
      <c r="J11" s="2841">
        <v>1</v>
      </c>
    </row>
    <row r="17" spans="4:8">
      <c r="D17" s="2528">
        <v>631386000.00281692</v>
      </c>
      <c r="E17" s="2845">
        <v>1</v>
      </c>
    </row>
    <row r="18" spans="4:8">
      <c r="D18">
        <f>D17*E18/E17</f>
        <v>63138600.000281692</v>
      </c>
      <c r="E18" s="2845">
        <v>0.1</v>
      </c>
    </row>
    <row r="20" spans="4:8">
      <c r="D20" s="2000"/>
    </row>
    <row r="21" spans="4:8">
      <c r="D21" s="2000">
        <v>85237132.850000024</v>
      </c>
      <c r="F21" s="2707">
        <f>D21*E17/D17</f>
        <v>0.13500003618962053</v>
      </c>
      <c r="H21" s="2000">
        <f>D21-D22</f>
        <v>22098535.140000023</v>
      </c>
    </row>
    <row r="22" spans="4:8">
      <c r="D22" s="2000">
        <v>63138597.710000001</v>
      </c>
      <c r="F22" s="2707">
        <f>D22*E17/D17</f>
        <v>9.999999637261249E-2</v>
      </c>
      <c r="H22">
        <f>H21/D17</f>
        <v>3.5000039817008027E-2</v>
      </c>
    </row>
    <row r="23" spans="4:8">
      <c r="D23" s="2000"/>
    </row>
    <row r="24" spans="4:8">
      <c r="D24" s="2000"/>
    </row>
    <row r="25" spans="4:8">
      <c r="D25" s="200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01C1-5E33-4C54-8183-9527A9F88AE5}">
  <sheetPr>
    <pageSetUpPr fitToPage="1"/>
  </sheetPr>
  <dimension ref="A1:O217"/>
  <sheetViews>
    <sheetView topLeftCell="A5" zoomScale="130" zoomScaleNormal="130" workbookViewId="0">
      <selection activeCell="A9" sqref="A9:XFD9"/>
    </sheetView>
  </sheetViews>
  <sheetFormatPr defaultColWidth="7.6875" defaultRowHeight="13.5"/>
  <cols>
    <col min="1" max="1" width="5.625" style="1577" customWidth="1"/>
    <col min="2" max="2" width="34.6875" style="1578" customWidth="1"/>
    <col min="3" max="3" width="7.6875" style="1577"/>
    <col min="4" max="4" width="10" style="1551" bestFit="1" customWidth="1"/>
    <col min="5" max="5" width="14" style="1551" bestFit="1" customWidth="1"/>
    <col min="6" max="6" width="6.5" style="1580" bestFit="1" customWidth="1"/>
    <col min="7" max="7" width="13.625" style="1581" customWidth="1"/>
    <col min="8" max="8" width="10.125" style="1534" customWidth="1"/>
    <col min="9" max="9" width="5.5" style="1534" customWidth="1"/>
    <col min="10" max="10" width="13.375" style="1534" customWidth="1"/>
    <col min="11" max="11" width="8.625" style="1534" customWidth="1"/>
    <col min="12" max="12" width="11" style="1930" customWidth="1"/>
    <col min="13" max="13" width="16.1875" style="1930" customWidth="1"/>
    <col min="14" max="16384" width="7.6875" style="1551"/>
  </cols>
  <sheetData>
    <row r="1" spans="1:15" s="1530" customFormat="1" ht="27.6" customHeight="1">
      <c r="A1" s="2954" t="s">
        <v>328</v>
      </c>
      <c r="B1" s="2954"/>
      <c r="C1" s="2954"/>
      <c r="D1" s="2954"/>
      <c r="E1" s="1531"/>
      <c r="F1" s="1532"/>
      <c r="G1" s="1533"/>
      <c r="H1" s="1534"/>
      <c r="I1" s="1534"/>
      <c r="J1" s="1534"/>
      <c r="K1" s="1534"/>
      <c r="L1" s="1925"/>
      <c r="M1" s="1925"/>
    </row>
    <row r="2" spans="1:15" s="1530" customFormat="1" ht="27.6" customHeight="1">
      <c r="A2" s="1527"/>
      <c r="B2" s="1535" t="s">
        <v>329</v>
      </c>
      <c r="C2" s="1529"/>
      <c r="F2" s="1532"/>
      <c r="G2" s="1533"/>
      <c r="H2" s="1534"/>
      <c r="I2" s="1534"/>
      <c r="J2" s="1534"/>
      <c r="K2" s="1534"/>
      <c r="L2" s="1925"/>
      <c r="M2" s="1925"/>
    </row>
    <row r="3" spans="1:15" s="1530" customFormat="1" ht="27.6" customHeight="1">
      <c r="A3" s="1527"/>
      <c r="B3" s="1536">
        <v>509000000</v>
      </c>
      <c r="C3" s="1529"/>
      <c r="F3" s="1532"/>
      <c r="G3" s="1533"/>
      <c r="H3" s="1534"/>
      <c r="I3" s="1534"/>
      <c r="J3" s="1534"/>
      <c r="K3" s="1534"/>
      <c r="L3" s="1925"/>
      <c r="M3" s="1925"/>
    </row>
    <row r="4" spans="1:15" s="1530" customFormat="1" ht="27.6" customHeight="1">
      <c r="A4" s="1527"/>
      <c r="B4" s="1528"/>
      <c r="C4" s="2953" t="s">
        <v>330</v>
      </c>
      <c r="D4" s="2953"/>
      <c r="E4" s="2953"/>
      <c r="F4" s="1537"/>
      <c r="G4" s="1538"/>
      <c r="H4" s="1539"/>
      <c r="I4" s="1539"/>
      <c r="J4" s="1539"/>
      <c r="K4" s="1539"/>
      <c r="L4" s="1925"/>
      <c r="M4" s="1925"/>
    </row>
    <row r="5" spans="1:15" s="1543" customFormat="1" ht="36" customHeight="1">
      <c r="A5" s="1540" t="s">
        <v>331</v>
      </c>
      <c r="B5" s="1541" t="s">
        <v>332</v>
      </c>
      <c r="C5" s="1540" t="s">
        <v>333</v>
      </c>
      <c r="D5" s="1540" t="s">
        <v>334</v>
      </c>
      <c r="E5" s="1540" t="s">
        <v>335</v>
      </c>
      <c r="F5" s="1540" t="s">
        <v>22</v>
      </c>
      <c r="G5" s="1540" t="s">
        <v>336</v>
      </c>
      <c r="H5" s="1541" t="s">
        <v>337</v>
      </c>
      <c r="I5" s="1540" t="s">
        <v>22</v>
      </c>
      <c r="J5" s="1540" t="s">
        <v>336</v>
      </c>
      <c r="K5" s="1542" t="s">
        <v>338</v>
      </c>
      <c r="L5" s="1926" t="s">
        <v>339</v>
      </c>
      <c r="M5" s="1926" t="s">
        <v>439</v>
      </c>
    </row>
    <row r="6" spans="1:15">
      <c r="A6" s="1544">
        <v>1</v>
      </c>
      <c r="B6" s="1545" t="s">
        <v>339</v>
      </c>
      <c r="C6" s="1544" t="s">
        <v>340</v>
      </c>
      <c r="D6" s="1546">
        <v>0.15</v>
      </c>
      <c r="E6" s="1547">
        <v>76350000</v>
      </c>
      <c r="F6" s="1548"/>
      <c r="G6" s="1549"/>
      <c r="H6" s="1544"/>
      <c r="I6" s="1544"/>
      <c r="J6" s="1544"/>
      <c r="K6" s="1550"/>
      <c r="L6" s="1927"/>
      <c r="M6" s="1927"/>
    </row>
    <row r="7" spans="1:15" s="1560" customFormat="1" ht="38" customHeight="1">
      <c r="A7" s="1552">
        <v>2</v>
      </c>
      <c r="B7" s="1553" t="s">
        <v>341</v>
      </c>
      <c r="C7" s="1554" t="s">
        <v>342</v>
      </c>
      <c r="D7" s="1555"/>
      <c r="E7" s="1554"/>
      <c r="F7" s="1556"/>
      <c r="G7" s="1552"/>
      <c r="H7" s="1552"/>
      <c r="I7" s="1557"/>
      <c r="J7" s="1552"/>
      <c r="K7" s="1558"/>
      <c r="L7" s="1928"/>
      <c r="M7" s="1928">
        <v>0</v>
      </c>
    </row>
    <row r="8" spans="1:15" s="1560" customFormat="1" ht="21" customHeight="1">
      <c r="A8" s="1552" t="s">
        <v>343</v>
      </c>
      <c r="B8" s="1924" t="s">
        <v>344</v>
      </c>
      <c r="C8" s="1554" t="s">
        <v>345</v>
      </c>
      <c r="D8" s="1555">
        <v>0.02</v>
      </c>
      <c r="E8" s="1561">
        <v>10180000</v>
      </c>
      <c r="F8" s="1556">
        <v>0.02</v>
      </c>
      <c r="G8" s="1562">
        <v>10180000</v>
      </c>
      <c r="H8" s="1559">
        <v>45505</v>
      </c>
      <c r="I8" s="1556"/>
      <c r="J8" s="1562"/>
      <c r="K8" s="1563"/>
      <c r="L8" s="1928">
        <v>1959650</v>
      </c>
      <c r="M8" s="1955">
        <v>8220350</v>
      </c>
    </row>
    <row r="9" spans="1:15" s="1560" customFormat="1" ht="23.25">
      <c r="A9" s="1552" t="s">
        <v>346</v>
      </c>
      <c r="B9" s="1553" t="s">
        <v>347</v>
      </c>
      <c r="C9" s="1554" t="s">
        <v>348</v>
      </c>
      <c r="D9" s="1555">
        <v>0.03</v>
      </c>
      <c r="E9" s="1561">
        <v>15270000</v>
      </c>
      <c r="F9" s="1556">
        <v>0.03</v>
      </c>
      <c r="G9" s="1562">
        <v>15270000</v>
      </c>
      <c r="H9" s="1559">
        <v>45658</v>
      </c>
      <c r="I9" s="1556"/>
      <c r="J9" s="1562">
        <v>0</v>
      </c>
      <c r="K9" s="1558"/>
      <c r="L9" s="1928">
        <v>2939475</v>
      </c>
      <c r="M9" s="1955">
        <v>12330525</v>
      </c>
    </row>
    <row r="10" spans="1:15" s="1560" customFormat="1" ht="58.15">
      <c r="A10" s="1552">
        <v>3</v>
      </c>
      <c r="B10" s="1553" t="s">
        <v>349</v>
      </c>
      <c r="C10" s="1554" t="s">
        <v>350</v>
      </c>
      <c r="D10" s="1555">
        <v>0.02</v>
      </c>
      <c r="E10" s="1561">
        <v>10180000</v>
      </c>
      <c r="F10" s="1556">
        <v>0.02</v>
      </c>
      <c r="G10" s="1562">
        <v>10180000</v>
      </c>
      <c r="H10" s="1559">
        <v>45566</v>
      </c>
      <c r="I10" s="1556"/>
      <c r="J10" s="1562">
        <v>0</v>
      </c>
      <c r="K10" s="1558"/>
      <c r="L10" s="1928">
        <v>1959650</v>
      </c>
      <c r="M10" s="1955">
        <v>8220350</v>
      </c>
    </row>
    <row r="11" spans="1:15" s="1560" customFormat="1" ht="34.9">
      <c r="A11" s="1552" t="s">
        <v>85</v>
      </c>
      <c r="B11" s="1553" t="s">
        <v>351</v>
      </c>
      <c r="C11" s="1554" t="s">
        <v>352</v>
      </c>
      <c r="D11" s="1555">
        <v>0.03</v>
      </c>
      <c r="E11" s="1561">
        <v>15270000</v>
      </c>
      <c r="F11" s="1556">
        <v>0.03</v>
      </c>
      <c r="G11" s="1562">
        <v>15270000</v>
      </c>
      <c r="H11" s="1559">
        <v>45627</v>
      </c>
      <c r="I11" s="1556"/>
      <c r="J11" s="1562">
        <v>0</v>
      </c>
      <c r="K11" s="1999"/>
      <c r="L11" s="1928">
        <v>2939475</v>
      </c>
      <c r="M11" s="1955">
        <v>12330525</v>
      </c>
      <c r="N11" s="1998">
        <f>255164.35/15270000</f>
        <v>1.6710173542894564E-2</v>
      </c>
      <c r="O11" s="1560">
        <f>N11*L11</f>
        <v>49119.137374999998</v>
      </c>
    </row>
    <row r="12" spans="1:15" s="1560" customFormat="1" ht="34.9">
      <c r="A12" s="1552">
        <v>5</v>
      </c>
      <c r="B12" s="1553" t="s">
        <v>353</v>
      </c>
      <c r="C12" s="1554" t="s">
        <v>354</v>
      </c>
      <c r="D12" s="1555">
        <v>7.0000000000000007E-2</v>
      </c>
      <c r="E12" s="1561">
        <v>35630000</v>
      </c>
      <c r="F12" s="1556">
        <v>7.0000000000000007E-2</v>
      </c>
      <c r="G12" s="1562">
        <v>35630000</v>
      </c>
      <c r="H12" s="1559">
        <v>45778</v>
      </c>
      <c r="I12" s="1556"/>
      <c r="J12" s="1562">
        <v>0</v>
      </c>
      <c r="K12" s="1558"/>
      <c r="L12" s="1928">
        <v>6858775</v>
      </c>
      <c r="M12" s="1955">
        <v>28771225</v>
      </c>
      <c r="O12" s="1560">
        <f>255164.35-O11</f>
        <v>206045.21262500001</v>
      </c>
    </row>
    <row r="13" spans="1:15" s="1560" customFormat="1" ht="34.9">
      <c r="A13" s="1552">
        <v>6</v>
      </c>
      <c r="B13" s="1553" t="s">
        <v>355</v>
      </c>
      <c r="C13" s="1554" t="s">
        <v>356</v>
      </c>
      <c r="D13" s="1555">
        <v>0.03</v>
      </c>
      <c r="E13" s="1561">
        <v>15270000</v>
      </c>
      <c r="F13" s="1556">
        <v>0.03</v>
      </c>
      <c r="G13" s="1562">
        <v>15270000</v>
      </c>
      <c r="H13" s="1559">
        <v>45870</v>
      </c>
      <c r="I13" s="1556"/>
      <c r="J13" s="1562">
        <v>0</v>
      </c>
      <c r="K13" s="1558"/>
      <c r="L13" s="1928">
        <v>2939475</v>
      </c>
      <c r="M13" s="1955">
        <v>12330525</v>
      </c>
    </row>
    <row r="14" spans="1:15" s="1560" customFormat="1" ht="34.9">
      <c r="A14" s="1552">
        <v>7</v>
      </c>
      <c r="B14" s="1553" t="s">
        <v>357</v>
      </c>
      <c r="C14" s="1554" t="s">
        <v>358</v>
      </c>
      <c r="D14" s="1555">
        <v>0.04</v>
      </c>
      <c r="E14" s="1561">
        <v>20360000</v>
      </c>
      <c r="F14" s="1556">
        <v>0.04</v>
      </c>
      <c r="G14" s="1562">
        <v>20360000</v>
      </c>
      <c r="H14" s="1559">
        <v>45809</v>
      </c>
      <c r="I14" s="1556"/>
      <c r="J14" s="1562">
        <v>0</v>
      </c>
      <c r="K14" s="1558"/>
      <c r="L14" s="1928">
        <v>3919300</v>
      </c>
      <c r="M14" s="1955">
        <v>16440700</v>
      </c>
    </row>
    <row r="15" spans="1:15" s="1560" customFormat="1" ht="23.25">
      <c r="A15" s="1552">
        <v>8</v>
      </c>
      <c r="B15" s="1553" t="s">
        <v>359</v>
      </c>
      <c r="C15" s="1554" t="s">
        <v>360</v>
      </c>
      <c r="D15" s="1555">
        <v>7.0000000000000007E-2</v>
      </c>
      <c r="E15" s="1561">
        <v>35630000</v>
      </c>
      <c r="F15" s="1556">
        <v>7.0000000000000007E-2</v>
      </c>
      <c r="G15" s="1562">
        <v>35630000</v>
      </c>
      <c r="H15" s="1559">
        <v>45870</v>
      </c>
      <c r="I15" s="1556"/>
      <c r="J15" s="1562">
        <v>0</v>
      </c>
      <c r="K15" s="1558"/>
      <c r="L15" s="1928">
        <v>6858775</v>
      </c>
      <c r="M15" s="1955">
        <v>28771225</v>
      </c>
    </row>
    <row r="16" spans="1:15" s="1560" customFormat="1" ht="46.5">
      <c r="A16" s="1552">
        <v>9</v>
      </c>
      <c r="B16" s="1553" t="s">
        <v>361</v>
      </c>
      <c r="C16" s="1554" t="s">
        <v>362</v>
      </c>
      <c r="D16" s="1565">
        <v>0.2</v>
      </c>
      <c r="E16" s="1566"/>
      <c r="F16" s="1556"/>
      <c r="G16" s="1562"/>
      <c r="H16" s="1552"/>
      <c r="I16" s="1556"/>
      <c r="J16" s="1562"/>
      <c r="K16" s="1558"/>
      <c r="L16" s="1928"/>
      <c r="M16" s="1955">
        <v>0</v>
      </c>
    </row>
    <row r="17" spans="1:13" s="1560" customFormat="1" ht="23.25">
      <c r="A17" s="1552" t="s">
        <v>363</v>
      </c>
      <c r="B17" s="1553" t="s">
        <v>364</v>
      </c>
      <c r="C17" s="1554" t="s">
        <v>365</v>
      </c>
      <c r="D17" s="1555">
        <v>0.02</v>
      </c>
      <c r="E17" s="1561">
        <v>10180000</v>
      </c>
      <c r="F17" s="1556">
        <v>0.02</v>
      </c>
      <c r="G17" s="1562">
        <v>10180000</v>
      </c>
      <c r="H17" s="1559">
        <v>45689</v>
      </c>
      <c r="I17" s="1556"/>
      <c r="J17" s="1562">
        <v>0</v>
      </c>
      <c r="K17" s="1558"/>
      <c r="L17" s="1928">
        <v>1959650</v>
      </c>
      <c r="M17" s="1955">
        <v>8220350</v>
      </c>
    </row>
    <row r="18" spans="1:13" s="1560" customFormat="1" ht="23.25">
      <c r="A18" s="1552" t="s">
        <v>366</v>
      </c>
      <c r="B18" s="1553" t="s">
        <v>367</v>
      </c>
      <c r="C18" s="1554" t="s">
        <v>368</v>
      </c>
      <c r="D18" s="1555">
        <v>0.01</v>
      </c>
      <c r="E18" s="1561">
        <v>5090000</v>
      </c>
      <c r="F18" s="1556">
        <v>0.01</v>
      </c>
      <c r="G18" s="1956">
        <v>5090000</v>
      </c>
      <c r="H18" s="1957">
        <v>45689</v>
      </c>
      <c r="I18" s="1958"/>
      <c r="J18" s="1956">
        <v>0</v>
      </c>
      <c r="K18" s="1558"/>
      <c r="L18" s="1928">
        <v>979825</v>
      </c>
      <c r="M18" s="1955">
        <v>4110175</v>
      </c>
    </row>
    <row r="19" spans="1:13" s="1560" customFormat="1" ht="23.25">
      <c r="A19" s="1552" t="s">
        <v>369</v>
      </c>
      <c r="B19" s="1553" t="s">
        <v>370</v>
      </c>
      <c r="C19" s="1554" t="s">
        <v>371</v>
      </c>
      <c r="D19" s="1555">
        <v>7.0000000000000007E-2</v>
      </c>
      <c r="E19" s="1561">
        <v>35630000</v>
      </c>
      <c r="F19" s="1556">
        <v>3.5000000000000003E-2</v>
      </c>
      <c r="G19" s="1956">
        <v>17815000</v>
      </c>
      <c r="H19" s="1957">
        <v>45689</v>
      </c>
      <c r="I19" s="1958">
        <v>3.5000000000000003E-2</v>
      </c>
      <c r="J19" s="1956">
        <v>17815000</v>
      </c>
      <c r="K19" s="1567">
        <v>45748</v>
      </c>
      <c r="L19" s="1928">
        <v>6858775</v>
      </c>
      <c r="M19" s="1955">
        <v>28771225</v>
      </c>
    </row>
    <row r="20" spans="1:13" s="1560" customFormat="1" ht="23.25">
      <c r="A20" s="1552" t="s">
        <v>372</v>
      </c>
      <c r="B20" s="1553" t="s">
        <v>373</v>
      </c>
      <c r="C20" s="1554" t="s">
        <v>374</v>
      </c>
      <c r="D20" s="1555">
        <v>0.03</v>
      </c>
      <c r="E20" s="1561">
        <v>15270000</v>
      </c>
      <c r="F20" s="1556">
        <v>0.03</v>
      </c>
      <c r="G20" s="1956">
        <v>15270000</v>
      </c>
      <c r="H20" s="1957">
        <v>45809</v>
      </c>
      <c r="I20" s="1958"/>
      <c r="J20" s="1956">
        <v>0</v>
      </c>
      <c r="K20" s="1558"/>
      <c r="L20" s="1928">
        <v>2939475</v>
      </c>
      <c r="M20" s="1955">
        <v>12330525</v>
      </c>
    </row>
    <row r="21" spans="1:13" s="1560" customFormat="1" ht="23.25">
      <c r="A21" s="1552" t="s">
        <v>375</v>
      </c>
      <c r="B21" s="1553" t="s">
        <v>376</v>
      </c>
      <c r="C21" s="1554" t="s">
        <v>377</v>
      </c>
      <c r="D21" s="1555">
        <v>0.01</v>
      </c>
      <c r="E21" s="1561">
        <v>5090000</v>
      </c>
      <c r="F21" s="1556">
        <v>0.01</v>
      </c>
      <c r="G21" s="1956">
        <v>5090000</v>
      </c>
      <c r="H21" s="1957">
        <v>45839</v>
      </c>
      <c r="I21" s="1958"/>
      <c r="J21" s="1956">
        <v>0</v>
      </c>
      <c r="K21" s="1558"/>
      <c r="L21" s="1928">
        <v>979825</v>
      </c>
      <c r="M21" s="1955">
        <v>4110175</v>
      </c>
    </row>
    <row r="22" spans="1:13" s="1560" customFormat="1" ht="69.75">
      <c r="A22" s="1552" t="s">
        <v>378</v>
      </c>
      <c r="B22" s="1553" t="s">
        <v>379</v>
      </c>
      <c r="C22" s="1554" t="s">
        <v>380</v>
      </c>
      <c r="D22" s="1555">
        <v>0.06</v>
      </c>
      <c r="E22" s="1561">
        <v>30540000</v>
      </c>
      <c r="F22" s="1556">
        <v>0.03</v>
      </c>
      <c r="G22" s="1956">
        <v>15270000</v>
      </c>
      <c r="H22" s="1957">
        <v>45931</v>
      </c>
      <c r="I22" s="1958">
        <v>0.03</v>
      </c>
      <c r="J22" s="1956">
        <v>15270000</v>
      </c>
      <c r="K22" s="1567">
        <v>45992</v>
      </c>
      <c r="L22" s="1928">
        <v>5878950</v>
      </c>
      <c r="M22" s="1955">
        <v>24661050</v>
      </c>
    </row>
    <row r="23" spans="1:13" s="1560" customFormat="1" ht="12.75">
      <c r="A23" s="1552"/>
      <c r="B23" s="1568" t="s">
        <v>381</v>
      </c>
      <c r="C23" s="1554"/>
      <c r="D23" s="1555"/>
      <c r="E23" s="1561"/>
      <c r="F23" s="1556"/>
      <c r="G23" s="1956"/>
      <c r="H23" s="1959"/>
      <c r="I23" s="1958"/>
      <c r="J23" s="1956"/>
      <c r="K23" s="1563" t="s">
        <v>444</v>
      </c>
      <c r="L23" s="1928"/>
      <c r="M23" s="1955">
        <v>0</v>
      </c>
    </row>
    <row r="24" spans="1:13" s="1560" customFormat="1" ht="23.25">
      <c r="A24" s="1552">
        <v>10</v>
      </c>
      <c r="B24" s="1553" t="s">
        <v>382</v>
      </c>
      <c r="C24" s="1554" t="s">
        <v>383</v>
      </c>
      <c r="D24" s="1555">
        <v>0.05</v>
      </c>
      <c r="E24" s="1561">
        <v>25450000</v>
      </c>
      <c r="F24" s="1556">
        <v>0.03</v>
      </c>
      <c r="G24" s="1956">
        <v>15270000</v>
      </c>
      <c r="H24" s="1957">
        <v>45839</v>
      </c>
      <c r="I24" s="1958">
        <v>0.02</v>
      </c>
      <c r="J24" s="1956">
        <v>10180000</v>
      </c>
      <c r="K24" s="1567">
        <v>46054</v>
      </c>
      <c r="L24" s="1928">
        <v>4899125</v>
      </c>
      <c r="M24" s="1955">
        <v>20550875</v>
      </c>
    </row>
    <row r="25" spans="1:13" s="1560" customFormat="1" ht="46.5">
      <c r="A25" s="1552">
        <v>11</v>
      </c>
      <c r="B25" s="1553" t="s">
        <v>384</v>
      </c>
      <c r="C25" s="1554" t="s">
        <v>385</v>
      </c>
      <c r="D25" s="1555">
        <v>0.04</v>
      </c>
      <c r="E25" s="1561">
        <v>20360000</v>
      </c>
      <c r="F25" s="1556">
        <v>0.03</v>
      </c>
      <c r="G25" s="1956">
        <v>15270000</v>
      </c>
      <c r="H25" s="1957">
        <v>45962</v>
      </c>
      <c r="I25" s="1958">
        <v>0.01</v>
      </c>
      <c r="J25" s="1956">
        <v>5090000</v>
      </c>
      <c r="K25" s="1567">
        <v>46143</v>
      </c>
      <c r="L25" s="1928">
        <v>2939475</v>
      </c>
      <c r="M25" s="1955">
        <v>17420525</v>
      </c>
    </row>
    <row r="26" spans="1:13" s="1560" customFormat="1" ht="46.5">
      <c r="A26" s="1552">
        <v>12</v>
      </c>
      <c r="B26" s="1553" t="s">
        <v>386</v>
      </c>
      <c r="C26" s="1554" t="s">
        <v>387</v>
      </c>
      <c r="D26" s="1555">
        <v>7.0000000000000007E-2</v>
      </c>
      <c r="E26" s="1561">
        <v>35630000</v>
      </c>
      <c r="F26" s="1556">
        <v>0.04</v>
      </c>
      <c r="G26" s="1956">
        <v>20360000</v>
      </c>
      <c r="H26" s="1957">
        <v>45901</v>
      </c>
      <c r="I26" s="1958">
        <v>0.03</v>
      </c>
      <c r="J26" s="1956">
        <v>15270000</v>
      </c>
      <c r="K26" s="1567">
        <v>46113</v>
      </c>
      <c r="L26" s="1928">
        <v>3919300</v>
      </c>
      <c r="M26" s="1955">
        <v>31710700</v>
      </c>
    </row>
    <row r="27" spans="1:13" s="1560" customFormat="1" ht="34.9">
      <c r="A27" s="1552">
        <v>13</v>
      </c>
      <c r="B27" s="1553" t="s">
        <v>388</v>
      </c>
      <c r="C27" s="1554" t="s">
        <v>389</v>
      </c>
      <c r="D27" s="1555">
        <v>0.02</v>
      </c>
      <c r="E27" s="1561">
        <v>10180000</v>
      </c>
      <c r="F27" s="1556">
        <v>0.01</v>
      </c>
      <c r="G27" s="1956">
        <v>5090000</v>
      </c>
      <c r="H27" s="1957">
        <v>45962</v>
      </c>
      <c r="I27" s="1958">
        <v>0.01</v>
      </c>
      <c r="J27" s="1956">
        <v>5090000</v>
      </c>
      <c r="K27" s="1567">
        <v>46174</v>
      </c>
      <c r="L27" s="1928">
        <v>979825</v>
      </c>
      <c r="M27" s="1955">
        <v>9200175</v>
      </c>
    </row>
    <row r="28" spans="1:13" s="1560" customFormat="1" ht="58.15">
      <c r="A28" s="1552">
        <v>14</v>
      </c>
      <c r="B28" s="1553" t="s">
        <v>390</v>
      </c>
      <c r="C28" s="1554" t="s">
        <v>391</v>
      </c>
      <c r="D28" s="1555">
        <v>0.04</v>
      </c>
      <c r="E28" s="1561">
        <v>20360000</v>
      </c>
      <c r="F28" s="1556">
        <v>0.02</v>
      </c>
      <c r="G28" s="1956">
        <v>10180000</v>
      </c>
      <c r="H28" s="1957">
        <v>45870</v>
      </c>
      <c r="I28" s="1958">
        <v>0.02</v>
      </c>
      <c r="J28" s="1956">
        <v>10180000</v>
      </c>
      <c r="K28" s="1567">
        <v>46174</v>
      </c>
      <c r="L28" s="1928">
        <v>1959650</v>
      </c>
      <c r="M28" s="1955">
        <v>18400350</v>
      </c>
    </row>
    <row r="29" spans="1:13" s="1560" customFormat="1" ht="34.9">
      <c r="A29" s="1552">
        <v>15</v>
      </c>
      <c r="B29" s="1553" t="s">
        <v>392</v>
      </c>
      <c r="C29" s="1554" t="s">
        <v>393</v>
      </c>
      <c r="D29" s="1555">
        <v>0.05</v>
      </c>
      <c r="E29" s="1561">
        <v>25450000</v>
      </c>
      <c r="F29" s="1556">
        <v>0.05</v>
      </c>
      <c r="G29" s="1562">
        <v>25450000</v>
      </c>
      <c r="H29" s="1559">
        <v>46082</v>
      </c>
      <c r="I29" s="1556"/>
      <c r="J29" s="1562">
        <v>0</v>
      </c>
      <c r="K29" s="1558"/>
      <c r="L29" s="1928">
        <v>756501.25</v>
      </c>
      <c r="M29" s="1955">
        <v>24693498.75</v>
      </c>
    </row>
    <row r="30" spans="1:13" s="1560" customFormat="1" ht="23.25">
      <c r="A30" s="1552">
        <v>16</v>
      </c>
      <c r="B30" s="1553" t="s">
        <v>394</v>
      </c>
      <c r="C30" s="1554" t="s">
        <v>395</v>
      </c>
      <c r="D30" s="1555">
        <v>0.02</v>
      </c>
      <c r="E30" s="1561">
        <v>10180000</v>
      </c>
      <c r="F30" s="1556">
        <v>0.02</v>
      </c>
      <c r="G30" s="1562">
        <v>10180000</v>
      </c>
      <c r="H30" s="1559">
        <v>45962</v>
      </c>
      <c r="I30" s="1556"/>
      <c r="J30" s="1562">
        <v>0</v>
      </c>
      <c r="K30" s="1558"/>
      <c r="L30" s="1928">
        <v>1959650</v>
      </c>
      <c r="M30" s="1955">
        <v>8220350</v>
      </c>
    </row>
    <row r="31" spans="1:13" s="1560" customFormat="1" ht="34.9">
      <c r="A31" s="1552">
        <v>17</v>
      </c>
      <c r="B31" s="1553" t="s">
        <v>396</v>
      </c>
      <c r="C31" s="1554" t="s">
        <v>397</v>
      </c>
      <c r="D31" s="1555">
        <v>0.04</v>
      </c>
      <c r="E31" s="1561">
        <v>20360000</v>
      </c>
      <c r="F31" s="1556">
        <v>0.04</v>
      </c>
      <c r="G31" s="1562">
        <v>20360000</v>
      </c>
      <c r="H31" s="1559">
        <v>46113</v>
      </c>
      <c r="I31" s="1556"/>
      <c r="J31" s="1562">
        <v>0</v>
      </c>
      <c r="K31" s="1558"/>
      <c r="L31" s="1928"/>
      <c r="M31" s="1955">
        <v>20360000</v>
      </c>
    </row>
    <row r="32" spans="1:13" s="1560" customFormat="1" ht="34.9">
      <c r="A32" s="1552">
        <v>18</v>
      </c>
      <c r="B32" s="1553" t="s">
        <v>398</v>
      </c>
      <c r="C32" s="1554" t="s">
        <v>399</v>
      </c>
      <c r="D32" s="1555">
        <v>4.0000000000000001E-3</v>
      </c>
      <c r="E32" s="1561">
        <v>2036000</v>
      </c>
      <c r="F32" s="1556">
        <v>4.0000000000000001E-3</v>
      </c>
      <c r="G32" s="1562">
        <v>2036000</v>
      </c>
      <c r="H32" s="1559">
        <v>46235</v>
      </c>
      <c r="I32" s="1556"/>
      <c r="J32" s="1562">
        <v>0</v>
      </c>
      <c r="K32" s="1558"/>
      <c r="L32" s="1928"/>
      <c r="M32" s="1955">
        <v>2036000</v>
      </c>
    </row>
    <row r="33" spans="1:13" s="1560" customFormat="1" ht="23.25">
      <c r="A33" s="1552">
        <v>19</v>
      </c>
      <c r="B33" s="1553" t="s">
        <v>400</v>
      </c>
      <c r="C33" s="1554" t="s">
        <v>401</v>
      </c>
      <c r="D33" s="1555">
        <v>0.02</v>
      </c>
      <c r="E33" s="1561">
        <v>10180000</v>
      </c>
      <c r="F33" s="1556">
        <v>0.02</v>
      </c>
      <c r="G33" s="1562">
        <v>10180000</v>
      </c>
      <c r="H33" s="1559">
        <v>46023</v>
      </c>
      <c r="I33" s="1556"/>
      <c r="J33" s="1562">
        <v>0</v>
      </c>
      <c r="K33" s="1558"/>
      <c r="L33" s="1928">
        <v>1959650</v>
      </c>
      <c r="M33" s="1955">
        <v>8220350</v>
      </c>
    </row>
    <row r="34" spans="1:13" s="1560" customFormat="1" ht="23.25">
      <c r="A34" s="1552">
        <v>20</v>
      </c>
      <c r="B34" s="1553" t="s">
        <v>402</v>
      </c>
      <c r="C34" s="1554" t="s">
        <v>403</v>
      </c>
      <c r="D34" s="1555">
        <v>6.0000000000000001E-3</v>
      </c>
      <c r="E34" s="1561">
        <v>3054000</v>
      </c>
      <c r="F34" s="1556">
        <v>6.0000000000000001E-3</v>
      </c>
      <c r="G34" s="1562">
        <v>3054000</v>
      </c>
      <c r="H34" s="1559">
        <v>46235</v>
      </c>
      <c r="I34" s="1556"/>
      <c r="J34" s="1562">
        <v>0</v>
      </c>
      <c r="K34" s="1558"/>
      <c r="L34" s="1928"/>
      <c r="M34" s="1928">
        <v>3054000</v>
      </c>
    </row>
    <row r="35" spans="1:13" s="1560" customFormat="1" ht="34.9">
      <c r="A35" s="1552">
        <v>21</v>
      </c>
      <c r="B35" s="1553" t="s">
        <v>404</v>
      </c>
      <c r="C35" s="1554" t="s">
        <v>405</v>
      </c>
      <c r="D35" s="1555">
        <v>6.0000000000000001E-3</v>
      </c>
      <c r="E35" s="1561">
        <v>3054000</v>
      </c>
      <c r="F35" s="1556">
        <v>6.0000000000000001E-3</v>
      </c>
      <c r="G35" s="1562">
        <v>3054000</v>
      </c>
      <c r="H35" s="1559">
        <v>46235</v>
      </c>
      <c r="I35" s="1556"/>
      <c r="J35" s="1562">
        <v>0</v>
      </c>
      <c r="K35" s="1558"/>
      <c r="L35" s="1928"/>
      <c r="M35" s="1955">
        <v>3054000</v>
      </c>
    </row>
    <row r="36" spans="1:13" s="1560" customFormat="1" ht="23.25">
      <c r="A36" s="1552">
        <v>22</v>
      </c>
      <c r="B36" s="1553" t="s">
        <v>406</v>
      </c>
      <c r="C36" s="1554" t="s">
        <v>407</v>
      </c>
      <c r="D36" s="1555">
        <v>2.1499999999999998E-2</v>
      </c>
      <c r="E36" s="1561">
        <v>10943500</v>
      </c>
      <c r="F36" s="1556">
        <v>2.1499999999999998E-2</v>
      </c>
      <c r="G36" s="1562">
        <v>10943500</v>
      </c>
      <c r="H36" s="1559">
        <v>46054</v>
      </c>
      <c r="I36" s="1556"/>
      <c r="J36" s="1562">
        <v>0</v>
      </c>
      <c r="K36" s="1558"/>
      <c r="L36" s="1928">
        <v>2106623.75</v>
      </c>
      <c r="M36" s="1955">
        <v>8836876.25</v>
      </c>
    </row>
    <row r="37" spans="1:13" s="1560" customFormat="1" ht="34.9">
      <c r="A37" s="1552">
        <v>23</v>
      </c>
      <c r="B37" s="1553" t="s">
        <v>408</v>
      </c>
      <c r="C37" s="1554" t="s">
        <v>409</v>
      </c>
      <c r="D37" s="1555">
        <v>0.05</v>
      </c>
      <c r="E37" s="1561">
        <v>25450000</v>
      </c>
      <c r="F37" s="1556">
        <v>0.05</v>
      </c>
      <c r="G37" s="1562">
        <v>25450000</v>
      </c>
      <c r="H37" s="1559">
        <v>46023</v>
      </c>
      <c r="I37" s="1556"/>
      <c r="J37" s="1562">
        <v>0</v>
      </c>
      <c r="K37" s="1558"/>
      <c r="L37" s="1928">
        <v>4899125</v>
      </c>
      <c r="M37" s="1955">
        <v>20550875</v>
      </c>
    </row>
    <row r="38" spans="1:13" s="1560" customFormat="1" ht="23.25">
      <c r="A38" s="1552">
        <v>24</v>
      </c>
      <c r="B38" s="1553" t="s">
        <v>410</v>
      </c>
      <c r="C38" s="1554" t="s">
        <v>411</v>
      </c>
      <c r="D38" s="1555">
        <v>2E-3</v>
      </c>
      <c r="E38" s="1561">
        <v>1018000</v>
      </c>
      <c r="F38" s="1556">
        <v>2E-3</v>
      </c>
      <c r="G38" s="1562">
        <v>1018000</v>
      </c>
      <c r="H38" s="1559">
        <v>46235</v>
      </c>
      <c r="I38" s="1556"/>
      <c r="J38" s="1562">
        <v>0</v>
      </c>
      <c r="K38" s="1558"/>
      <c r="L38" s="1928"/>
      <c r="M38" s="1955">
        <v>1018000</v>
      </c>
    </row>
    <row r="39" spans="1:13" s="1560" customFormat="1" ht="34.9">
      <c r="A39" s="1552">
        <v>25</v>
      </c>
      <c r="B39" s="1553" t="s">
        <v>412</v>
      </c>
      <c r="C39" s="1554" t="s">
        <v>413</v>
      </c>
      <c r="D39" s="1555">
        <v>4.0000000000000001E-3</v>
      </c>
      <c r="E39" s="1561">
        <v>2036000</v>
      </c>
      <c r="F39" s="1556">
        <v>4.0000000000000001E-3</v>
      </c>
      <c r="G39" s="1562">
        <v>2036000</v>
      </c>
      <c r="H39" s="1559">
        <v>46235</v>
      </c>
      <c r="I39" s="1556"/>
      <c r="J39" s="1562">
        <v>0</v>
      </c>
      <c r="K39" s="1558"/>
      <c r="L39" s="1928"/>
      <c r="M39" s="1955">
        <v>2036000</v>
      </c>
    </row>
    <row r="40" spans="1:13" s="1560" customFormat="1" ht="12.75">
      <c r="A40" s="1552">
        <v>26</v>
      </c>
      <c r="B40" s="1553" t="s">
        <v>414</v>
      </c>
      <c r="C40" s="1554" t="s">
        <v>415</v>
      </c>
      <c r="D40" s="1555">
        <v>1.5E-3</v>
      </c>
      <c r="E40" s="1561">
        <v>763500</v>
      </c>
      <c r="F40" s="1556">
        <v>1.5E-3</v>
      </c>
      <c r="G40" s="1562">
        <v>763500</v>
      </c>
      <c r="H40" s="1559">
        <v>46174</v>
      </c>
      <c r="I40" s="1556"/>
      <c r="J40" s="1562">
        <v>0</v>
      </c>
      <c r="K40" s="1558"/>
      <c r="L40" s="1928"/>
      <c r="M40" s="1955">
        <v>763500</v>
      </c>
    </row>
    <row r="41" spans="1:13" s="1560" customFormat="1" ht="23.25">
      <c r="A41" s="1552"/>
      <c r="B41" s="1568" t="s">
        <v>416</v>
      </c>
      <c r="C41" s="1554"/>
      <c r="D41" s="1555"/>
      <c r="E41" s="1561"/>
      <c r="F41" s="1556"/>
      <c r="G41" s="1562">
        <v>0</v>
      </c>
      <c r="H41" s="1980" t="s">
        <v>443</v>
      </c>
      <c r="I41" s="1556"/>
      <c r="J41" s="1562">
        <v>0</v>
      </c>
      <c r="K41" s="1558"/>
      <c r="L41" s="1928"/>
      <c r="M41" s="1955">
        <v>0</v>
      </c>
    </row>
    <row r="42" spans="1:13" s="1560" customFormat="1" ht="12.75">
      <c r="A42" s="1552"/>
      <c r="B42" s="1568" t="s">
        <v>417</v>
      </c>
      <c r="C42" s="1554"/>
      <c r="D42" s="1555"/>
      <c r="E42" s="1561"/>
      <c r="F42" s="1556"/>
      <c r="G42" s="1562">
        <v>0</v>
      </c>
      <c r="H42" s="1980" t="s">
        <v>442</v>
      </c>
      <c r="I42" s="1556"/>
      <c r="J42" s="1562">
        <v>0</v>
      </c>
      <c r="K42" s="1558"/>
      <c r="L42" s="1928"/>
      <c r="M42" s="1955">
        <v>0</v>
      </c>
    </row>
    <row r="43" spans="1:13" s="1560" customFormat="1" ht="23.25">
      <c r="A43" s="1552">
        <v>27</v>
      </c>
      <c r="B43" s="1553" t="s">
        <v>418</v>
      </c>
      <c r="C43" s="1554" t="s">
        <v>419</v>
      </c>
      <c r="D43" s="1555">
        <v>3.5000000000000003E-2</v>
      </c>
      <c r="E43" s="1561">
        <v>17815000</v>
      </c>
      <c r="F43" s="1556">
        <v>3.5000000000000003E-2</v>
      </c>
      <c r="G43" s="1562">
        <v>17815000</v>
      </c>
      <c r="H43" s="1559">
        <v>46357</v>
      </c>
      <c r="I43" s="1556"/>
      <c r="J43" s="1562">
        <v>0</v>
      </c>
      <c r="K43" s="1558"/>
      <c r="L43" s="1928"/>
      <c r="M43" s="1955">
        <v>17815000</v>
      </c>
    </row>
    <row r="44" spans="1:13" s="1560" customFormat="1" ht="12.75">
      <c r="A44" s="1552">
        <v>28</v>
      </c>
      <c r="B44" s="1553" t="s">
        <v>420</v>
      </c>
      <c r="C44" s="1554" t="s">
        <v>421</v>
      </c>
      <c r="D44" s="1555">
        <v>5.0000000000000001E-3</v>
      </c>
      <c r="E44" s="1561">
        <v>2545000</v>
      </c>
      <c r="F44" s="1556">
        <v>5.0000000000000001E-3</v>
      </c>
      <c r="G44" s="1562">
        <v>2545000</v>
      </c>
      <c r="H44" s="1559">
        <v>46419</v>
      </c>
      <c r="I44" s="1556"/>
      <c r="J44" s="1562">
        <v>0</v>
      </c>
      <c r="K44" s="1558"/>
      <c r="L44" s="1928"/>
      <c r="M44" s="1928">
        <v>2545000</v>
      </c>
    </row>
    <row r="45" spans="1:13" s="1560" customFormat="1" ht="23.25">
      <c r="A45" s="1552">
        <v>29</v>
      </c>
      <c r="B45" s="1553" t="s">
        <v>422</v>
      </c>
      <c r="C45" s="1554" t="s">
        <v>423</v>
      </c>
      <c r="D45" s="1555">
        <v>2.5000000000000001E-3</v>
      </c>
      <c r="E45" s="1561">
        <v>1272500</v>
      </c>
      <c r="F45" s="1556">
        <v>2.5000000000000001E-3</v>
      </c>
      <c r="G45" s="1562">
        <v>1272500</v>
      </c>
      <c r="H45" s="1569" t="s">
        <v>424</v>
      </c>
      <c r="I45" s="1556"/>
      <c r="J45" s="1562">
        <v>0</v>
      </c>
      <c r="K45" s="1558"/>
      <c r="L45" s="1928"/>
      <c r="M45" s="1928">
        <v>1272500</v>
      </c>
    </row>
    <row r="46" spans="1:13" s="1560" customFormat="1" ht="23.25">
      <c r="A46" s="1552">
        <v>30</v>
      </c>
      <c r="B46" s="1553" t="s">
        <v>425</v>
      </c>
      <c r="C46" s="1554" t="s">
        <v>426</v>
      </c>
      <c r="D46" s="1555">
        <v>2.5000000000000001E-3</v>
      </c>
      <c r="E46" s="1561">
        <v>1272500</v>
      </c>
      <c r="F46" s="1556">
        <v>2.5000000000000001E-3</v>
      </c>
      <c r="G46" s="1562">
        <v>1272500</v>
      </c>
      <c r="H46" s="1552" t="s">
        <v>427</v>
      </c>
      <c r="I46" s="1556"/>
      <c r="J46" s="1562">
        <v>0</v>
      </c>
      <c r="K46" s="1558"/>
      <c r="L46" s="1928"/>
      <c r="M46" s="1928">
        <v>1272500</v>
      </c>
    </row>
    <row r="47" spans="1:13" s="1560" customFormat="1" ht="24.6" customHeight="1">
      <c r="B47" s="1570"/>
      <c r="C47" s="1571" t="s">
        <v>428</v>
      </c>
      <c r="D47" s="1572">
        <f>SUM(D7:D46)-D16</f>
        <v>1.0000000000000004</v>
      </c>
      <c r="E47" s="1573">
        <f>SUM(E7:E46)</f>
        <v>509000000</v>
      </c>
      <c r="F47" s="1574"/>
      <c r="G47" s="1538"/>
      <c r="H47" s="1538"/>
      <c r="I47" s="1575"/>
      <c r="J47" s="1538"/>
      <c r="K47" s="1538"/>
      <c r="L47" s="1929">
        <f>SUM(L7:L46)</f>
        <v>76350000</v>
      </c>
      <c r="M47" s="1929">
        <f>SUM(M7:M46)</f>
        <v>432650000</v>
      </c>
    </row>
    <row r="48" spans="1:13" s="1560" customFormat="1" ht="13.15">
      <c r="B48" s="1570"/>
      <c r="C48" s="1576" t="s">
        <v>429</v>
      </c>
      <c r="D48" s="1560" t="s">
        <v>440</v>
      </c>
      <c r="E48" s="1573">
        <f>15%*E47</f>
        <v>76350000</v>
      </c>
      <c r="F48" s="1574"/>
      <c r="G48" s="1538"/>
      <c r="H48" s="1538"/>
      <c r="I48" s="1575"/>
      <c r="J48" s="1538"/>
      <c r="K48" s="1538"/>
      <c r="L48" s="1929"/>
      <c r="M48" s="1929"/>
    </row>
    <row r="49" spans="2:13" s="1560" customFormat="1" ht="12.75">
      <c r="B49" s="1570"/>
      <c r="D49" s="1576"/>
      <c r="F49" s="1574"/>
      <c r="G49" s="1538"/>
      <c r="H49" s="1538"/>
      <c r="I49" s="1575"/>
      <c r="J49" s="1538"/>
      <c r="K49" s="1538"/>
      <c r="L49" s="1929"/>
      <c r="M49" s="1929"/>
    </row>
    <row r="50" spans="2:13" s="1560" customFormat="1" ht="12.75">
      <c r="B50" s="1570"/>
      <c r="D50" s="1576"/>
      <c r="F50" s="1574"/>
      <c r="G50" s="1538"/>
      <c r="H50" s="1538"/>
      <c r="I50" s="1575"/>
      <c r="J50" s="1538"/>
      <c r="K50" s="1538"/>
      <c r="L50" s="1929"/>
      <c r="M50" s="1929"/>
    </row>
    <row r="51" spans="2:13" s="1560" customFormat="1" ht="12.75">
      <c r="B51" s="1570"/>
      <c r="D51" s="1576"/>
      <c r="F51" s="1574"/>
      <c r="G51" s="1538"/>
      <c r="H51" s="1538"/>
      <c r="I51" s="1575"/>
      <c r="J51" s="1538"/>
      <c r="K51" s="1538"/>
      <c r="L51" s="1929"/>
      <c r="M51" s="1929"/>
    </row>
    <row r="52" spans="2:13" s="1560" customFormat="1" ht="12.75">
      <c r="B52" s="1570"/>
      <c r="D52" s="1576"/>
      <c r="E52" s="1564"/>
      <c r="F52" s="1574"/>
      <c r="G52" s="1538"/>
      <c r="H52" s="1538"/>
      <c r="I52" s="1575"/>
      <c r="J52" s="1538"/>
      <c r="K52" s="1538"/>
      <c r="L52" s="1929"/>
      <c r="M52" s="1929"/>
    </row>
    <row r="53" spans="2:13" s="1560" customFormat="1" ht="12.75">
      <c r="B53" s="1570"/>
      <c r="D53" s="1576"/>
      <c r="E53" s="1564"/>
      <c r="F53" s="1574"/>
      <c r="G53" s="1538"/>
      <c r="H53" s="1538"/>
      <c r="I53" s="1575"/>
      <c r="J53" s="1538"/>
      <c r="K53" s="1538"/>
      <c r="L53" s="1929"/>
      <c r="M53" s="1929"/>
    </row>
    <row r="54" spans="2:13" s="1560" customFormat="1" ht="12.75">
      <c r="B54" s="1570"/>
      <c r="D54" s="1576"/>
      <c r="E54" s="1564"/>
      <c r="F54" s="1574"/>
      <c r="G54" s="1538"/>
      <c r="H54" s="1538"/>
      <c r="I54" s="1575"/>
      <c r="J54" s="1538"/>
      <c r="K54" s="1538"/>
      <c r="L54" s="1929"/>
      <c r="M54" s="1929"/>
    </row>
    <row r="55" spans="2:13" s="1560" customFormat="1" ht="12.75">
      <c r="B55" s="1570"/>
      <c r="D55" s="1576"/>
      <c r="E55" s="1564"/>
      <c r="F55" s="1574"/>
      <c r="G55" s="1538"/>
      <c r="H55" s="1538"/>
      <c r="I55" s="1575"/>
      <c r="J55" s="1538"/>
      <c r="K55" s="1538"/>
      <c r="L55" s="1929"/>
      <c r="M55" s="1929"/>
    </row>
    <row r="56" spans="2:13" s="1560" customFormat="1" ht="12.75">
      <c r="B56" s="1570"/>
      <c r="D56" s="1576"/>
      <c r="E56" s="1564"/>
      <c r="F56" s="1574"/>
      <c r="G56" s="1538"/>
      <c r="H56" s="1538"/>
      <c r="I56" s="1575"/>
      <c r="J56" s="1538"/>
      <c r="K56" s="1538"/>
      <c r="L56" s="1929"/>
      <c r="M56" s="1929"/>
    </row>
    <row r="57" spans="2:13" s="1560" customFormat="1" ht="12.75">
      <c r="B57" s="1570"/>
      <c r="D57" s="1576"/>
      <c r="E57" s="1564"/>
      <c r="F57" s="1574"/>
      <c r="G57" s="1538"/>
      <c r="H57" s="1538"/>
      <c r="I57" s="1575"/>
      <c r="J57" s="1538"/>
      <c r="K57" s="1538"/>
      <c r="L57" s="1929"/>
      <c r="M57" s="1951"/>
    </row>
    <row r="58" spans="2:13" s="1560" customFormat="1" ht="12.75">
      <c r="B58" s="1570"/>
      <c r="D58" s="1576"/>
      <c r="E58" s="1564"/>
      <c r="F58" s="1574"/>
      <c r="G58" s="1538"/>
      <c r="H58" s="1538"/>
      <c r="I58" s="1575"/>
      <c r="J58" s="1538"/>
      <c r="K58" s="1538"/>
      <c r="L58" s="1929"/>
      <c r="M58" s="1929"/>
    </row>
    <row r="59" spans="2:13" s="1560" customFormat="1" ht="12.75">
      <c r="B59" s="1570"/>
      <c r="D59" s="1576"/>
      <c r="E59" s="1564"/>
      <c r="F59" s="1574"/>
      <c r="G59" s="1538"/>
      <c r="H59" s="1538"/>
      <c r="I59" s="1575"/>
      <c r="J59" s="1538"/>
      <c r="K59" s="1538"/>
      <c r="L59" s="1929"/>
      <c r="M59" s="1929"/>
    </row>
    <row r="60" spans="2:13" s="1560" customFormat="1" ht="12.75">
      <c r="B60" s="1570"/>
      <c r="D60" s="1576"/>
      <c r="E60" s="1564"/>
      <c r="F60" s="1574"/>
      <c r="G60" s="1538"/>
      <c r="H60" s="1538"/>
      <c r="I60" s="1575"/>
      <c r="J60" s="1538"/>
      <c r="K60" s="1538"/>
      <c r="L60" s="1929"/>
      <c r="M60" s="1929"/>
    </row>
    <row r="61" spans="2:13" s="1560" customFormat="1" ht="12.75">
      <c r="B61" s="1570"/>
      <c r="D61" s="1576"/>
      <c r="E61" s="1564"/>
      <c r="F61" s="1574"/>
      <c r="G61" s="1538"/>
      <c r="H61" s="1538"/>
      <c r="I61" s="1575"/>
      <c r="J61" s="1538"/>
      <c r="K61" s="1538"/>
      <c r="L61" s="1929"/>
      <c r="M61" s="1929"/>
    </row>
    <row r="62" spans="2:13" s="1560" customFormat="1" ht="12.75">
      <c r="B62" s="1570"/>
      <c r="D62" s="1576"/>
      <c r="E62" s="1564"/>
      <c r="F62" s="1574"/>
      <c r="G62" s="1538"/>
      <c r="H62" s="1538"/>
      <c r="I62" s="1575"/>
      <c r="J62" s="1538"/>
      <c r="K62" s="1538"/>
      <c r="L62" s="1929"/>
      <c r="M62" s="1929"/>
    </row>
    <row r="63" spans="2:13" s="1560" customFormat="1" ht="12.75">
      <c r="B63" s="1570"/>
      <c r="D63" s="1576"/>
      <c r="E63" s="1564"/>
      <c r="F63" s="1574"/>
      <c r="G63" s="1538"/>
      <c r="H63" s="1538"/>
      <c r="I63" s="1575"/>
      <c r="J63" s="1538"/>
      <c r="K63" s="1538"/>
      <c r="L63" s="1929"/>
      <c r="M63" s="1929"/>
    </row>
    <row r="64" spans="2:13" s="1560" customFormat="1" ht="12.75">
      <c r="B64" s="1570"/>
      <c r="D64" s="1576"/>
      <c r="E64" s="1564"/>
      <c r="F64" s="1574"/>
      <c r="G64" s="1538"/>
      <c r="H64" s="1538"/>
      <c r="I64" s="1575"/>
      <c r="J64" s="1538"/>
      <c r="K64" s="1538"/>
      <c r="L64" s="1929"/>
      <c r="M64" s="1929"/>
    </row>
    <row r="65" spans="2:13" s="1560" customFormat="1" ht="12.75">
      <c r="B65" s="1570"/>
      <c r="D65" s="1576"/>
      <c r="E65" s="1564"/>
      <c r="F65" s="1574"/>
      <c r="G65" s="1538"/>
      <c r="H65" s="1538"/>
      <c r="I65" s="1575"/>
      <c r="J65" s="1538"/>
      <c r="K65" s="1538"/>
      <c r="L65" s="1929"/>
      <c r="M65" s="1929"/>
    </row>
    <row r="66" spans="2:13" s="1560" customFormat="1" ht="12.75">
      <c r="B66" s="1570"/>
      <c r="D66" s="1576"/>
      <c r="E66" s="1564"/>
      <c r="F66" s="1574"/>
      <c r="G66" s="1538"/>
      <c r="H66" s="1538"/>
      <c r="I66" s="1575"/>
      <c r="J66" s="1538"/>
      <c r="K66" s="1538"/>
      <c r="L66" s="1929"/>
      <c r="M66" s="1929"/>
    </row>
    <row r="67" spans="2:13" s="1560" customFormat="1" ht="12.75">
      <c r="B67" s="1570"/>
      <c r="D67" s="1576"/>
      <c r="E67" s="1564"/>
      <c r="F67" s="1574"/>
      <c r="G67" s="1538"/>
      <c r="H67" s="1538"/>
      <c r="I67" s="1575"/>
      <c r="J67" s="1538"/>
      <c r="K67" s="1538"/>
      <c r="L67" s="1929"/>
      <c r="M67" s="1929"/>
    </row>
    <row r="68" spans="2:13" s="1560" customFormat="1" ht="12.75">
      <c r="B68" s="1570"/>
      <c r="D68" s="1576"/>
      <c r="E68" s="1564"/>
      <c r="F68" s="1574"/>
      <c r="G68" s="1538"/>
      <c r="H68" s="1538"/>
      <c r="I68" s="1575"/>
      <c r="J68" s="1538"/>
      <c r="K68" s="1538"/>
      <c r="L68" s="1929"/>
      <c r="M68" s="1929"/>
    </row>
    <row r="69" spans="2:13" s="1560" customFormat="1" ht="12.75">
      <c r="B69" s="1570"/>
      <c r="D69" s="1576"/>
      <c r="E69" s="1564"/>
      <c r="F69" s="1537"/>
      <c r="G69" s="1538"/>
      <c r="H69" s="1538"/>
      <c r="I69" s="1575"/>
      <c r="J69" s="1538"/>
      <c r="K69" s="1538"/>
      <c r="L69" s="1929"/>
      <c r="M69" s="1929"/>
    </row>
    <row r="70" spans="2:13" s="1560" customFormat="1" ht="12.75">
      <c r="B70" s="1570"/>
      <c r="D70" s="1576"/>
      <c r="E70" s="1564"/>
      <c r="F70" s="1537"/>
      <c r="G70" s="1538"/>
      <c r="H70" s="1538"/>
      <c r="I70" s="1575"/>
      <c r="J70" s="1538"/>
      <c r="K70" s="1538"/>
      <c r="L70" s="1929"/>
      <c r="M70" s="1929"/>
    </row>
    <row r="71" spans="2:13" s="1560" customFormat="1" ht="12.75">
      <c r="B71" s="1570"/>
      <c r="D71" s="1576"/>
      <c r="E71" s="1564"/>
      <c r="F71" s="1537"/>
      <c r="G71" s="1538"/>
      <c r="H71" s="1538"/>
      <c r="I71" s="1575"/>
      <c r="J71" s="1538"/>
      <c r="K71" s="1538"/>
      <c r="L71" s="1929"/>
      <c r="M71" s="1929"/>
    </row>
    <row r="72" spans="2:13" s="1560" customFormat="1" ht="12.75">
      <c r="B72" s="1570"/>
      <c r="D72" s="1576"/>
      <c r="E72" s="1564"/>
      <c r="F72" s="1537"/>
      <c r="G72" s="1538"/>
      <c r="H72" s="1538"/>
      <c r="I72" s="1575"/>
      <c r="J72" s="1538"/>
      <c r="K72" s="1538"/>
      <c r="L72" s="1929"/>
      <c r="M72" s="1929"/>
    </row>
    <row r="73" spans="2:13" s="1560" customFormat="1" ht="12.75">
      <c r="B73" s="1570"/>
      <c r="D73" s="1576"/>
      <c r="E73" s="1564"/>
      <c r="F73" s="1537"/>
      <c r="G73" s="1538"/>
      <c r="H73" s="1538"/>
      <c r="I73" s="1575"/>
      <c r="J73" s="1538"/>
      <c r="K73" s="1538"/>
      <c r="L73" s="1929"/>
      <c r="M73" s="1929"/>
    </row>
    <row r="74" spans="2:13" s="1560" customFormat="1" ht="12.75">
      <c r="B74" s="1570"/>
      <c r="D74" s="1576"/>
      <c r="F74" s="1537"/>
      <c r="G74" s="1538"/>
      <c r="H74" s="1538"/>
      <c r="I74" s="1575"/>
      <c r="J74" s="1538"/>
      <c r="K74" s="1538"/>
      <c r="L74" s="1929"/>
      <c r="M74" s="1929"/>
    </row>
    <row r="75" spans="2:13" s="1560" customFormat="1" ht="12.75">
      <c r="B75" s="1570"/>
      <c r="D75" s="1576"/>
      <c r="F75" s="1537"/>
      <c r="G75" s="1538"/>
      <c r="H75" s="1538"/>
      <c r="I75" s="1575"/>
      <c r="J75" s="1538"/>
      <c r="K75" s="1538"/>
      <c r="L75" s="1929"/>
      <c r="M75" s="1929"/>
    </row>
    <row r="76" spans="2:13" s="1560" customFormat="1" ht="12.75">
      <c r="B76" s="1570"/>
      <c r="D76" s="1576"/>
      <c r="F76" s="1537"/>
      <c r="G76" s="1538"/>
      <c r="H76" s="1538"/>
      <c r="I76" s="1575"/>
      <c r="J76" s="1538"/>
      <c r="K76" s="1538"/>
      <c r="L76" s="1929"/>
      <c r="M76" s="1929"/>
    </row>
    <row r="77" spans="2:13" s="1560" customFormat="1" ht="12.75">
      <c r="B77" s="1570"/>
      <c r="D77" s="1576"/>
      <c r="F77" s="1537"/>
      <c r="G77" s="1538"/>
      <c r="H77" s="1538"/>
      <c r="I77" s="1575"/>
      <c r="J77" s="1538"/>
      <c r="K77" s="1538"/>
      <c r="L77" s="1929"/>
      <c r="M77" s="1929"/>
    </row>
    <row r="78" spans="2:13" s="1560" customFormat="1" ht="12.75">
      <c r="B78" s="1570"/>
      <c r="D78" s="1576"/>
      <c r="F78" s="1537"/>
      <c r="G78" s="1538"/>
      <c r="H78" s="1538"/>
      <c r="I78" s="1575"/>
      <c r="J78" s="1538"/>
      <c r="K78" s="1538"/>
      <c r="L78" s="1929"/>
      <c r="M78" s="1929"/>
    </row>
    <row r="79" spans="2:13" s="1560" customFormat="1" ht="12.75">
      <c r="B79" s="1570"/>
      <c r="D79" s="1576"/>
      <c r="F79" s="1537"/>
      <c r="G79" s="1538"/>
      <c r="H79" s="1538"/>
      <c r="I79" s="1575"/>
      <c r="J79" s="1538"/>
      <c r="K79" s="1538"/>
      <c r="L79" s="1929"/>
      <c r="M79" s="1929"/>
    </row>
    <row r="80" spans="2:13" s="1560" customFormat="1" ht="12.75">
      <c r="B80" s="1570"/>
      <c r="D80" s="1576"/>
      <c r="F80" s="1537"/>
      <c r="G80" s="1538"/>
      <c r="H80" s="1538"/>
      <c r="I80" s="1575"/>
      <c r="J80" s="1538"/>
      <c r="K80" s="1538"/>
      <c r="L80" s="1929"/>
      <c r="M80" s="1929"/>
    </row>
    <row r="81" spans="2:13" s="1560" customFormat="1" ht="12.75">
      <c r="B81" s="1570"/>
      <c r="D81" s="1576"/>
      <c r="F81" s="1537"/>
      <c r="G81" s="1538"/>
      <c r="H81" s="1538"/>
      <c r="I81" s="1575"/>
      <c r="J81" s="1538"/>
      <c r="K81" s="1538"/>
      <c r="L81" s="1929"/>
      <c r="M81" s="1929"/>
    </row>
    <row r="82" spans="2:13" s="1560" customFormat="1" ht="12.75">
      <c r="B82" s="1570"/>
      <c r="D82" s="1576"/>
      <c r="F82" s="1537"/>
      <c r="G82" s="1538"/>
      <c r="H82" s="1538"/>
      <c r="I82" s="1575"/>
      <c r="J82" s="1538"/>
      <c r="K82" s="1538"/>
      <c r="L82" s="1929"/>
      <c r="M82" s="1929"/>
    </row>
    <row r="83" spans="2:13" s="1560" customFormat="1" ht="12.75">
      <c r="B83" s="1570"/>
      <c r="D83" s="1576"/>
      <c r="F83" s="1537"/>
      <c r="G83" s="1538"/>
      <c r="H83" s="1538"/>
      <c r="I83" s="1575"/>
      <c r="J83" s="1538"/>
      <c r="K83" s="1538"/>
      <c r="L83" s="1929"/>
      <c r="M83" s="1929"/>
    </row>
    <row r="84" spans="2:13" s="1560" customFormat="1" ht="12.75">
      <c r="B84" s="1570"/>
      <c r="D84" s="1576"/>
      <c r="F84" s="1537"/>
      <c r="G84" s="1538"/>
      <c r="H84" s="1538"/>
      <c r="I84" s="1575"/>
      <c r="J84" s="1538"/>
      <c r="K84" s="1538"/>
      <c r="L84" s="1929"/>
      <c r="M84" s="1929"/>
    </row>
    <row r="85" spans="2:13" s="1560" customFormat="1" ht="12.75">
      <c r="B85" s="1570"/>
      <c r="D85" s="1576"/>
      <c r="F85" s="1537"/>
      <c r="G85" s="1538"/>
      <c r="H85" s="1538"/>
      <c r="I85" s="1575"/>
      <c r="J85" s="1538"/>
      <c r="K85" s="1538"/>
      <c r="L85" s="1929"/>
      <c r="M85" s="1929"/>
    </row>
    <row r="86" spans="2:13" s="1560" customFormat="1" ht="12.75">
      <c r="B86" s="1570"/>
      <c r="D86" s="1576"/>
      <c r="F86" s="1537"/>
      <c r="G86" s="1538"/>
      <c r="H86" s="1538"/>
      <c r="I86" s="1575"/>
      <c r="J86" s="1538"/>
      <c r="K86" s="1538"/>
      <c r="L86" s="1929"/>
      <c r="M86" s="1929"/>
    </row>
    <row r="87" spans="2:13" s="1560" customFormat="1" ht="12.75">
      <c r="B87" s="1570"/>
      <c r="D87" s="1576"/>
      <c r="F87" s="1537"/>
      <c r="G87" s="1538"/>
      <c r="H87" s="1538"/>
      <c r="I87" s="1575"/>
      <c r="J87" s="1538"/>
      <c r="K87" s="1538"/>
      <c r="L87" s="1929"/>
      <c r="M87" s="1929"/>
    </row>
    <row r="88" spans="2:13" s="1560" customFormat="1" ht="12.75">
      <c r="B88" s="1570"/>
      <c r="D88" s="1576"/>
      <c r="F88" s="1537"/>
      <c r="G88" s="1538"/>
      <c r="H88" s="1538"/>
      <c r="I88" s="1575"/>
      <c r="J88" s="1538"/>
      <c r="K88" s="1538"/>
      <c r="L88" s="1929"/>
      <c r="M88" s="1929"/>
    </row>
    <row r="89" spans="2:13" s="1560" customFormat="1" ht="12.75">
      <c r="B89" s="1570"/>
      <c r="D89" s="1576"/>
      <c r="F89" s="1537"/>
      <c r="G89" s="1538"/>
      <c r="H89" s="1538"/>
      <c r="I89" s="1575"/>
      <c r="J89" s="1538"/>
      <c r="K89" s="1538"/>
      <c r="L89" s="1929"/>
      <c r="M89" s="1929"/>
    </row>
    <row r="90" spans="2:13" s="1560" customFormat="1" ht="12.75">
      <c r="B90" s="1570"/>
      <c r="D90" s="1576"/>
      <c r="F90" s="1537"/>
      <c r="G90" s="1538"/>
      <c r="H90" s="1538"/>
      <c r="I90" s="1575"/>
      <c r="J90" s="1538"/>
      <c r="K90" s="1538"/>
      <c r="L90" s="1929"/>
      <c r="M90" s="1929"/>
    </row>
    <row r="91" spans="2:13" s="1560" customFormat="1" ht="12.75">
      <c r="B91" s="1570"/>
      <c r="D91" s="1576"/>
      <c r="F91" s="1537"/>
      <c r="G91" s="1538"/>
      <c r="H91" s="1538"/>
      <c r="I91" s="1575"/>
      <c r="J91" s="1538"/>
      <c r="K91" s="1538"/>
      <c r="L91" s="1929"/>
      <c r="M91" s="1929"/>
    </row>
    <row r="92" spans="2:13" s="1560" customFormat="1" ht="12.75">
      <c r="B92" s="1570"/>
      <c r="D92" s="1576"/>
      <c r="F92" s="1537"/>
      <c r="G92" s="1538"/>
      <c r="H92" s="1538"/>
      <c r="I92" s="1575"/>
      <c r="J92" s="1538"/>
      <c r="K92" s="1538"/>
      <c r="L92" s="1929"/>
      <c r="M92" s="1929"/>
    </row>
    <row r="93" spans="2:13" s="1560" customFormat="1" ht="12.75">
      <c r="B93" s="1570"/>
      <c r="D93" s="1576"/>
      <c r="F93" s="1537"/>
      <c r="G93" s="1538"/>
      <c r="H93" s="1538"/>
      <c r="I93" s="1575"/>
      <c r="J93" s="1538"/>
      <c r="K93" s="1538"/>
      <c r="L93" s="1929"/>
      <c r="M93" s="1929"/>
    </row>
    <row r="94" spans="2:13" s="1560" customFormat="1" ht="12.75">
      <c r="B94" s="1570"/>
      <c r="D94" s="1576"/>
      <c r="F94" s="1537"/>
      <c r="G94" s="1538"/>
      <c r="H94" s="1538"/>
      <c r="I94" s="1575"/>
      <c r="J94" s="1538"/>
      <c r="K94" s="1538"/>
      <c r="L94" s="1929"/>
      <c r="M94" s="1929"/>
    </row>
    <row r="95" spans="2:13" s="1560" customFormat="1" ht="12.75">
      <c r="B95" s="1570"/>
      <c r="D95" s="1576"/>
      <c r="F95" s="1537"/>
      <c r="G95" s="1538"/>
      <c r="H95" s="1538"/>
      <c r="I95" s="1575"/>
      <c r="J95" s="1538"/>
      <c r="K95" s="1538"/>
      <c r="L95" s="1929"/>
      <c r="M95" s="1929"/>
    </row>
    <row r="96" spans="2:13" s="1560" customFormat="1" ht="12.75">
      <c r="B96" s="1570"/>
      <c r="D96" s="1576"/>
      <c r="F96" s="1537"/>
      <c r="G96" s="1538"/>
      <c r="H96" s="1538"/>
      <c r="I96" s="1575"/>
      <c r="J96" s="1538"/>
      <c r="K96" s="1538"/>
      <c r="L96" s="1929"/>
      <c r="M96" s="1929"/>
    </row>
    <row r="97" spans="2:13" s="1560" customFormat="1" ht="12.75">
      <c r="B97" s="1570"/>
      <c r="D97" s="1576"/>
      <c r="F97" s="1537"/>
      <c r="G97" s="1538"/>
      <c r="H97" s="1538"/>
      <c r="I97" s="1575"/>
      <c r="J97" s="1538"/>
      <c r="K97" s="1538"/>
      <c r="L97" s="1929"/>
      <c r="M97" s="1929"/>
    </row>
    <row r="98" spans="2:13" s="1560" customFormat="1" ht="12.75">
      <c r="B98" s="1570"/>
      <c r="D98" s="1576"/>
      <c r="F98" s="1537"/>
      <c r="G98" s="1538"/>
      <c r="H98" s="1538"/>
      <c r="I98" s="1575"/>
      <c r="J98" s="1538"/>
      <c r="K98" s="1538"/>
      <c r="L98" s="1929"/>
      <c r="M98" s="1929"/>
    </row>
    <row r="99" spans="2:13" s="1560" customFormat="1" ht="12.75">
      <c r="B99" s="1570"/>
      <c r="D99" s="1576"/>
      <c r="F99" s="1537"/>
      <c r="G99" s="1538"/>
      <c r="H99" s="1538"/>
      <c r="I99" s="1575"/>
      <c r="J99" s="1538"/>
      <c r="K99" s="1538"/>
      <c r="L99" s="1929"/>
      <c r="M99" s="1929"/>
    </row>
    <row r="100" spans="2:13" s="1560" customFormat="1" ht="12.75">
      <c r="B100" s="1570"/>
      <c r="D100" s="1576"/>
      <c r="F100" s="1537"/>
      <c r="G100" s="1538"/>
      <c r="H100" s="1538"/>
      <c r="I100" s="1575"/>
      <c r="J100" s="1538"/>
      <c r="K100" s="1538"/>
      <c r="L100" s="1929"/>
      <c r="M100" s="1929"/>
    </row>
    <row r="101" spans="2:13" s="1560" customFormat="1" ht="12.75">
      <c r="B101" s="1570"/>
      <c r="D101" s="1576"/>
      <c r="F101" s="1537"/>
      <c r="G101" s="1538"/>
      <c r="H101" s="1538"/>
      <c r="I101" s="1575"/>
      <c r="J101" s="1538"/>
      <c r="K101" s="1538"/>
      <c r="L101" s="1929"/>
      <c r="M101" s="1929"/>
    </row>
    <row r="102" spans="2:13" s="1560" customFormat="1" ht="12.75">
      <c r="B102" s="1570"/>
      <c r="D102" s="1576"/>
      <c r="F102" s="1537"/>
      <c r="G102" s="1538"/>
      <c r="H102" s="1538"/>
      <c r="I102" s="1575"/>
      <c r="J102" s="1538"/>
      <c r="K102" s="1538"/>
      <c r="L102" s="1929"/>
      <c r="M102" s="1929"/>
    </row>
    <row r="103" spans="2:13" s="1560" customFormat="1" ht="12.75">
      <c r="B103" s="1570"/>
      <c r="D103" s="1576"/>
      <c r="F103" s="1537"/>
      <c r="G103" s="1538"/>
      <c r="H103" s="1538"/>
      <c r="I103" s="1575"/>
      <c r="J103" s="1538"/>
      <c r="K103" s="1538"/>
      <c r="L103" s="1929"/>
      <c r="M103" s="1929"/>
    </row>
    <row r="104" spans="2:13" s="1560" customFormat="1" ht="12.75">
      <c r="B104" s="1570"/>
      <c r="D104" s="1576"/>
      <c r="F104" s="1537"/>
      <c r="G104" s="1538"/>
      <c r="H104" s="1538"/>
      <c r="I104" s="1575"/>
      <c r="J104" s="1538"/>
      <c r="K104" s="1538"/>
      <c r="L104" s="1929"/>
      <c r="M104" s="1929"/>
    </row>
    <row r="105" spans="2:13" s="1560" customFormat="1" ht="12.75">
      <c r="B105" s="1570"/>
      <c r="D105" s="1576"/>
      <c r="F105" s="1537"/>
      <c r="G105" s="1538"/>
      <c r="H105" s="1538"/>
      <c r="I105" s="1575"/>
      <c r="J105" s="1538"/>
      <c r="K105" s="1538"/>
      <c r="L105" s="1929"/>
      <c r="M105" s="1929"/>
    </row>
    <row r="106" spans="2:13" s="1560" customFormat="1" ht="12.75">
      <c r="B106" s="1570"/>
      <c r="D106" s="1576"/>
      <c r="F106" s="1537"/>
      <c r="G106" s="1538"/>
      <c r="H106" s="1538"/>
      <c r="I106" s="1575"/>
      <c r="J106" s="1538"/>
      <c r="K106" s="1538"/>
      <c r="L106" s="1929"/>
      <c r="M106" s="1929"/>
    </row>
    <row r="107" spans="2:13" s="1560" customFormat="1" ht="12.75">
      <c r="B107" s="1570"/>
      <c r="D107" s="1576"/>
      <c r="F107" s="1537"/>
      <c r="G107" s="1538"/>
      <c r="H107" s="1538"/>
      <c r="I107" s="1575"/>
      <c r="J107" s="1538"/>
      <c r="K107" s="1538"/>
      <c r="L107" s="1929"/>
      <c r="M107" s="1929"/>
    </row>
    <row r="108" spans="2:13" s="1560" customFormat="1" ht="12.75">
      <c r="B108" s="1570"/>
      <c r="D108" s="1576"/>
      <c r="F108" s="1537"/>
      <c r="G108" s="1538"/>
      <c r="H108" s="1538"/>
      <c r="I108" s="1575"/>
      <c r="J108" s="1538"/>
      <c r="K108" s="1538"/>
      <c r="L108" s="1929"/>
      <c r="M108" s="1929"/>
    </row>
    <row r="109" spans="2:13" s="1560" customFormat="1" ht="12.75">
      <c r="B109" s="1570"/>
      <c r="D109" s="1576"/>
      <c r="F109" s="1537"/>
      <c r="G109" s="1538"/>
      <c r="H109" s="1538"/>
      <c r="I109" s="1575"/>
      <c r="J109" s="1538"/>
      <c r="K109" s="1538"/>
      <c r="L109" s="1929"/>
      <c r="M109" s="1929"/>
    </row>
    <row r="110" spans="2:13" s="1560" customFormat="1" ht="12.75">
      <c r="B110" s="1570"/>
      <c r="D110" s="1576"/>
      <c r="F110" s="1537"/>
      <c r="G110" s="1538"/>
      <c r="H110" s="1538"/>
      <c r="I110" s="1575"/>
      <c r="J110" s="1538"/>
      <c r="K110" s="1538"/>
      <c r="L110" s="1929"/>
      <c r="M110" s="1929"/>
    </row>
    <row r="111" spans="2:13" s="1560" customFormat="1" ht="12.75">
      <c r="B111" s="1570"/>
      <c r="D111" s="1576"/>
      <c r="F111" s="1537"/>
      <c r="G111" s="1538"/>
      <c r="H111" s="1538"/>
      <c r="I111" s="1575"/>
      <c r="J111" s="1538"/>
      <c r="K111" s="1538"/>
      <c r="L111" s="1929"/>
      <c r="M111" s="1929"/>
    </row>
    <row r="112" spans="2:13" s="1560" customFormat="1" ht="12.75">
      <c r="B112" s="1570"/>
      <c r="D112" s="1576"/>
      <c r="F112" s="1537"/>
      <c r="G112" s="1538"/>
      <c r="H112" s="1538"/>
      <c r="I112" s="1575"/>
      <c r="J112" s="1538"/>
      <c r="K112" s="1538"/>
      <c r="L112" s="1929"/>
      <c r="M112" s="1929"/>
    </row>
    <row r="113" spans="2:13" s="1560" customFormat="1" ht="12.75">
      <c r="B113" s="1570"/>
      <c r="D113" s="1576"/>
      <c r="F113" s="1537"/>
      <c r="G113" s="1538"/>
      <c r="H113" s="1538"/>
      <c r="I113" s="1575"/>
      <c r="J113" s="1538"/>
      <c r="K113" s="1538"/>
      <c r="L113" s="1929"/>
      <c r="M113" s="1929"/>
    </row>
    <row r="114" spans="2:13" s="1560" customFormat="1" ht="12.75">
      <c r="B114" s="1570"/>
      <c r="D114" s="1576"/>
      <c r="F114" s="1537"/>
      <c r="G114" s="1538"/>
      <c r="H114" s="1538"/>
      <c r="I114" s="1575"/>
      <c r="J114" s="1538"/>
      <c r="K114" s="1538"/>
      <c r="L114" s="1929"/>
      <c r="M114" s="1929"/>
    </row>
    <row r="115" spans="2:13" s="1560" customFormat="1" ht="12.75">
      <c r="B115" s="1570"/>
      <c r="D115" s="1576"/>
      <c r="F115" s="1537"/>
      <c r="G115" s="1538"/>
      <c r="H115" s="1538"/>
      <c r="I115" s="1575"/>
      <c r="J115" s="1538"/>
      <c r="K115" s="1538"/>
      <c r="L115" s="1929"/>
      <c r="M115" s="1929"/>
    </row>
    <row r="116" spans="2:13" s="1560" customFormat="1" ht="12.75">
      <c r="B116" s="1570"/>
      <c r="D116" s="1576"/>
      <c r="F116" s="1537"/>
      <c r="G116" s="1538"/>
      <c r="H116" s="1538"/>
      <c r="I116" s="1575"/>
      <c r="J116" s="1538"/>
      <c r="K116" s="1538"/>
      <c r="L116" s="1929"/>
      <c r="M116" s="1929"/>
    </row>
    <row r="117" spans="2:13" s="1560" customFormat="1" ht="12.75">
      <c r="B117" s="1570"/>
      <c r="D117" s="1576"/>
      <c r="F117" s="1537"/>
      <c r="G117" s="1538"/>
      <c r="H117" s="1538"/>
      <c r="I117" s="1575"/>
      <c r="J117" s="1538"/>
      <c r="K117" s="1538"/>
      <c r="L117" s="1929"/>
      <c r="M117" s="1929"/>
    </row>
    <row r="118" spans="2:13" s="1560" customFormat="1" ht="12.75">
      <c r="B118" s="1570"/>
      <c r="D118" s="1576"/>
      <c r="F118" s="1537"/>
      <c r="G118" s="1538"/>
      <c r="H118" s="1538"/>
      <c r="I118" s="1575"/>
      <c r="J118" s="1538"/>
      <c r="K118" s="1538"/>
      <c r="L118" s="1929"/>
      <c r="M118" s="1929"/>
    </row>
    <row r="119" spans="2:13" s="1560" customFormat="1" ht="12.75">
      <c r="B119" s="1570"/>
      <c r="D119" s="1576"/>
      <c r="F119" s="1537"/>
      <c r="G119" s="1538"/>
      <c r="H119" s="1538"/>
      <c r="I119" s="1575"/>
      <c r="J119" s="1538"/>
      <c r="K119" s="1538"/>
      <c r="L119" s="1929"/>
      <c r="M119" s="1929"/>
    </row>
    <row r="120" spans="2:13" s="1560" customFormat="1" ht="12.75">
      <c r="B120" s="1570"/>
      <c r="D120" s="1576"/>
      <c r="F120" s="1537"/>
      <c r="G120" s="1538"/>
      <c r="H120" s="1538"/>
      <c r="I120" s="1575"/>
      <c r="J120" s="1538"/>
      <c r="K120" s="1538"/>
      <c r="L120" s="1929"/>
      <c r="M120" s="1929"/>
    </row>
    <row r="121" spans="2:13" s="1560" customFormat="1" ht="12.75">
      <c r="B121" s="1570"/>
      <c r="D121" s="1576"/>
      <c r="F121" s="1537"/>
      <c r="G121" s="1538"/>
      <c r="H121" s="1538"/>
      <c r="I121" s="1575"/>
      <c r="J121" s="1538"/>
      <c r="K121" s="1538"/>
      <c r="L121" s="1929"/>
      <c r="M121" s="1929"/>
    </row>
    <row r="122" spans="2:13" s="1560" customFormat="1" ht="12.75">
      <c r="B122" s="1570"/>
      <c r="D122" s="1576"/>
      <c r="F122" s="1537"/>
      <c r="G122" s="1538"/>
      <c r="H122" s="1538"/>
      <c r="I122" s="1575"/>
      <c r="J122" s="1538"/>
      <c r="K122" s="1538"/>
      <c r="L122" s="1929"/>
      <c r="M122" s="1929"/>
    </row>
    <row r="123" spans="2:13" s="1560" customFormat="1" ht="12.75">
      <c r="B123" s="1570"/>
      <c r="D123" s="1576"/>
      <c r="F123" s="1537"/>
      <c r="G123" s="1538"/>
      <c r="H123" s="1538"/>
      <c r="I123" s="1575"/>
      <c r="J123" s="1538"/>
      <c r="K123" s="1538"/>
      <c r="L123" s="1929"/>
      <c r="M123" s="1929"/>
    </row>
    <row r="124" spans="2:13" s="1560" customFormat="1" ht="12.75">
      <c r="B124" s="1570"/>
      <c r="D124" s="1576"/>
      <c r="F124" s="1537"/>
      <c r="G124" s="1538"/>
      <c r="H124" s="1538"/>
      <c r="I124" s="1575"/>
      <c r="J124" s="1538"/>
      <c r="K124" s="1538"/>
      <c r="L124" s="1929"/>
      <c r="M124" s="1929"/>
    </row>
    <row r="125" spans="2:13" s="1560" customFormat="1" ht="12.75">
      <c r="B125" s="1570"/>
      <c r="D125" s="1576"/>
      <c r="F125" s="1537"/>
      <c r="G125" s="1538"/>
      <c r="H125" s="1538"/>
      <c r="I125" s="1575"/>
      <c r="J125" s="1538"/>
      <c r="K125" s="1538"/>
      <c r="L125" s="1929"/>
      <c r="M125" s="1929"/>
    </row>
    <row r="126" spans="2:13" s="1560" customFormat="1" ht="12.75">
      <c r="B126" s="1570"/>
      <c r="D126" s="1576"/>
      <c r="F126" s="1537"/>
      <c r="G126" s="1538"/>
      <c r="H126" s="1538"/>
      <c r="I126" s="1575"/>
      <c r="J126" s="1538"/>
      <c r="K126" s="1538"/>
      <c r="L126" s="1929"/>
      <c r="M126" s="1929"/>
    </row>
    <row r="127" spans="2:13" s="1560" customFormat="1" ht="12.75">
      <c r="B127" s="1570"/>
      <c r="D127" s="1576"/>
      <c r="F127" s="1537"/>
      <c r="G127" s="1538"/>
      <c r="H127" s="1538"/>
      <c r="I127" s="1575"/>
      <c r="J127" s="1538"/>
      <c r="K127" s="1538"/>
      <c r="L127" s="1929"/>
      <c r="M127" s="1929"/>
    </row>
    <row r="128" spans="2:13" s="1560" customFormat="1" ht="12.75">
      <c r="B128" s="1570"/>
      <c r="D128" s="1576"/>
      <c r="F128" s="1537"/>
      <c r="G128" s="1538"/>
      <c r="H128" s="1538"/>
      <c r="I128" s="1575"/>
      <c r="J128" s="1538"/>
      <c r="K128" s="1538"/>
      <c r="L128" s="1929"/>
      <c r="M128" s="1929"/>
    </row>
    <row r="129" spans="2:13" s="1560" customFormat="1" ht="12.75">
      <c r="B129" s="1570"/>
      <c r="D129" s="1576"/>
      <c r="F129" s="1537"/>
      <c r="G129" s="1538"/>
      <c r="H129" s="1538"/>
      <c r="I129" s="1575"/>
      <c r="J129" s="1538"/>
      <c r="K129" s="1538"/>
      <c r="L129" s="1929"/>
      <c r="M129" s="1929"/>
    </row>
    <row r="130" spans="2:13" s="1560" customFormat="1" ht="12.75">
      <c r="B130" s="1570"/>
      <c r="D130" s="1576"/>
      <c r="F130" s="1537"/>
      <c r="G130" s="1538"/>
      <c r="H130" s="1538"/>
      <c r="I130" s="1575"/>
      <c r="J130" s="1538"/>
      <c r="K130" s="1538"/>
      <c r="L130" s="1929"/>
      <c r="M130" s="1929"/>
    </row>
    <row r="131" spans="2:13" s="1560" customFormat="1" ht="12.75">
      <c r="B131" s="1570"/>
      <c r="D131" s="1576"/>
      <c r="F131" s="1537"/>
      <c r="G131" s="1538"/>
      <c r="H131" s="1538"/>
      <c r="I131" s="1575"/>
      <c r="J131" s="1538"/>
      <c r="K131" s="1538"/>
      <c r="L131" s="1929"/>
      <c r="M131" s="1929"/>
    </row>
    <row r="132" spans="2:13" s="1560" customFormat="1" ht="12.75">
      <c r="B132" s="1570"/>
      <c r="D132" s="1576"/>
      <c r="F132" s="1537"/>
      <c r="G132" s="1538"/>
      <c r="H132" s="1538"/>
      <c r="I132" s="1575"/>
      <c r="J132" s="1538"/>
      <c r="K132" s="1538"/>
      <c r="L132" s="1929"/>
      <c r="M132" s="1929"/>
    </row>
    <row r="133" spans="2:13" s="1560" customFormat="1" ht="12.75">
      <c r="B133" s="1570"/>
      <c r="D133" s="1576"/>
      <c r="F133" s="1537"/>
      <c r="G133" s="1538"/>
      <c r="H133" s="1538"/>
      <c r="I133" s="1575"/>
      <c r="J133" s="1538"/>
      <c r="K133" s="1538"/>
      <c r="L133" s="1929"/>
      <c r="M133" s="1929"/>
    </row>
    <row r="134" spans="2:13" s="1560" customFormat="1" ht="12.75">
      <c r="B134" s="1570"/>
      <c r="D134" s="1576"/>
      <c r="F134" s="1537"/>
      <c r="G134" s="1538"/>
      <c r="H134" s="1538"/>
      <c r="I134" s="1575"/>
      <c r="J134" s="1538"/>
      <c r="K134" s="1538"/>
      <c r="L134" s="1929"/>
      <c r="M134" s="1929"/>
    </row>
    <row r="135" spans="2:13" s="1560" customFormat="1" ht="12.75">
      <c r="B135" s="1570"/>
      <c r="D135" s="1576"/>
      <c r="F135" s="1537"/>
      <c r="G135" s="1538"/>
      <c r="H135" s="1538"/>
      <c r="I135" s="1575"/>
      <c r="J135" s="1538"/>
      <c r="K135" s="1538"/>
      <c r="L135" s="1929"/>
      <c r="M135" s="1929"/>
    </row>
    <row r="136" spans="2:13" s="1560" customFormat="1" ht="12.75">
      <c r="B136" s="1570"/>
      <c r="D136" s="1576"/>
      <c r="F136" s="1537"/>
      <c r="G136" s="1538"/>
      <c r="H136" s="1538"/>
      <c r="I136" s="1575"/>
      <c r="J136" s="1538"/>
      <c r="K136" s="1538"/>
      <c r="L136" s="1929"/>
      <c r="M136" s="1929"/>
    </row>
    <row r="137" spans="2:13" s="1560" customFormat="1" ht="12.75">
      <c r="B137" s="1570"/>
      <c r="D137" s="1576"/>
      <c r="F137" s="1537"/>
      <c r="G137" s="1538"/>
      <c r="H137" s="1538"/>
      <c r="I137" s="1575"/>
      <c r="J137" s="1538"/>
      <c r="K137" s="1538"/>
      <c r="L137" s="1929"/>
      <c r="M137" s="1929"/>
    </row>
    <row r="138" spans="2:13" s="1560" customFormat="1" ht="12.75">
      <c r="B138" s="1570"/>
      <c r="D138" s="1576"/>
      <c r="F138" s="1537"/>
      <c r="G138" s="1538"/>
      <c r="H138" s="1538"/>
      <c r="I138" s="1575"/>
      <c r="J138" s="1538"/>
      <c r="K138" s="1538"/>
      <c r="L138" s="1929"/>
      <c r="M138" s="1929"/>
    </row>
    <row r="139" spans="2:13" s="1560" customFormat="1" ht="12.75">
      <c r="B139" s="1570"/>
      <c r="D139" s="1576"/>
      <c r="F139" s="1537"/>
      <c r="G139" s="1538"/>
      <c r="H139" s="1538"/>
      <c r="I139" s="1575"/>
      <c r="J139" s="1538"/>
      <c r="K139" s="1538"/>
      <c r="L139" s="1929"/>
      <c r="M139" s="1929"/>
    </row>
    <row r="140" spans="2:13" s="1560" customFormat="1" ht="12.75">
      <c r="B140" s="1570"/>
      <c r="D140" s="1576"/>
      <c r="F140" s="1537"/>
      <c r="G140" s="1538"/>
      <c r="H140" s="1538"/>
      <c r="I140" s="1575"/>
      <c r="J140" s="1538"/>
      <c r="K140" s="1538"/>
      <c r="L140" s="1929"/>
      <c r="M140" s="1929"/>
    </row>
    <row r="141" spans="2:13" s="1560" customFormat="1" ht="12.75">
      <c r="B141" s="1570"/>
      <c r="D141" s="1576"/>
      <c r="F141" s="1537"/>
      <c r="G141" s="1538"/>
      <c r="H141" s="1538"/>
      <c r="I141" s="1575"/>
      <c r="J141" s="1538"/>
      <c r="K141" s="1538"/>
      <c r="L141" s="1929"/>
      <c r="M141" s="1929"/>
    </row>
    <row r="142" spans="2:13" s="1560" customFormat="1" ht="12.75">
      <c r="B142" s="1570"/>
      <c r="D142" s="1576"/>
      <c r="F142" s="1537"/>
      <c r="G142" s="1538"/>
      <c r="H142" s="1538"/>
      <c r="I142" s="1575"/>
      <c r="J142" s="1538"/>
      <c r="K142" s="1538"/>
      <c r="L142" s="1929"/>
      <c r="M142" s="1929"/>
    </row>
    <row r="143" spans="2:13" s="1560" customFormat="1" ht="12.75">
      <c r="B143" s="1570"/>
      <c r="D143" s="1576"/>
      <c r="F143" s="1537"/>
      <c r="G143" s="1538"/>
      <c r="H143" s="1538"/>
      <c r="I143" s="1575"/>
      <c r="J143" s="1538"/>
      <c r="K143" s="1538"/>
      <c r="L143" s="1929"/>
      <c r="M143" s="1929"/>
    </row>
    <row r="144" spans="2:13" s="1560" customFormat="1" ht="12.75">
      <c r="B144" s="1570"/>
      <c r="D144" s="1576"/>
      <c r="F144" s="1537"/>
      <c r="G144" s="1538"/>
      <c r="H144" s="1538"/>
      <c r="I144" s="1575"/>
      <c r="J144" s="1538"/>
      <c r="K144" s="1538"/>
      <c r="L144" s="1929"/>
      <c r="M144" s="1929"/>
    </row>
    <row r="145" spans="2:13" s="1560" customFormat="1" ht="12.75">
      <c r="B145" s="1570"/>
      <c r="D145" s="1576"/>
      <c r="F145" s="1537"/>
      <c r="G145" s="1538"/>
      <c r="H145" s="1538"/>
      <c r="I145" s="1575"/>
      <c r="J145" s="1538"/>
      <c r="K145" s="1538"/>
      <c r="L145" s="1929"/>
      <c r="M145" s="1929"/>
    </row>
    <row r="146" spans="2:13" s="1560" customFormat="1" ht="12.75">
      <c r="B146" s="1570"/>
      <c r="D146" s="1576"/>
      <c r="F146" s="1537"/>
      <c r="G146" s="1538"/>
      <c r="H146" s="1538"/>
      <c r="I146" s="1575"/>
      <c r="J146" s="1538"/>
      <c r="K146" s="1538"/>
      <c r="L146" s="1929"/>
      <c r="M146" s="1929"/>
    </row>
    <row r="147" spans="2:13" s="1560" customFormat="1" ht="12.75">
      <c r="B147" s="1570"/>
      <c r="D147" s="1576"/>
      <c r="F147" s="1537"/>
      <c r="G147" s="1538"/>
      <c r="H147" s="1538"/>
      <c r="I147" s="1575"/>
      <c r="J147" s="1538"/>
      <c r="K147" s="1538"/>
      <c r="L147" s="1929"/>
      <c r="M147" s="1929"/>
    </row>
    <row r="148" spans="2:13" s="1560" customFormat="1" ht="12.75">
      <c r="B148" s="1570"/>
      <c r="D148" s="1576"/>
      <c r="F148" s="1537"/>
      <c r="G148" s="1538"/>
      <c r="H148" s="1538"/>
      <c r="I148" s="1575"/>
      <c r="J148" s="1538"/>
      <c r="K148" s="1538"/>
      <c r="L148" s="1929"/>
      <c r="M148" s="1929"/>
    </row>
    <row r="149" spans="2:13" s="1560" customFormat="1" ht="12.75">
      <c r="B149" s="1570"/>
      <c r="D149" s="1576"/>
      <c r="F149" s="1537"/>
      <c r="G149" s="1538"/>
      <c r="H149" s="1538"/>
      <c r="I149" s="1575"/>
      <c r="J149" s="1538"/>
      <c r="K149" s="1538"/>
      <c r="L149" s="1929"/>
      <c r="M149" s="1929"/>
    </row>
    <row r="150" spans="2:13" s="1560" customFormat="1" ht="12.75">
      <c r="B150" s="1570"/>
      <c r="D150" s="1576"/>
      <c r="F150" s="1537"/>
      <c r="G150" s="1538"/>
      <c r="H150" s="1538"/>
      <c r="I150" s="1575"/>
      <c r="J150" s="1538"/>
      <c r="K150" s="1538"/>
      <c r="L150" s="1929"/>
      <c r="M150" s="1929"/>
    </row>
    <row r="151" spans="2:13" s="1560" customFormat="1" ht="12.75">
      <c r="B151" s="1570"/>
      <c r="D151" s="1576"/>
      <c r="F151" s="1537"/>
      <c r="G151" s="1538"/>
      <c r="H151" s="1538"/>
      <c r="I151" s="1575"/>
      <c r="J151" s="1538"/>
      <c r="K151" s="1538"/>
      <c r="L151" s="1929"/>
      <c r="M151" s="1929"/>
    </row>
    <row r="152" spans="2:13" s="1560" customFormat="1" ht="12.75">
      <c r="B152" s="1570"/>
      <c r="D152" s="1576"/>
      <c r="F152" s="1537"/>
      <c r="G152" s="1538"/>
      <c r="H152" s="1538"/>
      <c r="I152" s="1575"/>
      <c r="J152" s="1538"/>
      <c r="K152" s="1538"/>
      <c r="L152" s="1929"/>
      <c r="M152" s="1929"/>
    </row>
    <row r="153" spans="2:13" s="1560" customFormat="1" ht="12.75">
      <c r="B153" s="1570"/>
      <c r="D153" s="1576"/>
      <c r="F153" s="1537"/>
      <c r="G153" s="1538"/>
      <c r="H153" s="1538"/>
      <c r="I153" s="1575"/>
      <c r="J153" s="1538"/>
      <c r="K153" s="1538"/>
      <c r="L153" s="1929"/>
      <c r="M153" s="1929"/>
    </row>
    <row r="154" spans="2:13" s="1560" customFormat="1" ht="12.75">
      <c r="B154" s="1570"/>
      <c r="D154" s="1576"/>
      <c r="F154" s="1537"/>
      <c r="G154" s="1538"/>
      <c r="H154" s="1538"/>
      <c r="I154" s="1575"/>
      <c r="J154" s="1538"/>
      <c r="K154" s="1538"/>
      <c r="L154" s="1929"/>
      <c r="M154" s="1929"/>
    </row>
    <row r="155" spans="2:13" s="1560" customFormat="1" ht="12.75">
      <c r="B155" s="1570"/>
      <c r="D155" s="1576"/>
      <c r="F155" s="1537"/>
      <c r="G155" s="1538"/>
      <c r="H155" s="1538"/>
      <c r="I155" s="1575"/>
      <c r="J155" s="1538"/>
      <c r="K155" s="1538"/>
      <c r="L155" s="1929"/>
      <c r="M155" s="1929"/>
    </row>
    <row r="156" spans="2:13" s="1560" customFormat="1" ht="12.75">
      <c r="B156" s="1570"/>
      <c r="D156" s="1576"/>
      <c r="F156" s="1537"/>
      <c r="G156" s="1538"/>
      <c r="H156" s="1538"/>
      <c r="I156" s="1575"/>
      <c r="J156" s="1538"/>
      <c r="K156" s="1538"/>
      <c r="L156" s="1929"/>
      <c r="M156" s="1929"/>
    </row>
    <row r="157" spans="2:13" s="1560" customFormat="1" ht="12.75">
      <c r="B157" s="1570"/>
      <c r="D157" s="1576"/>
      <c r="F157" s="1537"/>
      <c r="G157" s="1538"/>
      <c r="H157" s="1538"/>
      <c r="I157" s="1575"/>
      <c r="J157" s="1538"/>
      <c r="K157" s="1538"/>
      <c r="L157" s="1929"/>
      <c r="M157" s="1929"/>
    </row>
    <row r="158" spans="2:13" s="1560" customFormat="1" ht="12.75">
      <c r="B158" s="1570"/>
      <c r="D158" s="1576"/>
      <c r="F158" s="1537"/>
      <c r="G158" s="1538"/>
      <c r="H158" s="1538"/>
      <c r="I158" s="1575"/>
      <c r="J158" s="1538"/>
      <c r="K158" s="1538"/>
      <c r="L158" s="1929"/>
      <c r="M158" s="1929"/>
    </row>
    <row r="159" spans="2:13" s="1560" customFormat="1" ht="12.75">
      <c r="B159" s="1570"/>
      <c r="D159" s="1576"/>
      <c r="F159" s="1537"/>
      <c r="G159" s="1538"/>
      <c r="H159" s="1538"/>
      <c r="I159" s="1575"/>
      <c r="J159" s="1538"/>
      <c r="K159" s="1538"/>
      <c r="L159" s="1929"/>
      <c r="M159" s="1929"/>
    </row>
    <row r="160" spans="2:13" s="1560" customFormat="1" ht="12.75">
      <c r="B160" s="1570"/>
      <c r="D160" s="1576"/>
      <c r="F160" s="1537"/>
      <c r="G160" s="1538"/>
      <c r="H160" s="1538"/>
      <c r="I160" s="1575"/>
      <c r="J160" s="1538"/>
      <c r="K160" s="1538"/>
      <c r="L160" s="1929"/>
      <c r="M160" s="1929"/>
    </row>
    <row r="161" spans="2:13" s="1560" customFormat="1" ht="12.75">
      <c r="B161" s="1570"/>
      <c r="D161" s="1576"/>
      <c r="F161" s="1537"/>
      <c r="G161" s="1538"/>
      <c r="H161" s="1538"/>
      <c r="I161" s="1575"/>
      <c r="J161" s="1538"/>
      <c r="K161" s="1538"/>
      <c r="L161" s="1929"/>
      <c r="M161" s="1929"/>
    </row>
    <row r="162" spans="2:13" s="1560" customFormat="1" ht="12.75">
      <c r="B162" s="1570"/>
      <c r="D162" s="1576"/>
      <c r="F162" s="1537"/>
      <c r="G162" s="1538"/>
      <c r="H162" s="1538"/>
      <c r="I162" s="1575"/>
      <c r="J162" s="1538"/>
      <c r="K162" s="1538"/>
      <c r="L162" s="1929"/>
      <c r="M162" s="1929"/>
    </row>
    <row r="163" spans="2:13" s="1560" customFormat="1" ht="12.75">
      <c r="B163" s="1570"/>
      <c r="D163" s="1576"/>
      <c r="F163" s="1537"/>
      <c r="G163" s="1538"/>
      <c r="H163" s="1538"/>
      <c r="I163" s="1575"/>
      <c r="J163" s="1538"/>
      <c r="K163" s="1538"/>
      <c r="L163" s="1929"/>
      <c r="M163" s="1929"/>
    </row>
    <row r="164" spans="2:13" s="1560" customFormat="1" ht="12.75">
      <c r="B164" s="1570"/>
      <c r="D164" s="1576"/>
      <c r="F164" s="1537"/>
      <c r="G164" s="1538"/>
      <c r="H164" s="1538"/>
      <c r="I164" s="1575"/>
      <c r="J164" s="1538"/>
      <c r="K164" s="1538"/>
      <c r="L164" s="1929"/>
      <c r="M164" s="1929"/>
    </row>
    <row r="165" spans="2:13" s="1560" customFormat="1" ht="12.75">
      <c r="B165" s="1570"/>
      <c r="D165" s="1576"/>
      <c r="F165" s="1537"/>
      <c r="G165" s="1538"/>
      <c r="H165" s="1538"/>
      <c r="I165" s="1575"/>
      <c r="J165" s="1538"/>
      <c r="K165" s="1538"/>
      <c r="L165" s="1929"/>
      <c r="M165" s="1929"/>
    </row>
    <row r="166" spans="2:13" s="1560" customFormat="1" ht="12.75">
      <c r="B166" s="1570"/>
      <c r="D166" s="1576"/>
      <c r="F166" s="1537"/>
      <c r="G166" s="1538"/>
      <c r="H166" s="1538"/>
      <c r="I166" s="1575"/>
      <c r="J166" s="1538"/>
      <c r="K166" s="1538"/>
      <c r="L166" s="1929"/>
      <c r="M166" s="1929"/>
    </row>
    <row r="167" spans="2:13" s="1560" customFormat="1" ht="12.75">
      <c r="B167" s="1570"/>
      <c r="D167" s="1576"/>
      <c r="F167" s="1537"/>
      <c r="G167" s="1538"/>
      <c r="H167" s="1538"/>
      <c r="I167" s="1575"/>
      <c r="J167" s="1538"/>
      <c r="K167" s="1538"/>
      <c r="L167" s="1929"/>
      <c r="M167" s="1929"/>
    </row>
    <row r="168" spans="2:13" s="1560" customFormat="1" ht="12.75">
      <c r="B168" s="1570"/>
      <c r="D168" s="1576"/>
      <c r="F168" s="1537"/>
      <c r="G168" s="1538"/>
      <c r="H168" s="1538"/>
      <c r="I168" s="1575"/>
      <c r="J168" s="1538"/>
      <c r="K168" s="1538"/>
      <c r="L168" s="1929"/>
      <c r="M168" s="1929"/>
    </row>
    <row r="169" spans="2:13" s="1560" customFormat="1" ht="12.75">
      <c r="B169" s="1570"/>
      <c r="D169" s="1576"/>
      <c r="F169" s="1537"/>
      <c r="G169" s="1538"/>
      <c r="H169" s="1538"/>
      <c r="I169" s="1575"/>
      <c r="J169" s="1538"/>
      <c r="K169" s="1538"/>
      <c r="L169" s="1929"/>
      <c r="M169" s="1929"/>
    </row>
    <row r="170" spans="2:13" s="1560" customFormat="1" ht="12.75">
      <c r="B170" s="1570"/>
      <c r="D170" s="1576"/>
      <c r="F170" s="1537"/>
      <c r="G170" s="1538"/>
      <c r="H170" s="1538"/>
      <c r="I170" s="1575"/>
      <c r="J170" s="1538"/>
      <c r="K170" s="1538"/>
      <c r="L170" s="1929"/>
      <c r="M170" s="1929"/>
    </row>
    <row r="171" spans="2:13" s="1560" customFormat="1" ht="12.75">
      <c r="B171" s="1570"/>
      <c r="D171" s="1576"/>
      <c r="F171" s="1537"/>
      <c r="G171" s="1538"/>
      <c r="H171" s="1538"/>
      <c r="I171" s="1575"/>
      <c r="J171" s="1538"/>
      <c r="K171" s="1538"/>
      <c r="L171" s="1929"/>
      <c r="M171" s="1929"/>
    </row>
    <row r="172" spans="2:13" s="1560" customFormat="1" ht="12.75">
      <c r="B172" s="1570"/>
      <c r="D172" s="1576"/>
      <c r="F172" s="1537"/>
      <c r="G172" s="1538"/>
      <c r="H172" s="1538"/>
      <c r="I172" s="1575"/>
      <c r="J172" s="1538"/>
      <c r="K172" s="1538"/>
      <c r="L172" s="1929"/>
      <c r="M172" s="1929"/>
    </row>
    <row r="173" spans="2:13" s="1560" customFormat="1" ht="12.75">
      <c r="B173" s="1570"/>
      <c r="D173" s="1576"/>
      <c r="F173" s="1537"/>
      <c r="G173" s="1538"/>
      <c r="H173" s="1538"/>
      <c r="I173" s="1575"/>
      <c r="J173" s="1538"/>
      <c r="K173" s="1538"/>
      <c r="L173" s="1929"/>
      <c r="M173" s="1929"/>
    </row>
    <row r="174" spans="2:13" s="1560" customFormat="1" ht="12.75">
      <c r="B174" s="1570"/>
      <c r="D174" s="1576"/>
      <c r="F174" s="1537"/>
      <c r="G174" s="1538"/>
      <c r="H174" s="1538"/>
      <c r="I174" s="1575"/>
      <c r="J174" s="1538"/>
      <c r="K174" s="1538"/>
      <c r="L174" s="1929"/>
      <c r="M174" s="1929"/>
    </row>
    <row r="175" spans="2:13" s="1560" customFormat="1" ht="12.75">
      <c r="B175" s="1570"/>
      <c r="D175" s="1576"/>
      <c r="F175" s="1537"/>
      <c r="G175" s="1538"/>
      <c r="H175" s="1538"/>
      <c r="I175" s="1575"/>
      <c r="J175" s="1538"/>
      <c r="K175" s="1538"/>
      <c r="L175" s="1929"/>
      <c r="M175" s="1929"/>
    </row>
    <row r="176" spans="2:13" s="1560" customFormat="1" ht="12.75">
      <c r="B176" s="1570"/>
      <c r="D176" s="1576"/>
      <c r="F176" s="1537"/>
      <c r="G176" s="1538"/>
      <c r="H176" s="1538"/>
      <c r="I176" s="1575"/>
      <c r="J176" s="1538"/>
      <c r="K176" s="1538"/>
      <c r="L176" s="1929"/>
      <c r="M176" s="1929"/>
    </row>
    <row r="177" spans="2:13" s="1560" customFormat="1" ht="12.75">
      <c r="B177" s="1570"/>
      <c r="D177" s="1576"/>
      <c r="F177" s="1537"/>
      <c r="G177" s="1538"/>
      <c r="H177" s="1538"/>
      <c r="I177" s="1575"/>
      <c r="J177" s="1538"/>
      <c r="K177" s="1538"/>
      <c r="L177" s="1929"/>
      <c r="M177" s="1929"/>
    </row>
    <row r="178" spans="2:13" s="1560" customFormat="1" ht="12.75">
      <c r="B178" s="1570"/>
      <c r="D178" s="1576"/>
      <c r="F178" s="1537"/>
      <c r="G178" s="1538"/>
      <c r="H178" s="1538"/>
      <c r="I178" s="1575"/>
      <c r="J178" s="1538"/>
      <c r="K178" s="1538"/>
      <c r="L178" s="1929"/>
      <c r="M178" s="1929"/>
    </row>
    <row r="179" spans="2:13" s="1560" customFormat="1" ht="12.75">
      <c r="B179" s="1570"/>
      <c r="D179" s="1576"/>
      <c r="F179" s="1537"/>
      <c r="G179" s="1538"/>
      <c r="H179" s="1538"/>
      <c r="I179" s="1575"/>
      <c r="J179" s="1538"/>
      <c r="K179" s="1538"/>
      <c r="L179" s="1929"/>
      <c r="M179" s="1929"/>
    </row>
    <row r="180" spans="2:13" s="1560" customFormat="1" ht="12.75">
      <c r="B180" s="1570"/>
      <c r="D180" s="1576"/>
      <c r="F180" s="1537"/>
      <c r="G180" s="1538"/>
      <c r="H180" s="1538"/>
      <c r="I180" s="1575"/>
      <c r="J180" s="1538"/>
      <c r="K180" s="1538"/>
      <c r="L180" s="1929"/>
      <c r="M180" s="1929"/>
    </row>
    <row r="181" spans="2:13" s="1560" customFormat="1" ht="12.75">
      <c r="B181" s="1570"/>
      <c r="D181" s="1576"/>
      <c r="F181" s="1537"/>
      <c r="G181" s="1538"/>
      <c r="H181" s="1538"/>
      <c r="I181" s="1575"/>
      <c r="J181" s="1538"/>
      <c r="K181" s="1538"/>
      <c r="L181" s="1929"/>
      <c r="M181" s="1929"/>
    </row>
    <row r="182" spans="2:13" s="1560" customFormat="1" ht="12.75">
      <c r="B182" s="1570"/>
      <c r="D182" s="1576"/>
      <c r="F182" s="1537"/>
      <c r="G182" s="1538"/>
      <c r="H182" s="1538"/>
      <c r="I182" s="1575"/>
      <c r="J182" s="1538"/>
      <c r="K182" s="1538"/>
      <c r="L182" s="1929"/>
      <c r="M182" s="1929"/>
    </row>
    <row r="183" spans="2:13" s="1560" customFormat="1" ht="12.75">
      <c r="B183" s="1570"/>
      <c r="D183" s="1576"/>
      <c r="F183" s="1537"/>
      <c r="G183" s="1538"/>
      <c r="H183" s="1538"/>
      <c r="I183" s="1575"/>
      <c r="J183" s="1538"/>
      <c r="K183" s="1538"/>
      <c r="L183" s="1929"/>
      <c r="M183" s="1929"/>
    </row>
    <row r="184" spans="2:13" s="1560" customFormat="1" ht="12.75">
      <c r="B184" s="1570"/>
      <c r="D184" s="1576"/>
      <c r="F184" s="1537"/>
      <c r="G184" s="1538"/>
      <c r="H184" s="1538"/>
      <c r="I184" s="1575"/>
      <c r="J184" s="1538"/>
      <c r="K184" s="1538"/>
      <c r="L184" s="1929"/>
      <c r="M184" s="1929"/>
    </row>
    <row r="185" spans="2:13" s="1560" customFormat="1" ht="12.75">
      <c r="B185" s="1570"/>
      <c r="D185" s="1576"/>
      <c r="F185" s="1537"/>
      <c r="G185" s="1538"/>
      <c r="H185" s="1538"/>
      <c r="I185" s="1575"/>
      <c r="J185" s="1538"/>
      <c r="K185" s="1538"/>
      <c r="L185" s="1929"/>
      <c r="M185" s="1929"/>
    </row>
    <row r="186" spans="2:13" s="1560" customFormat="1" ht="12.75">
      <c r="B186" s="1570"/>
      <c r="D186" s="1576"/>
      <c r="F186" s="1537"/>
      <c r="G186" s="1538"/>
      <c r="H186" s="1538"/>
      <c r="I186" s="1575"/>
      <c r="J186" s="1538"/>
      <c r="K186" s="1538"/>
      <c r="L186" s="1929"/>
      <c r="M186" s="1929"/>
    </row>
    <row r="187" spans="2:13" s="1560" customFormat="1" ht="12.75">
      <c r="B187" s="1570"/>
      <c r="D187" s="1576"/>
      <c r="F187" s="1537"/>
      <c r="G187" s="1538"/>
      <c r="H187" s="1538"/>
      <c r="I187" s="1575"/>
      <c r="J187" s="1538"/>
      <c r="K187" s="1538"/>
      <c r="L187" s="1929"/>
      <c r="M187" s="1929"/>
    </row>
    <row r="188" spans="2:13" s="1560" customFormat="1" ht="12.75">
      <c r="B188" s="1570"/>
      <c r="D188" s="1576"/>
      <c r="F188" s="1537"/>
      <c r="G188" s="1538"/>
      <c r="H188" s="1538"/>
      <c r="I188" s="1575"/>
      <c r="J188" s="1538"/>
      <c r="K188" s="1538"/>
      <c r="L188" s="1929"/>
      <c r="M188" s="1929"/>
    </row>
    <row r="189" spans="2:13" s="1560" customFormat="1" ht="12.75">
      <c r="B189" s="1570"/>
      <c r="D189" s="1576"/>
      <c r="F189" s="1537"/>
      <c r="G189" s="1538"/>
      <c r="H189" s="1538"/>
      <c r="I189" s="1575"/>
      <c r="J189" s="1538"/>
      <c r="K189" s="1538"/>
      <c r="L189" s="1929"/>
      <c r="M189" s="1929"/>
    </row>
    <row r="190" spans="2:13" s="1560" customFormat="1" ht="12.75">
      <c r="B190" s="1570"/>
      <c r="D190" s="1576"/>
      <c r="F190" s="1537"/>
      <c r="G190" s="1538"/>
      <c r="H190" s="1538"/>
      <c r="I190" s="1575"/>
      <c r="J190" s="1538"/>
      <c r="K190" s="1538"/>
      <c r="L190" s="1929"/>
      <c r="M190" s="1929"/>
    </row>
    <row r="191" spans="2:13" s="1560" customFormat="1" ht="12.75">
      <c r="B191" s="1570"/>
      <c r="D191" s="1576"/>
      <c r="F191" s="1537"/>
      <c r="G191" s="1538"/>
      <c r="H191" s="1538"/>
      <c r="I191" s="1575"/>
      <c r="J191" s="1538"/>
      <c r="K191" s="1538"/>
      <c r="L191" s="1929"/>
      <c r="M191" s="1929"/>
    </row>
    <row r="192" spans="2:13" s="1560" customFormat="1" ht="12.75">
      <c r="B192" s="1570"/>
      <c r="D192" s="1576"/>
      <c r="F192" s="1537"/>
      <c r="G192" s="1538"/>
      <c r="H192" s="1538"/>
      <c r="I192" s="1575"/>
      <c r="J192" s="1538"/>
      <c r="K192" s="1538"/>
      <c r="L192" s="1929"/>
      <c r="M192" s="1929"/>
    </row>
    <row r="193" spans="2:13" s="1560" customFormat="1" ht="12.75">
      <c r="B193" s="1570"/>
      <c r="D193" s="1576"/>
      <c r="F193" s="1537"/>
      <c r="G193" s="1538"/>
      <c r="H193" s="1538"/>
      <c r="I193" s="1575"/>
      <c r="J193" s="1538"/>
      <c r="K193" s="1538"/>
      <c r="L193" s="1929"/>
      <c r="M193" s="1929"/>
    </row>
    <row r="194" spans="2:13" s="1560" customFormat="1" ht="12.75">
      <c r="B194" s="1570"/>
      <c r="D194" s="1576"/>
      <c r="F194" s="1537"/>
      <c r="G194" s="1538"/>
      <c r="H194" s="1538"/>
      <c r="I194" s="1575"/>
      <c r="J194" s="1538"/>
      <c r="K194" s="1538"/>
      <c r="L194" s="1929"/>
      <c r="M194" s="1929"/>
    </row>
    <row r="195" spans="2:13">
      <c r="D195" s="1579"/>
      <c r="I195" s="1582"/>
    </row>
    <row r="196" spans="2:13">
      <c r="D196" s="1579"/>
      <c r="I196" s="1582"/>
    </row>
    <row r="197" spans="2:13">
      <c r="D197" s="1579"/>
      <c r="I197" s="1582"/>
    </row>
    <row r="198" spans="2:13">
      <c r="D198" s="1579"/>
      <c r="I198" s="1582"/>
    </row>
    <row r="199" spans="2:13">
      <c r="D199" s="1579"/>
      <c r="I199" s="1582"/>
    </row>
    <row r="200" spans="2:13">
      <c r="D200" s="1579"/>
      <c r="I200" s="1582"/>
    </row>
    <row r="201" spans="2:13">
      <c r="I201" s="1582"/>
    </row>
    <row r="202" spans="2:13">
      <c r="I202" s="1582"/>
    </row>
    <row r="203" spans="2:13">
      <c r="I203" s="1582"/>
    </row>
    <row r="204" spans="2:13">
      <c r="I204" s="1582"/>
    </row>
    <row r="205" spans="2:13">
      <c r="I205" s="1582"/>
    </row>
    <row r="206" spans="2:13">
      <c r="I206" s="1582"/>
    </row>
    <row r="207" spans="2:13">
      <c r="I207" s="1582"/>
    </row>
    <row r="208" spans="2:13">
      <c r="I208" s="1582"/>
    </row>
    <row r="209" spans="9:9">
      <c r="I209" s="1582"/>
    </row>
    <row r="210" spans="9:9">
      <c r="I210" s="1582"/>
    </row>
    <row r="211" spans="9:9">
      <c r="I211" s="1582"/>
    </row>
    <row r="212" spans="9:9">
      <c r="I212" s="1582"/>
    </row>
    <row r="213" spans="9:9">
      <c r="I213" s="1582"/>
    </row>
    <row r="214" spans="9:9">
      <c r="I214" s="1582"/>
    </row>
    <row r="215" spans="9:9">
      <c r="I215" s="1582"/>
    </row>
    <row r="216" spans="9:9">
      <c r="I216" s="1582"/>
    </row>
    <row r="217" spans="9:9">
      <c r="I217" s="1582"/>
    </row>
  </sheetData>
  <autoFilter ref="A2:O56" xr:uid="{415201C1-5E33-4C54-8183-9527A9F88AE5}"/>
  <mergeCells count="2">
    <mergeCell ref="C4:E4"/>
    <mergeCell ref="A1:D1"/>
  </mergeCells>
  <phoneticPr fontId="146" type="noConversion"/>
  <pageMargins left="0.7" right="0.7" top="0.75" bottom="0.75" header="0.3" footer="0.3"/>
  <pageSetup paperSize="8" scale="7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EC17D-1176-4543-98FF-581904545BF4}">
  <dimension ref="A1:AE23"/>
  <sheetViews>
    <sheetView showGridLines="0" topLeftCell="E5" zoomScale="55" zoomScaleNormal="55" workbookViewId="0">
      <selection activeCell="AA10" sqref="AA10"/>
    </sheetView>
  </sheetViews>
  <sheetFormatPr defaultColWidth="8.1875" defaultRowHeight="12.75"/>
  <cols>
    <col min="1" max="1" width="29.375" style="207" customWidth="1"/>
    <col min="2" max="2" width="18.5" style="205" customWidth="1"/>
    <col min="3" max="3" width="10.125" style="206" bestFit="1" customWidth="1"/>
    <col min="4" max="4" width="10.6875" style="206" bestFit="1" customWidth="1"/>
    <col min="5" max="5" width="10.5" style="206" bestFit="1" customWidth="1"/>
    <col min="6" max="6" width="13.5" style="206" bestFit="1" customWidth="1"/>
    <col min="7" max="12" width="13.5" style="206" customWidth="1"/>
    <col min="13" max="14" width="13.5" style="206" bestFit="1" customWidth="1"/>
    <col min="15" max="26" width="13.5" style="206" customWidth="1"/>
    <col min="27" max="27" width="10.1875" style="206" bestFit="1" customWidth="1"/>
    <col min="28" max="28" width="13.5" style="207" bestFit="1" customWidth="1"/>
    <col min="29" max="29" width="8.1875" style="207"/>
    <col min="30" max="30" width="13.875" style="207" customWidth="1"/>
    <col min="31" max="16384" width="8.1875" style="207"/>
  </cols>
  <sheetData>
    <row r="1" spans="1:31" ht="17.649999999999999">
      <c r="A1" s="204" t="s">
        <v>209</v>
      </c>
      <c r="B1" s="205" t="s">
        <v>210</v>
      </c>
    </row>
    <row r="2" spans="1:31">
      <c r="C2" s="205"/>
      <c r="D2" s="205"/>
      <c r="E2" s="205"/>
      <c r="F2" s="205"/>
      <c r="G2" s="205"/>
      <c r="H2" s="205"/>
      <c r="I2" s="205"/>
      <c r="J2" s="205"/>
      <c r="K2" s="205"/>
      <c r="L2" s="205"/>
      <c r="M2" s="205"/>
      <c r="N2" s="205"/>
      <c r="O2" s="205"/>
      <c r="P2" s="205"/>
      <c r="Q2" s="205"/>
      <c r="R2" s="205"/>
      <c r="S2" s="205"/>
      <c r="T2" s="205"/>
      <c r="U2" s="205"/>
      <c r="V2" s="205"/>
      <c r="W2" s="205"/>
      <c r="X2" s="205"/>
      <c r="Y2" s="205"/>
      <c r="Z2" s="205"/>
      <c r="AA2" s="205"/>
    </row>
    <row r="3" spans="1:31" s="212" customFormat="1" ht="16.5">
      <c r="A3" s="208" t="s">
        <v>211</v>
      </c>
      <c r="B3" s="209" t="s">
        <v>1187</v>
      </c>
      <c r="C3" s="211"/>
      <c r="D3" s="211"/>
      <c r="E3" s="211"/>
      <c r="F3" s="211"/>
      <c r="G3" s="211"/>
      <c r="H3" s="211"/>
      <c r="I3" s="211"/>
      <c r="J3" s="211"/>
      <c r="K3" s="211"/>
      <c r="L3" s="211"/>
      <c r="M3" s="211"/>
      <c r="N3" s="211"/>
      <c r="O3" s="211"/>
      <c r="P3" s="211"/>
      <c r="Q3" s="211"/>
      <c r="R3" s="211"/>
      <c r="S3" s="211"/>
      <c r="T3" s="211"/>
      <c r="U3" s="211"/>
      <c r="V3" s="211"/>
      <c r="W3" s="211"/>
      <c r="X3" s="211"/>
      <c r="Y3" s="211"/>
      <c r="Z3" s="211"/>
      <c r="AA3" s="210"/>
    </row>
    <row r="4" spans="1:31" ht="18" thickBot="1">
      <c r="A4" s="213"/>
      <c r="B4" s="1931">
        <v>1000</v>
      </c>
    </row>
    <row r="5" spans="1:31" s="214" customFormat="1" ht="15" customHeight="1">
      <c r="A5" s="207"/>
      <c r="B5" s="2955" t="s">
        <v>1188</v>
      </c>
      <c r="C5" s="2957"/>
      <c r="D5" s="2957"/>
      <c r="E5" s="2957"/>
      <c r="F5" s="2957"/>
      <c r="G5" s="2957"/>
      <c r="H5" s="2957"/>
      <c r="I5" s="2957"/>
      <c r="J5" s="2957"/>
      <c r="K5" s="2957"/>
      <c r="L5" s="2957"/>
      <c r="M5" s="2957"/>
      <c r="N5" s="2957"/>
      <c r="O5" s="2957"/>
      <c r="P5" s="2957"/>
      <c r="Q5" s="2957"/>
      <c r="R5" s="2957"/>
      <c r="S5" s="2957"/>
      <c r="T5" s="2957"/>
      <c r="U5" s="2957"/>
      <c r="V5" s="2957"/>
      <c r="W5" s="2957"/>
      <c r="X5" s="2957"/>
      <c r="Y5" s="2957"/>
      <c r="Z5" s="2957"/>
      <c r="AA5" s="2959">
        <v>2028</v>
      </c>
    </row>
    <row r="6" spans="1:31" s="214" customFormat="1" ht="15" customHeight="1" thickBot="1">
      <c r="A6" s="207"/>
      <c r="B6" s="2956"/>
      <c r="C6" s="2958"/>
      <c r="D6" s="2958"/>
      <c r="E6" s="2958"/>
      <c r="F6" s="2958"/>
      <c r="G6" s="2958"/>
      <c r="H6" s="2958"/>
      <c r="I6" s="2958"/>
      <c r="J6" s="2958"/>
      <c r="K6" s="2958"/>
      <c r="L6" s="2958"/>
      <c r="M6" s="2958"/>
      <c r="N6" s="2958"/>
      <c r="O6" s="2958"/>
      <c r="P6" s="2958"/>
      <c r="Q6" s="2958"/>
      <c r="R6" s="2958"/>
      <c r="S6" s="2958"/>
      <c r="T6" s="2958"/>
      <c r="U6" s="2958"/>
      <c r="V6" s="2958"/>
      <c r="W6" s="2958"/>
      <c r="X6" s="2958"/>
      <c r="Y6" s="2958"/>
      <c r="Z6" s="2958"/>
      <c r="AA6" s="2960"/>
    </row>
    <row r="7" spans="1:31" s="214" customFormat="1" ht="36" customHeight="1" thickBot="1">
      <c r="A7" s="215"/>
      <c r="B7" s="1938" t="s">
        <v>1217</v>
      </c>
      <c r="C7" s="1940" t="s">
        <v>15</v>
      </c>
      <c r="D7" s="1940" t="s">
        <v>15</v>
      </c>
      <c r="E7" s="1940" t="s">
        <v>15</v>
      </c>
      <c r="F7" s="1940" t="s">
        <v>15</v>
      </c>
      <c r="G7" s="1940" t="s">
        <v>15</v>
      </c>
      <c r="H7" s="1940" t="s">
        <v>15</v>
      </c>
      <c r="I7" s="1940" t="s">
        <v>15</v>
      </c>
      <c r="J7" s="1940" t="s">
        <v>15</v>
      </c>
      <c r="K7" s="1940" t="s">
        <v>15</v>
      </c>
      <c r="L7" s="1940" t="s">
        <v>15</v>
      </c>
      <c r="M7" s="1940" t="s">
        <v>15</v>
      </c>
      <c r="N7" s="1940" t="s">
        <v>15</v>
      </c>
      <c r="O7" s="1940"/>
      <c r="P7" s="1940"/>
      <c r="Q7" s="1940"/>
      <c r="R7" s="1940"/>
      <c r="S7" s="1940"/>
      <c r="T7" s="1940"/>
      <c r="U7" s="1940"/>
      <c r="V7" s="1940"/>
      <c r="W7" s="1940"/>
      <c r="X7" s="1940"/>
      <c r="Y7" s="1940"/>
      <c r="Z7" s="1940"/>
      <c r="AA7" s="1940" t="s">
        <v>15</v>
      </c>
    </row>
    <row r="8" spans="1:31" s="217" customFormat="1" ht="23.45" customHeight="1" thickBot="1">
      <c r="A8" s="216"/>
      <c r="B8" s="1990" t="s">
        <v>1216</v>
      </c>
      <c r="C8" s="1990" t="s">
        <v>1192</v>
      </c>
      <c r="D8" s="1990" t="s">
        <v>1191</v>
      </c>
      <c r="E8" s="1990" t="s">
        <v>1195</v>
      </c>
      <c r="F8" s="1990" t="s">
        <v>1198</v>
      </c>
      <c r="G8" s="1990" t="s">
        <v>1199</v>
      </c>
      <c r="H8" s="1990" t="s">
        <v>1193</v>
      </c>
      <c r="I8" s="1990" t="s">
        <v>1194</v>
      </c>
      <c r="J8" s="1990" t="s">
        <v>1190</v>
      </c>
      <c r="K8" s="1990" t="s">
        <v>1196</v>
      </c>
      <c r="L8" s="1990" t="s">
        <v>1197</v>
      </c>
      <c r="M8" s="1990" t="s">
        <v>1200</v>
      </c>
      <c r="N8" s="1990" t="s">
        <v>1201</v>
      </c>
      <c r="O8" s="1990" t="s">
        <v>1202</v>
      </c>
      <c r="P8" s="1990" t="s">
        <v>1203</v>
      </c>
      <c r="Q8" s="1990" t="s">
        <v>1204</v>
      </c>
      <c r="R8" s="1990" t="s">
        <v>1205</v>
      </c>
      <c r="S8" s="1990" t="s">
        <v>1206</v>
      </c>
      <c r="T8" s="1990" t="s">
        <v>1207</v>
      </c>
      <c r="U8" s="1990" t="s">
        <v>1208</v>
      </c>
      <c r="V8" s="1990" t="s">
        <v>1189</v>
      </c>
      <c r="W8" s="1990" t="s">
        <v>1209</v>
      </c>
      <c r="X8" s="1990" t="s">
        <v>1210</v>
      </c>
      <c r="Y8" s="1990" t="s">
        <v>1211</v>
      </c>
      <c r="Z8" s="1990" t="s">
        <v>1212</v>
      </c>
      <c r="AA8" s="2709" t="s">
        <v>1213</v>
      </c>
      <c r="AB8" s="1933" t="s">
        <v>249</v>
      </c>
    </row>
    <row r="9" spans="1:31" s="220" customFormat="1" ht="30" customHeight="1">
      <c r="A9" s="1935" t="s">
        <v>455</v>
      </c>
      <c r="B9" s="1945">
        <v>127000000</v>
      </c>
      <c r="C9" s="1953">
        <f>Arkusz1!C10</f>
        <v>12627720</v>
      </c>
      <c r="D9" s="1953">
        <f>Arkusz1!D10</f>
        <v>12627720</v>
      </c>
      <c r="E9" s="1953">
        <f>Arkusz1!E10</f>
        <v>24624054.000000004</v>
      </c>
      <c r="F9" s="1953">
        <f>Arkusz1!F10</f>
        <v>3156930</v>
      </c>
      <c r="G9" s="1953">
        <f>Arkusz1!G10</f>
        <v>3156930</v>
      </c>
      <c r="H9" s="1953">
        <f>Arkusz1!H10</f>
        <v>6313860</v>
      </c>
      <c r="I9" s="1953">
        <f>Arkusz1!I10</f>
        <v>3156930</v>
      </c>
      <c r="J9" s="1953">
        <f>Arkusz1!J10</f>
        <v>3156930</v>
      </c>
      <c r="K9" s="1953">
        <f>Arkusz1!K10</f>
        <v>12627720</v>
      </c>
      <c r="L9" s="1953">
        <f>Arkusz1!L10</f>
        <v>63138600</v>
      </c>
      <c r="M9" s="1953">
        <f>Arkusz1!M10</f>
        <v>12627720</v>
      </c>
      <c r="N9" s="1953">
        <f>Arkusz1!N10</f>
        <v>30937913.999999996</v>
      </c>
      <c r="O9" s="1953">
        <f>Arkusz1!O10</f>
        <v>17635440</v>
      </c>
      <c r="P9" s="1953">
        <f>Arkusz1!P10</f>
        <v>21603414</v>
      </c>
      <c r="Q9" s="1953">
        <f>Arkusz1!Q10</f>
        <v>22926072</v>
      </c>
      <c r="R9" s="1953">
        <f>Arkusz1!R10</f>
        <v>17635440</v>
      </c>
      <c r="S9" s="1953">
        <f>Arkusz1!S10</f>
        <v>37475310.000000007</v>
      </c>
      <c r="T9" s="1953">
        <f>Arkusz1!T10</f>
        <v>30862020.000000007</v>
      </c>
      <c r="U9" s="1953">
        <f>Arkusz1!U10</f>
        <v>26012274</v>
      </c>
      <c r="V9" s="1953">
        <f>Arkusz1!V10</f>
        <v>22926072</v>
      </c>
      <c r="W9" s="1953">
        <f>Arkusz1!W10</f>
        <v>26894046</v>
      </c>
      <c r="X9" s="1953">
        <f>Arkusz1!X10</f>
        <v>8817720</v>
      </c>
      <c r="Y9" s="1953">
        <f>Arkusz1!Y10</f>
        <v>17635440</v>
      </c>
      <c r="Z9" s="1953">
        <f>Arkusz1!Z10</f>
        <v>15871896.000000004</v>
      </c>
      <c r="AA9" s="1953">
        <f>Arkusz1!AI19</f>
        <v>49937828</v>
      </c>
      <c r="AB9" s="221">
        <f>SUM(B9:AA9)</f>
        <v>631386000</v>
      </c>
      <c r="AD9" s="221"/>
    </row>
    <row r="10" spans="1:31" s="222" customFormat="1" ht="30" customHeight="1">
      <c r="A10" s="1936" t="s">
        <v>456</v>
      </c>
      <c r="B10" s="2103">
        <v>0</v>
      </c>
      <c r="C10" s="2102">
        <f>'Włocławek Budget'!AM428</f>
        <v>6228403.0899999999</v>
      </c>
      <c r="D10" s="2102">
        <f>'Włocławek Budget'!AN428</f>
        <v>998971.02033333329</v>
      </c>
      <c r="E10" s="2102">
        <f>'Włocławek Budget'!AO428</f>
        <v>6546793.0599999996</v>
      </c>
      <c r="F10" s="2102">
        <f>'Włocławek Budget'!AP428</f>
        <v>7176290.9100344833</v>
      </c>
      <c r="G10" s="2102">
        <f>'Włocławek Budget'!AQ428</f>
        <v>8113301.3358644117</v>
      </c>
      <c r="H10" s="2102">
        <f>'Włocławek Budget'!AR428</f>
        <v>9941192.9902329296</v>
      </c>
      <c r="I10" s="2102">
        <f>'Włocławek Budget'!AS428</f>
        <v>11449359.637738265</v>
      </c>
      <c r="J10" s="2102">
        <f>'Włocławek Budget'!AT428</f>
        <v>11945534.52876132</v>
      </c>
      <c r="K10" s="2102">
        <f>'Włocławek Budget'!AU428</f>
        <v>12793266.67831777</v>
      </c>
      <c r="L10" s="2102">
        <f>'Włocławek Budget'!AV428</f>
        <v>18322466.441092543</v>
      </c>
      <c r="M10" s="2102">
        <f>'Włocławek Budget'!AW428</f>
        <v>22031641.201076061</v>
      </c>
      <c r="N10" s="2102">
        <f>'Włocławek Budget'!AX428</f>
        <v>18303188.071419198</v>
      </c>
      <c r="O10" s="2102">
        <f>'Włocławek Budget'!AY428</f>
        <v>20973541.607752528</v>
      </c>
      <c r="P10" s="2102">
        <f>'Włocławek Budget'!AZ428</f>
        <v>28459243.849818431</v>
      </c>
      <c r="Q10" s="2102">
        <f>'Włocławek Budget'!BA428</f>
        <v>32669974.501385096</v>
      </c>
      <c r="R10" s="2102">
        <f>'Włocławek Budget'!BB428</f>
        <v>38835536.119448081</v>
      </c>
      <c r="S10" s="2102">
        <f>'Włocławek Budget'!BC428</f>
        <v>34214344.149715371</v>
      </c>
      <c r="T10" s="2102">
        <f>'Włocławek Budget'!BD428</f>
        <v>35498343.669006564</v>
      </c>
      <c r="U10" s="2102">
        <f>'Włocławek Budget'!BE428</f>
        <v>30198471.717528779</v>
      </c>
      <c r="V10" s="2102">
        <f>'Włocławek Budget'!BF428</f>
        <v>26418793.520017702</v>
      </c>
      <c r="W10" s="2102">
        <f>'Włocławek Budget'!BG428</f>
        <v>20336129.450129461</v>
      </c>
      <c r="X10" s="2102">
        <f>'Włocławek Budget'!BH428</f>
        <v>25382232.364862796</v>
      </c>
      <c r="Y10" s="2102">
        <f>'Włocławek Budget'!BI428</f>
        <v>13522659.03430607</v>
      </c>
      <c r="Z10" s="2102">
        <f>'Włocławek Budget'!BJ428</f>
        <v>11192771.954717182</v>
      </c>
      <c r="AA10" s="1934">
        <v>52370579.219999999</v>
      </c>
      <c r="AB10" s="221">
        <f>SUM(B10:AA10)</f>
        <v>503923030.12355828</v>
      </c>
      <c r="AD10" s="221"/>
    </row>
    <row r="11" spans="1:31" s="223" customFormat="1" ht="30" customHeight="1" collapsed="1">
      <c r="A11" s="1936" t="s">
        <v>457</v>
      </c>
      <c r="B11" s="229">
        <f>B9-B10</f>
        <v>127000000</v>
      </c>
      <c r="C11" s="230">
        <f t="shared" ref="C11:F11" si="0">C9-C10</f>
        <v>6399316.9100000001</v>
      </c>
      <c r="D11" s="230">
        <f t="shared" si="0"/>
        <v>11628748.979666667</v>
      </c>
      <c r="E11" s="230">
        <f t="shared" si="0"/>
        <v>18077260.940000005</v>
      </c>
      <c r="F11" s="230">
        <f t="shared" si="0"/>
        <v>-4019360.9100344833</v>
      </c>
      <c r="G11" s="230">
        <f t="shared" ref="G11:AA11" si="1">G9-G10</f>
        <v>-4956371.3358644117</v>
      </c>
      <c r="H11" s="230">
        <f t="shared" si="1"/>
        <v>-3627332.9902329296</v>
      </c>
      <c r="I11" s="230">
        <f t="shared" si="1"/>
        <v>-8292429.6377382651</v>
      </c>
      <c r="J11" s="230">
        <f t="shared" si="1"/>
        <v>-8788604.5287613198</v>
      </c>
      <c r="K11" s="230">
        <f t="shared" si="1"/>
        <v>-165546.67831777036</v>
      </c>
      <c r="L11" s="230">
        <f t="shared" si="1"/>
        <v>44816133.558907457</v>
      </c>
      <c r="M11" s="230">
        <f t="shared" si="1"/>
        <v>-9403921.2010760605</v>
      </c>
      <c r="N11" s="230">
        <f t="shared" si="1"/>
        <v>12634725.928580798</v>
      </c>
      <c r="O11" s="230">
        <f t="shared" si="1"/>
        <v>-3338101.607752528</v>
      </c>
      <c r="P11" s="230">
        <f t="shared" si="1"/>
        <v>-6855829.8498184308</v>
      </c>
      <c r="Q11" s="230">
        <f t="shared" si="1"/>
        <v>-9743902.5013850965</v>
      </c>
      <c r="R11" s="230">
        <f t="shared" si="1"/>
        <v>-21200096.119448081</v>
      </c>
      <c r="S11" s="230">
        <f t="shared" si="1"/>
        <v>3260965.850284636</v>
      </c>
      <c r="T11" s="230">
        <f t="shared" si="1"/>
        <v>-4636323.6690065563</v>
      </c>
      <c r="U11" s="230">
        <f t="shared" si="1"/>
        <v>-4186197.7175287791</v>
      </c>
      <c r="V11" s="230">
        <f t="shared" si="1"/>
        <v>-3492721.5200177021</v>
      </c>
      <c r="W11" s="230">
        <f t="shared" si="1"/>
        <v>6557916.5498705395</v>
      </c>
      <c r="X11" s="230">
        <f t="shared" si="1"/>
        <v>-16564512.364862796</v>
      </c>
      <c r="Y11" s="230">
        <f t="shared" si="1"/>
        <v>4112780.9656939302</v>
      </c>
      <c r="Z11" s="230">
        <f t="shared" si="1"/>
        <v>4679124.0452828221</v>
      </c>
      <c r="AA11" s="230">
        <f t="shared" si="1"/>
        <v>-2432751.2199999988</v>
      </c>
      <c r="AB11" s="1932">
        <f>AB9-AB10</f>
        <v>127462969.87644172</v>
      </c>
      <c r="AD11" s="221"/>
    </row>
    <row r="12" spans="1:31" s="223" customFormat="1" ht="30" customHeight="1" thickBot="1">
      <c r="A12" s="1937" t="s">
        <v>458</v>
      </c>
      <c r="B12" s="1946">
        <f>B11</f>
        <v>127000000</v>
      </c>
      <c r="C12" s="1948">
        <f>B12+C11</f>
        <v>133399316.91</v>
      </c>
      <c r="D12" s="1948">
        <f t="shared" ref="D12:F12" si="2">C12+D11</f>
        <v>145028065.88966668</v>
      </c>
      <c r="E12" s="1948">
        <f t="shared" si="2"/>
        <v>163105326.82966667</v>
      </c>
      <c r="F12" s="1948">
        <f t="shared" si="2"/>
        <v>159085965.9196322</v>
      </c>
      <c r="G12" s="1948">
        <f t="shared" ref="G12" si="3">F12+G11</f>
        <v>154129594.58376777</v>
      </c>
      <c r="H12" s="1948">
        <f t="shared" ref="H12" si="4">G12+H11</f>
        <v>150502261.59353483</v>
      </c>
      <c r="I12" s="1948">
        <f t="shared" ref="I12" si="5">H12+I11</f>
        <v>142209831.95579657</v>
      </c>
      <c r="J12" s="1948">
        <f t="shared" ref="J12" si="6">I12+J11</f>
        <v>133421227.42703524</v>
      </c>
      <c r="K12" s="1948">
        <f t="shared" ref="K12" si="7">J12+K11</f>
        <v>133255680.74871747</v>
      </c>
      <c r="L12" s="1948">
        <f t="shared" ref="L12" si="8">K12+L11</f>
        <v>178071814.30762494</v>
      </c>
      <c r="M12" s="1948">
        <f t="shared" ref="M12" si="9">L12+M11</f>
        <v>168667893.10654888</v>
      </c>
      <c r="N12" s="1948">
        <f t="shared" ref="N12" si="10">M12+N11</f>
        <v>181302619.03512967</v>
      </c>
      <c r="O12" s="1948">
        <f t="shared" ref="O12" si="11">N12+O11</f>
        <v>177964517.42737713</v>
      </c>
      <c r="P12" s="1948">
        <f t="shared" ref="P12" si="12">O12+P11</f>
        <v>171108687.5775587</v>
      </c>
      <c r="Q12" s="1948">
        <f t="shared" ref="Q12" si="13">P12+Q11</f>
        <v>161364785.0761736</v>
      </c>
      <c r="R12" s="1948">
        <f t="shared" ref="R12" si="14">Q12+R11</f>
        <v>140164688.95672554</v>
      </c>
      <c r="S12" s="1948">
        <f t="shared" ref="S12" si="15">R12+S11</f>
        <v>143425654.80701017</v>
      </c>
      <c r="T12" s="1948">
        <f t="shared" ref="T12" si="16">S12+T11</f>
        <v>138789331.13800362</v>
      </c>
      <c r="U12" s="1948">
        <f t="shared" ref="U12" si="17">T12+U11</f>
        <v>134603133.42047483</v>
      </c>
      <c r="V12" s="1948">
        <f t="shared" ref="V12" si="18">U12+V11</f>
        <v>131110411.90045713</v>
      </c>
      <c r="W12" s="1948">
        <f t="shared" ref="W12" si="19">V12+W11</f>
        <v>137668328.45032766</v>
      </c>
      <c r="X12" s="1948">
        <f t="shared" ref="X12" si="20">W12+X11</f>
        <v>121103816.08546486</v>
      </c>
      <c r="Y12" s="1948">
        <f t="shared" ref="Y12" si="21">X12+Y11</f>
        <v>125216597.0511588</v>
      </c>
      <c r="Z12" s="1948">
        <f t="shared" ref="Z12" si="22">Y12+Z11</f>
        <v>129895721.09644163</v>
      </c>
      <c r="AA12" s="1948">
        <f>Z12+AA11</f>
        <v>127462969.87644163</v>
      </c>
      <c r="AB12" s="1932">
        <f>AB11</f>
        <v>127462969.87644172</v>
      </c>
      <c r="AC12" s="2068">
        <f>AB12/AB9</f>
        <v>0.20187804271308157</v>
      </c>
      <c r="AD12" s="221"/>
    </row>
    <row r="13" spans="1:31" s="223" customFormat="1" ht="15">
      <c r="A13" s="218"/>
      <c r="B13" s="1991"/>
      <c r="C13" s="2104"/>
      <c r="D13" s="219"/>
      <c r="E13" s="2105"/>
      <c r="F13" s="219"/>
      <c r="G13" s="219"/>
      <c r="H13" s="219"/>
      <c r="I13" s="219"/>
      <c r="J13" s="219"/>
      <c r="K13" s="219"/>
      <c r="L13" s="219"/>
      <c r="M13" s="219"/>
      <c r="N13" s="219"/>
      <c r="O13" s="219"/>
      <c r="P13" s="219"/>
      <c r="Q13" s="219"/>
      <c r="R13" s="219"/>
      <c r="S13" s="219"/>
      <c r="T13" s="219"/>
      <c r="U13" s="219"/>
      <c r="V13" s="219"/>
      <c r="W13" s="219"/>
      <c r="X13" s="219"/>
      <c r="Y13" s="219"/>
      <c r="Z13" s="219"/>
      <c r="AA13" s="219"/>
    </row>
    <row r="14" spans="1:31" s="224" customFormat="1" ht="36" customHeight="1">
      <c r="B14" s="1932"/>
      <c r="C14" s="226" t="s">
        <v>85</v>
      </c>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row>
    <row r="15" spans="1:31" s="224" customFormat="1">
      <c r="B15" s="225"/>
      <c r="C15" s="227"/>
      <c r="D15" s="227"/>
      <c r="E15" s="227"/>
      <c r="F15" s="227"/>
      <c r="G15" s="227"/>
      <c r="H15" s="227"/>
      <c r="I15" s="227"/>
      <c r="J15" s="227"/>
      <c r="K15" s="227"/>
      <c r="L15" s="227"/>
      <c r="M15" s="227"/>
      <c r="N15" s="227"/>
      <c r="O15" s="227"/>
      <c r="P15" s="227"/>
      <c r="Q15" s="227"/>
      <c r="R15" s="227"/>
      <c r="S15" s="227"/>
      <c r="T15" s="227"/>
      <c r="U15" s="227"/>
      <c r="V15" s="227"/>
      <c r="W15" s="227"/>
      <c r="X15" s="227"/>
      <c r="Y15" s="227"/>
      <c r="Z15" s="227"/>
      <c r="AA15" s="227"/>
    </row>
    <row r="16" spans="1:31" s="223" customFormat="1" ht="13.25" customHeight="1">
      <c r="A16" s="207"/>
      <c r="B16" s="205"/>
      <c r="C16" s="206"/>
      <c r="D16" s="206"/>
      <c r="E16" s="206"/>
      <c r="F16" s="206"/>
      <c r="G16" s="206"/>
      <c r="H16" s="206"/>
      <c r="I16" s="206"/>
      <c r="J16" s="206"/>
      <c r="K16" s="206"/>
      <c r="L16" s="206"/>
      <c r="M16" s="206"/>
      <c r="N16" s="206"/>
      <c r="O16" s="206"/>
      <c r="P16" s="206"/>
      <c r="Q16" s="206"/>
      <c r="R16" s="206"/>
      <c r="S16" s="206"/>
      <c r="T16" s="206"/>
      <c r="U16" s="206"/>
      <c r="V16" s="206"/>
      <c r="W16" s="206"/>
      <c r="X16" s="206"/>
      <c r="Y16" s="206"/>
      <c r="Z16" s="206"/>
      <c r="AA16" s="206"/>
      <c r="AB16" s="207"/>
      <c r="AC16" s="207"/>
      <c r="AD16" s="207"/>
      <c r="AE16" s="207"/>
    </row>
    <row r="18" spans="30:30">
      <c r="AD18" s="205"/>
    </row>
    <row r="23" spans="30:30">
      <c r="AD23" s="215"/>
    </row>
  </sheetData>
  <mergeCells count="3">
    <mergeCell ref="B5:B6"/>
    <mergeCell ref="C5:Z6"/>
    <mergeCell ref="AA5:AA6"/>
  </mergeCells>
  <phoneticPr fontId="146" type="noConversion"/>
  <conditionalFormatting sqref="B7:AA7">
    <cfRule type="cellIs" dxfId="1" priority="1" stopIfTrue="1" operator="equal">
      <formula>"plan"</formula>
    </cfRule>
  </conditionalFormatting>
  <pageMargins left="0.7" right="0.7" top="0.75" bottom="0.75" header="0.3" footer="0.3"/>
  <pageSetup paperSize="9" scale="43"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434D3-BCBC-467B-ADFA-66949FFDA08E}">
  <dimension ref="A1:AK19"/>
  <sheetViews>
    <sheetView topLeftCell="U1" workbookViewId="0">
      <selection activeCell="R29" sqref="R29"/>
    </sheetView>
  </sheetViews>
  <sheetFormatPr defaultRowHeight="13.5"/>
  <cols>
    <col min="1" max="1" width="16.1875" bestFit="1" customWidth="1"/>
    <col min="2" max="4" width="13" bestFit="1" customWidth="1"/>
    <col min="5" max="5" width="12.375" bestFit="1" customWidth="1"/>
    <col min="6" max="6" width="11.375" bestFit="1" customWidth="1"/>
    <col min="7" max="7" width="13" bestFit="1" customWidth="1"/>
    <col min="8" max="9" width="11.375" bestFit="1" customWidth="1"/>
    <col min="10" max="10" width="13" bestFit="1" customWidth="1"/>
    <col min="11" max="11" width="14" bestFit="1" customWidth="1"/>
    <col min="12" max="12" width="13" bestFit="1" customWidth="1"/>
    <col min="13" max="13" width="14" bestFit="1" customWidth="1"/>
    <col min="14" max="14" width="13" bestFit="1" customWidth="1"/>
    <col min="15" max="17" width="12.375" bestFit="1" customWidth="1"/>
    <col min="18" max="20" width="13.125" bestFit="1" customWidth="1"/>
    <col min="21" max="21" width="12.375" bestFit="1" customWidth="1"/>
    <col min="22" max="22" width="13.125" bestFit="1" customWidth="1"/>
    <col min="23" max="27" width="12.375" bestFit="1" customWidth="1"/>
    <col min="28" max="28" width="11.375" bestFit="1" customWidth="1"/>
    <col min="29" max="31" width="12.375" bestFit="1" customWidth="1"/>
    <col min="32" max="34" width="6" bestFit="1" customWidth="1"/>
    <col min="35" max="35" width="13.5" bestFit="1" customWidth="1"/>
    <col min="36" max="36" width="11.375" bestFit="1" customWidth="1"/>
    <col min="37" max="37" width="4.875" bestFit="1" customWidth="1"/>
  </cols>
  <sheetData>
    <row r="1" spans="1:37">
      <c r="A1" s="2000">
        <v>631386000</v>
      </c>
    </row>
    <row r="2" spans="1:37" s="2705" customFormat="1" ht="14.25">
      <c r="B2" s="2706">
        <v>45992</v>
      </c>
      <c r="C2" s="2706">
        <v>46023</v>
      </c>
      <c r="D2" s="2706">
        <v>46054</v>
      </c>
      <c r="E2" s="2706">
        <v>46082</v>
      </c>
      <c r="F2" s="2706">
        <v>46113</v>
      </c>
      <c r="G2" s="2706">
        <v>46143</v>
      </c>
      <c r="H2" s="2706">
        <v>46174</v>
      </c>
      <c r="I2" s="2706">
        <v>46204</v>
      </c>
      <c r="J2" s="2706">
        <v>46235</v>
      </c>
      <c r="K2" s="2706">
        <v>46266</v>
      </c>
      <c r="L2" s="2706">
        <v>46296</v>
      </c>
      <c r="M2" s="2706">
        <v>46327</v>
      </c>
      <c r="N2" s="2706">
        <v>46357</v>
      </c>
      <c r="O2" s="2706">
        <v>46388</v>
      </c>
      <c r="P2" s="2706">
        <v>46419</v>
      </c>
      <c r="Q2" s="2706">
        <v>46447</v>
      </c>
      <c r="R2" s="2706">
        <v>46478</v>
      </c>
      <c r="S2" s="2706">
        <v>46508</v>
      </c>
      <c r="T2" s="2706">
        <v>46539</v>
      </c>
      <c r="U2" s="2706">
        <v>46569</v>
      </c>
      <c r="V2" s="2706">
        <v>46600</v>
      </c>
      <c r="W2" s="2706">
        <v>46631</v>
      </c>
      <c r="X2" s="2706">
        <v>46661</v>
      </c>
      <c r="Y2" s="2706">
        <v>46692</v>
      </c>
      <c r="Z2" s="2706">
        <v>46722</v>
      </c>
      <c r="AA2" s="2706">
        <v>46753</v>
      </c>
      <c r="AB2" s="2706">
        <v>46784</v>
      </c>
      <c r="AC2" s="2706">
        <v>46813</v>
      </c>
      <c r="AD2" s="2706">
        <v>46844</v>
      </c>
      <c r="AE2" s="2706">
        <v>46874</v>
      </c>
      <c r="AF2" s="2706">
        <v>46905</v>
      </c>
      <c r="AG2" s="2706">
        <v>46935</v>
      </c>
      <c r="AH2" s="2706">
        <v>46966</v>
      </c>
      <c r="AI2" s="2706">
        <v>46997</v>
      </c>
      <c r="AJ2" s="2706">
        <v>47027</v>
      </c>
      <c r="AK2" s="2706">
        <v>47058</v>
      </c>
    </row>
    <row r="3" spans="1:37" s="2707" customFormat="1">
      <c r="B3" s="2707">
        <v>0.02</v>
      </c>
      <c r="C3" s="2707">
        <v>0.02</v>
      </c>
      <c r="D3" s="2707">
        <v>3.9000000000000007E-2</v>
      </c>
      <c r="E3" s="2707">
        <v>5.0000000000000001E-3</v>
      </c>
      <c r="F3" s="2707">
        <v>5.0000000000000001E-3</v>
      </c>
      <c r="G3" s="2707">
        <v>0.01</v>
      </c>
      <c r="H3" s="2707">
        <v>5.0000000000000001E-3</v>
      </c>
      <c r="I3" s="2707">
        <v>5.0000000000000001E-3</v>
      </c>
      <c r="J3" s="2707">
        <v>0.02</v>
      </c>
      <c r="K3" s="2707">
        <v>0.1</v>
      </c>
      <c r="L3" s="2707">
        <v>0.02</v>
      </c>
      <c r="M3" s="2707">
        <v>4.8999999999999995E-2</v>
      </c>
      <c r="N3" s="2707">
        <v>0.04</v>
      </c>
      <c r="O3" s="2707">
        <v>4.9000000000000002E-2</v>
      </c>
      <c r="P3" s="2707">
        <v>5.2000000000000005E-2</v>
      </c>
      <c r="Q3" s="2707">
        <v>0.04</v>
      </c>
      <c r="R3" s="2707">
        <v>8.5000000000000006E-2</v>
      </c>
      <c r="S3" s="2707">
        <v>7.0000000000000007E-2</v>
      </c>
      <c r="T3" s="2707">
        <v>5.9000000000000004E-2</v>
      </c>
      <c r="U3" s="2707">
        <v>5.1999999999999998E-2</v>
      </c>
      <c r="V3" s="2707">
        <v>6.1000000000000006E-2</v>
      </c>
      <c r="W3" s="2707">
        <v>0.02</v>
      </c>
      <c r="X3" s="2707">
        <v>0.04</v>
      </c>
      <c r="Y3" s="2707">
        <v>3.6000000000000004E-2</v>
      </c>
      <c r="Z3" s="2707">
        <v>1.2999999999999999E-2</v>
      </c>
      <c r="AA3" s="2707">
        <v>0.02</v>
      </c>
      <c r="AB3" s="2707">
        <v>2E-3</v>
      </c>
      <c r="AC3" s="2707">
        <v>3.3000000000000002E-2</v>
      </c>
      <c r="AD3" s="2707">
        <v>0.02</v>
      </c>
      <c r="AE3" s="2707">
        <v>0</v>
      </c>
      <c r="AF3" s="2707">
        <v>0</v>
      </c>
      <c r="AG3" s="2707">
        <v>0</v>
      </c>
      <c r="AH3" s="2707">
        <v>0</v>
      </c>
      <c r="AI3" s="2707">
        <v>0.01</v>
      </c>
    </row>
    <row r="4" spans="1:37">
      <c r="A4" t="s">
        <v>1184</v>
      </c>
      <c r="B4" s="2000">
        <v>12627720</v>
      </c>
      <c r="C4" s="2000">
        <v>12627720</v>
      </c>
      <c r="D4" s="2000">
        <v>24624054.000000004</v>
      </c>
      <c r="E4" s="2000">
        <v>3156930</v>
      </c>
      <c r="F4" s="2000">
        <v>3156930</v>
      </c>
      <c r="G4" s="2000">
        <v>6313860</v>
      </c>
      <c r="H4" s="2000">
        <v>3156930</v>
      </c>
      <c r="I4" s="2000">
        <v>3156930</v>
      </c>
      <c r="J4" s="2000">
        <v>12627720</v>
      </c>
      <c r="K4" s="2000">
        <v>63138600</v>
      </c>
      <c r="L4" s="2000">
        <v>12627720</v>
      </c>
      <c r="M4" s="2000">
        <v>30937913.999999996</v>
      </c>
      <c r="N4" s="2000">
        <v>25255440</v>
      </c>
      <c r="O4" s="2000">
        <v>30937914</v>
      </c>
      <c r="P4" s="2000">
        <v>32832072.000000004</v>
      </c>
      <c r="Q4" s="2000">
        <v>25255440</v>
      </c>
      <c r="R4" s="2000">
        <v>53667810.000000007</v>
      </c>
      <c r="S4" s="2000">
        <v>44197020.000000007</v>
      </c>
      <c r="T4" s="2000">
        <v>37251774</v>
      </c>
      <c r="U4" s="2000">
        <v>32832072</v>
      </c>
      <c r="V4" s="2000">
        <v>38514546</v>
      </c>
      <c r="W4" s="2000">
        <v>12627720</v>
      </c>
      <c r="X4" s="2000">
        <v>25255440</v>
      </c>
      <c r="Y4" s="2000">
        <v>22729896.000000004</v>
      </c>
      <c r="Z4" s="2000">
        <v>8208018</v>
      </c>
      <c r="AA4" s="2000">
        <v>12627720</v>
      </c>
      <c r="AB4" s="2000">
        <v>1262772</v>
      </c>
      <c r="AC4" s="2000">
        <v>20835738</v>
      </c>
      <c r="AD4" s="2000">
        <v>12627720</v>
      </c>
      <c r="AE4" s="2000">
        <v>0</v>
      </c>
      <c r="AF4" s="2000">
        <v>0</v>
      </c>
      <c r="AG4" s="2000">
        <v>0</v>
      </c>
      <c r="AH4" s="2000">
        <v>0</v>
      </c>
      <c r="AI4" s="2000">
        <v>6313860</v>
      </c>
    </row>
    <row r="5" spans="1:37">
      <c r="A5" t="s">
        <v>1185</v>
      </c>
      <c r="B5" s="2708">
        <v>2983090.4065578417</v>
      </c>
      <c r="C5" s="2708">
        <v>2983090.4065578417</v>
      </c>
      <c r="D5" s="2708">
        <v>5817026.2927877922</v>
      </c>
      <c r="E5" s="2708">
        <v>745772.60163946042</v>
      </c>
      <c r="F5" s="2708">
        <v>745772.60163946042</v>
      </c>
      <c r="G5" s="2708">
        <v>1491545.2032789208</v>
      </c>
      <c r="H5" s="2708">
        <v>745772.60163946042</v>
      </c>
      <c r="I5" s="2708">
        <v>745772.60163946042</v>
      </c>
      <c r="J5" s="2708">
        <v>2983090.4065578417</v>
      </c>
      <c r="K5" s="2708">
        <v>14915452.032789208</v>
      </c>
      <c r="L5" s="2708">
        <v>2983090.4065578417</v>
      </c>
      <c r="M5" s="2708">
        <v>7308571.4960667109</v>
      </c>
      <c r="N5" s="2708">
        <v>1751952.9422881529</v>
      </c>
      <c r="O5" s="2708">
        <v>0</v>
      </c>
      <c r="P5" s="2708">
        <v>0</v>
      </c>
      <c r="Q5" s="2708"/>
      <c r="R5" s="2708"/>
      <c r="S5" s="2708"/>
      <c r="T5" s="2708"/>
      <c r="U5" s="2708"/>
      <c r="V5" s="2708"/>
      <c r="W5" s="2708"/>
      <c r="X5" s="2708"/>
      <c r="Y5" s="2708"/>
      <c r="Z5" s="2708"/>
      <c r="AA5" s="2708"/>
      <c r="AB5" s="2708"/>
      <c r="AC5" s="2708"/>
      <c r="AD5" s="2708"/>
      <c r="AE5" s="2708"/>
      <c r="AF5" s="2708"/>
      <c r="AG5" s="2708"/>
      <c r="AH5" s="2708"/>
      <c r="AI5" s="2708"/>
    </row>
    <row r="6" spans="1:37">
      <c r="A6" t="s">
        <v>1186</v>
      </c>
      <c r="B6" s="2000">
        <v>0</v>
      </c>
      <c r="C6" s="2000">
        <v>0</v>
      </c>
      <c r="D6" s="2000">
        <v>0</v>
      </c>
      <c r="E6" s="2000">
        <v>0</v>
      </c>
      <c r="F6" s="2000">
        <v>0</v>
      </c>
      <c r="G6" s="2000">
        <v>0</v>
      </c>
      <c r="H6" s="2000">
        <v>0</v>
      </c>
      <c r="I6" s="2000">
        <v>0</v>
      </c>
      <c r="J6" s="2000">
        <v>0</v>
      </c>
      <c r="K6" s="2000">
        <v>0</v>
      </c>
      <c r="L6" s="2000">
        <v>0</v>
      </c>
      <c r="M6" s="2000">
        <v>0</v>
      </c>
      <c r="N6" s="2000">
        <v>-7620000</v>
      </c>
      <c r="O6" s="2000">
        <v>-9334500.0000000019</v>
      </c>
      <c r="P6" s="2000">
        <v>-9906000.0000000019</v>
      </c>
      <c r="Q6" s="2000">
        <v>-7620000</v>
      </c>
      <c r="R6" s="2000">
        <v>-16192500</v>
      </c>
      <c r="S6" s="2000">
        <v>-13335000.000000002</v>
      </c>
      <c r="T6" s="2000">
        <v>-11239500.000000002</v>
      </c>
      <c r="U6" s="2000">
        <v>-9906000</v>
      </c>
      <c r="V6" s="2000">
        <v>-11620500.000000002</v>
      </c>
      <c r="W6" s="2000">
        <v>-3810000</v>
      </c>
      <c r="X6" s="2000">
        <v>-7620000</v>
      </c>
      <c r="Y6" s="2000">
        <v>-6858000.0000000009</v>
      </c>
      <c r="Z6" s="2000">
        <v>-2476500</v>
      </c>
      <c r="AA6" s="2000">
        <v>-3810000</v>
      </c>
      <c r="AB6" s="2000">
        <v>-381000</v>
      </c>
      <c r="AC6" s="2000">
        <v>-5270500</v>
      </c>
      <c r="AD6" s="2000">
        <v>0</v>
      </c>
      <c r="AE6" s="2000">
        <v>0</v>
      </c>
      <c r="AF6" s="2000">
        <v>0</v>
      </c>
      <c r="AG6" s="2000">
        <v>0</v>
      </c>
      <c r="AH6" s="2000">
        <v>0</v>
      </c>
      <c r="AI6" s="2000">
        <v>0</v>
      </c>
    </row>
    <row r="8" spans="1:37">
      <c r="A8" t="s">
        <v>1214</v>
      </c>
      <c r="B8" s="2000">
        <f>B4+B6</f>
        <v>12627720</v>
      </c>
      <c r="C8" s="2000">
        <f t="shared" ref="C8:AI8" si="0">C4+C6</f>
        <v>12627720</v>
      </c>
      <c r="D8" s="2000">
        <f t="shared" si="0"/>
        <v>24624054.000000004</v>
      </c>
      <c r="E8" s="2000">
        <f t="shared" si="0"/>
        <v>3156930</v>
      </c>
      <c r="F8" s="2000">
        <f t="shared" si="0"/>
        <v>3156930</v>
      </c>
      <c r="G8" s="2000">
        <f t="shared" si="0"/>
        <v>6313860</v>
      </c>
      <c r="H8" s="2000">
        <f t="shared" si="0"/>
        <v>3156930</v>
      </c>
      <c r="I8" s="2000">
        <f t="shared" si="0"/>
        <v>3156930</v>
      </c>
      <c r="J8" s="2000">
        <f t="shared" si="0"/>
        <v>12627720</v>
      </c>
      <c r="K8" s="2000">
        <f t="shared" si="0"/>
        <v>63138600</v>
      </c>
      <c r="L8" s="2000">
        <f t="shared" si="0"/>
        <v>12627720</v>
      </c>
      <c r="M8" s="2000">
        <f t="shared" si="0"/>
        <v>30937913.999999996</v>
      </c>
      <c r="N8" s="2000">
        <f t="shared" si="0"/>
        <v>17635440</v>
      </c>
      <c r="O8" s="2000">
        <f t="shared" si="0"/>
        <v>21603414</v>
      </c>
      <c r="P8" s="2000">
        <f t="shared" si="0"/>
        <v>22926072</v>
      </c>
      <c r="Q8" s="2000">
        <f t="shared" si="0"/>
        <v>17635440</v>
      </c>
      <c r="R8" s="2000">
        <f t="shared" si="0"/>
        <v>37475310.000000007</v>
      </c>
      <c r="S8" s="2000">
        <f t="shared" si="0"/>
        <v>30862020.000000007</v>
      </c>
      <c r="T8" s="2000">
        <f t="shared" si="0"/>
        <v>26012274</v>
      </c>
      <c r="U8" s="2000">
        <f t="shared" si="0"/>
        <v>22926072</v>
      </c>
      <c r="V8" s="2000">
        <f t="shared" si="0"/>
        <v>26894046</v>
      </c>
      <c r="W8" s="2000">
        <f t="shared" si="0"/>
        <v>8817720</v>
      </c>
      <c r="X8" s="2000">
        <f t="shared" si="0"/>
        <v>17635440</v>
      </c>
      <c r="Y8" s="2000">
        <f t="shared" si="0"/>
        <v>15871896.000000004</v>
      </c>
      <c r="Z8" s="2000">
        <f t="shared" si="0"/>
        <v>5731518</v>
      </c>
      <c r="AA8" s="2000">
        <f t="shared" si="0"/>
        <v>8817720</v>
      </c>
      <c r="AB8" s="2000">
        <f t="shared" si="0"/>
        <v>881772</v>
      </c>
      <c r="AC8" s="2000">
        <f t="shared" si="0"/>
        <v>15565238</v>
      </c>
      <c r="AD8" s="2000">
        <f t="shared" si="0"/>
        <v>12627720</v>
      </c>
      <c r="AE8" s="2000">
        <f t="shared" si="0"/>
        <v>0</v>
      </c>
      <c r="AF8" s="2000">
        <f t="shared" si="0"/>
        <v>0</v>
      </c>
      <c r="AG8" s="2000">
        <f t="shared" si="0"/>
        <v>0</v>
      </c>
      <c r="AH8" s="2000">
        <f t="shared" si="0"/>
        <v>0</v>
      </c>
      <c r="AI8" s="2000">
        <f t="shared" si="0"/>
        <v>6313860</v>
      </c>
    </row>
    <row r="10" spans="1:37">
      <c r="A10" t="s">
        <v>1215</v>
      </c>
      <c r="B10" s="2000"/>
      <c r="C10" s="2000">
        <f>B8</f>
        <v>12627720</v>
      </c>
      <c r="D10" s="2000">
        <f>C8</f>
        <v>12627720</v>
      </c>
      <c r="E10" s="2000">
        <f>D8</f>
        <v>24624054.000000004</v>
      </c>
      <c r="F10" s="2000">
        <f t="shared" ref="F10:AJ10" si="1">E8</f>
        <v>3156930</v>
      </c>
      <c r="G10" s="2000">
        <f t="shared" si="1"/>
        <v>3156930</v>
      </c>
      <c r="H10" s="2000">
        <f t="shared" si="1"/>
        <v>6313860</v>
      </c>
      <c r="I10" s="2000">
        <f t="shared" si="1"/>
        <v>3156930</v>
      </c>
      <c r="J10" s="2000">
        <f t="shared" si="1"/>
        <v>3156930</v>
      </c>
      <c r="K10" s="2000">
        <f t="shared" si="1"/>
        <v>12627720</v>
      </c>
      <c r="L10" s="2000">
        <f t="shared" si="1"/>
        <v>63138600</v>
      </c>
      <c r="M10" s="2000">
        <f t="shared" si="1"/>
        <v>12627720</v>
      </c>
      <c r="N10" s="2000">
        <f t="shared" si="1"/>
        <v>30937913.999999996</v>
      </c>
      <c r="O10" s="2000">
        <f t="shared" si="1"/>
        <v>17635440</v>
      </c>
      <c r="P10" s="2000">
        <f t="shared" si="1"/>
        <v>21603414</v>
      </c>
      <c r="Q10" s="2000">
        <f t="shared" si="1"/>
        <v>22926072</v>
      </c>
      <c r="R10" s="2000">
        <f t="shared" si="1"/>
        <v>17635440</v>
      </c>
      <c r="S10" s="2000">
        <f t="shared" si="1"/>
        <v>37475310.000000007</v>
      </c>
      <c r="T10" s="2000">
        <f t="shared" si="1"/>
        <v>30862020.000000007</v>
      </c>
      <c r="U10" s="2000">
        <f t="shared" si="1"/>
        <v>26012274</v>
      </c>
      <c r="V10" s="2000">
        <f t="shared" si="1"/>
        <v>22926072</v>
      </c>
      <c r="W10" s="2000">
        <f t="shared" si="1"/>
        <v>26894046</v>
      </c>
      <c r="X10" s="2000">
        <f t="shared" si="1"/>
        <v>8817720</v>
      </c>
      <c r="Y10" s="2000">
        <f t="shared" si="1"/>
        <v>17635440</v>
      </c>
      <c r="Z10" s="2000">
        <f t="shared" si="1"/>
        <v>15871896.000000004</v>
      </c>
      <c r="AA10" s="2000">
        <f t="shared" si="1"/>
        <v>5731518</v>
      </c>
      <c r="AB10" s="2000">
        <f t="shared" si="1"/>
        <v>8817720</v>
      </c>
      <c r="AC10" s="2000">
        <f t="shared" si="1"/>
        <v>881772</v>
      </c>
      <c r="AD10" s="2000">
        <f t="shared" si="1"/>
        <v>15565238</v>
      </c>
      <c r="AE10" s="2000">
        <f t="shared" si="1"/>
        <v>12627720</v>
      </c>
      <c r="AF10" s="2000">
        <f t="shared" si="1"/>
        <v>0</v>
      </c>
      <c r="AG10" s="2000">
        <f t="shared" si="1"/>
        <v>0</v>
      </c>
      <c r="AH10" s="2000">
        <f t="shared" si="1"/>
        <v>0</v>
      </c>
      <c r="AI10" s="2000">
        <f t="shared" si="1"/>
        <v>0</v>
      </c>
      <c r="AJ10" s="2000">
        <f t="shared" si="1"/>
        <v>6313860</v>
      </c>
    </row>
    <row r="13" spans="1:37">
      <c r="AI13" s="2000">
        <f>SUM(B8:AI8)</f>
        <v>504386000</v>
      </c>
    </row>
    <row r="14" spans="1:37">
      <c r="M14" s="2708"/>
      <c r="N14" s="2708"/>
      <c r="AI14" s="2000">
        <f>AI13+127000000</f>
        <v>631386000</v>
      </c>
    </row>
    <row r="19" spans="34:35">
      <c r="AH19">
        <v>2028</v>
      </c>
      <c r="AI19" s="2000">
        <f>SUM(AA10:AJ10)</f>
        <v>49937828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FEE62-577D-4430-98A5-A8884720EBAF}">
  <dimension ref="A1:V23"/>
  <sheetViews>
    <sheetView zoomScaleNormal="100" workbookViewId="0">
      <selection activeCell="B12" sqref="B12:R12"/>
    </sheetView>
  </sheetViews>
  <sheetFormatPr defaultColWidth="8.1875" defaultRowHeight="12.75"/>
  <cols>
    <col min="1" max="1" width="29.375" style="207" customWidth="1"/>
    <col min="2" max="2" width="18.5" style="205" customWidth="1"/>
    <col min="3" max="3" width="11.875" style="206" bestFit="1" customWidth="1"/>
    <col min="4" max="4" width="12" style="206" bestFit="1" customWidth="1"/>
    <col min="5" max="5" width="10.125" style="206" bestFit="1" customWidth="1"/>
    <col min="6" max="6" width="10.6875" style="206" bestFit="1" customWidth="1"/>
    <col min="7" max="7" width="9.6875" style="206" customWidth="1"/>
    <col min="8" max="8" width="11.125" style="206" customWidth="1"/>
    <col min="9" max="11" width="9.6875" style="206" customWidth="1"/>
    <col min="12" max="12" width="9.5" style="206" bestFit="1" customWidth="1"/>
    <col min="13" max="13" width="12.375" style="206" bestFit="1" customWidth="1"/>
    <col min="14" max="14" width="10.125" style="206" bestFit="1" customWidth="1"/>
    <col min="15" max="15" width="11.875" style="206" bestFit="1" customWidth="1"/>
    <col min="16" max="16" width="12" style="206" bestFit="1" customWidth="1"/>
    <col min="17" max="18" width="9.6875" style="206" customWidth="1"/>
    <col min="19" max="19" width="13.5" style="207" bestFit="1" customWidth="1"/>
    <col min="20" max="20" width="8.1875" style="207"/>
    <col min="21" max="21" width="13.875" style="207" customWidth="1"/>
    <col min="22" max="16384" width="8.1875" style="207"/>
  </cols>
  <sheetData>
    <row r="1" spans="1:22" ht="17.649999999999999">
      <c r="A1" s="204" t="s">
        <v>209</v>
      </c>
      <c r="B1" s="205" t="s">
        <v>210</v>
      </c>
    </row>
    <row r="2" spans="1:22">
      <c r="C2" s="205"/>
      <c r="D2" s="205"/>
      <c r="E2" s="205"/>
      <c r="F2" s="205"/>
      <c r="G2" s="205"/>
      <c r="H2" s="205"/>
      <c r="I2" s="205"/>
      <c r="J2" s="205"/>
      <c r="K2" s="205"/>
      <c r="L2" s="205"/>
      <c r="M2" s="205"/>
      <c r="N2" s="205"/>
      <c r="O2" s="205"/>
      <c r="P2" s="205"/>
      <c r="Q2" s="205"/>
      <c r="R2" s="205"/>
    </row>
    <row r="3" spans="1:22" s="212" customFormat="1" ht="16.5">
      <c r="A3" s="208" t="s">
        <v>211</v>
      </c>
      <c r="B3" s="209" t="s">
        <v>441</v>
      </c>
      <c r="C3" s="210"/>
      <c r="D3" s="210"/>
      <c r="E3" s="211"/>
      <c r="F3" s="211"/>
      <c r="G3" s="211"/>
      <c r="H3" s="211"/>
      <c r="I3" s="211"/>
      <c r="J3" s="211"/>
      <c r="K3" s="211"/>
      <c r="L3" s="211"/>
      <c r="M3" s="211"/>
      <c r="N3" s="211"/>
      <c r="O3" s="211"/>
      <c r="P3" s="210"/>
      <c r="Q3" s="210"/>
      <c r="R3" s="210"/>
    </row>
    <row r="4" spans="1:22" ht="18" thickBot="1">
      <c r="A4" s="213"/>
      <c r="B4" s="1931">
        <v>1000</v>
      </c>
    </row>
    <row r="5" spans="1:22" s="214" customFormat="1" ht="15" customHeight="1">
      <c r="A5" s="207"/>
      <c r="B5" s="2955" t="s">
        <v>486</v>
      </c>
      <c r="C5" s="2957"/>
      <c r="D5" s="2961"/>
      <c r="E5" s="2963">
        <v>2025</v>
      </c>
      <c r="F5" s="2957"/>
      <c r="G5" s="2957"/>
      <c r="H5" s="2957"/>
      <c r="I5" s="2957"/>
      <c r="J5" s="2957"/>
      <c r="K5" s="2957"/>
      <c r="L5" s="2957"/>
      <c r="M5" s="2957"/>
      <c r="N5" s="2957"/>
      <c r="O5" s="2957"/>
      <c r="P5" s="2961"/>
      <c r="Q5" s="2959">
        <v>2026</v>
      </c>
      <c r="R5" s="2965">
        <v>2027</v>
      </c>
    </row>
    <row r="6" spans="1:22" s="214" customFormat="1" ht="15" customHeight="1" thickBot="1">
      <c r="A6" s="207"/>
      <c r="B6" s="2956"/>
      <c r="C6" s="2958"/>
      <c r="D6" s="2962"/>
      <c r="E6" s="2964"/>
      <c r="F6" s="2958"/>
      <c r="G6" s="2958"/>
      <c r="H6" s="2958"/>
      <c r="I6" s="2958"/>
      <c r="J6" s="2958"/>
      <c r="K6" s="2958"/>
      <c r="L6" s="2958"/>
      <c r="M6" s="2958"/>
      <c r="N6" s="2958"/>
      <c r="O6" s="2958"/>
      <c r="P6" s="2962"/>
      <c r="Q6" s="2960"/>
      <c r="R6" s="2966"/>
    </row>
    <row r="7" spans="1:22" s="214" customFormat="1" ht="36" customHeight="1" thickBot="1">
      <c r="A7" s="215"/>
      <c r="B7" s="1938" t="s">
        <v>487</v>
      </c>
      <c r="C7" s="1940" t="s">
        <v>15</v>
      </c>
      <c r="D7" s="1941" t="s">
        <v>15</v>
      </c>
      <c r="E7" s="1939" t="s">
        <v>15</v>
      </c>
      <c r="F7" s="1940" t="s">
        <v>15</v>
      </c>
      <c r="G7" s="1940" t="s">
        <v>15</v>
      </c>
      <c r="H7" s="1940" t="s">
        <v>15</v>
      </c>
      <c r="I7" s="1940" t="s">
        <v>15</v>
      </c>
      <c r="J7" s="1940" t="s">
        <v>15</v>
      </c>
      <c r="K7" s="1940" t="s">
        <v>15</v>
      </c>
      <c r="L7" s="1940" t="s">
        <v>15</v>
      </c>
      <c r="M7" s="1940" t="s">
        <v>15</v>
      </c>
      <c r="N7" s="1940" t="s">
        <v>15</v>
      </c>
      <c r="O7" s="1940" t="s">
        <v>15</v>
      </c>
      <c r="P7" s="1941" t="s">
        <v>15</v>
      </c>
      <c r="Q7" s="1949" t="s">
        <v>15</v>
      </c>
      <c r="R7" s="1950" t="s">
        <v>15</v>
      </c>
    </row>
    <row r="8" spans="1:22" s="217" customFormat="1" ht="23.45" customHeight="1" thickBot="1">
      <c r="A8" s="216"/>
      <c r="B8" s="1942" t="s">
        <v>459</v>
      </c>
      <c r="C8" s="1990" t="s">
        <v>460</v>
      </c>
      <c r="D8" s="1990" t="s">
        <v>461</v>
      </c>
      <c r="E8" s="1990" t="s">
        <v>462</v>
      </c>
      <c r="F8" s="1990" t="s">
        <v>463</v>
      </c>
      <c r="G8" s="1990" t="s">
        <v>464</v>
      </c>
      <c r="H8" s="1990" t="s">
        <v>465</v>
      </c>
      <c r="I8" s="1990" t="s">
        <v>466</v>
      </c>
      <c r="J8" s="1990" t="s">
        <v>467</v>
      </c>
      <c r="K8" s="1990" t="s">
        <v>468</v>
      </c>
      <c r="L8" s="1990" t="s">
        <v>469</v>
      </c>
      <c r="M8" s="1990" t="s">
        <v>470</v>
      </c>
      <c r="N8" s="1990" t="s">
        <v>471</v>
      </c>
      <c r="O8" s="1943" t="s">
        <v>472</v>
      </c>
      <c r="P8" s="1944" t="s">
        <v>473</v>
      </c>
      <c r="Q8" s="1981" t="s">
        <v>445</v>
      </c>
      <c r="R8" s="1982" t="s">
        <v>446</v>
      </c>
      <c r="S8" s="1933" t="s">
        <v>249</v>
      </c>
    </row>
    <row r="9" spans="1:22" s="220" customFormat="1" ht="30" customHeight="1">
      <c r="A9" s="1935" t="s">
        <v>455</v>
      </c>
      <c r="B9" s="1945">
        <f>'arkusz pomocniczy'!T8</f>
        <v>84570350</v>
      </c>
      <c r="C9" s="1953"/>
      <c r="D9" s="1954">
        <v>8220350</v>
      </c>
      <c r="E9" s="1952">
        <v>12330525</v>
      </c>
      <c r="F9" s="1953">
        <v>12330525</v>
      </c>
      <c r="G9" s="1953">
        <v>26716137.5</v>
      </c>
      <c r="H9" s="1953"/>
      <c r="I9" s="1953">
        <v>14385612.5</v>
      </c>
      <c r="J9" s="1953">
        <v>28771225</v>
      </c>
      <c r="K9" s="1953">
        <v>28771225</v>
      </c>
      <c r="L9" s="1953">
        <v>16440700</v>
      </c>
      <c r="M9" s="1953">
        <v>49322100</v>
      </c>
      <c r="N9" s="1953">
        <v>16440700</v>
      </c>
      <c r="O9" s="1953">
        <v>12330525</v>
      </c>
      <c r="P9" s="1954">
        <v>15661050</v>
      </c>
      <c r="Q9" s="1952">
        <v>159803975</v>
      </c>
      <c r="R9" s="1953">
        <v>22905000</v>
      </c>
      <c r="S9" s="221">
        <f>SUM(B9:R9)</f>
        <v>509000000</v>
      </c>
      <c r="U9" s="221"/>
    </row>
    <row r="10" spans="1:22" s="222" customFormat="1" ht="30" customHeight="1">
      <c r="A10" s="1936" t="s">
        <v>456</v>
      </c>
      <c r="B10" s="1988">
        <f>'arkusz pomocniczy'!T11</f>
        <v>70631889.25</v>
      </c>
      <c r="C10" s="1934">
        <f>1850617.97+2960712.75+545397</f>
        <v>5356727.72</v>
      </c>
      <c r="D10" s="1934">
        <f>'Włocławek Budget'!AS428</f>
        <v>11449359.637738265</v>
      </c>
      <c r="E10" s="1934">
        <f>'Włocławek Budget'!AT428</f>
        <v>11945534.52876132</v>
      </c>
      <c r="F10" s="1934">
        <f>'Włocławek Budget'!AU428</f>
        <v>12793266.67831777</v>
      </c>
      <c r="G10" s="1934">
        <f>'Włocławek Budget'!AV428</f>
        <v>18322466.441092543</v>
      </c>
      <c r="H10" s="1989">
        <f>'Włocławek Budget'!AW428-50000000</f>
        <v>-27968358.798923939</v>
      </c>
      <c r="I10" s="1934">
        <f>'Włocławek Budget'!AX428</f>
        <v>18303188.071419198</v>
      </c>
      <c r="J10" s="1934">
        <f>'Włocławek Budget'!AY428</f>
        <v>20973541.607752528</v>
      </c>
      <c r="K10" s="1934" t="e">
        <f>'Włocławek Budget'!#REF!</f>
        <v>#REF!</v>
      </c>
      <c r="L10" s="1934" t="e">
        <f>'Włocławek Budget'!#REF!+1948500</f>
        <v>#REF!</v>
      </c>
      <c r="M10" s="1934" t="e">
        <f>'Włocławek Budget'!#REF!</f>
        <v>#REF!</v>
      </c>
      <c r="N10" s="1934" t="e">
        <f>'Włocławek Budget'!#REF!</f>
        <v>#REF!</v>
      </c>
      <c r="O10" s="1934" t="e">
        <f>'Włocławek Budget'!#REF!</f>
        <v>#REF!</v>
      </c>
      <c r="P10" s="1934" t="e">
        <f>'Włocławek Budget'!#REF!</f>
        <v>#REF!</v>
      </c>
      <c r="Q10" s="1934">
        <f>215804248.31-8696808.25</f>
        <v>207107440.06</v>
      </c>
      <c r="R10" s="1934">
        <v>13645760.609999999</v>
      </c>
      <c r="S10" s="221" t="e">
        <f>SUM(B10:R10)</f>
        <v>#REF!</v>
      </c>
      <c r="U10" s="221"/>
    </row>
    <row r="11" spans="1:22" s="223" customFormat="1" ht="30" customHeight="1" collapsed="1">
      <c r="A11" s="1936" t="s">
        <v>457</v>
      </c>
      <c r="B11" s="229">
        <f>B9-B10</f>
        <v>13938460.75</v>
      </c>
      <c r="C11" s="230">
        <f>C9-C10</f>
        <v>-5356727.72</v>
      </c>
      <c r="D11" s="231">
        <f>D9-D10</f>
        <v>-3229009.6377382651</v>
      </c>
      <c r="E11" s="1947">
        <f t="shared" ref="E11:R11" si="0">E9-E10</f>
        <v>384990.47123868018</v>
      </c>
      <c r="F11" s="230">
        <f t="shared" si="0"/>
        <v>-462741.67831777036</v>
      </c>
      <c r="G11" s="230">
        <f t="shared" si="0"/>
        <v>8393671.0589074567</v>
      </c>
      <c r="H11" s="230">
        <f t="shared" si="0"/>
        <v>27968358.798923939</v>
      </c>
      <c r="I11" s="230">
        <f t="shared" si="0"/>
        <v>-3917575.5714191981</v>
      </c>
      <c r="J11" s="230">
        <f t="shared" si="0"/>
        <v>7797683.392247472</v>
      </c>
      <c r="K11" s="230" t="e">
        <f t="shared" si="0"/>
        <v>#REF!</v>
      </c>
      <c r="L11" s="230" t="e">
        <f t="shared" si="0"/>
        <v>#REF!</v>
      </c>
      <c r="M11" s="230" t="e">
        <f t="shared" si="0"/>
        <v>#REF!</v>
      </c>
      <c r="N11" s="230" t="e">
        <f t="shared" si="0"/>
        <v>#REF!</v>
      </c>
      <c r="O11" s="230" t="e">
        <f t="shared" si="0"/>
        <v>#REF!</v>
      </c>
      <c r="P11" s="231" t="e">
        <f t="shared" si="0"/>
        <v>#REF!</v>
      </c>
      <c r="Q11" s="1947">
        <f t="shared" si="0"/>
        <v>-47303465.060000002</v>
      </c>
      <c r="R11" s="230">
        <f t="shared" si="0"/>
        <v>9259239.3900000006</v>
      </c>
      <c r="S11" s="1932" t="e">
        <f>S9-S10</f>
        <v>#REF!</v>
      </c>
      <c r="U11" s="221"/>
    </row>
    <row r="12" spans="1:22" s="223" customFormat="1" ht="30" customHeight="1" thickBot="1">
      <c r="A12" s="1937" t="s">
        <v>458</v>
      </c>
      <c r="B12" s="1946">
        <f>B11</f>
        <v>13938460.75</v>
      </c>
      <c r="C12" s="1948">
        <f>B12+C11</f>
        <v>8581733.0300000012</v>
      </c>
      <c r="D12" s="1948">
        <f t="shared" ref="D12:R12" si="1">C12+D11</f>
        <v>5352723.3922617361</v>
      </c>
      <c r="E12" s="1948">
        <f t="shared" si="1"/>
        <v>5737713.8635004163</v>
      </c>
      <c r="F12" s="1948">
        <f t="shared" si="1"/>
        <v>5274972.1851826459</v>
      </c>
      <c r="G12" s="1948">
        <f t="shared" si="1"/>
        <v>13668643.244090103</v>
      </c>
      <c r="H12" s="1948">
        <f t="shared" si="1"/>
        <v>41637002.043014042</v>
      </c>
      <c r="I12" s="1948">
        <f t="shared" si="1"/>
        <v>37719426.47159484</v>
      </c>
      <c r="J12" s="1948">
        <f t="shared" si="1"/>
        <v>45517109.863842309</v>
      </c>
      <c r="K12" s="1948" t="e">
        <f t="shared" si="1"/>
        <v>#REF!</v>
      </c>
      <c r="L12" s="1948" t="e">
        <f t="shared" si="1"/>
        <v>#REF!</v>
      </c>
      <c r="M12" s="1948" t="e">
        <f t="shared" si="1"/>
        <v>#REF!</v>
      </c>
      <c r="N12" s="1948" t="e">
        <f t="shared" si="1"/>
        <v>#REF!</v>
      </c>
      <c r="O12" s="1948" t="e">
        <f t="shared" si="1"/>
        <v>#REF!</v>
      </c>
      <c r="P12" s="1948" t="e">
        <f t="shared" si="1"/>
        <v>#REF!</v>
      </c>
      <c r="Q12" s="1948" t="e">
        <f t="shared" si="1"/>
        <v>#REF!</v>
      </c>
      <c r="R12" s="1948" t="e">
        <f t="shared" si="1"/>
        <v>#REF!</v>
      </c>
      <c r="S12" s="1932" t="e">
        <f>S11</f>
        <v>#REF!</v>
      </c>
      <c r="U12" s="221"/>
    </row>
    <row r="13" spans="1:22" s="223" customFormat="1" ht="38.25">
      <c r="A13" s="218"/>
      <c r="B13" s="1991" t="s">
        <v>475</v>
      </c>
      <c r="C13" s="219"/>
      <c r="D13" s="219"/>
      <c r="E13" s="219"/>
      <c r="F13" s="219"/>
      <c r="G13" s="219"/>
      <c r="H13" s="1992" t="s">
        <v>474</v>
      </c>
      <c r="I13" s="219"/>
      <c r="J13" s="219"/>
      <c r="K13" s="219"/>
      <c r="L13" s="219"/>
      <c r="M13" s="219"/>
      <c r="N13" s="219"/>
      <c r="O13" s="219"/>
      <c r="P13" s="219"/>
      <c r="Q13" s="219"/>
      <c r="R13" s="219"/>
    </row>
    <row r="14" spans="1:22" s="224" customFormat="1" ht="13.5">
      <c r="B14" s="225"/>
      <c r="C14" s="226"/>
      <c r="D14" s="226"/>
      <c r="E14" s="226"/>
      <c r="F14" s="226"/>
      <c r="G14" s="226"/>
      <c r="H14" s="226"/>
      <c r="I14" s="226"/>
      <c r="J14" s="226"/>
      <c r="K14" s="226"/>
      <c r="L14" s="226"/>
      <c r="M14" s="226"/>
      <c r="N14" s="226"/>
      <c r="O14" s="226"/>
      <c r="P14" s="226"/>
      <c r="Q14" s="226"/>
      <c r="R14" s="226"/>
    </row>
    <row r="15" spans="1:22" s="224" customFormat="1">
      <c r="B15" s="225"/>
      <c r="C15" s="227"/>
      <c r="D15" s="227"/>
      <c r="E15" s="227"/>
      <c r="F15" s="227"/>
      <c r="G15" s="227"/>
      <c r="H15" s="227"/>
      <c r="I15" s="227"/>
      <c r="J15" s="227"/>
      <c r="K15" s="227"/>
      <c r="L15" s="227"/>
      <c r="M15" s="227"/>
      <c r="N15" s="227"/>
      <c r="O15" s="227"/>
      <c r="P15" s="227"/>
      <c r="Q15" s="227"/>
      <c r="R15" s="227"/>
    </row>
    <row r="16" spans="1:22" s="223" customFormat="1" ht="13.25" customHeight="1">
      <c r="A16" s="207"/>
      <c r="B16" s="205"/>
      <c r="C16" s="206"/>
      <c r="D16" s="206"/>
      <c r="E16" s="206"/>
      <c r="F16" s="206"/>
      <c r="G16" s="206"/>
      <c r="H16" s="206"/>
      <c r="I16" s="206"/>
      <c r="J16" s="206"/>
      <c r="K16" s="206"/>
      <c r="L16" s="206"/>
      <c r="M16" s="206"/>
      <c r="N16" s="206"/>
      <c r="O16" s="206"/>
      <c r="P16" s="206"/>
      <c r="Q16" s="206"/>
      <c r="R16" s="206"/>
      <c r="S16" s="207"/>
      <c r="T16" s="207"/>
      <c r="U16" s="207"/>
      <c r="V16" s="207"/>
    </row>
    <row r="23" spans="21:21">
      <c r="U23" s="215"/>
    </row>
  </sheetData>
  <mergeCells count="5">
    <mergeCell ref="B5:B6"/>
    <mergeCell ref="C5:D6"/>
    <mergeCell ref="E5:P6"/>
    <mergeCell ref="Q5:Q6"/>
    <mergeCell ref="R5:R6"/>
  </mergeCells>
  <conditionalFormatting sqref="B7:R7">
    <cfRule type="cellIs" dxfId="0" priority="6" stopIfTrue="1" operator="equal">
      <formula>"plan"</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36A12-8506-45B0-84F1-226C2F29E55D}">
  <dimension ref="S4:U20"/>
  <sheetViews>
    <sheetView workbookViewId="0">
      <selection activeCell="T8" sqref="T8"/>
    </sheetView>
  </sheetViews>
  <sheetFormatPr defaultRowHeight="13.5"/>
  <cols>
    <col min="20" max="20" width="22.1875" bestFit="1" customWidth="1"/>
  </cols>
  <sheetData>
    <row r="4" spans="19:21">
      <c r="T4" t="s">
        <v>481</v>
      </c>
    </row>
    <row r="5" spans="19:21">
      <c r="T5" s="2000">
        <f>13938460.75</f>
        <v>13938460.75</v>
      </c>
    </row>
    <row r="6" spans="19:21">
      <c r="T6" s="2000"/>
    </row>
    <row r="7" spans="19:21">
      <c r="T7" s="2000" t="s">
        <v>483</v>
      </c>
    </row>
    <row r="8" spans="19:21">
      <c r="T8" s="2000">
        <f>76350000+8220350</f>
        <v>84570350</v>
      </c>
    </row>
    <row r="9" spans="19:21">
      <c r="T9" s="2000"/>
    </row>
    <row r="10" spans="19:21">
      <c r="T10" s="2000" t="s">
        <v>482</v>
      </c>
    </row>
    <row r="11" spans="19:21">
      <c r="T11" s="2000">
        <f>T8-T5</f>
        <v>70631889.25</v>
      </c>
      <c r="U11" t="s">
        <v>484</v>
      </c>
    </row>
    <row r="12" spans="19:21">
      <c r="S12" t="s">
        <v>485</v>
      </c>
      <c r="T12" s="2000">
        <f>T11-50000000</f>
        <v>20631889.25</v>
      </c>
    </row>
    <row r="13" spans="19:21">
      <c r="T13" s="2000"/>
    </row>
    <row r="14" spans="19:21">
      <c r="T14" s="2000"/>
    </row>
    <row r="15" spans="19:21">
      <c r="T15" s="2000"/>
    </row>
    <row r="16" spans="19:21">
      <c r="T16" s="2000"/>
    </row>
    <row r="17" spans="20:20">
      <c r="T17" s="2000"/>
    </row>
    <row r="18" spans="20:20">
      <c r="T18" s="2000"/>
    </row>
    <row r="19" spans="20:20">
      <c r="T19" s="2000"/>
    </row>
    <row r="20" spans="20:20">
      <c r="T20" s="200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Włocławek Budget</vt:lpstr>
      <vt:lpstr>Arkusz2</vt:lpstr>
      <vt:lpstr>KM</vt:lpstr>
      <vt:lpstr>CF - nowe KM HRF UMOWA</vt:lpstr>
      <vt:lpstr>Arkusz1</vt:lpstr>
      <vt:lpstr>CF - stare KM</vt:lpstr>
      <vt:lpstr>arkusz pomocniczy</vt:lpstr>
      <vt:lpstr>'Włocławek Budget'!Print_Area</vt:lpstr>
      <vt:lpstr>'Włocławek Budget'!Print_Titles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rzeszoteka</dc:creator>
  <cp:lastModifiedBy>Aldo Giamblanco</cp:lastModifiedBy>
  <cp:lastPrinted>2025-05-28T12:35:16Z</cp:lastPrinted>
  <dcterms:created xsi:type="dcterms:W3CDTF">2010-03-08T15:25:15Z</dcterms:created>
  <dcterms:modified xsi:type="dcterms:W3CDTF">2026-04-09T11:07:02Z</dcterms:modified>
</cp:coreProperties>
</file>